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4deaab2aa75b75/Documentos/- Projetos pessoais/- Projeto ARCA/- Versões entregues da ALPHA/"/>
    </mc:Choice>
  </mc:AlternateContent>
  <xr:revisionPtr revIDLastSave="0" documentId="13_ncr:1_{2E0649F6-E994-4946-B476-96DDA32BCC59}" xr6:coauthVersionLast="47" xr6:coauthVersionMax="47" xr10:uidLastSave="{00000000-0000-0000-0000-000000000000}"/>
  <bookViews>
    <workbookView xWindow="-108" yWindow="-108" windowWidth="23256" windowHeight="12456" tabRatio="883" firstSheet="14" activeTab="22" xr2:uid="{DCD500C9-39E7-4D27-9E75-A2B78E258120}"/>
  </bookViews>
  <sheets>
    <sheet name="Sumário" sheetId="22" r:id="rId1"/>
    <sheet name="Histórico de aplicação" sheetId="1" r:id="rId2"/>
    <sheet name="Cotação" sheetId="17" r:id="rId3"/>
    <sheet name="Resumo ST Bolsa" sheetId="30" r:id="rId4"/>
    <sheet name="Resumo DT Bolsa" sheetId="31" r:id="rId5"/>
    <sheet name="Resumo ST Cripto" sheetId="32" r:id="rId6"/>
    <sheet name="Resumo DT Cripto - Inoperante" sheetId="33" r:id="rId7"/>
    <sheet name="ARCA Easynvest" sheetId="2" r:id="rId8"/>
    <sheet name="ARCA Clear" sheetId="4" r:id="rId9"/>
    <sheet name="ARCA Binance" sheetId="6" r:id="rId10"/>
    <sheet name="ARCA BSC" sheetId="20" r:id="rId11"/>
    <sheet name="ARCA BitPreço" sheetId="5" r:id="rId12"/>
    <sheet name="ARCA UpHold" sheetId="7" r:id="rId13"/>
    <sheet name="ARCA Exodus" sheetId="8" r:id="rId14"/>
    <sheet name="ARCA NovaDAX" sheetId="3" r:id="rId15"/>
    <sheet name="ARCA Alter" sheetId="19" r:id="rId16"/>
    <sheet name="Trades Binance" sheetId="70" r:id="rId17"/>
    <sheet name="Trades BSC" sheetId="24" r:id="rId18"/>
    <sheet name="Trades BitPreço" sheetId="25" r:id="rId19"/>
    <sheet name="Trades UpHold" sheetId="26" r:id="rId20"/>
    <sheet name="Trades Exodus" sheetId="27" r:id="rId21"/>
    <sheet name="Trades NovaDAX" sheetId="28" r:id="rId22"/>
    <sheet name="Trades Alter" sheetId="29" r:id="rId23"/>
    <sheet name="Bolsa CRFF11 DT" sheetId="34" r:id="rId24"/>
    <sheet name="Bolsa CRFF11 ST" sheetId="35" r:id="rId25"/>
    <sheet name="Bolsa HGLG11 DT" sheetId="36" r:id="rId26"/>
    <sheet name="Bolsa HGLG11 ST" sheetId="37" r:id="rId27"/>
    <sheet name="Bolsa KNCR11 DT" sheetId="38" r:id="rId28"/>
    <sheet name="Bolsa KNCR11 ST" sheetId="39" r:id="rId29"/>
    <sheet name="Bolsa MXRF11 DT" sheetId="40" r:id="rId30"/>
    <sheet name="Bolsa MXRF11 ST" sheetId="41" r:id="rId31"/>
    <sheet name="Bolsa AZUL4F DT" sheetId="42" r:id="rId32"/>
    <sheet name="Bolsa AZUL4F ST" sheetId="43" r:id="rId33"/>
    <sheet name="Bolsa EMBR3 DT" sheetId="44" r:id="rId34"/>
    <sheet name="Bolsa EMBR3 ST" sheetId="45" r:id="rId35"/>
    <sheet name="Bolsa PETR4F DT" sheetId="46" r:id="rId36"/>
    <sheet name="Bolsa PETR4F ST" sheetId="47" r:id="rId37"/>
    <sheet name="Bolsa PETR3F DT" sheetId="48" r:id="rId38"/>
    <sheet name="Bolsa PETR3F ST" sheetId="49" r:id="rId39"/>
    <sheet name="Bolsa BBAS3 DT" sheetId="50" r:id="rId40"/>
    <sheet name="Bolsa BBAS3 ST" sheetId="51" r:id="rId41"/>
    <sheet name="Bolsa BBSE3F DT" sheetId="52" r:id="rId42"/>
    <sheet name="Bolsa BBSE3F ST" sheetId="53" r:id="rId43"/>
    <sheet name="Bolsa BBDC4 DT" sheetId="54" r:id="rId44"/>
    <sheet name="Bolsa BBDC4 ST" sheetId="55" r:id="rId45"/>
    <sheet name="Bolsa BIDI3F DT" sheetId="56" r:id="rId46"/>
    <sheet name="Bolsa BIDI3F ST" sheetId="57" r:id="rId47"/>
    <sheet name="Bolsa OIBR3 DT" sheetId="58" r:id="rId48"/>
    <sheet name="Bolsa OIBR3 ST" sheetId="59" r:id="rId49"/>
    <sheet name="Bolsa LREN3F DT" sheetId="60" r:id="rId50"/>
    <sheet name="Bolsa LREN3F ST" sheetId="61" r:id="rId51"/>
    <sheet name="Bolsa TSLA34 DT" sheetId="62" r:id="rId52"/>
    <sheet name="Bolsa TSLA34 ST" sheetId="63" r:id="rId53"/>
    <sheet name="Bolsa AMZO34 DT" sheetId="64" r:id="rId54"/>
    <sheet name="Bolsa AMZO34 ST" sheetId="65" r:id="rId55"/>
    <sheet name="Bolsa JNJB34 DT" sheetId="66" r:id="rId56"/>
    <sheet name="Bolsa JNJB34 ST" sheetId="67" r:id="rId57"/>
    <sheet name="Bolsa VISA34 DT" sheetId="68" r:id="rId58"/>
    <sheet name="Bolsa VISA34 ST" sheetId="69" r:id="rId59"/>
  </sheets>
  <definedNames>
    <definedName name="ResultadoTotal">#REF!</definedName>
  </definedNames>
  <calcPr calcId="191029" iterate="1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30" i="70" l="1"/>
  <c r="C231" i="70"/>
  <c r="L231" i="70"/>
  <c r="M231" i="70"/>
  <c r="L230" i="70"/>
  <c r="M230" i="70" s="1"/>
  <c r="W5" i="2" a="1"/>
  <c r="W5" i="2" s="1"/>
  <c r="V5" i="2" s="1"/>
  <c r="V3" i="2"/>
  <c r="V4" i="2"/>
  <c r="V2" i="2"/>
  <c r="B14" i="32"/>
  <c r="B12" i="32"/>
  <c r="B18" i="31"/>
  <c r="B18" i="30"/>
  <c r="B17" i="30"/>
  <c r="B16" i="30"/>
  <c r="B15" i="30"/>
  <c r="B14" i="30"/>
  <c r="H3" i="69"/>
  <c r="H2" i="69"/>
  <c r="H3" i="68"/>
  <c r="H2" i="68"/>
  <c r="H3" i="67"/>
  <c r="H2" i="67"/>
  <c r="H3" i="66"/>
  <c r="H2" i="66"/>
  <c r="H3" i="65"/>
  <c r="H2" i="65"/>
  <c r="H3" i="64"/>
  <c r="H2" i="64"/>
  <c r="H4" i="63"/>
  <c r="H3" i="63"/>
  <c r="H2" i="63"/>
  <c r="H3" i="62"/>
  <c r="H2" i="62"/>
  <c r="H3" i="61"/>
  <c r="H2" i="61"/>
  <c r="H3" i="60"/>
  <c r="H2" i="60"/>
  <c r="H4" i="59"/>
  <c r="H3" i="59"/>
  <c r="H2" i="59"/>
  <c r="H3" i="58"/>
  <c r="H2" i="58"/>
  <c r="H4" i="57"/>
  <c r="H3" i="57"/>
  <c r="H2" i="57"/>
  <c r="H3" i="56"/>
  <c r="H2" i="56"/>
  <c r="H3" i="55"/>
  <c r="H2" i="55"/>
  <c r="H3" i="54"/>
  <c r="H2" i="54"/>
  <c r="H3" i="53"/>
  <c r="H2" i="53"/>
  <c r="H3" i="52"/>
  <c r="H2" i="52"/>
  <c r="H3" i="51"/>
  <c r="H2" i="51"/>
  <c r="H3" i="50"/>
  <c r="H2" i="50"/>
  <c r="H5" i="49"/>
  <c r="H4" i="49"/>
  <c r="H3" i="49"/>
  <c r="H2" i="49"/>
  <c r="H3" i="48"/>
  <c r="H2" i="48"/>
  <c r="H4" i="47"/>
  <c r="H3" i="47"/>
  <c r="H2" i="47"/>
  <c r="H3" i="46"/>
  <c r="H2" i="46"/>
  <c r="H9" i="45"/>
  <c r="H8" i="45"/>
  <c r="H7" i="45"/>
  <c r="H6" i="45"/>
  <c r="H5" i="45"/>
  <c r="H4" i="45"/>
  <c r="H3" i="45"/>
  <c r="H2" i="45"/>
  <c r="H3" i="44"/>
  <c r="H2" i="44"/>
  <c r="H4" i="43"/>
  <c r="H5" i="43"/>
  <c r="H6" i="43"/>
  <c r="H7" i="43"/>
  <c r="H8" i="43"/>
  <c r="H9" i="43"/>
  <c r="H10" i="43"/>
  <c r="H2" i="43"/>
  <c r="H3" i="43"/>
  <c r="H3" i="42"/>
  <c r="H2" i="42"/>
  <c r="H4" i="41"/>
  <c r="H5" i="41"/>
  <c r="H6" i="41"/>
  <c r="H7" i="41"/>
  <c r="H2" i="41"/>
  <c r="H3" i="41"/>
  <c r="H3" i="40"/>
  <c r="H2" i="40"/>
  <c r="H3" i="39"/>
  <c r="H2" i="39"/>
  <c r="H3" i="38"/>
  <c r="H2" i="38"/>
  <c r="H3" i="37"/>
  <c r="H2" i="37"/>
  <c r="H3" i="36"/>
  <c r="H2" i="36"/>
  <c r="H3" i="35"/>
  <c r="H2" i="35"/>
  <c r="H3" i="34"/>
  <c r="H2" i="34"/>
  <c r="E2" i="2"/>
  <c r="E3" i="2"/>
  <c r="G11" i="29"/>
  <c r="L11" i="29" s="1"/>
  <c r="M11" i="29" s="1"/>
  <c r="C11" i="29"/>
  <c r="C10" i="29"/>
  <c r="L10" i="29"/>
  <c r="M10" i="29" s="1"/>
  <c r="L229" i="70"/>
  <c r="M229" i="70" s="1"/>
  <c r="L228" i="70"/>
  <c r="M228" i="70" s="1"/>
  <c r="C3" i="70"/>
  <c r="C2" i="70"/>
  <c r="L227" i="70"/>
  <c r="M227" i="70" s="1"/>
  <c r="L225" i="70"/>
  <c r="M225" i="70" s="1"/>
  <c r="L222" i="70"/>
  <c r="M222" i="70" s="1"/>
  <c r="L226" i="70"/>
  <c r="M226" i="70" s="1"/>
  <c r="L224" i="70"/>
  <c r="M224" i="70" s="1"/>
  <c r="L223" i="70"/>
  <c r="M223" i="70" s="1"/>
  <c r="L221" i="70"/>
  <c r="M221" i="70" s="1"/>
  <c r="L220" i="70"/>
  <c r="M220" i="70" s="1"/>
  <c r="L219" i="70"/>
  <c r="M219" i="70" s="1"/>
  <c r="L218" i="70"/>
  <c r="M218" i="70" s="1"/>
  <c r="L217" i="70"/>
  <c r="M217" i="70" s="1"/>
  <c r="L216" i="70"/>
  <c r="M216" i="70" s="1"/>
  <c r="L215" i="70"/>
  <c r="M215" i="70" s="1"/>
  <c r="L214" i="70" l="1"/>
  <c r="M214" i="70" s="1"/>
  <c r="I5" i="49"/>
  <c r="L2" i="70"/>
  <c r="M2" i="70" s="1"/>
  <c r="L3" i="70"/>
  <c r="M3" i="70" s="1"/>
  <c r="L4" i="70"/>
  <c r="M4" i="70" s="1"/>
  <c r="L5" i="70"/>
  <c r="M5" i="70" s="1"/>
  <c r="L6" i="70"/>
  <c r="M6" i="70" s="1"/>
  <c r="L7" i="70"/>
  <c r="M7" i="70" s="1"/>
  <c r="L8" i="70"/>
  <c r="M8" i="70" s="1"/>
  <c r="L9" i="70"/>
  <c r="M9" i="70" s="1"/>
  <c r="L10" i="70"/>
  <c r="M10" i="70" s="1"/>
  <c r="L11" i="70"/>
  <c r="M11" i="70" s="1"/>
  <c r="L12" i="70"/>
  <c r="M12" i="70" s="1"/>
  <c r="L13" i="70"/>
  <c r="M13" i="70" s="1"/>
  <c r="L14" i="70"/>
  <c r="M14" i="70" s="1"/>
  <c r="L15" i="70"/>
  <c r="M15" i="70" s="1"/>
  <c r="L16" i="70"/>
  <c r="M16" i="70" s="1"/>
  <c r="L17" i="70"/>
  <c r="M17" i="70" s="1"/>
  <c r="L18" i="70"/>
  <c r="M18" i="70" s="1"/>
  <c r="L19" i="70"/>
  <c r="M19" i="70" s="1"/>
  <c r="L20" i="70"/>
  <c r="M20" i="70" s="1"/>
  <c r="L21" i="70"/>
  <c r="M21" i="70" s="1"/>
  <c r="L22" i="70"/>
  <c r="M22" i="70" s="1"/>
  <c r="L23" i="70"/>
  <c r="M23" i="70" s="1"/>
  <c r="L24" i="70"/>
  <c r="M24" i="70" s="1"/>
  <c r="L25" i="70"/>
  <c r="M25" i="70" s="1"/>
  <c r="L26" i="70"/>
  <c r="M26" i="70" s="1"/>
  <c r="L27" i="70"/>
  <c r="M27" i="70" s="1"/>
  <c r="L28" i="70"/>
  <c r="M28" i="70" s="1"/>
  <c r="L29" i="70"/>
  <c r="M29" i="70" s="1"/>
  <c r="L30" i="70"/>
  <c r="M30" i="70" s="1"/>
  <c r="L31" i="70"/>
  <c r="M31" i="70" s="1"/>
  <c r="L32" i="70"/>
  <c r="M32" i="70" s="1"/>
  <c r="L33" i="70"/>
  <c r="M33" i="70" s="1"/>
  <c r="L34" i="70"/>
  <c r="M34" i="70" s="1"/>
  <c r="L35" i="70"/>
  <c r="M35" i="70" s="1"/>
  <c r="L36" i="70"/>
  <c r="M36" i="70" s="1"/>
  <c r="L37" i="70"/>
  <c r="M37" i="70" s="1"/>
  <c r="L38" i="70"/>
  <c r="M38" i="70" s="1"/>
  <c r="L39" i="70"/>
  <c r="M39" i="70" s="1"/>
  <c r="L40" i="70"/>
  <c r="M40" i="70" s="1"/>
  <c r="L41" i="70"/>
  <c r="M41" i="70" s="1"/>
  <c r="L42" i="70"/>
  <c r="M42" i="70" s="1"/>
  <c r="L43" i="70"/>
  <c r="M43" i="70" s="1"/>
  <c r="L44" i="70"/>
  <c r="M44" i="70" s="1"/>
  <c r="L45" i="70"/>
  <c r="M45" i="70" s="1"/>
  <c r="L46" i="70"/>
  <c r="M46" i="70" s="1"/>
  <c r="L47" i="70"/>
  <c r="M47" i="70" s="1"/>
  <c r="L48" i="70"/>
  <c r="M48" i="70" s="1"/>
  <c r="L49" i="70"/>
  <c r="M49" i="70" s="1"/>
  <c r="L50" i="70"/>
  <c r="M50" i="70" s="1"/>
  <c r="L51" i="70"/>
  <c r="M51" i="70" s="1"/>
  <c r="L52" i="70"/>
  <c r="M52" i="70" s="1"/>
  <c r="L53" i="70"/>
  <c r="M53" i="70" s="1"/>
  <c r="L54" i="70"/>
  <c r="M54" i="70" s="1"/>
  <c r="L55" i="70"/>
  <c r="M55" i="70" s="1"/>
  <c r="L56" i="70"/>
  <c r="M56" i="70" s="1"/>
  <c r="L57" i="70"/>
  <c r="M57" i="70" s="1"/>
  <c r="L58" i="70"/>
  <c r="M58" i="70" s="1"/>
  <c r="L59" i="70"/>
  <c r="M59" i="70" s="1"/>
  <c r="L60" i="70"/>
  <c r="M60" i="70" s="1"/>
  <c r="L61" i="70"/>
  <c r="M61" i="70" s="1"/>
  <c r="L62" i="70"/>
  <c r="M62" i="70" s="1"/>
  <c r="L63" i="70"/>
  <c r="M63" i="70" s="1"/>
  <c r="L64" i="70"/>
  <c r="M64" i="70" s="1"/>
  <c r="L65" i="70"/>
  <c r="M65" i="70" s="1"/>
  <c r="L66" i="70"/>
  <c r="M66" i="70" s="1"/>
  <c r="L67" i="70"/>
  <c r="M67" i="70" s="1"/>
  <c r="L68" i="70"/>
  <c r="M68" i="70" s="1"/>
  <c r="L69" i="70"/>
  <c r="M69" i="70" s="1"/>
  <c r="L70" i="70"/>
  <c r="M70" i="70" s="1"/>
  <c r="L71" i="70"/>
  <c r="M71" i="70" s="1"/>
  <c r="L72" i="70"/>
  <c r="M72" i="70" s="1"/>
  <c r="L73" i="70"/>
  <c r="M73" i="70" s="1"/>
  <c r="L74" i="70"/>
  <c r="M74" i="70" s="1"/>
  <c r="L75" i="70"/>
  <c r="M75" i="70" s="1"/>
  <c r="L76" i="70"/>
  <c r="M76" i="70" s="1"/>
  <c r="L77" i="70"/>
  <c r="M77" i="70" s="1"/>
  <c r="L78" i="70"/>
  <c r="M78" i="70" s="1"/>
  <c r="L79" i="70"/>
  <c r="M79" i="70" s="1"/>
  <c r="L80" i="70"/>
  <c r="M80" i="70" s="1"/>
  <c r="L81" i="70"/>
  <c r="M81" i="70" s="1"/>
  <c r="L82" i="70"/>
  <c r="M82" i="70" s="1"/>
  <c r="L83" i="70"/>
  <c r="M83" i="70" s="1"/>
  <c r="L84" i="70"/>
  <c r="M84" i="70" s="1"/>
  <c r="L85" i="70"/>
  <c r="M85" i="70" s="1"/>
  <c r="L86" i="70"/>
  <c r="M86" i="70" s="1"/>
  <c r="L87" i="70"/>
  <c r="M87" i="70" s="1"/>
  <c r="L88" i="70"/>
  <c r="M88" i="70" s="1"/>
  <c r="L89" i="70"/>
  <c r="M89" i="70" s="1"/>
  <c r="L90" i="70"/>
  <c r="M90" i="70" s="1"/>
  <c r="L91" i="70"/>
  <c r="M91" i="70" s="1"/>
  <c r="L92" i="70"/>
  <c r="M92" i="70" s="1"/>
  <c r="L93" i="70"/>
  <c r="M93" i="70" s="1"/>
  <c r="L94" i="70"/>
  <c r="M94" i="70" s="1"/>
  <c r="L95" i="70"/>
  <c r="M95" i="70" s="1"/>
  <c r="L96" i="70"/>
  <c r="M96" i="70" s="1"/>
  <c r="L97" i="70"/>
  <c r="M97" i="70" s="1"/>
  <c r="L98" i="70"/>
  <c r="M98" i="70" s="1"/>
  <c r="L99" i="70"/>
  <c r="M99" i="70" s="1"/>
  <c r="L100" i="70"/>
  <c r="M100" i="70" s="1"/>
  <c r="L101" i="70"/>
  <c r="M101" i="70" s="1"/>
  <c r="L102" i="70"/>
  <c r="M102" i="70" s="1"/>
  <c r="L103" i="70"/>
  <c r="M103" i="70" s="1"/>
  <c r="L104" i="70"/>
  <c r="M104" i="70" s="1"/>
  <c r="L105" i="70"/>
  <c r="M105" i="70" s="1"/>
  <c r="L106" i="70"/>
  <c r="M106" i="70" s="1"/>
  <c r="L107" i="70"/>
  <c r="M107" i="70" s="1"/>
  <c r="L108" i="70"/>
  <c r="M108" i="70" s="1"/>
  <c r="L109" i="70"/>
  <c r="M109" i="70" s="1"/>
  <c r="L110" i="70"/>
  <c r="M110" i="70" s="1"/>
  <c r="L111" i="70"/>
  <c r="M111" i="70" s="1"/>
  <c r="L112" i="70"/>
  <c r="M112" i="70" s="1"/>
  <c r="L113" i="70"/>
  <c r="M113" i="70" s="1"/>
  <c r="L114" i="70"/>
  <c r="M114" i="70" s="1"/>
  <c r="L115" i="70"/>
  <c r="M115" i="70" s="1"/>
  <c r="L116" i="70"/>
  <c r="M116" i="70" s="1"/>
  <c r="L117" i="70"/>
  <c r="M117" i="70" s="1"/>
  <c r="L118" i="70"/>
  <c r="M118" i="70" s="1"/>
  <c r="L119" i="70"/>
  <c r="M119" i="70" s="1"/>
  <c r="L120" i="70"/>
  <c r="M120" i="70" s="1"/>
  <c r="L121" i="70"/>
  <c r="M121" i="70" s="1"/>
  <c r="L122" i="70"/>
  <c r="M122" i="70" s="1"/>
  <c r="L123" i="70"/>
  <c r="M123" i="70" s="1"/>
  <c r="L124" i="70"/>
  <c r="M124" i="70" s="1"/>
  <c r="L125" i="70"/>
  <c r="M125" i="70" s="1"/>
  <c r="L126" i="70"/>
  <c r="M126" i="70" s="1"/>
  <c r="L127" i="70"/>
  <c r="M127" i="70" s="1"/>
  <c r="L128" i="70"/>
  <c r="M128" i="70" s="1"/>
  <c r="L129" i="70"/>
  <c r="M129" i="70" s="1"/>
  <c r="L130" i="70"/>
  <c r="M130" i="70" s="1"/>
  <c r="L131" i="70"/>
  <c r="M131" i="70" s="1"/>
  <c r="L132" i="70"/>
  <c r="M132" i="70" s="1"/>
  <c r="L133" i="70"/>
  <c r="M133" i="70" s="1"/>
  <c r="L134" i="70"/>
  <c r="M134" i="70" s="1"/>
  <c r="L135" i="70"/>
  <c r="M135" i="70" s="1"/>
  <c r="L136" i="70"/>
  <c r="M136" i="70" s="1"/>
  <c r="L137" i="70"/>
  <c r="M137" i="70" s="1"/>
  <c r="L138" i="70"/>
  <c r="M138" i="70" s="1"/>
  <c r="L139" i="70"/>
  <c r="M139" i="70" s="1"/>
  <c r="L140" i="70"/>
  <c r="M140" i="70" s="1"/>
  <c r="L141" i="70"/>
  <c r="M141" i="70" s="1"/>
  <c r="L142" i="70"/>
  <c r="M142" i="70" s="1"/>
  <c r="L143" i="70"/>
  <c r="M143" i="70" s="1"/>
  <c r="L144" i="70"/>
  <c r="M144" i="70" s="1"/>
  <c r="L145" i="70"/>
  <c r="M145" i="70" s="1"/>
  <c r="L146" i="70"/>
  <c r="M146" i="70" s="1"/>
  <c r="L147" i="70"/>
  <c r="M147" i="70" s="1"/>
  <c r="L148" i="70"/>
  <c r="M148" i="70" s="1"/>
  <c r="L149" i="70"/>
  <c r="M149" i="70" s="1"/>
  <c r="L150" i="70"/>
  <c r="M150" i="70" s="1"/>
  <c r="L151" i="70"/>
  <c r="M151" i="70" s="1"/>
  <c r="L152" i="70"/>
  <c r="M152" i="70" s="1"/>
  <c r="L153" i="70"/>
  <c r="M153" i="70" s="1"/>
  <c r="L154" i="70"/>
  <c r="M154" i="70" s="1"/>
  <c r="L155" i="70"/>
  <c r="M155" i="70" s="1"/>
  <c r="L156" i="70"/>
  <c r="M156" i="70" s="1"/>
  <c r="L157" i="70"/>
  <c r="M157" i="70" s="1"/>
  <c r="L158" i="70"/>
  <c r="M158" i="70" s="1"/>
  <c r="L159" i="70"/>
  <c r="M159" i="70" s="1"/>
  <c r="L160" i="70"/>
  <c r="M160" i="70" s="1"/>
  <c r="L161" i="70"/>
  <c r="M161" i="70" s="1"/>
  <c r="L162" i="70"/>
  <c r="M162" i="70" s="1"/>
  <c r="L163" i="70"/>
  <c r="M163" i="70" s="1"/>
  <c r="L164" i="70"/>
  <c r="M164" i="70" s="1"/>
  <c r="L165" i="70"/>
  <c r="M165" i="70" s="1"/>
  <c r="L166" i="70"/>
  <c r="M166" i="70" s="1"/>
  <c r="L167" i="70"/>
  <c r="M167" i="70" s="1"/>
  <c r="L168" i="70"/>
  <c r="M168" i="70" s="1"/>
  <c r="L169" i="70"/>
  <c r="M169" i="70" s="1"/>
  <c r="L170" i="70"/>
  <c r="M170" i="70" s="1"/>
  <c r="L171" i="70"/>
  <c r="M171" i="70" s="1"/>
  <c r="L172" i="70"/>
  <c r="M172" i="70" s="1"/>
  <c r="L173" i="70"/>
  <c r="M173" i="70" s="1"/>
  <c r="L174" i="70"/>
  <c r="M174" i="70" s="1"/>
  <c r="L175" i="70"/>
  <c r="M175" i="70" s="1"/>
  <c r="L176" i="70"/>
  <c r="M176" i="70" s="1"/>
  <c r="L177" i="70"/>
  <c r="M177" i="70" s="1"/>
  <c r="L178" i="70"/>
  <c r="M178" i="70" s="1"/>
  <c r="L179" i="70"/>
  <c r="M179" i="70" s="1"/>
  <c r="L180" i="70"/>
  <c r="M180" i="70" s="1"/>
  <c r="L181" i="70"/>
  <c r="M181" i="70" s="1"/>
  <c r="L182" i="70"/>
  <c r="M182" i="70" s="1"/>
  <c r="L183" i="70"/>
  <c r="M183" i="70" s="1"/>
  <c r="L184" i="70"/>
  <c r="M184" i="70" s="1"/>
  <c r="L185" i="70"/>
  <c r="M185" i="70" s="1"/>
  <c r="L186" i="70"/>
  <c r="M186" i="70" s="1"/>
  <c r="L187" i="70"/>
  <c r="M187" i="70" s="1"/>
  <c r="L188" i="70"/>
  <c r="M188" i="70" s="1"/>
  <c r="L189" i="70"/>
  <c r="M189" i="70" s="1"/>
  <c r="L190" i="70"/>
  <c r="M190" i="70" s="1"/>
  <c r="L191" i="70"/>
  <c r="M191" i="70" s="1"/>
  <c r="L192" i="70"/>
  <c r="M192" i="70" s="1"/>
  <c r="L193" i="70"/>
  <c r="M193" i="70" s="1"/>
  <c r="L194" i="70"/>
  <c r="M194" i="70" s="1"/>
  <c r="L195" i="70"/>
  <c r="M195" i="70" s="1"/>
  <c r="L196" i="70"/>
  <c r="M196" i="70" s="1"/>
  <c r="L197" i="70"/>
  <c r="M197" i="70" s="1"/>
  <c r="L198" i="70"/>
  <c r="M198" i="70" s="1"/>
  <c r="L199" i="70"/>
  <c r="M199" i="70" s="1"/>
  <c r="L200" i="70"/>
  <c r="M200" i="70" s="1"/>
  <c r="L201" i="70"/>
  <c r="M201" i="70" s="1"/>
  <c r="L202" i="70"/>
  <c r="M202" i="70" s="1"/>
  <c r="L203" i="70"/>
  <c r="M203" i="70" s="1"/>
  <c r="L204" i="70"/>
  <c r="M204" i="70" s="1"/>
  <c r="L205" i="70"/>
  <c r="M205" i="70" s="1"/>
  <c r="L206" i="70"/>
  <c r="M206" i="70" s="1"/>
  <c r="L207" i="70"/>
  <c r="M207" i="70" s="1"/>
  <c r="L208" i="70"/>
  <c r="M208" i="70" s="1"/>
  <c r="L209" i="70"/>
  <c r="M209" i="70" s="1"/>
  <c r="L210" i="70"/>
  <c r="M210" i="70" s="1"/>
  <c r="L211" i="70"/>
  <c r="M211" i="70" s="1"/>
  <c r="L212" i="70"/>
  <c r="M212" i="70" s="1"/>
  <c r="L213" i="70"/>
  <c r="M213" i="70" s="1"/>
  <c r="C12" i="26"/>
  <c r="L12" i="26"/>
  <c r="M12" i="26" s="1"/>
  <c r="C11" i="26"/>
  <c r="L11" i="26"/>
  <c r="M11" i="26" s="1"/>
  <c r="N2" i="25"/>
  <c r="P2" i="25" s="1"/>
  <c r="N2" i="24"/>
  <c r="P2" i="24" s="1"/>
  <c r="Q2" i="70"/>
  <c r="Q3" i="70" s="1"/>
  <c r="N2" i="70"/>
  <c r="BM2" i="70"/>
  <c r="BM3" i="70" s="1"/>
  <c r="BM4" i="70" s="1"/>
  <c r="BJ2" i="70"/>
  <c r="BJ3" i="70" s="1"/>
  <c r="BG2" i="70"/>
  <c r="BG3" i="70" s="1"/>
  <c r="BD2" i="70"/>
  <c r="BA2" i="70"/>
  <c r="BA3" i="70" s="1"/>
  <c r="AX2" i="70"/>
  <c r="AX3" i="70" s="1"/>
  <c r="AX4" i="70" s="1"/>
  <c r="AU2" i="70"/>
  <c r="AR2" i="70"/>
  <c r="AO2" i="70"/>
  <c r="AL2" i="70"/>
  <c r="AL3" i="70" s="1"/>
  <c r="AI2" i="70"/>
  <c r="AF2" i="70"/>
  <c r="AC2" i="70"/>
  <c r="Z2" i="70"/>
  <c r="Z3" i="70" s="1"/>
  <c r="W2" i="70"/>
  <c r="W3" i="70" s="1"/>
  <c r="W4" i="70" s="1"/>
  <c r="T2" i="70"/>
  <c r="T3" i="70" s="1"/>
  <c r="G2" i="69"/>
  <c r="G3" i="69" s="1"/>
  <c r="W4" i="2" s="1" a="1"/>
  <c r="W4" i="2" s="1"/>
  <c r="G2" i="68"/>
  <c r="G3" i="68" s="1"/>
  <c r="G2" i="67"/>
  <c r="G3" i="67" s="1"/>
  <c r="G2" i="66"/>
  <c r="G3" i="66" s="1"/>
  <c r="G2" i="65"/>
  <c r="G3" i="65" s="1"/>
  <c r="G2" i="64"/>
  <c r="G3" i="64" s="1"/>
  <c r="G2" i="63"/>
  <c r="G3" i="63" s="1"/>
  <c r="G4" i="63" s="1"/>
  <c r="G2" i="62"/>
  <c r="G3" i="62" s="1"/>
  <c r="G2" i="61"/>
  <c r="G3" i="61" s="1"/>
  <c r="G2" i="60"/>
  <c r="G3" i="60" s="1"/>
  <c r="G2" i="59"/>
  <c r="G3" i="59" s="1"/>
  <c r="G4" i="59" s="1"/>
  <c r="G2" i="58"/>
  <c r="G3" i="58" s="1"/>
  <c r="G2" i="57"/>
  <c r="G3" i="57" s="1"/>
  <c r="G4" i="57" s="1"/>
  <c r="G2" i="56"/>
  <c r="G3" i="56" s="1"/>
  <c r="G2" i="55"/>
  <c r="G3" i="55" s="1"/>
  <c r="G2" i="54"/>
  <c r="G3" i="54" s="1"/>
  <c r="G2" i="53"/>
  <c r="G3" i="53" s="1"/>
  <c r="G2" i="52"/>
  <c r="G3" i="52" s="1"/>
  <c r="G2" i="51"/>
  <c r="G3" i="51" s="1"/>
  <c r="G2" i="50"/>
  <c r="G3" i="50" s="1"/>
  <c r="G2" i="49"/>
  <c r="G3" i="49" s="1"/>
  <c r="G4" i="49" s="1"/>
  <c r="G5" i="49" s="1"/>
  <c r="G2" i="48"/>
  <c r="G3" i="48" s="1"/>
  <c r="G2" i="47"/>
  <c r="G3" i="47" s="1"/>
  <c r="G4" i="47" s="1"/>
  <c r="G2" i="45"/>
  <c r="G3" i="45" s="1"/>
  <c r="G4" i="45" s="1"/>
  <c r="G5" i="45" s="1"/>
  <c r="G6" i="45" s="1"/>
  <c r="G7" i="45" s="1"/>
  <c r="G8" i="45" s="1"/>
  <c r="G9" i="45" s="1"/>
  <c r="G10" i="45" s="1"/>
  <c r="G2" i="44"/>
  <c r="G3" i="44" s="1"/>
  <c r="G2" i="43"/>
  <c r="G3" i="43" s="1"/>
  <c r="G4" i="43" s="1"/>
  <c r="G5" i="43" s="1"/>
  <c r="G6" i="43" s="1"/>
  <c r="G7" i="43" s="1"/>
  <c r="G8" i="43" s="1"/>
  <c r="G9" i="43" s="1"/>
  <c r="G10" i="43" s="1"/>
  <c r="G2" i="42"/>
  <c r="G3" i="42" s="1"/>
  <c r="G2" i="41"/>
  <c r="G3" i="41" s="1"/>
  <c r="G4" i="41" s="1"/>
  <c r="G5" i="41" s="1"/>
  <c r="G6" i="41" s="1"/>
  <c r="G7" i="41" s="1"/>
  <c r="G2" i="40"/>
  <c r="G3" i="40" s="1"/>
  <c r="G2" i="39"/>
  <c r="G3" i="39" s="1"/>
  <c r="G2" i="38"/>
  <c r="G3" i="38" s="1"/>
  <c r="G2" i="37"/>
  <c r="G3" i="37" s="1"/>
  <c r="G2" i="36"/>
  <c r="G3" i="36" s="1"/>
  <c r="G2" i="34"/>
  <c r="G3" i="34" s="1"/>
  <c r="G2" i="35"/>
  <c r="G3" i="35" s="1"/>
  <c r="M232" i="70" l="1"/>
  <c r="N3" i="25"/>
  <c r="N4" i="25" s="1"/>
  <c r="AC3" i="70"/>
  <c r="AC4" i="70" s="1"/>
  <c r="AC5" i="70" s="1"/>
  <c r="AF3" i="70"/>
  <c r="AF4" i="70" s="1"/>
  <c r="AF5" i="70" s="1"/>
  <c r="N3" i="70"/>
  <c r="N4" i="70" s="1"/>
  <c r="N5" i="70" s="1"/>
  <c r="N6" i="70" s="1"/>
  <c r="N7" i="70" s="1"/>
  <c r="N8" i="70" s="1"/>
  <c r="N9" i="70" s="1"/>
  <c r="N10" i="70" s="1"/>
  <c r="N11" i="70" s="1"/>
  <c r="N12" i="70" s="1"/>
  <c r="N13" i="70" s="1"/>
  <c r="N14" i="70" s="1"/>
  <c r="N15" i="70" s="1"/>
  <c r="N16" i="70" s="1"/>
  <c r="N17" i="70" s="1"/>
  <c r="N18" i="70" s="1"/>
  <c r="N19" i="70" s="1"/>
  <c r="N20" i="70" s="1"/>
  <c r="N21" i="70" s="1"/>
  <c r="N22" i="70" s="1"/>
  <c r="N23" i="70" s="1"/>
  <c r="N24" i="70" s="1"/>
  <c r="N25" i="70" s="1"/>
  <c r="N26" i="70" s="1"/>
  <c r="N27" i="70" s="1"/>
  <c r="N28" i="70" s="1"/>
  <c r="N29" i="70" s="1"/>
  <c r="N30" i="70" s="1"/>
  <c r="N31" i="70" s="1"/>
  <c r="N32" i="70" s="1"/>
  <c r="N33" i="70" s="1"/>
  <c r="N34" i="70" s="1"/>
  <c r="N35" i="70" s="1"/>
  <c r="N36" i="70" s="1"/>
  <c r="N37" i="70" s="1"/>
  <c r="N38" i="70" s="1"/>
  <c r="N39" i="70" s="1"/>
  <c r="N40" i="70" s="1"/>
  <c r="N41" i="70" s="1"/>
  <c r="N42" i="70" s="1"/>
  <c r="N43" i="70" s="1"/>
  <c r="N44" i="70" s="1"/>
  <c r="N45" i="70" s="1"/>
  <c r="N46" i="70" s="1"/>
  <c r="N47" i="70" s="1"/>
  <c r="N48" i="70" s="1"/>
  <c r="N49" i="70" s="1"/>
  <c r="N50" i="70" s="1"/>
  <c r="N51" i="70" s="1"/>
  <c r="N52" i="70" s="1"/>
  <c r="N53" i="70" s="1"/>
  <c r="N54" i="70" s="1"/>
  <c r="N55" i="70" s="1"/>
  <c r="N56" i="70" s="1"/>
  <c r="N57" i="70" s="1"/>
  <c r="N58" i="70" s="1"/>
  <c r="N59" i="70" s="1"/>
  <c r="N60" i="70" s="1"/>
  <c r="N61" i="70" s="1"/>
  <c r="N62" i="70" s="1"/>
  <c r="N63" i="70" s="1"/>
  <c r="N64" i="70" s="1"/>
  <c r="N65" i="70" s="1"/>
  <c r="N66" i="70" s="1"/>
  <c r="N67" i="70" s="1"/>
  <c r="N68" i="70" s="1"/>
  <c r="N69" i="70" s="1"/>
  <c r="N70" i="70" s="1"/>
  <c r="N71" i="70" s="1"/>
  <c r="N72" i="70" s="1"/>
  <c r="N73" i="70" s="1"/>
  <c r="N74" i="70" s="1"/>
  <c r="N75" i="70" s="1"/>
  <c r="N76" i="70" s="1"/>
  <c r="N77" i="70" s="1"/>
  <c r="N78" i="70" s="1"/>
  <c r="N79" i="70" s="1"/>
  <c r="N80" i="70" s="1"/>
  <c r="N81" i="70" s="1"/>
  <c r="N82" i="70" s="1"/>
  <c r="N83" i="70" s="1"/>
  <c r="N84" i="70" s="1"/>
  <c r="N85" i="70" s="1"/>
  <c r="N86" i="70" s="1"/>
  <c r="N87" i="70" s="1"/>
  <c r="N88" i="70" s="1"/>
  <c r="N89" i="70" s="1"/>
  <c r="N90" i="70" s="1"/>
  <c r="N91" i="70" s="1"/>
  <c r="N92" i="70" s="1"/>
  <c r="N93" i="70" s="1"/>
  <c r="N94" i="70" s="1"/>
  <c r="N95" i="70" s="1"/>
  <c r="N96" i="70" s="1"/>
  <c r="N97" i="70" s="1"/>
  <c r="N98" i="70" s="1"/>
  <c r="N99" i="70" s="1"/>
  <c r="N100" i="70" s="1"/>
  <c r="N101" i="70" s="1"/>
  <c r="N102" i="70" s="1"/>
  <c r="N103" i="70" s="1"/>
  <c r="N104" i="70" s="1"/>
  <c r="N105" i="70" s="1"/>
  <c r="N106" i="70" s="1"/>
  <c r="N107" i="70" s="1"/>
  <c r="N108" i="70" s="1"/>
  <c r="N109" i="70" s="1"/>
  <c r="N110" i="70" s="1"/>
  <c r="N111" i="70" s="1"/>
  <c r="N112" i="70" s="1"/>
  <c r="N113" i="70" s="1"/>
  <c r="N114" i="70" s="1"/>
  <c r="N115" i="70" s="1"/>
  <c r="N116" i="70" s="1"/>
  <c r="N117" i="70" s="1"/>
  <c r="N118" i="70" s="1"/>
  <c r="N119" i="70" s="1"/>
  <c r="N120" i="70" s="1"/>
  <c r="N121" i="70" s="1"/>
  <c r="N122" i="70" s="1"/>
  <c r="N123" i="70" s="1"/>
  <c r="N124" i="70" s="1"/>
  <c r="N125" i="70" s="1"/>
  <c r="N126" i="70" s="1"/>
  <c r="N127" i="70" s="1"/>
  <c r="N128" i="70" s="1"/>
  <c r="N129" i="70" s="1"/>
  <c r="N130" i="70" s="1"/>
  <c r="N131" i="70" s="1"/>
  <c r="N132" i="70" s="1"/>
  <c r="N133" i="70" s="1"/>
  <c r="N134" i="70" s="1"/>
  <c r="N135" i="70" s="1"/>
  <c r="N136" i="70" s="1"/>
  <c r="N137" i="70" s="1"/>
  <c r="N138" i="70" s="1"/>
  <c r="N139" i="70" s="1"/>
  <c r="N140" i="70" s="1"/>
  <c r="N141" i="70" s="1"/>
  <c r="N142" i="70" s="1"/>
  <c r="N143" i="70" s="1"/>
  <c r="N144" i="70" s="1"/>
  <c r="N145" i="70" s="1"/>
  <c r="N146" i="70" s="1"/>
  <c r="N147" i="70" s="1"/>
  <c r="N148" i="70" s="1"/>
  <c r="N149" i="70" s="1"/>
  <c r="N150" i="70" s="1"/>
  <c r="N151" i="70" s="1"/>
  <c r="N152" i="70" s="1"/>
  <c r="N153" i="70" s="1"/>
  <c r="N154" i="70" s="1"/>
  <c r="N155" i="70" s="1"/>
  <c r="N156" i="70" s="1"/>
  <c r="N157" i="70" s="1"/>
  <c r="N158" i="70" s="1"/>
  <c r="N159" i="70" s="1"/>
  <c r="N160" i="70" s="1"/>
  <c r="N161" i="70" s="1"/>
  <c r="N162" i="70" s="1"/>
  <c r="N163" i="70" s="1"/>
  <c r="N164" i="70" s="1"/>
  <c r="N165" i="70" s="1"/>
  <c r="N166" i="70" s="1"/>
  <c r="N167" i="70" s="1"/>
  <c r="N168" i="70" s="1"/>
  <c r="N169" i="70" s="1"/>
  <c r="N170" i="70" s="1"/>
  <c r="N171" i="70" s="1"/>
  <c r="N172" i="70" s="1"/>
  <c r="N173" i="70" s="1"/>
  <c r="N174" i="70" s="1"/>
  <c r="N175" i="70" s="1"/>
  <c r="N176" i="70" s="1"/>
  <c r="N177" i="70" s="1"/>
  <c r="N178" i="70" s="1"/>
  <c r="N179" i="70" s="1"/>
  <c r="N180" i="70" s="1"/>
  <c r="N181" i="70" s="1"/>
  <c r="N182" i="70" s="1"/>
  <c r="N183" i="70" s="1"/>
  <c r="N184" i="70" s="1"/>
  <c r="N185" i="70" s="1"/>
  <c r="N186" i="70" s="1"/>
  <c r="N187" i="70" s="1"/>
  <c r="N188" i="70" s="1"/>
  <c r="N189" i="70" s="1"/>
  <c r="N190" i="70" s="1"/>
  <c r="N191" i="70" s="1"/>
  <c r="N192" i="70" s="1"/>
  <c r="N193" i="70" s="1"/>
  <c r="N194" i="70" s="1"/>
  <c r="N195" i="70" s="1"/>
  <c r="N196" i="70" s="1"/>
  <c r="N197" i="70" s="1"/>
  <c r="N198" i="70" s="1"/>
  <c r="N199" i="70" s="1"/>
  <c r="N200" i="70" s="1"/>
  <c r="N201" i="70" s="1"/>
  <c r="N202" i="70" s="1"/>
  <c r="N203" i="70" s="1"/>
  <c r="N204" i="70" s="1"/>
  <c r="N205" i="70" s="1"/>
  <c r="N206" i="70" s="1"/>
  <c r="N207" i="70" s="1"/>
  <c r="N208" i="70" s="1"/>
  <c r="N209" i="70" s="1"/>
  <c r="N210" i="70" s="1"/>
  <c r="N211" i="70" s="1"/>
  <c r="N212" i="70" s="1"/>
  <c r="N213" i="70" s="1"/>
  <c r="N214" i="70" s="1"/>
  <c r="N215" i="70" s="1"/>
  <c r="N216" i="70" s="1"/>
  <c r="N217" i="70" s="1"/>
  <c r="N218" i="70" s="1"/>
  <c r="N219" i="70" s="1"/>
  <c r="N220" i="70" s="1"/>
  <c r="N221" i="70" s="1"/>
  <c r="N222" i="70" s="1"/>
  <c r="N223" i="70" s="1"/>
  <c r="N224" i="70" s="1"/>
  <c r="N225" i="70" s="1"/>
  <c r="N226" i="70" s="1"/>
  <c r="N227" i="70" s="1"/>
  <c r="N228" i="70" s="1"/>
  <c r="N229" i="70" s="1"/>
  <c r="N230" i="70" s="1"/>
  <c r="N231" i="70" s="1"/>
  <c r="AL4" i="70"/>
  <c r="AL5" i="70" s="1"/>
  <c r="AO3" i="70"/>
  <c r="AO4" i="70" s="1"/>
  <c r="AO5" i="70" s="1"/>
  <c r="BD3" i="70"/>
  <c r="BD4" i="70" s="1"/>
  <c r="BD5" i="70" s="1"/>
  <c r="BD6" i="70" s="1"/>
  <c r="BD7" i="70" s="1"/>
  <c r="AR3" i="70"/>
  <c r="AR4" i="70" s="1"/>
  <c r="AU3" i="70"/>
  <c r="AI3" i="70"/>
  <c r="AI4" i="70" s="1"/>
  <c r="Q4" i="70"/>
  <c r="BG4" i="70"/>
  <c r="BG5" i="70" s="1"/>
  <c r="BJ4" i="70"/>
  <c r="BJ5" i="70" s="1"/>
  <c r="T4" i="70"/>
  <c r="T5" i="70" s="1"/>
  <c r="Z4" i="70"/>
  <c r="Z5" i="70" s="1"/>
  <c r="BA4" i="70"/>
  <c r="BM5" i="70"/>
  <c r="AX5" i="70"/>
  <c r="W5" i="70"/>
  <c r="J5" i="4" a="1"/>
  <c r="J5" i="4" s="1"/>
  <c r="I5" i="4" s="1"/>
  <c r="J4" i="4" a="1"/>
  <c r="J4" i="4" s="1"/>
  <c r="I4" i="4" s="1"/>
  <c r="J3" i="4" a="1"/>
  <c r="J3" i="4" s="1"/>
  <c r="I3" i="4" s="1"/>
  <c r="J2" i="4" a="1"/>
  <c r="J2" i="4" s="1"/>
  <c r="I2" i="4" s="1"/>
  <c r="T3" i="2" a="1"/>
  <c r="T3" i="2" s="1"/>
  <c r="S3" i="2" s="1"/>
  <c r="T2" i="2" a="1"/>
  <c r="T2" i="2" s="1"/>
  <c r="S2" i="2" s="1"/>
  <c r="T4" i="2" a="1"/>
  <c r="T4" i="2" s="1"/>
  <c r="S4" i="2" s="1"/>
  <c r="T5" i="2" a="1"/>
  <c r="T5" i="2" s="1"/>
  <c r="S5" i="2" s="1"/>
  <c r="W2" i="2" a="1"/>
  <c r="W2" i="2" s="1"/>
  <c r="W3" i="2" a="1"/>
  <c r="W3" i="2" s="1"/>
  <c r="AR5" i="70" l="1"/>
  <c r="Q5" i="70"/>
  <c r="BA5" i="70"/>
  <c r="AI5" i="70"/>
  <c r="AU4" i="70"/>
  <c r="BM6" i="70"/>
  <c r="BJ6" i="70"/>
  <c r="BG6" i="70"/>
  <c r="BD8" i="70"/>
  <c r="AX6" i="70"/>
  <c r="AO6" i="70"/>
  <c r="AL6" i="70"/>
  <c r="AF6" i="70"/>
  <c r="AC6" i="70"/>
  <c r="Z6" i="70"/>
  <c r="W6" i="70"/>
  <c r="T6" i="70"/>
  <c r="L2" i="25"/>
  <c r="M2" i="25" s="1"/>
  <c r="C3" i="29"/>
  <c r="C4" i="29"/>
  <c r="C5" i="29"/>
  <c r="C6" i="29"/>
  <c r="C7" i="29"/>
  <c r="C8" i="29"/>
  <c r="C9" i="29"/>
  <c r="C2" i="29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20" i="28"/>
  <c r="C21" i="28"/>
  <c r="C22" i="28"/>
  <c r="C23" i="28"/>
  <c r="C24" i="28"/>
  <c r="C25" i="28"/>
  <c r="C26" i="28"/>
  <c r="C2" i="28"/>
  <c r="C3" i="27"/>
  <c r="C4" i="27"/>
  <c r="C2" i="27"/>
  <c r="C3" i="26"/>
  <c r="C4" i="26"/>
  <c r="C5" i="26"/>
  <c r="C6" i="26"/>
  <c r="C7" i="26"/>
  <c r="C8" i="26"/>
  <c r="C9" i="26"/>
  <c r="C10" i="26"/>
  <c r="C2" i="26"/>
  <c r="G4" i="26"/>
  <c r="K4" i="26"/>
  <c r="I8" i="26"/>
  <c r="I7" i="26"/>
  <c r="I4" i="26"/>
  <c r="G10" i="26"/>
  <c r="L10" i="26" s="1"/>
  <c r="M10" i="26" s="1"/>
  <c r="G9" i="26"/>
  <c r="L9" i="26" s="1"/>
  <c r="M9" i="26" s="1"/>
  <c r="G8" i="26"/>
  <c r="L8" i="26" s="1"/>
  <c r="M8" i="26" s="1"/>
  <c r="G7" i="26"/>
  <c r="L7" i="26" s="1"/>
  <c r="M7" i="26" s="1"/>
  <c r="G6" i="26"/>
  <c r="L6" i="26" s="1"/>
  <c r="M6" i="26" s="1"/>
  <c r="G3" i="26"/>
  <c r="L3" i="26" s="1"/>
  <c r="M3" i="26" s="1"/>
  <c r="G20" i="25"/>
  <c r="L20" i="25" s="1"/>
  <c r="M20" i="25" s="1"/>
  <c r="C20" i="25"/>
  <c r="D3" i="33"/>
  <c r="D4" i="33"/>
  <c r="G4" i="33" s="1"/>
  <c r="D5" i="33"/>
  <c r="G5" i="33" s="1"/>
  <c r="D6" i="33"/>
  <c r="G6" i="33" s="1"/>
  <c r="D7" i="33"/>
  <c r="G7" i="33" s="1"/>
  <c r="H7" i="33" s="1"/>
  <c r="D8" i="33"/>
  <c r="G8" i="33" s="1"/>
  <c r="D9" i="33"/>
  <c r="D10" i="33"/>
  <c r="G10" i="33" s="1"/>
  <c r="H10" i="33" s="1"/>
  <c r="D11" i="33"/>
  <c r="G11" i="33" s="1"/>
  <c r="H11" i="33" s="1"/>
  <c r="D12" i="33"/>
  <c r="G12" i="33" s="1"/>
  <c r="H12" i="33" s="1"/>
  <c r="D13" i="33"/>
  <c r="G13" i="33" s="1"/>
  <c r="H13" i="33" s="1"/>
  <c r="D14" i="33"/>
  <c r="G14" i="33" s="1"/>
  <c r="H14" i="33" s="1"/>
  <c r="D15" i="33"/>
  <c r="G15" i="33" s="1"/>
  <c r="D16" i="33"/>
  <c r="G16" i="33" s="1"/>
  <c r="D17" i="33"/>
  <c r="G17" i="33" s="1"/>
  <c r="D18" i="33"/>
  <c r="G18" i="33" s="1"/>
  <c r="H18" i="33" s="1"/>
  <c r="D19" i="33"/>
  <c r="G19" i="33" s="1"/>
  <c r="H19" i="33" s="1"/>
  <c r="D20" i="33"/>
  <c r="D21" i="33"/>
  <c r="D22" i="33"/>
  <c r="D23" i="33"/>
  <c r="G23" i="33" s="1"/>
  <c r="H23" i="33" s="1"/>
  <c r="D4" i="30"/>
  <c r="D5" i="30"/>
  <c r="G5" i="30" s="1"/>
  <c r="D6" i="30"/>
  <c r="D8" i="30"/>
  <c r="G8" i="30" s="1"/>
  <c r="D9" i="30"/>
  <c r="D10" i="30"/>
  <c r="D15" i="30"/>
  <c r="G15" i="30" s="1"/>
  <c r="H15" i="30" s="1"/>
  <c r="D17" i="30"/>
  <c r="G17" i="30" s="1"/>
  <c r="H17" i="30" s="1"/>
  <c r="D18" i="30"/>
  <c r="G18" i="30" s="1"/>
  <c r="D19" i="30"/>
  <c r="G19" i="30" s="1"/>
  <c r="D20" i="30"/>
  <c r="G20" i="30" s="1"/>
  <c r="D21" i="30"/>
  <c r="G21" i="30" s="1"/>
  <c r="D22" i="30"/>
  <c r="G22" i="30" s="1"/>
  <c r="H22" i="30" s="1"/>
  <c r="D23" i="30"/>
  <c r="D23" i="32"/>
  <c r="G23" i="32" s="1"/>
  <c r="H23" i="32" s="1"/>
  <c r="D22" i="32"/>
  <c r="G22" i="32" s="1"/>
  <c r="H22" i="32" s="1"/>
  <c r="D21" i="32"/>
  <c r="G21" i="32" s="1"/>
  <c r="H21" i="32" s="1"/>
  <c r="D20" i="32"/>
  <c r="G20" i="32" s="1"/>
  <c r="H20" i="32" s="1"/>
  <c r="D19" i="32"/>
  <c r="G19" i="32" s="1"/>
  <c r="H19" i="32" s="1"/>
  <c r="D15" i="32"/>
  <c r="G15" i="32" s="1"/>
  <c r="H15" i="32" s="1"/>
  <c r="D14" i="32"/>
  <c r="G14" i="32" s="1"/>
  <c r="H14" i="32" s="1"/>
  <c r="D11" i="32"/>
  <c r="G11" i="32" s="1"/>
  <c r="H11" i="32" s="1"/>
  <c r="D10" i="32"/>
  <c r="G10" i="32" s="1"/>
  <c r="H10" i="32" s="1"/>
  <c r="D9" i="32"/>
  <c r="G9" i="32" s="1"/>
  <c r="H9" i="32" s="1"/>
  <c r="D8" i="32"/>
  <c r="G8" i="32" s="1"/>
  <c r="H8" i="32" s="1"/>
  <c r="D7" i="32"/>
  <c r="G7" i="32" s="1"/>
  <c r="H7" i="32" s="1"/>
  <c r="D6" i="32"/>
  <c r="G6" i="32" s="1"/>
  <c r="D5" i="32"/>
  <c r="G5" i="32" s="1"/>
  <c r="H5" i="32" s="1"/>
  <c r="D4" i="32"/>
  <c r="G4" i="32" s="1"/>
  <c r="H4" i="32" s="1"/>
  <c r="D3" i="32"/>
  <c r="G3" i="32" s="1"/>
  <c r="H3" i="32" s="1"/>
  <c r="D2" i="32"/>
  <c r="G2" i="32" s="1"/>
  <c r="C2" i="32"/>
  <c r="C3" i="32" s="1"/>
  <c r="C4" i="32" s="1"/>
  <c r="C5" i="32" s="1"/>
  <c r="C6" i="32" s="1"/>
  <c r="C7" i="32" s="1"/>
  <c r="C8" i="32" s="1"/>
  <c r="C9" i="32" s="1"/>
  <c r="C10" i="32" s="1"/>
  <c r="C11" i="32" s="1"/>
  <c r="C12" i="32" s="1"/>
  <c r="D2" i="31"/>
  <c r="D3" i="31"/>
  <c r="D4" i="31"/>
  <c r="D5" i="31"/>
  <c r="D6" i="31"/>
  <c r="D7" i="31"/>
  <c r="D8" i="31"/>
  <c r="D9" i="31"/>
  <c r="D10" i="31"/>
  <c r="G10" i="31" s="1"/>
  <c r="D11" i="31"/>
  <c r="D13" i="31"/>
  <c r="D14" i="31"/>
  <c r="G14" i="31" s="1"/>
  <c r="D15" i="31"/>
  <c r="G15" i="31" s="1"/>
  <c r="H15" i="31" s="1"/>
  <c r="D16" i="31"/>
  <c r="D17" i="31"/>
  <c r="D18" i="31"/>
  <c r="D19" i="31"/>
  <c r="D20" i="31"/>
  <c r="D21" i="31"/>
  <c r="D22" i="31"/>
  <c r="D23" i="31"/>
  <c r="C2" i="31"/>
  <c r="C3" i="31" s="1"/>
  <c r="C4" i="31" s="1"/>
  <c r="C5" i="31" s="1"/>
  <c r="C6" i="31" s="1"/>
  <c r="C7" i="31" s="1"/>
  <c r="C8" i="31" s="1"/>
  <c r="C9" i="31" s="1"/>
  <c r="C10" i="31" s="1"/>
  <c r="C11" i="31" s="1"/>
  <c r="L3" i="69"/>
  <c r="I3" i="69"/>
  <c r="I2" i="69"/>
  <c r="J2" i="69" s="1"/>
  <c r="L3" i="68"/>
  <c r="I3" i="68"/>
  <c r="I2" i="68"/>
  <c r="J2" i="68" s="1"/>
  <c r="K3" i="68"/>
  <c r="L3" i="67"/>
  <c r="I3" i="67"/>
  <c r="I2" i="67"/>
  <c r="J2" i="67" s="1"/>
  <c r="L3" i="66"/>
  <c r="I3" i="66"/>
  <c r="I2" i="66"/>
  <c r="J2" i="66" s="1"/>
  <c r="K3" i="66"/>
  <c r="L3" i="65"/>
  <c r="I3" i="65"/>
  <c r="I2" i="65"/>
  <c r="J2" i="65" s="1"/>
  <c r="L3" i="64"/>
  <c r="I3" i="64"/>
  <c r="I2" i="64"/>
  <c r="J2" i="64" s="1"/>
  <c r="K3" i="64"/>
  <c r="L4" i="63"/>
  <c r="I4" i="63"/>
  <c r="I3" i="63"/>
  <c r="I2" i="63"/>
  <c r="J2" i="63" s="1"/>
  <c r="L3" i="62"/>
  <c r="I3" i="62"/>
  <c r="I2" i="62"/>
  <c r="J2" i="62" s="1"/>
  <c r="I3" i="61"/>
  <c r="I2" i="61"/>
  <c r="J2" i="61" s="1"/>
  <c r="K3" i="61"/>
  <c r="L3" i="60"/>
  <c r="I3" i="60"/>
  <c r="I2" i="60"/>
  <c r="J2" i="60" s="1"/>
  <c r="I4" i="59"/>
  <c r="I3" i="59"/>
  <c r="I2" i="59"/>
  <c r="J2" i="59" s="1"/>
  <c r="K4" i="59"/>
  <c r="L3" i="58"/>
  <c r="I3" i="58"/>
  <c r="I2" i="58"/>
  <c r="J2" i="58" s="1"/>
  <c r="I4" i="57"/>
  <c r="I3" i="57"/>
  <c r="I2" i="57"/>
  <c r="J2" i="57" s="1"/>
  <c r="K4" i="57"/>
  <c r="L3" i="56"/>
  <c r="I3" i="56"/>
  <c r="I2" i="56"/>
  <c r="J2" i="56" s="1"/>
  <c r="K2" i="56"/>
  <c r="I3" i="55"/>
  <c r="I2" i="55"/>
  <c r="J2" i="55" s="1"/>
  <c r="I3" i="54"/>
  <c r="I2" i="54"/>
  <c r="J2" i="54" s="1"/>
  <c r="I3" i="53"/>
  <c r="I2" i="53"/>
  <c r="J2" i="53" s="1"/>
  <c r="K3" i="53"/>
  <c r="I3" i="52"/>
  <c r="I2" i="52"/>
  <c r="J2" i="52" s="1"/>
  <c r="K3" i="52"/>
  <c r="L3" i="51"/>
  <c r="I3" i="51"/>
  <c r="I2" i="51"/>
  <c r="J2" i="51" s="1"/>
  <c r="L3" i="50"/>
  <c r="I3" i="50"/>
  <c r="I2" i="50"/>
  <c r="J2" i="50" s="1"/>
  <c r="L4" i="49"/>
  <c r="I4" i="49"/>
  <c r="I3" i="49"/>
  <c r="I2" i="49"/>
  <c r="J2" i="49" s="1"/>
  <c r="L3" i="48"/>
  <c r="I3" i="48"/>
  <c r="I2" i="48"/>
  <c r="J2" i="48" s="1"/>
  <c r="K3" i="48"/>
  <c r="I4" i="47"/>
  <c r="L3" i="47"/>
  <c r="I3" i="47"/>
  <c r="I2" i="47"/>
  <c r="J2" i="47" s="1"/>
  <c r="L3" i="46"/>
  <c r="I3" i="46"/>
  <c r="I2" i="46"/>
  <c r="L10" i="45"/>
  <c r="E10" i="45"/>
  <c r="I9" i="45"/>
  <c r="I8" i="45"/>
  <c r="L7" i="45"/>
  <c r="I7" i="45"/>
  <c r="I6" i="45"/>
  <c r="L5" i="45"/>
  <c r="I5" i="45"/>
  <c r="L4" i="45"/>
  <c r="I4" i="45"/>
  <c r="L3" i="45"/>
  <c r="I3" i="45"/>
  <c r="I2" i="45"/>
  <c r="J2" i="45" s="1"/>
  <c r="L3" i="44"/>
  <c r="I3" i="44"/>
  <c r="I2" i="44"/>
  <c r="J2" i="44" s="1"/>
  <c r="K3" i="44"/>
  <c r="I10" i="43"/>
  <c r="L9" i="43"/>
  <c r="I9" i="43"/>
  <c r="I8" i="43"/>
  <c r="L7" i="43"/>
  <c r="I7" i="43"/>
  <c r="I6" i="43"/>
  <c r="I5" i="43"/>
  <c r="I4" i="43"/>
  <c r="I3" i="43"/>
  <c r="I2" i="43"/>
  <c r="J2" i="43" s="1"/>
  <c r="L3" i="42"/>
  <c r="I3" i="42"/>
  <c r="I2" i="42"/>
  <c r="J2" i="42" s="1"/>
  <c r="L7" i="41"/>
  <c r="I7" i="41"/>
  <c r="L6" i="41"/>
  <c r="I6" i="41"/>
  <c r="L5" i="41"/>
  <c r="I5" i="41"/>
  <c r="I4" i="41"/>
  <c r="I3" i="41"/>
  <c r="I2" i="41"/>
  <c r="J2" i="41" s="1"/>
  <c r="L3" i="40"/>
  <c r="I3" i="40"/>
  <c r="I2" i="40"/>
  <c r="J2" i="40" s="1"/>
  <c r="K2" i="40"/>
  <c r="L3" i="39"/>
  <c r="I3" i="39"/>
  <c r="I2" i="39"/>
  <c r="J2" i="39" s="1"/>
  <c r="L3" i="38"/>
  <c r="I3" i="38"/>
  <c r="I2" i="38"/>
  <c r="J2" i="38" s="1"/>
  <c r="K2" i="38"/>
  <c r="L3" i="37"/>
  <c r="I3" i="37"/>
  <c r="I2" i="37"/>
  <c r="J2" i="37" s="1"/>
  <c r="L3" i="36"/>
  <c r="I3" i="36"/>
  <c r="I2" i="36"/>
  <c r="J2" i="36" s="1"/>
  <c r="K3" i="36"/>
  <c r="L3" i="35"/>
  <c r="I3" i="35"/>
  <c r="I2" i="35"/>
  <c r="J2" i="35" s="1"/>
  <c r="L3" i="34"/>
  <c r="I3" i="34"/>
  <c r="I2" i="34"/>
  <c r="J2" i="34" s="1"/>
  <c r="K3" i="34"/>
  <c r="B2" i="33"/>
  <c r="C2" i="33" s="1"/>
  <c r="C3" i="33" s="1"/>
  <c r="C4" i="33" s="1"/>
  <c r="C5" i="33" s="1"/>
  <c r="C6" i="33" s="1"/>
  <c r="C7" i="33" s="1"/>
  <c r="C8" i="33" s="1"/>
  <c r="C9" i="33" s="1"/>
  <c r="C10" i="33" s="1"/>
  <c r="C11" i="33" s="1"/>
  <c r="C12" i="33" s="1"/>
  <c r="C13" i="33" s="1"/>
  <c r="C14" i="33" s="1"/>
  <c r="C15" i="33" s="1"/>
  <c r="C16" i="33" s="1"/>
  <c r="C17" i="33" s="1"/>
  <c r="C18" i="33" s="1"/>
  <c r="C19" i="33" s="1"/>
  <c r="C20" i="33" s="1"/>
  <c r="C21" i="33" s="1"/>
  <c r="C22" i="33" s="1"/>
  <c r="C23" i="33" s="1"/>
  <c r="L8" i="29"/>
  <c r="M8" i="29" s="1"/>
  <c r="L7" i="29"/>
  <c r="M7" i="29" s="1"/>
  <c r="L5" i="29"/>
  <c r="L3" i="29"/>
  <c r="R2" i="29" a="1"/>
  <c r="R2" i="29" s="1"/>
  <c r="R3" i="29" s="1" a="1"/>
  <c r="R3" i="29" s="1"/>
  <c r="Q2" i="29"/>
  <c r="S2" i="29" s="1"/>
  <c r="O2" i="29" a="1"/>
  <c r="O2" i="29" s="1"/>
  <c r="N2" i="29"/>
  <c r="P2" i="29" s="1"/>
  <c r="L2" i="29"/>
  <c r="M2" i="29" s="1"/>
  <c r="L27" i="28"/>
  <c r="M27" i="28" s="1"/>
  <c r="G26" i="28"/>
  <c r="L26" i="28" s="1"/>
  <c r="M26" i="28" s="1"/>
  <c r="G25" i="28"/>
  <c r="L25" i="28" s="1"/>
  <c r="M25" i="28" s="1"/>
  <c r="G24" i="28"/>
  <c r="L24" i="28" s="1"/>
  <c r="M24" i="28" s="1"/>
  <c r="G23" i="28"/>
  <c r="L23" i="28" s="1"/>
  <c r="M23" i="28" s="1"/>
  <c r="G22" i="28"/>
  <c r="L22" i="28" s="1"/>
  <c r="M22" i="28" s="1"/>
  <c r="L21" i="28"/>
  <c r="M21" i="28" s="1"/>
  <c r="L20" i="28"/>
  <c r="M20" i="28" s="1"/>
  <c r="L19" i="28"/>
  <c r="M19" i="28" s="1"/>
  <c r="L18" i="28"/>
  <c r="M18" i="28" s="1"/>
  <c r="L17" i="28"/>
  <c r="M17" i="28" s="1"/>
  <c r="L16" i="28"/>
  <c r="M16" i="28" s="1"/>
  <c r="L15" i="28"/>
  <c r="M15" i="28" s="1"/>
  <c r="L14" i="28"/>
  <c r="M14" i="28" s="1"/>
  <c r="L13" i="28"/>
  <c r="M13" i="28" s="1"/>
  <c r="L12" i="28"/>
  <c r="M12" i="28" s="1"/>
  <c r="L11" i="28"/>
  <c r="M11" i="28" s="1"/>
  <c r="L10" i="28"/>
  <c r="M10" i="28" s="1"/>
  <c r="L9" i="28"/>
  <c r="M9" i="28" s="1"/>
  <c r="L8" i="28"/>
  <c r="M8" i="28" s="1"/>
  <c r="L7" i="28"/>
  <c r="M7" i="28" s="1"/>
  <c r="L6" i="28"/>
  <c r="M6" i="28" s="1"/>
  <c r="L5" i="28"/>
  <c r="M5" i="28" s="1"/>
  <c r="L4" i="28"/>
  <c r="M4" i="28" s="1"/>
  <c r="L3" i="28"/>
  <c r="M3" i="28" s="1"/>
  <c r="AP2" i="28" a="1"/>
  <c r="AP2" i="28" s="1"/>
  <c r="AP3" i="28" s="1" a="1"/>
  <c r="AP3" i="28" s="1"/>
  <c r="AP4" i="28" s="1" a="1"/>
  <c r="AP4" i="28" s="1"/>
  <c r="AP5" i="28" s="1" a="1"/>
  <c r="AP5" i="28" s="1"/>
  <c r="AP6" i="28" s="1" a="1"/>
  <c r="AP6" i="28" s="1"/>
  <c r="AP7" i="28" s="1" a="1"/>
  <c r="AP7" i="28" s="1"/>
  <c r="AP8" i="28" s="1" a="1"/>
  <c r="AP8" i="28" s="1"/>
  <c r="AP9" i="28" s="1" a="1"/>
  <c r="AP9" i="28" s="1"/>
  <c r="AP10" i="28" s="1" a="1"/>
  <c r="AP10" i="28" s="1"/>
  <c r="AP11" i="28" s="1" a="1"/>
  <c r="AP11" i="28" s="1"/>
  <c r="AP12" i="28" s="1" a="1"/>
  <c r="AP12" i="28" s="1"/>
  <c r="AP13" i="28" s="1" a="1"/>
  <c r="AP13" i="28" s="1"/>
  <c r="AP14" i="28" s="1" a="1"/>
  <c r="AP14" i="28" s="1"/>
  <c r="AP15" i="28" s="1" a="1"/>
  <c r="AP15" i="28" s="1"/>
  <c r="AP16" i="28" s="1" a="1"/>
  <c r="AP16" i="28" s="1"/>
  <c r="AP17" i="28" s="1" a="1"/>
  <c r="AP17" i="28" s="1"/>
  <c r="AP18" i="28" s="1" a="1"/>
  <c r="AP18" i="28" s="1"/>
  <c r="AP19" i="28" s="1" a="1"/>
  <c r="AP19" i="28" s="1"/>
  <c r="AP20" i="28" s="1" a="1"/>
  <c r="AP20" i="28" s="1"/>
  <c r="AO2" i="28"/>
  <c r="AM2" i="28" a="1"/>
  <c r="AM2" i="28" s="1"/>
  <c r="AM3" i="28" s="1" a="1"/>
  <c r="AM3" i="28" s="1"/>
  <c r="AM4" i="28" s="1" a="1"/>
  <c r="AM4" i="28" s="1"/>
  <c r="AM5" i="28" s="1" a="1"/>
  <c r="AM5" i="28" s="1"/>
  <c r="AM6" i="28" s="1" a="1"/>
  <c r="AM6" i="28" s="1"/>
  <c r="AM7" i="28" s="1" a="1"/>
  <c r="AM7" i="28" s="1"/>
  <c r="AM8" i="28" s="1" a="1"/>
  <c r="AM8" i="28" s="1"/>
  <c r="AM9" i="28" s="1" a="1"/>
  <c r="AM9" i="28" s="1"/>
  <c r="AM10" i="28" s="1" a="1"/>
  <c r="AM10" i="28" s="1"/>
  <c r="AM11" i="28" s="1" a="1"/>
  <c r="AM11" i="28" s="1"/>
  <c r="AM12" i="28" s="1" a="1"/>
  <c r="AM12" i="28" s="1"/>
  <c r="AM13" i="28" s="1" a="1"/>
  <c r="AM13" i="28" s="1"/>
  <c r="AL2" i="28"/>
  <c r="AJ2" i="28" a="1"/>
  <c r="AJ2" i="28" s="1"/>
  <c r="AJ3" i="28" s="1" a="1"/>
  <c r="AJ3" i="28" s="1"/>
  <c r="AJ4" i="28" s="1" a="1"/>
  <c r="AJ4" i="28" s="1"/>
  <c r="AJ5" i="28" s="1" a="1"/>
  <c r="AJ5" i="28" s="1"/>
  <c r="AJ6" i="28" s="1" a="1"/>
  <c r="AJ6" i="28" s="1"/>
  <c r="AJ7" i="28" s="1" a="1"/>
  <c r="AJ7" i="28" s="1"/>
  <c r="AJ8" i="28" s="1" a="1"/>
  <c r="AJ8" i="28" s="1"/>
  <c r="AJ9" i="28" s="1" a="1"/>
  <c r="AJ9" i="28" s="1"/>
  <c r="AJ10" i="28" s="1" a="1"/>
  <c r="AJ10" i="28" s="1"/>
  <c r="AI2" i="28"/>
  <c r="AG2" i="28" a="1"/>
  <c r="AG2" i="28" s="1"/>
  <c r="AG3" i="28" s="1" a="1"/>
  <c r="AG3" i="28" s="1"/>
  <c r="AG4" i="28" s="1" a="1"/>
  <c r="AG4" i="28" s="1"/>
  <c r="AG5" i="28" s="1" a="1"/>
  <c r="AG5" i="28" s="1"/>
  <c r="AG6" i="28" s="1" a="1"/>
  <c r="AG6" i="28" s="1"/>
  <c r="AF2" i="28"/>
  <c r="AD2" i="28" a="1"/>
  <c r="AD2" i="28" s="1"/>
  <c r="AD3" i="28" s="1" a="1"/>
  <c r="AD3" i="28" s="1"/>
  <c r="AD4" i="28" s="1" a="1"/>
  <c r="AD4" i="28" s="1"/>
  <c r="AC2" i="28"/>
  <c r="AA2" i="28" a="1"/>
  <c r="AA2" i="28" s="1"/>
  <c r="AA3" i="28" s="1" a="1"/>
  <c r="AA3" i="28" s="1"/>
  <c r="Z2" i="28"/>
  <c r="X2" i="28" a="1"/>
  <c r="X2" i="28" s="1"/>
  <c r="X3" i="28" s="1" a="1"/>
  <c r="X3" i="28" s="1"/>
  <c r="X4" i="28" s="1" a="1"/>
  <c r="X4" i="28" s="1"/>
  <c r="X5" i="28" s="1" a="1"/>
  <c r="X5" i="28" s="1"/>
  <c r="X6" i="28" s="1" a="1"/>
  <c r="X6" i="28" s="1"/>
  <c r="X7" i="28" s="1" a="1"/>
  <c r="X7" i="28" s="1"/>
  <c r="X8" i="28" s="1" a="1"/>
  <c r="X8" i="28" s="1"/>
  <c r="X9" i="28" s="1" a="1"/>
  <c r="X9" i="28" s="1"/>
  <c r="X10" i="28" s="1" a="1"/>
  <c r="X10" i="28" s="1"/>
  <c r="X11" i="28" s="1" a="1"/>
  <c r="X11" i="28" s="1"/>
  <c r="W2" i="28"/>
  <c r="U2" i="28" a="1"/>
  <c r="U2" i="28" s="1"/>
  <c r="U3" i="28" s="1" a="1"/>
  <c r="U3" i="28" s="1"/>
  <c r="U4" i="28" s="1" a="1"/>
  <c r="U4" i="28" s="1"/>
  <c r="U5" i="28" s="1" a="1"/>
  <c r="U5" i="28" s="1"/>
  <c r="U6" i="28" s="1" a="1"/>
  <c r="U6" i="28" s="1"/>
  <c r="U7" i="28" s="1" a="1"/>
  <c r="U7" i="28" s="1"/>
  <c r="U8" i="28" s="1" a="1"/>
  <c r="U8" i="28" s="1"/>
  <c r="U9" i="28" s="1" a="1"/>
  <c r="U9" i="28" s="1"/>
  <c r="T2" i="28"/>
  <c r="R2" i="28" a="1"/>
  <c r="R2" i="28" s="1"/>
  <c r="R3" i="28" s="1" a="1"/>
  <c r="R3" i="28" s="1"/>
  <c r="R4" i="28" s="1" a="1"/>
  <c r="R4" i="28" s="1"/>
  <c r="R5" i="28" s="1" a="1"/>
  <c r="R5" i="28" s="1"/>
  <c r="R6" i="28" s="1" a="1"/>
  <c r="R6" i="28" s="1"/>
  <c r="R7" i="28" s="1" a="1"/>
  <c r="R7" i="28" s="1"/>
  <c r="R8" i="28" s="1" a="1"/>
  <c r="R8" i="28" s="1"/>
  <c r="R9" i="28" s="1" a="1"/>
  <c r="R9" i="28" s="1"/>
  <c r="R10" i="28" s="1" a="1"/>
  <c r="R10" i="28" s="1"/>
  <c r="R11" i="28" s="1" a="1"/>
  <c r="R11" i="28" s="1"/>
  <c r="R12" i="28" s="1" a="1"/>
  <c r="R12" i="28" s="1"/>
  <c r="R13" i="28" s="1" a="1"/>
  <c r="R13" i="28" s="1"/>
  <c r="R14" i="28" s="1" a="1"/>
  <c r="R14" i="28" s="1"/>
  <c r="R15" i="28" s="1" a="1"/>
  <c r="R15" i="28" s="1"/>
  <c r="R16" i="28" s="1" a="1"/>
  <c r="R16" i="28" s="1"/>
  <c r="R17" i="28" s="1" a="1"/>
  <c r="R17" i="28" s="1"/>
  <c r="R18" i="28" s="1" a="1"/>
  <c r="R18" i="28" s="1"/>
  <c r="R19" i="28" s="1" a="1"/>
  <c r="R19" i="28" s="1"/>
  <c r="R20" i="28" s="1" a="1"/>
  <c r="R20" i="28" s="1"/>
  <c r="R21" i="28" s="1" a="1"/>
  <c r="R21" i="28" s="1"/>
  <c r="Q2" i="28"/>
  <c r="O2" i="28" a="1"/>
  <c r="O2" i="28" s="1"/>
  <c r="N2" i="28"/>
  <c r="L2" i="28"/>
  <c r="M2" i="28" s="1"/>
  <c r="AD2" i="27" a="1"/>
  <c r="AD2" i="27" s="1"/>
  <c r="AD3" i="27" s="1" a="1"/>
  <c r="AD3" i="27" s="1"/>
  <c r="AC2" i="27"/>
  <c r="AA2" i="27" a="1"/>
  <c r="AA2" i="27" s="1"/>
  <c r="Z2" i="27"/>
  <c r="AB2" i="27" s="1"/>
  <c r="X2" i="27" a="1"/>
  <c r="X2" i="27" s="1"/>
  <c r="X3" i="27" s="1" a="1"/>
  <c r="X3" i="27" s="1"/>
  <c r="X4" i="27" s="1" a="1"/>
  <c r="X4" i="27" s="1"/>
  <c r="W2" i="27"/>
  <c r="U2" i="27" a="1"/>
  <c r="U2" i="27" s="1"/>
  <c r="U3" i="27" s="1" a="1"/>
  <c r="U3" i="27" s="1"/>
  <c r="U4" i="27" s="1" a="1"/>
  <c r="U4" i="27" s="1"/>
  <c r="T2" i="27"/>
  <c r="R2" i="27" a="1"/>
  <c r="R2" i="27" s="1"/>
  <c r="R3" i="27" s="1" a="1"/>
  <c r="R3" i="27" s="1"/>
  <c r="R4" i="27" s="1" a="1"/>
  <c r="R4" i="27" s="1"/>
  <c r="Q2" i="27"/>
  <c r="O2" i="27" a="1"/>
  <c r="O2" i="27" s="1"/>
  <c r="O3" i="27" s="1" a="1"/>
  <c r="O3" i="27" s="1"/>
  <c r="O4" i="27" s="1" a="1"/>
  <c r="O4" i="27" s="1"/>
  <c r="N2" i="27"/>
  <c r="L2" i="27"/>
  <c r="M2" i="27" s="1"/>
  <c r="L5" i="26"/>
  <c r="M5" i="26" s="1"/>
  <c r="AG2" i="26" a="1"/>
  <c r="AG2" i="26" s="1"/>
  <c r="AG3" i="26" s="1" a="1"/>
  <c r="AG3" i="26" s="1"/>
  <c r="AG4" i="26" s="1" a="1"/>
  <c r="AG4" i="26" s="1"/>
  <c r="AG5" i="26" s="1" a="1"/>
  <c r="AG5" i="26" s="1"/>
  <c r="AG6" i="26" s="1" a="1"/>
  <c r="AG6" i="26" s="1"/>
  <c r="AF2" i="26"/>
  <c r="AD2" i="26" a="1"/>
  <c r="AD2" i="26" s="1"/>
  <c r="AD3" i="26" s="1" a="1"/>
  <c r="AD3" i="26" s="1"/>
  <c r="AC2" i="26"/>
  <c r="AE2" i="26" s="1"/>
  <c r="AA2" i="26" a="1"/>
  <c r="AA2" i="26" s="1"/>
  <c r="AA3" i="26" s="1" a="1"/>
  <c r="AA3" i="26" s="1"/>
  <c r="Z2" i="26"/>
  <c r="AB2" i="26" s="1"/>
  <c r="X2" i="26" a="1"/>
  <c r="X2" i="26" s="1"/>
  <c r="X3" i="26" s="1" a="1"/>
  <c r="X3" i="26" s="1"/>
  <c r="X4" i="26" s="1" a="1"/>
  <c r="X4" i="26" s="1"/>
  <c r="X5" i="26" s="1" a="1"/>
  <c r="X5" i="26" s="1"/>
  <c r="X6" i="26" s="1" a="1"/>
  <c r="X6" i="26" s="1"/>
  <c r="X7" i="26" s="1" a="1"/>
  <c r="X7" i="26" s="1"/>
  <c r="X8" i="26" s="1" a="1"/>
  <c r="X8" i="26" s="1"/>
  <c r="X9" i="26" s="1" a="1"/>
  <c r="X9" i="26" s="1"/>
  <c r="X10" i="26" s="1" a="1"/>
  <c r="X10" i="26" s="1"/>
  <c r="X11" i="26" s="1" a="1"/>
  <c r="X11" i="26" s="1"/>
  <c r="X12" i="26" s="1" a="1"/>
  <c r="X12" i="26" s="1"/>
  <c r="W2" i="26"/>
  <c r="U2" i="26" a="1"/>
  <c r="U2" i="26" s="1"/>
  <c r="U3" i="26" s="1" a="1"/>
  <c r="U3" i="26" s="1"/>
  <c r="U4" i="26" s="1" a="1"/>
  <c r="U4" i="26" s="1"/>
  <c r="U5" i="26" s="1" a="1"/>
  <c r="U5" i="26" s="1"/>
  <c r="U6" i="26" s="1" a="1"/>
  <c r="U6" i="26" s="1"/>
  <c r="U7" i="26" s="1" a="1"/>
  <c r="U7" i="26" s="1"/>
  <c r="U8" i="26" s="1" a="1"/>
  <c r="U8" i="26" s="1"/>
  <c r="U9" i="26" s="1" a="1"/>
  <c r="U9" i="26" s="1"/>
  <c r="U10" i="26" s="1" a="1"/>
  <c r="U10" i="26" s="1"/>
  <c r="U11" i="26" s="1" a="1"/>
  <c r="U11" i="26" s="1"/>
  <c r="U12" i="26" s="1" a="1"/>
  <c r="U12" i="26" s="1"/>
  <c r="T2" i="26"/>
  <c r="V2" i="26" s="1"/>
  <c r="R2" i="26" a="1"/>
  <c r="R2" i="26" s="1"/>
  <c r="R3" i="26" s="1" a="1"/>
  <c r="R3" i="26" s="1"/>
  <c r="R4" i="26" s="1" a="1"/>
  <c r="R4" i="26" s="1"/>
  <c r="R5" i="26" s="1" a="1"/>
  <c r="R5" i="26" s="1"/>
  <c r="R6" i="26" s="1" a="1"/>
  <c r="R6" i="26" s="1"/>
  <c r="R7" i="26" s="1" a="1"/>
  <c r="R7" i="26" s="1"/>
  <c r="R8" i="26" s="1" a="1"/>
  <c r="R8" i="26" s="1"/>
  <c r="R9" i="26" s="1" a="1"/>
  <c r="R9" i="26" s="1"/>
  <c r="R10" i="26" s="1" a="1"/>
  <c r="R10" i="26" s="1"/>
  <c r="R11" i="26" s="1" a="1"/>
  <c r="R11" i="26" s="1"/>
  <c r="R12" i="26" s="1" a="1"/>
  <c r="R12" i="26" s="1"/>
  <c r="Q2" i="26"/>
  <c r="O2" i="26" a="1"/>
  <c r="O2" i="26" s="1"/>
  <c r="O3" i="26" s="1" a="1"/>
  <c r="O3" i="26" s="1"/>
  <c r="O4" i="26" s="1" a="1"/>
  <c r="O4" i="26" s="1"/>
  <c r="N2" i="26"/>
  <c r="L2" i="26"/>
  <c r="M2" i="26" s="1"/>
  <c r="G19" i="25"/>
  <c r="L19" i="25" s="1"/>
  <c r="M19" i="25" s="1"/>
  <c r="C19" i="25"/>
  <c r="G18" i="25"/>
  <c r="L18" i="25" s="1"/>
  <c r="M18" i="25" s="1"/>
  <c r="C18" i="25"/>
  <c r="G17" i="25"/>
  <c r="L17" i="25" s="1"/>
  <c r="M17" i="25" s="1"/>
  <c r="C17" i="25"/>
  <c r="G16" i="25"/>
  <c r="L16" i="25" s="1"/>
  <c r="M16" i="25" s="1"/>
  <c r="C16" i="25"/>
  <c r="G15" i="25"/>
  <c r="L15" i="25" s="1"/>
  <c r="M15" i="25" s="1"/>
  <c r="C15" i="25"/>
  <c r="G14" i="25"/>
  <c r="L14" i="25" s="1"/>
  <c r="M14" i="25" s="1"/>
  <c r="C14" i="25"/>
  <c r="G13" i="25"/>
  <c r="L13" i="25" s="1"/>
  <c r="M13" i="25" s="1"/>
  <c r="C13" i="25"/>
  <c r="L12" i="25"/>
  <c r="M12" i="25" s="1"/>
  <c r="C12" i="25"/>
  <c r="G11" i="25"/>
  <c r="L11" i="25" s="1"/>
  <c r="M11" i="25" s="1"/>
  <c r="C11" i="25"/>
  <c r="G10" i="25"/>
  <c r="L10" i="25" s="1"/>
  <c r="M10" i="25" s="1"/>
  <c r="C10" i="25"/>
  <c r="H9" i="25"/>
  <c r="G9" i="25" s="1"/>
  <c r="L9" i="25" s="1"/>
  <c r="M9" i="25" s="1"/>
  <c r="C9" i="25"/>
  <c r="G8" i="25"/>
  <c r="L8" i="25" s="1"/>
  <c r="M8" i="25" s="1"/>
  <c r="C8" i="25"/>
  <c r="G7" i="25"/>
  <c r="L7" i="25" s="1"/>
  <c r="M7" i="25" s="1"/>
  <c r="C7" i="25"/>
  <c r="L6" i="25"/>
  <c r="M6" i="25" s="1"/>
  <c r="C6" i="25"/>
  <c r="G5" i="25"/>
  <c r="C5" i="25"/>
  <c r="L4" i="25"/>
  <c r="M4" i="25" s="1"/>
  <c r="C4" i="25"/>
  <c r="L3" i="25"/>
  <c r="M3" i="25" s="1"/>
  <c r="C3" i="25"/>
  <c r="X2" i="25" a="1"/>
  <c r="X2" i="25" s="1"/>
  <c r="X3" i="25" s="1" a="1"/>
  <c r="X3" i="25" s="1"/>
  <c r="W2" i="25"/>
  <c r="U2" i="25" a="1"/>
  <c r="U2" i="25" s="1"/>
  <c r="U3" i="25" s="1" a="1"/>
  <c r="U3" i="25" s="1"/>
  <c r="U4" i="25" s="1" a="1"/>
  <c r="U4" i="25" s="1"/>
  <c r="U5" i="25" s="1" a="1"/>
  <c r="U5" i="25" s="1"/>
  <c r="U6" i="25" s="1" a="1"/>
  <c r="U6" i="25" s="1"/>
  <c r="U7" i="25" s="1" a="1"/>
  <c r="U7" i="25" s="1"/>
  <c r="U8" i="25" s="1" a="1"/>
  <c r="U8" i="25" s="1"/>
  <c r="U9" i="25" s="1" a="1"/>
  <c r="U9" i="25" s="1"/>
  <c r="U10" i="25" s="1" a="1"/>
  <c r="U10" i="25" s="1"/>
  <c r="T2" i="25"/>
  <c r="R2" i="25" a="1"/>
  <c r="R2" i="25" s="1"/>
  <c r="R3" i="25" s="1" a="1"/>
  <c r="R3" i="25" s="1"/>
  <c r="R4" i="25" s="1" a="1"/>
  <c r="R4" i="25" s="1"/>
  <c r="R5" i="25" s="1" a="1"/>
  <c r="R5" i="25" s="1"/>
  <c r="R6" i="25" s="1" a="1"/>
  <c r="R6" i="25" s="1"/>
  <c r="R7" i="25" s="1" a="1"/>
  <c r="R7" i="25" s="1"/>
  <c r="R8" i="25" s="1" a="1"/>
  <c r="R8" i="25" s="1"/>
  <c r="R9" i="25" s="1" a="1"/>
  <c r="R9" i="25" s="1"/>
  <c r="R10" i="25" s="1" a="1"/>
  <c r="R10" i="25" s="1"/>
  <c r="R11" i="25" s="1" a="1"/>
  <c r="R11" i="25" s="1"/>
  <c r="R12" i="25" s="1" a="1"/>
  <c r="R12" i="25" s="1"/>
  <c r="R13" i="25" s="1" a="1"/>
  <c r="R13" i="25" s="1"/>
  <c r="R14" i="25" s="1" a="1"/>
  <c r="R14" i="25" s="1"/>
  <c r="R15" i="25" s="1" a="1"/>
  <c r="R15" i="25" s="1"/>
  <c r="R16" i="25" s="1" a="1"/>
  <c r="R16" i="25" s="1"/>
  <c r="R17" i="25" s="1" a="1"/>
  <c r="R17" i="25" s="1"/>
  <c r="R18" i="25" s="1" a="1"/>
  <c r="R18" i="25" s="1"/>
  <c r="R19" i="25" s="1" a="1"/>
  <c r="R19" i="25" s="1"/>
  <c r="R20" i="25" s="1" a="1"/>
  <c r="R20" i="25" s="1"/>
  <c r="Q2" i="25"/>
  <c r="O2" i="25" a="1"/>
  <c r="O2" i="25" s="1"/>
  <c r="C2" i="25"/>
  <c r="C3" i="24"/>
  <c r="R2" i="24" a="1"/>
  <c r="R2" i="24" s="1"/>
  <c r="Q2" i="24"/>
  <c r="S2" i="24" s="1"/>
  <c r="O2" i="24" a="1"/>
  <c r="O2" i="24" s="1"/>
  <c r="O3" i="24" s="1" a="1"/>
  <c r="O3" i="24" s="1"/>
  <c r="L2" i="24"/>
  <c r="M2" i="24" s="1"/>
  <c r="C2" i="24"/>
  <c r="J2" i="1"/>
  <c r="D12" i="32" l="1"/>
  <c r="G12" i="32" s="1"/>
  <c r="H12" i="32" s="1"/>
  <c r="H10" i="45"/>
  <c r="I10" i="45" s="1"/>
  <c r="C2" i="6" a="1"/>
  <c r="C2" i="6" s="1"/>
  <c r="S2" i="28"/>
  <c r="AE2" i="28"/>
  <c r="AQ2" i="28"/>
  <c r="AB2" i="28"/>
  <c r="Y2" i="25"/>
  <c r="W3" i="25"/>
  <c r="T3" i="28"/>
  <c r="V3" i="28" s="1"/>
  <c r="V2" i="28"/>
  <c r="AL3" i="28"/>
  <c r="AN2" i="28"/>
  <c r="P2" i="26"/>
  <c r="N3" i="26"/>
  <c r="AF3" i="26"/>
  <c r="AH2" i="26"/>
  <c r="W3" i="27"/>
  <c r="Y3" i="27" s="1"/>
  <c r="Y2" i="27"/>
  <c r="W3" i="28"/>
  <c r="Y3" i="28" s="1"/>
  <c r="Y2" i="28"/>
  <c r="T3" i="27"/>
  <c r="V3" i="27" s="1"/>
  <c r="V2" i="27"/>
  <c r="Q3" i="26"/>
  <c r="S2" i="26"/>
  <c r="AC3" i="27"/>
  <c r="AE2" i="27"/>
  <c r="L5" i="25"/>
  <c r="M5" i="25" s="1"/>
  <c r="M21" i="25" s="1"/>
  <c r="N5" i="25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W3" i="26"/>
  <c r="Y3" i="26" s="1"/>
  <c r="Y2" i="26"/>
  <c r="P2" i="27"/>
  <c r="N3" i="27"/>
  <c r="S2" i="25"/>
  <c r="Q3" i="25"/>
  <c r="AF3" i="28"/>
  <c r="AH3" i="28" s="1"/>
  <c r="AH2" i="28"/>
  <c r="S2" i="27"/>
  <c r="Q3" i="27"/>
  <c r="N3" i="28"/>
  <c r="P2" i="28"/>
  <c r="T3" i="25"/>
  <c r="V2" i="25"/>
  <c r="AI3" i="28"/>
  <c r="AK3" i="28" s="1"/>
  <c r="AK2" i="28"/>
  <c r="AR6" i="70"/>
  <c r="Q6" i="70"/>
  <c r="Q7" i="70" s="1"/>
  <c r="BA6" i="70"/>
  <c r="AI6" i="70"/>
  <c r="AU5" i="70"/>
  <c r="BM7" i="70"/>
  <c r="BJ7" i="70"/>
  <c r="BG7" i="70"/>
  <c r="BD9" i="70"/>
  <c r="AX7" i="70"/>
  <c r="AO7" i="70"/>
  <c r="AL7" i="70"/>
  <c r="AF7" i="70"/>
  <c r="AC7" i="70"/>
  <c r="Z7" i="70"/>
  <c r="W7" i="70"/>
  <c r="T7" i="70"/>
  <c r="J3" i="40"/>
  <c r="J3" i="47"/>
  <c r="J3" i="45"/>
  <c r="J4" i="45" s="1"/>
  <c r="J5" i="45" s="1"/>
  <c r="J3" i="39"/>
  <c r="J2" i="46"/>
  <c r="G2" i="46"/>
  <c r="K2" i="46" s="1"/>
  <c r="Z3" i="27"/>
  <c r="Z4" i="27" s="1"/>
  <c r="Q3" i="29"/>
  <c r="S3" i="29" s="1"/>
  <c r="J3" i="38"/>
  <c r="J3" i="51"/>
  <c r="J3" i="56"/>
  <c r="C5" i="27"/>
  <c r="H4" i="33"/>
  <c r="M3" i="29"/>
  <c r="K3" i="56"/>
  <c r="G20" i="33"/>
  <c r="H20" i="33" s="1"/>
  <c r="K2" i="43"/>
  <c r="J3" i="43" s="1"/>
  <c r="M5" i="29"/>
  <c r="K2" i="48"/>
  <c r="J3" i="48" s="1"/>
  <c r="L4" i="26"/>
  <c r="M4" i="26" s="1"/>
  <c r="M13" i="26" s="1"/>
  <c r="H6" i="32"/>
  <c r="D2" i="33"/>
  <c r="G2" i="33" s="1"/>
  <c r="H2" i="33" s="1"/>
  <c r="H17" i="33"/>
  <c r="H16" i="33"/>
  <c r="Z3" i="28"/>
  <c r="H6" i="33"/>
  <c r="AC3" i="28"/>
  <c r="AE3" i="28" s="1"/>
  <c r="H5" i="33"/>
  <c r="H8" i="33"/>
  <c r="K2" i="50"/>
  <c r="J3" i="50" s="1"/>
  <c r="K2" i="63"/>
  <c r="J3" i="63" s="1"/>
  <c r="J4" i="63" s="1"/>
  <c r="K2" i="65"/>
  <c r="J3" i="65" s="1"/>
  <c r="H14" i="31"/>
  <c r="K3" i="40"/>
  <c r="H2" i="32"/>
  <c r="O3" i="25" a="1"/>
  <c r="O3" i="25" s="1"/>
  <c r="P3" i="25" s="1"/>
  <c r="AC3" i="26"/>
  <c r="AC4" i="26" s="1"/>
  <c r="K2" i="42"/>
  <c r="J3" i="42" s="1"/>
  <c r="K2" i="51"/>
  <c r="K2" i="68"/>
  <c r="J3" i="68" s="1"/>
  <c r="G9" i="33"/>
  <c r="H9" i="33" s="1"/>
  <c r="H10" i="31"/>
  <c r="K2" i="59"/>
  <c r="H15" i="33"/>
  <c r="G22" i="33"/>
  <c r="H22" i="33" s="1"/>
  <c r="G21" i="33"/>
  <c r="H21" i="33" s="1"/>
  <c r="Q3" i="28"/>
  <c r="S3" i="28" s="1"/>
  <c r="K2" i="62"/>
  <c r="J3" i="62" s="1"/>
  <c r="G3" i="33"/>
  <c r="H3" i="33" s="1"/>
  <c r="O3" i="28" a="1"/>
  <c r="O3" i="28" s="1"/>
  <c r="AO3" i="28"/>
  <c r="K2" i="36"/>
  <c r="J3" i="36" s="1"/>
  <c r="K3" i="38"/>
  <c r="T3" i="26"/>
  <c r="V3" i="26" s="1"/>
  <c r="O3" i="29" a="1"/>
  <c r="O3" i="29" s="1"/>
  <c r="K2" i="69"/>
  <c r="J3" i="69" s="1"/>
  <c r="C4" i="24"/>
  <c r="C13" i="26"/>
  <c r="C21" i="25"/>
  <c r="G23" i="30"/>
  <c r="H23" i="30" s="1"/>
  <c r="G17" i="31"/>
  <c r="H17" i="31" s="1"/>
  <c r="G21" i="31"/>
  <c r="H21" i="31" s="1"/>
  <c r="G18" i="31"/>
  <c r="H18" i="31" s="1"/>
  <c r="G22" i="31"/>
  <c r="H22" i="31" s="1"/>
  <c r="G19" i="31"/>
  <c r="H19" i="31" s="1"/>
  <c r="G23" i="31"/>
  <c r="H23" i="31" s="1"/>
  <c r="G16" i="31"/>
  <c r="H16" i="31" s="1"/>
  <c r="G20" i="31"/>
  <c r="H20" i="31" s="1"/>
  <c r="G4" i="31"/>
  <c r="H4" i="31" s="1"/>
  <c r="G7" i="31"/>
  <c r="H7" i="31" s="1"/>
  <c r="G2" i="31"/>
  <c r="H2" i="31" s="1"/>
  <c r="H21" i="30"/>
  <c r="H20" i="30"/>
  <c r="H19" i="30"/>
  <c r="H18" i="30"/>
  <c r="H8" i="30"/>
  <c r="H5" i="30"/>
  <c r="G6" i="30"/>
  <c r="H6" i="30" s="1"/>
  <c r="K2" i="45"/>
  <c r="K2" i="54"/>
  <c r="J3" i="54" s="1"/>
  <c r="K2" i="37"/>
  <c r="J3" i="37" s="1"/>
  <c r="K2" i="39"/>
  <c r="K2" i="41"/>
  <c r="K4" i="41"/>
  <c r="K2" i="57"/>
  <c r="K2" i="55"/>
  <c r="K2" i="49"/>
  <c r="K2" i="53"/>
  <c r="K2" i="44"/>
  <c r="J3" i="44" s="1"/>
  <c r="K2" i="52"/>
  <c r="K2" i="58"/>
  <c r="J3" i="58" s="1"/>
  <c r="K2" i="35"/>
  <c r="J3" i="35" s="1"/>
  <c r="K2" i="61"/>
  <c r="K2" i="67"/>
  <c r="J3" i="67" s="1"/>
  <c r="K2" i="34"/>
  <c r="J3" i="34" s="1"/>
  <c r="K2" i="47"/>
  <c r="K2" i="60"/>
  <c r="J3" i="60" s="1"/>
  <c r="K2" i="66"/>
  <c r="J3" i="66" s="1"/>
  <c r="K2" i="64"/>
  <c r="J3" i="64" s="1"/>
  <c r="G3" i="31"/>
  <c r="H3" i="31" s="1"/>
  <c r="G6" i="31"/>
  <c r="H6" i="31" s="1"/>
  <c r="G9" i="31"/>
  <c r="H9" i="31" s="1"/>
  <c r="G13" i="31"/>
  <c r="H13" i="31" s="1"/>
  <c r="G5" i="31"/>
  <c r="H5" i="31" s="1"/>
  <c r="G8" i="31"/>
  <c r="H8" i="31" s="1"/>
  <c r="G11" i="31"/>
  <c r="H11" i="31" s="1"/>
  <c r="G4" i="30"/>
  <c r="H4" i="30" s="1"/>
  <c r="G10" i="30"/>
  <c r="H10" i="30" s="1"/>
  <c r="G9" i="30"/>
  <c r="H9" i="30" s="1"/>
  <c r="C12" i="29"/>
  <c r="N3" i="29"/>
  <c r="G4" i="29" s="1"/>
  <c r="L4" i="29" s="1"/>
  <c r="M4" i="29" s="1"/>
  <c r="W4" i="28"/>
  <c r="Y4" i="28" s="1"/>
  <c r="N4" i="28"/>
  <c r="AA4" i="28" s="1" a="1"/>
  <c r="AA4" i="28" s="1"/>
  <c r="M28" i="28"/>
  <c r="AI4" i="28"/>
  <c r="AK4" i="28" s="1"/>
  <c r="T4" i="28"/>
  <c r="V4" i="28" s="1"/>
  <c r="Z3" i="26"/>
  <c r="AB3" i="26" s="1"/>
  <c r="N3" i="24"/>
  <c r="Q3" i="24"/>
  <c r="E3" i="20" s="1" a="1"/>
  <c r="E3" i="20" s="1"/>
  <c r="K3" i="51" l="1"/>
  <c r="T4" i="27"/>
  <c r="V4" i="27" s="1"/>
  <c r="AR7" i="70"/>
  <c r="AF4" i="28"/>
  <c r="AH4" i="28" s="1"/>
  <c r="BA7" i="70"/>
  <c r="BA8" i="70" s="1"/>
  <c r="P3" i="28"/>
  <c r="W4" i="26"/>
  <c r="Y4" i="26" s="1"/>
  <c r="W4" i="27"/>
  <c r="Y4" i="27" s="1"/>
  <c r="Q4" i="27"/>
  <c r="S4" i="27" s="1"/>
  <c r="S3" i="27"/>
  <c r="AF4" i="26"/>
  <c r="AH3" i="26"/>
  <c r="AC4" i="27"/>
  <c r="D4" i="8" s="1" a="1"/>
  <c r="D4" i="8" s="1"/>
  <c r="AE3" i="27"/>
  <c r="N4" i="26"/>
  <c r="P3" i="26"/>
  <c r="Q4" i="26"/>
  <c r="S3" i="26"/>
  <c r="AA4" i="26" a="1"/>
  <c r="AA4" i="26" s="1"/>
  <c r="AE4" i="26"/>
  <c r="Z4" i="28"/>
  <c r="Z5" i="28" s="1"/>
  <c r="Z6" i="28" s="1"/>
  <c r="AB3" i="28"/>
  <c r="Q4" i="25"/>
  <c r="S3" i="25"/>
  <c r="AL4" i="28"/>
  <c r="AN3" i="28"/>
  <c r="P3" i="29"/>
  <c r="AI7" i="70"/>
  <c r="AI8" i="70" s="1"/>
  <c r="N4" i="27"/>
  <c r="P4" i="27" s="1"/>
  <c r="P3" i="27"/>
  <c r="AE3" i="26"/>
  <c r="W4" i="25"/>
  <c r="W5" i="25" s="1"/>
  <c r="W6" i="25" s="1"/>
  <c r="W7" i="25" s="1"/>
  <c r="Y3" i="25"/>
  <c r="AO4" i="28"/>
  <c r="AQ4" i="28" s="1"/>
  <c r="AQ3" i="28"/>
  <c r="T4" i="25"/>
  <c r="V3" i="25"/>
  <c r="AA5" i="28" a="1"/>
  <c r="AA5" i="28" s="1"/>
  <c r="AU6" i="70"/>
  <c r="BM8" i="70"/>
  <c r="BJ8" i="70"/>
  <c r="BG8" i="70"/>
  <c r="BD10" i="70"/>
  <c r="AX8" i="70"/>
  <c r="AO8" i="70"/>
  <c r="AL8" i="70"/>
  <c r="AF8" i="70"/>
  <c r="AC8" i="70"/>
  <c r="Z8" i="70"/>
  <c r="W8" i="70"/>
  <c r="T8" i="70"/>
  <c r="Q8" i="70"/>
  <c r="Q4" i="29"/>
  <c r="Q5" i="29" s="1"/>
  <c r="G3" i="46"/>
  <c r="K3" i="46" s="1"/>
  <c r="J3" i="46"/>
  <c r="O4" i="25" a="1"/>
  <c r="O4" i="25" s="1"/>
  <c r="P4" i="25" s="1"/>
  <c r="D3" i="8" a="1"/>
  <c r="D3" i="8" s="1"/>
  <c r="X4" i="25" a="1"/>
  <c r="X4" i="25" s="1"/>
  <c r="L3" i="63"/>
  <c r="K3" i="62"/>
  <c r="L3" i="61"/>
  <c r="J3" i="61"/>
  <c r="K3" i="60"/>
  <c r="L3" i="59"/>
  <c r="J3" i="59"/>
  <c r="K3" i="59" s="1"/>
  <c r="L4" i="59" s="1"/>
  <c r="K3" i="58"/>
  <c r="L3" i="57"/>
  <c r="J3" i="57"/>
  <c r="K3" i="57" s="1"/>
  <c r="L4" i="57" s="1"/>
  <c r="L3" i="55"/>
  <c r="J3" i="55"/>
  <c r="K3" i="55" s="1"/>
  <c r="L3" i="54"/>
  <c r="L3" i="53"/>
  <c r="J3" i="53"/>
  <c r="L3" i="52"/>
  <c r="J3" i="52"/>
  <c r="K3" i="50"/>
  <c r="L3" i="49"/>
  <c r="J3" i="49"/>
  <c r="J4" i="49" s="1"/>
  <c r="K3" i="47"/>
  <c r="L3" i="43"/>
  <c r="K3" i="42"/>
  <c r="L3" i="41"/>
  <c r="J3" i="41"/>
  <c r="K3" i="37"/>
  <c r="K3" i="65"/>
  <c r="O4" i="28" a="1"/>
  <c r="O4" i="28" s="1"/>
  <c r="P4" i="28" s="1"/>
  <c r="K3" i="35"/>
  <c r="Q4" i="28"/>
  <c r="K3" i="43"/>
  <c r="L4" i="43" s="1"/>
  <c r="AC4" i="28"/>
  <c r="AE4" i="28" s="1"/>
  <c r="I2" i="33"/>
  <c r="K3" i="39"/>
  <c r="T4" i="26"/>
  <c r="K3" i="45"/>
  <c r="K3" i="54"/>
  <c r="K4" i="45"/>
  <c r="N4" i="29"/>
  <c r="W5" i="28"/>
  <c r="Y5" i="28" s="1"/>
  <c r="AF5" i="28"/>
  <c r="AH5" i="28" s="1"/>
  <c r="AI5" i="28"/>
  <c r="AK5" i="28" s="1"/>
  <c r="N5" i="28"/>
  <c r="T5" i="28"/>
  <c r="V5" i="28" s="1"/>
  <c r="W5" i="26"/>
  <c r="Y5" i="26" s="1"/>
  <c r="AC5" i="26"/>
  <c r="AE5" i="26" s="1"/>
  <c r="AD4" i="26" a="1"/>
  <c r="AD4" i="26" s="1"/>
  <c r="AD5" i="26" s="1" a="1"/>
  <c r="AD5" i="26" s="1"/>
  <c r="AD6" i="26" s="1" a="1"/>
  <c r="AD6" i="26" s="1"/>
  <c r="AD7" i="26" s="1" a="1"/>
  <c r="AD7" i="26" s="1"/>
  <c r="AD8" i="26" s="1" a="1"/>
  <c r="AD8" i="26" s="1"/>
  <c r="AD9" i="26" s="1" a="1"/>
  <c r="AD9" i="26" s="1"/>
  <c r="Z4" i="26"/>
  <c r="P3" i="24"/>
  <c r="AR8" i="70" l="1"/>
  <c r="AR9" i="70" s="1"/>
  <c r="K4" i="49"/>
  <c r="L5" i="49" s="1"/>
  <c r="AO5" i="28"/>
  <c r="AQ5" i="28" s="1"/>
  <c r="AB4" i="26"/>
  <c r="Q5" i="26"/>
  <c r="S4" i="26"/>
  <c r="O4" i="29" a="1"/>
  <c r="O4" i="29" s="1"/>
  <c r="O5" i="29" s="1" a="1"/>
  <c r="O5" i="29" s="1"/>
  <c r="P4" i="29"/>
  <c r="AB4" i="28"/>
  <c r="N5" i="26"/>
  <c r="N6" i="26" s="1"/>
  <c r="N7" i="26" s="1"/>
  <c r="N8" i="26" s="1"/>
  <c r="N9" i="26" s="1"/>
  <c r="N10" i="26" s="1"/>
  <c r="N11" i="26" s="1"/>
  <c r="N12" i="26" s="1"/>
  <c r="P4" i="26"/>
  <c r="T5" i="25"/>
  <c r="V4" i="25"/>
  <c r="AN4" i="28"/>
  <c r="AL5" i="28"/>
  <c r="T5" i="26"/>
  <c r="V5" i="26" s="1"/>
  <c r="V4" i="26"/>
  <c r="Q5" i="25"/>
  <c r="S4" i="25"/>
  <c r="AF5" i="26"/>
  <c r="AH4" i="26"/>
  <c r="AD5" i="28" a="1"/>
  <c r="AD5" i="28" s="1"/>
  <c r="Q5" i="28"/>
  <c r="S5" i="28" s="1"/>
  <c r="S4" i="28"/>
  <c r="W8" i="25"/>
  <c r="W9" i="25" s="1"/>
  <c r="W10" i="25" s="1"/>
  <c r="W11" i="25" s="1"/>
  <c r="W12" i="25" s="1"/>
  <c r="W13" i="25" s="1"/>
  <c r="Y7" i="25"/>
  <c r="AA6" i="28" a="1"/>
  <c r="AA6" i="28" s="1"/>
  <c r="AB5" i="28"/>
  <c r="AD10" i="26" a="1"/>
  <c r="AD10" i="26" s="1"/>
  <c r="AD11" i="26" s="1" a="1"/>
  <c r="AD11" i="26" s="1"/>
  <c r="AD12" i="26" s="1" a="1"/>
  <c r="AD12" i="26" s="1"/>
  <c r="X5" i="25" a="1"/>
  <c r="X5" i="25" s="1"/>
  <c r="Y5" i="25" s="1"/>
  <c r="Y4" i="25"/>
  <c r="AU7" i="70"/>
  <c r="BM9" i="70"/>
  <c r="BJ9" i="70"/>
  <c r="BG9" i="70"/>
  <c r="BD11" i="70"/>
  <c r="BA9" i="70"/>
  <c r="AX9" i="70"/>
  <c r="AO9" i="70"/>
  <c r="AL9" i="70"/>
  <c r="AI9" i="70"/>
  <c r="AF9" i="70"/>
  <c r="AC9" i="70"/>
  <c r="Z9" i="70"/>
  <c r="W9" i="70"/>
  <c r="T9" i="70"/>
  <c r="Q9" i="70"/>
  <c r="O5" i="25" a="1"/>
  <c r="O5" i="25" s="1"/>
  <c r="P5" i="25" s="1"/>
  <c r="B12" i="31"/>
  <c r="C12" i="31" s="1"/>
  <c r="D12" i="31" s="1"/>
  <c r="G12" i="31" s="1"/>
  <c r="B2" i="30"/>
  <c r="C2" i="30" s="1"/>
  <c r="D2" i="30" s="1"/>
  <c r="G2" i="30" s="1"/>
  <c r="K3" i="69"/>
  <c r="K3" i="67"/>
  <c r="K4" i="63"/>
  <c r="K3" i="63"/>
  <c r="J4" i="59"/>
  <c r="J4" i="57"/>
  <c r="L4" i="47"/>
  <c r="J4" i="47"/>
  <c r="K4" i="47"/>
  <c r="J4" i="43"/>
  <c r="K4" i="43" s="1"/>
  <c r="L5" i="43" s="1"/>
  <c r="B3" i="30" s="1"/>
  <c r="K3" i="49"/>
  <c r="AC5" i="28"/>
  <c r="AC6" i="28" s="1"/>
  <c r="AC7" i="28" s="1"/>
  <c r="AC8" i="28" s="1"/>
  <c r="R4" i="29" a="1"/>
  <c r="R4" i="29" s="1"/>
  <c r="K5" i="45"/>
  <c r="J6" i="45" s="1"/>
  <c r="J7" i="45" s="1"/>
  <c r="K3" i="41"/>
  <c r="L4" i="41" s="1"/>
  <c r="Q6" i="29"/>
  <c r="N5" i="29"/>
  <c r="G6" i="29" s="1"/>
  <c r="L6" i="29" s="1"/>
  <c r="M6" i="29" s="1"/>
  <c r="O5" i="28" a="1"/>
  <c r="O5" i="28" s="1"/>
  <c r="AF6" i="28"/>
  <c r="AH6" i="28" s="1"/>
  <c r="Z7" i="28"/>
  <c r="N6" i="28"/>
  <c r="T6" i="28"/>
  <c r="V6" i="28" s="1"/>
  <c r="AO6" i="28"/>
  <c r="AQ6" i="28" s="1"/>
  <c r="W6" i="28"/>
  <c r="Y6" i="28" s="1"/>
  <c r="AI6" i="28"/>
  <c r="AK6" i="28" s="1"/>
  <c r="Z5" i="26"/>
  <c r="AC6" i="26"/>
  <c r="AE6" i="26" s="1"/>
  <c r="W6" i="26"/>
  <c r="Y6" i="26" s="1"/>
  <c r="J5" i="49" l="1"/>
  <c r="Q6" i="28"/>
  <c r="S6" i="28" s="1"/>
  <c r="T6" i="26"/>
  <c r="V6" i="26" s="1"/>
  <c r="AE5" i="28"/>
  <c r="W14" i="25"/>
  <c r="Y13" i="25"/>
  <c r="T6" i="25"/>
  <c r="V5" i="25"/>
  <c r="AF6" i="26"/>
  <c r="AH5" i="26"/>
  <c r="AA5" i="26" a="1"/>
  <c r="AA5" i="26" s="1"/>
  <c r="AB5" i="26"/>
  <c r="AD6" i="28" a="1"/>
  <c r="AD6" i="28" s="1"/>
  <c r="AE6" i="28" s="1"/>
  <c r="Q6" i="25"/>
  <c r="S5" i="25"/>
  <c r="P5" i="29"/>
  <c r="Q6" i="26"/>
  <c r="S5" i="26"/>
  <c r="AN5" i="28"/>
  <c r="AL6" i="28"/>
  <c r="R5" i="29" a="1"/>
  <c r="R5" i="29" s="1"/>
  <c r="S5" i="29" s="1"/>
  <c r="S4" i="29"/>
  <c r="AA7" i="28" a="1"/>
  <c r="AA7" i="28" s="1"/>
  <c r="AB6" i="28"/>
  <c r="O6" i="28" a="1"/>
  <c r="O6" i="28" s="1"/>
  <c r="P6" i="28" s="1"/>
  <c r="P5" i="28"/>
  <c r="X6" i="25" a="1"/>
  <c r="X6" i="25" s="1"/>
  <c r="AU8" i="70"/>
  <c r="BM10" i="70"/>
  <c r="BJ10" i="70"/>
  <c r="BG10" i="70"/>
  <c r="BD12" i="70"/>
  <c r="BA10" i="70"/>
  <c r="AX10" i="70"/>
  <c r="AR10" i="70"/>
  <c r="AO10" i="70"/>
  <c r="AL10" i="70"/>
  <c r="AI10" i="70"/>
  <c r="AF10" i="70"/>
  <c r="AC10" i="70"/>
  <c r="Z10" i="70"/>
  <c r="W10" i="70"/>
  <c r="T10" i="70"/>
  <c r="Q10" i="70"/>
  <c r="H2" i="30"/>
  <c r="C13" i="31"/>
  <c r="C14" i="31" s="1"/>
  <c r="C15" i="31" s="1"/>
  <c r="C16" i="31" s="1"/>
  <c r="C17" i="31" s="1"/>
  <c r="C18" i="31" s="1"/>
  <c r="C19" i="31" s="1"/>
  <c r="C20" i="31" s="1"/>
  <c r="C21" i="31" s="1"/>
  <c r="C22" i="31" s="1"/>
  <c r="C23" i="31" s="1"/>
  <c r="O6" i="25" a="1"/>
  <c r="O6" i="25" s="1"/>
  <c r="P6" i="25" s="1"/>
  <c r="B11" i="30"/>
  <c r="J5" i="43"/>
  <c r="J4" i="41"/>
  <c r="J5" i="41" s="1"/>
  <c r="J6" i="41" s="1"/>
  <c r="J7" i="41" s="1"/>
  <c r="O5" i="26" a="1"/>
  <c r="O5" i="26" s="1"/>
  <c r="P5" i="26" s="1"/>
  <c r="I2" i="31"/>
  <c r="H12" i="31"/>
  <c r="C3" i="30"/>
  <c r="L6" i="45"/>
  <c r="B12" i="30" s="1"/>
  <c r="N6" i="29"/>
  <c r="Q7" i="29"/>
  <c r="N7" i="28"/>
  <c r="AI7" i="28"/>
  <c r="AK7" i="28" s="1"/>
  <c r="Z8" i="28"/>
  <c r="W7" i="28"/>
  <c r="Y7" i="28" s="1"/>
  <c r="AF7" i="28"/>
  <c r="T7" i="28"/>
  <c r="V7" i="28" s="1"/>
  <c r="AC9" i="28"/>
  <c r="AO7" i="28"/>
  <c r="AQ7" i="28" s="1"/>
  <c r="W7" i="26"/>
  <c r="Y7" i="26" s="1"/>
  <c r="AC7" i="26"/>
  <c r="AE7" i="26" s="1"/>
  <c r="Z6" i="26"/>
  <c r="T7" i="26"/>
  <c r="V7" i="26" s="1"/>
  <c r="K5" i="49" l="1"/>
  <c r="Q7" i="28"/>
  <c r="S7" i="28" s="1"/>
  <c r="AD7" i="28" a="1"/>
  <c r="AD7" i="28" s="1"/>
  <c r="AE7" i="28" s="1"/>
  <c r="AG7" i="28" a="1"/>
  <c r="AG7" i="28" s="1"/>
  <c r="AH7" i="28" s="1"/>
  <c r="O6" i="29" a="1"/>
  <c r="O6" i="29" s="1"/>
  <c r="O7" i="29" s="1" a="1"/>
  <c r="O7" i="29" s="1"/>
  <c r="O8" i="29" s="1" a="1"/>
  <c r="O8" i="29" s="1"/>
  <c r="P6" i="29"/>
  <c r="Q7" i="25"/>
  <c r="S6" i="25"/>
  <c r="AN6" i="28"/>
  <c r="AL7" i="28"/>
  <c r="AF7" i="26"/>
  <c r="AF8" i="26" s="1"/>
  <c r="AH6" i="26"/>
  <c r="T7" i="25"/>
  <c r="V6" i="25"/>
  <c r="Q7" i="26"/>
  <c r="S6" i="26"/>
  <c r="W15" i="25"/>
  <c r="W16" i="25" s="1"/>
  <c r="W17" i="25" s="1"/>
  <c r="W18" i="25" s="1"/>
  <c r="W19" i="25" s="1"/>
  <c r="W20" i="25" s="1"/>
  <c r="Y14" i="25"/>
  <c r="AA8" i="28" a="1"/>
  <c r="AA8" i="28" s="1"/>
  <c r="AB7" i="28"/>
  <c r="X7" i="25" a="1"/>
  <c r="X7" i="25" s="1"/>
  <c r="Y6" i="25"/>
  <c r="O6" i="26" a="1"/>
  <c r="O6" i="26" s="1"/>
  <c r="P6" i="26" s="1"/>
  <c r="O7" i="25" a="1"/>
  <c r="O7" i="25" s="1"/>
  <c r="AU9" i="70"/>
  <c r="BM11" i="70"/>
  <c r="BJ11" i="70"/>
  <c r="BG11" i="70"/>
  <c r="BD13" i="70"/>
  <c r="BA11" i="70"/>
  <c r="AX11" i="70"/>
  <c r="AR11" i="70"/>
  <c r="AO11" i="70"/>
  <c r="AL11" i="70"/>
  <c r="AI11" i="70"/>
  <c r="AF11" i="70"/>
  <c r="AC11" i="70"/>
  <c r="Z11" i="70"/>
  <c r="W11" i="70"/>
  <c r="T11" i="70"/>
  <c r="Q11" i="70"/>
  <c r="K6" i="45"/>
  <c r="AA6" i="26" a="1"/>
  <c r="AA6" i="26" s="1"/>
  <c r="AB6" i="26" s="1"/>
  <c r="O7" i="28" a="1"/>
  <c r="O7" i="28" s="1"/>
  <c r="P7" i="28" s="1"/>
  <c r="R6" i="29" a="1"/>
  <c r="R6" i="29" s="1"/>
  <c r="D3" i="30"/>
  <c r="K7" i="45"/>
  <c r="K5" i="41"/>
  <c r="K5" i="43"/>
  <c r="L6" i="43" s="1"/>
  <c r="B7" i="30" s="1"/>
  <c r="Q8" i="29"/>
  <c r="N7" i="29"/>
  <c r="P7" i="29" s="1"/>
  <c r="AD8" i="28" a="1"/>
  <c r="AD8" i="28" s="1"/>
  <c r="AE8" i="28" s="1"/>
  <c r="W8" i="28"/>
  <c r="Y8" i="28" s="1"/>
  <c r="Q8" i="28"/>
  <c r="S8" i="28" s="1"/>
  <c r="Z9" i="28"/>
  <c r="AC10" i="28"/>
  <c r="AO8" i="28"/>
  <c r="AQ8" i="28" s="1"/>
  <c r="AI8" i="28"/>
  <c r="AK8" i="28" s="1"/>
  <c r="T8" i="28"/>
  <c r="V8" i="28" s="1"/>
  <c r="AF8" i="28"/>
  <c r="N8" i="28"/>
  <c r="Z7" i="26"/>
  <c r="AB7" i="26" s="1"/>
  <c r="T8" i="26"/>
  <c r="V8" i="26" s="1"/>
  <c r="AC8" i="26"/>
  <c r="AE8" i="26" s="1"/>
  <c r="W8" i="26"/>
  <c r="Y8" i="26" s="1"/>
  <c r="Q8" i="26" l="1"/>
  <c r="S7" i="26"/>
  <c r="T8" i="25"/>
  <c r="V7" i="25"/>
  <c r="AF9" i="26"/>
  <c r="AH8" i="26"/>
  <c r="AN7" i="28"/>
  <c r="AL8" i="28"/>
  <c r="Q8" i="25"/>
  <c r="S7" i="25"/>
  <c r="R7" i="29" a="1"/>
  <c r="R7" i="29" s="1"/>
  <c r="S6" i="29"/>
  <c r="AA9" i="28" a="1"/>
  <c r="AA9" i="28" s="1"/>
  <c r="AB8" i="28"/>
  <c r="X8" i="25" a="1"/>
  <c r="X8" i="25" s="1"/>
  <c r="Y8" i="25" s="1"/>
  <c r="P7" i="25"/>
  <c r="O7" i="26" a="1"/>
  <c r="O7" i="26" s="1"/>
  <c r="P7" i="26" s="1"/>
  <c r="O8" i="25" a="1"/>
  <c r="O8" i="25" s="1"/>
  <c r="P8" i="25" s="1"/>
  <c r="AU10" i="70"/>
  <c r="BM12" i="70"/>
  <c r="BJ12" i="70"/>
  <c r="BG12" i="70"/>
  <c r="BD14" i="70"/>
  <c r="BA12" i="70"/>
  <c r="AX12" i="70"/>
  <c r="AR12" i="70"/>
  <c r="AO12" i="70"/>
  <c r="AL12" i="70"/>
  <c r="AI12" i="70"/>
  <c r="AF12" i="70"/>
  <c r="AC12" i="70"/>
  <c r="Z12" i="70"/>
  <c r="W12" i="70"/>
  <c r="T12" i="70"/>
  <c r="Q12" i="70"/>
  <c r="L8" i="45"/>
  <c r="J8" i="45"/>
  <c r="K8" i="45" s="1"/>
  <c r="L9" i="45" s="1"/>
  <c r="J6" i="43"/>
  <c r="J7" i="43" s="1"/>
  <c r="AA7" i="26" a="1"/>
  <c r="AA7" i="26" s="1"/>
  <c r="AG7" i="26" a="1"/>
  <c r="AG7" i="26" s="1"/>
  <c r="G3" i="30"/>
  <c r="H3" i="30" s="1"/>
  <c r="C4" i="30"/>
  <c r="C5" i="30" s="1"/>
  <c r="C6" i="30" s="1"/>
  <c r="C7" i="30" s="1"/>
  <c r="K7" i="41"/>
  <c r="K6" i="41"/>
  <c r="N8" i="29"/>
  <c r="P8" i="29" s="1"/>
  <c r="Q9" i="29"/>
  <c r="Z10" i="28"/>
  <c r="AF9" i="28"/>
  <c r="AC11" i="28"/>
  <c r="Q9" i="28"/>
  <c r="S9" i="28" s="1"/>
  <c r="W9" i="28"/>
  <c r="Y9" i="28" s="1"/>
  <c r="T9" i="28"/>
  <c r="V9" i="28" s="1"/>
  <c r="N9" i="28"/>
  <c r="AI9" i="28"/>
  <c r="AK9" i="28" s="1"/>
  <c r="AD9" i="28" a="1"/>
  <c r="AD9" i="28" s="1"/>
  <c r="AE9" i="28" s="1"/>
  <c r="O8" i="28" a="1"/>
  <c r="O8" i="28" s="1"/>
  <c r="AO9" i="28"/>
  <c r="AQ9" i="28" s="1"/>
  <c r="AG8" i="28" a="1"/>
  <c r="AG8" i="28" s="1"/>
  <c r="T9" i="26"/>
  <c r="V9" i="26" s="1"/>
  <c r="AC9" i="26"/>
  <c r="AE9" i="26" s="1"/>
  <c r="Z8" i="26"/>
  <c r="W9" i="26"/>
  <c r="Y9" i="26" s="1"/>
  <c r="Q10" i="29" l="1"/>
  <c r="Q11" i="29" s="1"/>
  <c r="Q9" i="25"/>
  <c r="S8" i="25"/>
  <c r="AN8" i="28"/>
  <c r="AL9" i="28"/>
  <c r="AF10" i="26"/>
  <c r="AH9" i="26"/>
  <c r="T9" i="25"/>
  <c r="V8" i="25"/>
  <c r="Q9" i="26"/>
  <c r="S8" i="26"/>
  <c r="R8" i="29" a="1"/>
  <c r="R8" i="29" s="1"/>
  <c r="S8" i="29" s="1"/>
  <c r="S7" i="29"/>
  <c r="AG9" i="28" a="1"/>
  <c r="AG9" i="28" s="1"/>
  <c r="AH8" i="28"/>
  <c r="AA10" i="28" a="1"/>
  <c r="AA10" i="28" s="1"/>
  <c r="AB9" i="28"/>
  <c r="O9" i="28" a="1"/>
  <c r="O9" i="28" s="1"/>
  <c r="P9" i="28" s="1"/>
  <c r="P8" i="28"/>
  <c r="AG8" i="26" a="1"/>
  <c r="AG8" i="26" s="1"/>
  <c r="AG9" i="26" s="1" a="1"/>
  <c r="AG9" i="26" s="1"/>
  <c r="AG10" i="26" s="1" a="1"/>
  <c r="AG10" i="26" s="1"/>
  <c r="AG11" i="26" s="1" a="1"/>
  <c r="AG11" i="26" s="1"/>
  <c r="AG12" i="26" s="1" a="1"/>
  <c r="AG12" i="26" s="1"/>
  <c r="AH7" i="26"/>
  <c r="X9" i="25" a="1"/>
  <c r="X9" i="25" s="1"/>
  <c r="Y9" i="25" s="1"/>
  <c r="O8" i="26" a="1"/>
  <c r="O8" i="26" s="1"/>
  <c r="P8" i="26" s="1"/>
  <c r="O9" i="25" a="1"/>
  <c r="O9" i="25" s="1"/>
  <c r="P9" i="25" s="1"/>
  <c r="AU11" i="70"/>
  <c r="BM13" i="70"/>
  <c r="BJ13" i="70"/>
  <c r="BG13" i="70"/>
  <c r="BD15" i="70"/>
  <c r="BA13" i="70"/>
  <c r="AX13" i="70"/>
  <c r="AR13" i="70"/>
  <c r="AO13" i="70"/>
  <c r="AL13" i="70"/>
  <c r="AI13" i="70"/>
  <c r="AF13" i="70"/>
  <c r="AC13" i="70"/>
  <c r="Z13" i="70"/>
  <c r="W13" i="70"/>
  <c r="T13" i="70"/>
  <c r="Q13" i="70"/>
  <c r="J9" i="45"/>
  <c r="J10" i="45" s="1"/>
  <c r="K6" i="43"/>
  <c r="AA8" i="26" a="1"/>
  <c r="AA8" i="26" s="1"/>
  <c r="D7" i="30"/>
  <c r="C8" i="30" s="1"/>
  <c r="C9" i="30" s="1"/>
  <c r="C10" i="30" s="1"/>
  <c r="C11" i="30" s="1"/>
  <c r="K7" i="43"/>
  <c r="L8" i="43" s="1"/>
  <c r="B13" i="30" s="1"/>
  <c r="G9" i="29"/>
  <c r="L9" i="29" s="1"/>
  <c r="M9" i="29" s="1"/>
  <c r="M12" i="29" s="1"/>
  <c r="AO10" i="28"/>
  <c r="AQ10" i="28" s="1"/>
  <c r="Q10" i="28"/>
  <c r="S10" i="28" s="1"/>
  <c r="AD10" i="28" a="1"/>
  <c r="AD10" i="28" s="1"/>
  <c r="AE10" i="28" s="1"/>
  <c r="AI10" i="28"/>
  <c r="AK10" i="28" s="1"/>
  <c r="AC12" i="28"/>
  <c r="N10" i="28"/>
  <c r="U10" i="28" s="1" a="1"/>
  <c r="U10" i="28" s="1"/>
  <c r="AF10" i="28"/>
  <c r="T10" i="28"/>
  <c r="W10" i="28"/>
  <c r="Y10" i="28" s="1"/>
  <c r="Z11" i="28"/>
  <c r="AC10" i="26"/>
  <c r="AC11" i="26" s="1"/>
  <c r="Z9" i="26"/>
  <c r="T10" i="26"/>
  <c r="W10" i="26"/>
  <c r="E3" i="19" l="1" a="1"/>
  <c r="E3" i="19" s="1"/>
  <c r="AE11" i="26"/>
  <c r="AC12" i="26"/>
  <c r="AE12" i="26" s="1"/>
  <c r="Y10" i="26"/>
  <c r="W11" i="26"/>
  <c r="V10" i="26"/>
  <c r="T11" i="26"/>
  <c r="AH10" i="26"/>
  <c r="AF11" i="26"/>
  <c r="Q10" i="26"/>
  <c r="S9" i="26"/>
  <c r="T10" i="25"/>
  <c r="V9" i="25"/>
  <c r="AN9" i="28"/>
  <c r="AL10" i="28"/>
  <c r="AE10" i="26"/>
  <c r="Q10" i="25"/>
  <c r="S9" i="25"/>
  <c r="AG10" i="28" a="1"/>
  <c r="AG10" i="28" s="1"/>
  <c r="AH9" i="28"/>
  <c r="AA11" i="28" a="1"/>
  <c r="AA11" i="28" s="1"/>
  <c r="AB10" i="28"/>
  <c r="U11" i="28" a="1"/>
  <c r="U11" i="28" s="1"/>
  <c r="V10" i="28"/>
  <c r="AA9" i="26" a="1"/>
  <c r="AA9" i="26" s="1"/>
  <c r="AB8" i="26"/>
  <c r="X10" i="25" a="1"/>
  <c r="X10" i="25" s="1"/>
  <c r="O9" i="26" a="1"/>
  <c r="O9" i="26" s="1"/>
  <c r="P9" i="26" s="1"/>
  <c r="O10" i="25" a="1"/>
  <c r="O10" i="25" s="1"/>
  <c r="P10" i="25" s="1"/>
  <c r="AU12" i="70"/>
  <c r="BM14" i="70"/>
  <c r="BJ14" i="70"/>
  <c r="BG14" i="70"/>
  <c r="BD16" i="70"/>
  <c r="BA14" i="70"/>
  <c r="AX14" i="70"/>
  <c r="AR14" i="70"/>
  <c r="AO14" i="70"/>
  <c r="AL14" i="70"/>
  <c r="AI14" i="70"/>
  <c r="AF14" i="70"/>
  <c r="AC14" i="70"/>
  <c r="Z14" i="70"/>
  <c r="W14" i="70"/>
  <c r="T14" i="70"/>
  <c r="Q14" i="70"/>
  <c r="E2" i="7" a="1"/>
  <c r="E2" i="7" s="1"/>
  <c r="J8" i="43"/>
  <c r="J9" i="43" s="1"/>
  <c r="N9" i="29"/>
  <c r="N10" i="29" s="1"/>
  <c r="D11" i="30"/>
  <c r="G11" i="30" s="1"/>
  <c r="H11" i="30" s="1"/>
  <c r="G7" i="30"/>
  <c r="H7" i="30" s="1"/>
  <c r="K9" i="45"/>
  <c r="K10" i="45"/>
  <c r="W11" i="28"/>
  <c r="Y11" i="28" s="1"/>
  <c r="AD11" i="28" a="1"/>
  <c r="AD11" i="28" s="1"/>
  <c r="AE11" i="28" s="1"/>
  <c r="O10" i="28" a="1"/>
  <c r="O10" i="28" s="1"/>
  <c r="P10" i="28" s="1"/>
  <c r="AF11" i="28"/>
  <c r="T11" i="28"/>
  <c r="Q11" i="28"/>
  <c r="S11" i="28" s="1"/>
  <c r="N11" i="28"/>
  <c r="AJ11" i="28" s="1" a="1"/>
  <c r="AJ11" i="28" s="1"/>
  <c r="Z12" i="28"/>
  <c r="AO11" i="28"/>
  <c r="AQ11" i="28" s="1"/>
  <c r="AI11" i="28"/>
  <c r="AC13" i="28"/>
  <c r="Z10" i="26"/>
  <c r="N11" i="29" l="1"/>
  <c r="AH11" i="26"/>
  <c r="AF12" i="26"/>
  <c r="AH12" i="26" s="1"/>
  <c r="V11" i="26"/>
  <c r="T12" i="26"/>
  <c r="V12" i="26" s="1"/>
  <c r="Y11" i="26"/>
  <c r="W12" i="26"/>
  <c r="Y12" i="26" s="1"/>
  <c r="E4" i="7" a="1"/>
  <c r="E4" i="7" s="1"/>
  <c r="Z11" i="26"/>
  <c r="Z12" i="26" s="1"/>
  <c r="S10" i="26"/>
  <c r="Q11" i="26"/>
  <c r="Q11" i="25"/>
  <c r="S10" i="25"/>
  <c r="AN10" i="28"/>
  <c r="AL11" i="28"/>
  <c r="T11" i="25"/>
  <c r="T12" i="25" s="1"/>
  <c r="T13" i="25" s="1"/>
  <c r="T14" i="25" s="1"/>
  <c r="T15" i="25" s="1"/>
  <c r="T16" i="25" s="1"/>
  <c r="T17" i="25" s="1"/>
  <c r="T18" i="25" s="1"/>
  <c r="T19" i="25" s="1"/>
  <c r="T20" i="25" s="1"/>
  <c r="V10" i="25"/>
  <c r="O9" i="29" a="1"/>
  <c r="O9" i="29" s="1"/>
  <c r="O10" i="29" s="1" a="1"/>
  <c r="O10" i="29" s="1"/>
  <c r="O11" i="29" s="1" a="1"/>
  <c r="O11" i="29" s="1"/>
  <c r="P9" i="29"/>
  <c r="AJ12" i="28" a="1"/>
  <c r="AJ12" i="28" s="1"/>
  <c r="AK11" i="28"/>
  <c r="AG11" i="28" a="1"/>
  <c r="AG11" i="28" s="1"/>
  <c r="AH10" i="28"/>
  <c r="AA12" i="28" a="1"/>
  <c r="AA12" i="28" s="1"/>
  <c r="AB12" i="28" s="1"/>
  <c r="AB11" i="28"/>
  <c r="U12" i="28" a="1"/>
  <c r="U12" i="28" s="1"/>
  <c r="V11" i="28"/>
  <c r="AA10" i="26" a="1"/>
  <c r="AA10" i="26" s="1"/>
  <c r="AB9" i="26"/>
  <c r="X11" i="25" a="1"/>
  <c r="X11" i="25" s="1"/>
  <c r="Y11" i="25" s="1"/>
  <c r="Y10" i="25"/>
  <c r="O10" i="26" a="1"/>
  <c r="O10" i="26" s="1"/>
  <c r="U11" i="25" a="1"/>
  <c r="U11" i="25" s="1"/>
  <c r="V11" i="25" s="1"/>
  <c r="O11" i="25" a="1"/>
  <c r="O11" i="25" s="1"/>
  <c r="P11" i="25" s="1"/>
  <c r="AU13" i="70"/>
  <c r="BM15" i="70"/>
  <c r="BJ15" i="70"/>
  <c r="BG15" i="70"/>
  <c r="BD17" i="70"/>
  <c r="BA15" i="70"/>
  <c r="AX15" i="70"/>
  <c r="AR15" i="70"/>
  <c r="AO15" i="70"/>
  <c r="AL15" i="70"/>
  <c r="AI15" i="70"/>
  <c r="AF15" i="70"/>
  <c r="AC15" i="70"/>
  <c r="Z15" i="70"/>
  <c r="W15" i="70"/>
  <c r="T15" i="70"/>
  <c r="Q15" i="70"/>
  <c r="K8" i="43"/>
  <c r="C12" i="30"/>
  <c r="D12" i="30" s="1"/>
  <c r="G12" i="30" s="1"/>
  <c r="H12" i="30" s="1"/>
  <c r="R9" i="29" a="1"/>
  <c r="R9" i="29" s="1"/>
  <c r="K9" i="43"/>
  <c r="L10" i="43" s="1"/>
  <c r="T12" i="28"/>
  <c r="AO12" i="28"/>
  <c r="AQ12" i="28" s="1"/>
  <c r="AI12" i="28"/>
  <c r="AF12" i="28"/>
  <c r="Z13" i="28"/>
  <c r="O11" i="28" a="1"/>
  <c r="O11" i="28" s="1"/>
  <c r="P11" i="28" s="1"/>
  <c r="AC14" i="28"/>
  <c r="Q12" i="28"/>
  <c r="S12" i="28" s="1"/>
  <c r="AD12" i="28" a="1"/>
  <c r="AD12" i="28" s="1"/>
  <c r="AE12" i="28" s="1"/>
  <c r="W12" i="28"/>
  <c r="N12" i="28"/>
  <c r="P11" i="29" l="1"/>
  <c r="P10" i="29"/>
  <c r="S9" i="29"/>
  <c r="R10" i="29" a="1"/>
  <c r="R10" i="29" s="1"/>
  <c r="X12" i="25" a="1"/>
  <c r="X12" i="25" s="1"/>
  <c r="Y12" i="25" s="1"/>
  <c r="S11" i="26"/>
  <c r="Q12" i="26"/>
  <c r="S12" i="26" s="1"/>
  <c r="P10" i="26"/>
  <c r="O11" i="26" a="1"/>
  <c r="O11" i="26" s="1"/>
  <c r="AB10" i="26"/>
  <c r="AA11" i="26" a="1"/>
  <c r="AA11" i="26" s="1"/>
  <c r="E3" i="7" a="1"/>
  <c r="E3" i="7" s="1"/>
  <c r="AN11" i="28"/>
  <c r="AL12" i="28"/>
  <c r="Q12" i="25"/>
  <c r="S11" i="25"/>
  <c r="AJ13" i="28" a="1"/>
  <c r="AJ13" i="28" s="1"/>
  <c r="AK12" i="28"/>
  <c r="AG12" i="28" a="1"/>
  <c r="AG12" i="28" s="1"/>
  <c r="AH11" i="28"/>
  <c r="U13" i="28" a="1"/>
  <c r="U13" i="28" s="1"/>
  <c r="V12" i="28"/>
  <c r="U12" i="25" a="1"/>
  <c r="U12" i="25" s="1"/>
  <c r="V12" i="25" s="1"/>
  <c r="O12" i="25" a="1"/>
  <c r="O12" i="25" s="1"/>
  <c r="P12" i="25" s="1"/>
  <c r="AU14" i="70"/>
  <c r="BM16" i="70"/>
  <c r="BJ16" i="70"/>
  <c r="BG16" i="70"/>
  <c r="BD18" i="70"/>
  <c r="BA16" i="70"/>
  <c r="AX16" i="70"/>
  <c r="AR16" i="70"/>
  <c r="AO16" i="70"/>
  <c r="AL16" i="70"/>
  <c r="AI16" i="70"/>
  <c r="AF16" i="70"/>
  <c r="AC16" i="70"/>
  <c r="Z16" i="70"/>
  <c r="W16" i="70"/>
  <c r="T16" i="70"/>
  <c r="Q16" i="70"/>
  <c r="J10" i="43"/>
  <c r="X13" i="25" a="1"/>
  <c r="X13" i="25" s="1"/>
  <c r="X14" i="25" s="1" a="1"/>
  <c r="X14" i="25" s="1"/>
  <c r="C13" i="30"/>
  <c r="K10" i="43"/>
  <c r="O12" i="28" a="1"/>
  <c r="O12" i="28" s="1"/>
  <c r="P12" i="28" s="1"/>
  <c r="AF13" i="28"/>
  <c r="AD13" i="28" a="1"/>
  <c r="AD13" i="28" s="1"/>
  <c r="AE13" i="28" s="1"/>
  <c r="AI13" i="28"/>
  <c r="W13" i="28"/>
  <c r="Q13" i="28"/>
  <c r="S13" i="28" s="1"/>
  <c r="Z14" i="28"/>
  <c r="AO13" i="28"/>
  <c r="AQ13" i="28" s="1"/>
  <c r="T13" i="28"/>
  <c r="N13" i="28"/>
  <c r="AC15" i="28"/>
  <c r="X12" i="28" a="1"/>
  <c r="X12" i="28" s="1"/>
  <c r="S10" i="29" l="1"/>
  <c r="R11" i="29" a="1"/>
  <c r="R11" i="29" s="1"/>
  <c r="S11" i="29" s="1"/>
  <c r="AB11" i="26"/>
  <c r="AA12" i="26" a="1"/>
  <c r="AA12" i="26" s="1"/>
  <c r="AB12" i="26" s="1"/>
  <c r="P11" i="26"/>
  <c r="O12" i="26" a="1"/>
  <c r="O12" i="26" s="1"/>
  <c r="P12" i="26" s="1"/>
  <c r="Q13" i="25"/>
  <c r="S12" i="25"/>
  <c r="AN12" i="28"/>
  <c r="AL13" i="28"/>
  <c r="AJ14" i="28" a="1"/>
  <c r="AJ14" i="28" s="1"/>
  <c r="AK13" i="28"/>
  <c r="AG13" i="28" a="1"/>
  <c r="AG13" i="28" s="1"/>
  <c r="AH12" i="28"/>
  <c r="X13" i="28" a="1"/>
  <c r="X13" i="28" s="1"/>
  <c r="Y12" i="28"/>
  <c r="U14" i="28" a="1"/>
  <c r="U14" i="28" s="1"/>
  <c r="V13" i="28"/>
  <c r="U13" i="25" a="1"/>
  <c r="U13" i="25" s="1"/>
  <c r="V13" i="25" s="1"/>
  <c r="O13" i="25" a="1"/>
  <c r="O13" i="25" s="1"/>
  <c r="P13" i="25" s="1"/>
  <c r="AU15" i="70"/>
  <c r="BM17" i="70"/>
  <c r="BJ17" i="70"/>
  <c r="BG17" i="70"/>
  <c r="BD19" i="70"/>
  <c r="BA17" i="70"/>
  <c r="AX17" i="70"/>
  <c r="AR17" i="70"/>
  <c r="AO17" i="70"/>
  <c r="AL17" i="70"/>
  <c r="AI17" i="70"/>
  <c r="AF17" i="70"/>
  <c r="AC17" i="70"/>
  <c r="Z17" i="70"/>
  <c r="W17" i="70"/>
  <c r="T17" i="70"/>
  <c r="Q17" i="70"/>
  <c r="D13" i="30"/>
  <c r="C14" i="30" s="1"/>
  <c r="Q14" i="28"/>
  <c r="W14" i="28"/>
  <c r="N14" i="28"/>
  <c r="AC16" i="28"/>
  <c r="AI14" i="28"/>
  <c r="AA13" i="28" a="1"/>
  <c r="AA13" i="28" s="1"/>
  <c r="AB13" i="28" s="1"/>
  <c r="AD14" i="28" a="1"/>
  <c r="AD14" i="28" s="1"/>
  <c r="AE14" i="28" s="1"/>
  <c r="T14" i="28"/>
  <c r="Z15" i="28"/>
  <c r="AO14" i="28"/>
  <c r="AF14" i="28"/>
  <c r="O13" i="28" a="1"/>
  <c r="O13" i="28" s="1"/>
  <c r="P13" i="28" s="1"/>
  <c r="C15" i="30" l="1"/>
  <c r="C16" i="30" s="1"/>
  <c r="D14" i="30"/>
  <c r="AM14" i="28" a="1"/>
  <c r="AM14" i="28" s="1"/>
  <c r="S14" i="28"/>
  <c r="AQ14" i="28"/>
  <c r="AN13" i="28"/>
  <c r="AL14" i="28"/>
  <c r="Q14" i="25"/>
  <c r="S13" i="25"/>
  <c r="AJ15" i="28" a="1"/>
  <c r="AJ15" i="28" s="1"/>
  <c r="AK14" i="28"/>
  <c r="AG14" i="28" a="1"/>
  <c r="AG14" i="28" s="1"/>
  <c r="AH13" i="28"/>
  <c r="X14" i="28" a="1"/>
  <c r="X14" i="28" s="1"/>
  <c r="Y13" i="28"/>
  <c r="U15" i="28" a="1"/>
  <c r="U15" i="28" s="1"/>
  <c r="V14" i="28"/>
  <c r="O14" i="25" a="1"/>
  <c r="O14" i="25" s="1"/>
  <c r="P14" i="25" s="1"/>
  <c r="U14" i="25" a="1"/>
  <c r="U14" i="25" s="1"/>
  <c r="V14" i="25" s="1"/>
  <c r="AU16" i="70"/>
  <c r="BM18" i="70"/>
  <c r="BJ18" i="70"/>
  <c r="BG18" i="70"/>
  <c r="BD20" i="70"/>
  <c r="BA18" i="70"/>
  <c r="AX18" i="70"/>
  <c r="AR18" i="70"/>
  <c r="AO18" i="70"/>
  <c r="AL18" i="70"/>
  <c r="AI18" i="70"/>
  <c r="AF18" i="70"/>
  <c r="AC18" i="70"/>
  <c r="Z18" i="70"/>
  <c r="W18" i="70"/>
  <c r="T18" i="70"/>
  <c r="Q18" i="70"/>
  <c r="O14" i="28" a="1"/>
  <c r="O14" i="28" s="1"/>
  <c r="G13" i="30"/>
  <c r="AF15" i="28"/>
  <c r="AC17" i="28"/>
  <c r="AI15" i="28"/>
  <c r="T15" i="28"/>
  <c r="N15" i="28"/>
  <c r="Z16" i="28"/>
  <c r="AO15" i="28"/>
  <c r="AQ15" i="28" s="1"/>
  <c r="AD15" i="28" a="1"/>
  <c r="AD15" i="28" s="1"/>
  <c r="AE15" i="28" s="1"/>
  <c r="W15" i="28"/>
  <c r="AA14" i="28" a="1"/>
  <c r="AA14" i="28" s="1"/>
  <c r="AB14" i="28" s="1"/>
  <c r="Q15" i="28"/>
  <c r="S15" i="28" s="1"/>
  <c r="D16" i="30" l="1"/>
  <c r="G16" i="30" s="1"/>
  <c r="H16" i="30" s="1"/>
  <c r="G14" i="30"/>
  <c r="X15" i="25" a="1"/>
  <c r="X15" i="25" s="1"/>
  <c r="Y15" i="25" s="1"/>
  <c r="AL15" i="28"/>
  <c r="AL16" i="28" s="1"/>
  <c r="AL17" i="28" s="1"/>
  <c r="AK15" i="28"/>
  <c r="AN14" i="28"/>
  <c r="Q15" i="25"/>
  <c r="S14" i="25"/>
  <c r="AG15" i="28" a="1"/>
  <c r="AG15" i="28" s="1"/>
  <c r="AH14" i="28"/>
  <c r="X15" i="28" a="1"/>
  <c r="X15" i="28" s="1"/>
  <c r="Y14" i="28"/>
  <c r="U16" i="28" a="1"/>
  <c r="U16" i="28" s="1"/>
  <c r="V15" i="28"/>
  <c r="P14" i="28"/>
  <c r="U15" i="25" a="1"/>
  <c r="U15" i="25" s="1"/>
  <c r="V15" i="25" s="1"/>
  <c r="O15" i="25" a="1"/>
  <c r="O15" i="25" s="1"/>
  <c r="P15" i="25" s="1"/>
  <c r="AU17" i="70"/>
  <c r="BM19" i="70"/>
  <c r="BJ19" i="70"/>
  <c r="BG19" i="70"/>
  <c r="BD21" i="70"/>
  <c r="BA19" i="70"/>
  <c r="AX19" i="70"/>
  <c r="AR19" i="70"/>
  <c r="AO19" i="70"/>
  <c r="AL19" i="70"/>
  <c r="AI19" i="70"/>
  <c r="AF19" i="70"/>
  <c r="AC19" i="70"/>
  <c r="Z19" i="70"/>
  <c r="W19" i="70"/>
  <c r="T19" i="70"/>
  <c r="Q19" i="70"/>
  <c r="H13" i="30"/>
  <c r="T16" i="28"/>
  <c r="W16" i="28"/>
  <c r="N16" i="28"/>
  <c r="AI16" i="28"/>
  <c r="AJ16" i="28" s="1" a="1"/>
  <c r="AJ16" i="28" s="1"/>
  <c r="AK16" i="28" s="1"/>
  <c r="AA15" i="28" a="1"/>
  <c r="AA15" i="28" s="1"/>
  <c r="AB15" i="28" s="1"/>
  <c r="AD16" i="28" a="1"/>
  <c r="AD16" i="28" s="1"/>
  <c r="AE16" i="28" s="1"/>
  <c r="AC18" i="28"/>
  <c r="Q16" i="28"/>
  <c r="S16" i="28" s="1"/>
  <c r="AF16" i="28"/>
  <c r="AO16" i="28"/>
  <c r="AQ16" i="28" s="1"/>
  <c r="Z17" i="28"/>
  <c r="I2" i="30" l="1"/>
  <c r="C17" i="30"/>
  <c r="C18" i="30" s="1"/>
  <c r="C19" i="30" s="1"/>
  <c r="C20" i="30" s="1"/>
  <c r="C21" i="30" s="1"/>
  <c r="C22" i="30" s="1"/>
  <c r="C23" i="30" s="1"/>
  <c r="H14" i="30"/>
  <c r="X16" i="25" a="1"/>
  <c r="X16" i="25" s="1"/>
  <c r="Y16" i="25" s="1"/>
  <c r="O15" i="28" a="1"/>
  <c r="O15" i="28" s="1"/>
  <c r="P15" i="28" s="1"/>
  <c r="AM15" i="28" a="1"/>
  <c r="AM15" i="28" s="1"/>
  <c r="AM16" i="28" s="1" a="1"/>
  <c r="AM16" i="28" s="1"/>
  <c r="AM17" i="28" s="1" a="1"/>
  <c r="AM17" i="28" s="1"/>
  <c r="V16" i="28"/>
  <c r="Q16" i="25"/>
  <c r="S15" i="25"/>
  <c r="AG16" i="28" a="1"/>
  <c r="AG16" i="28" s="1"/>
  <c r="AH15" i="28"/>
  <c r="X16" i="28" a="1"/>
  <c r="X16" i="28" s="1"/>
  <c r="Y15" i="28"/>
  <c r="U16" i="25" a="1"/>
  <c r="U16" i="25" s="1"/>
  <c r="V16" i="25" s="1"/>
  <c r="O16" i="25" a="1"/>
  <c r="O16" i="25" s="1"/>
  <c r="P16" i="25" s="1"/>
  <c r="AU18" i="70"/>
  <c r="BM20" i="70"/>
  <c r="BJ20" i="70"/>
  <c r="BG20" i="70"/>
  <c r="BD22" i="70"/>
  <c r="BA20" i="70"/>
  <c r="AX20" i="70"/>
  <c r="AR20" i="70"/>
  <c r="AO20" i="70"/>
  <c r="AL20" i="70"/>
  <c r="AI20" i="70"/>
  <c r="AF20" i="70"/>
  <c r="AC20" i="70"/>
  <c r="Z20" i="70"/>
  <c r="W20" i="70"/>
  <c r="T20" i="70"/>
  <c r="Q20" i="70"/>
  <c r="AO17" i="28"/>
  <c r="AQ17" i="28" s="1"/>
  <c r="AA16" i="28" a="1"/>
  <c r="AA16" i="28" s="1"/>
  <c r="AB16" i="28" s="1"/>
  <c r="Q17" i="28"/>
  <c r="S17" i="28" s="1"/>
  <c r="AI17" i="28"/>
  <c r="N17" i="28"/>
  <c r="AD17" i="28" a="1"/>
  <c r="AD17" i="28" s="1"/>
  <c r="AE17" i="28" s="1"/>
  <c r="AL18" i="28"/>
  <c r="Z18" i="28"/>
  <c r="W17" i="28"/>
  <c r="AC19" i="28"/>
  <c r="AF17" i="28"/>
  <c r="T17" i="28"/>
  <c r="U17" i="28" s="1" a="1"/>
  <c r="U17" i="28" s="1"/>
  <c r="E3" i="5" a="1"/>
  <c r="E3" i="5" s="1"/>
  <c r="X17" i="25" a="1"/>
  <c r="X17" i="25" s="1"/>
  <c r="O16" i="28" l="1" a="1"/>
  <c r="O16" i="28" s="1"/>
  <c r="O17" i="28" s="1" a="1"/>
  <c r="O17" i="28" s="1"/>
  <c r="P17" i="28" s="1"/>
  <c r="AN16" i="28"/>
  <c r="AN15" i="28"/>
  <c r="Q17" i="25"/>
  <c r="S16" i="25"/>
  <c r="AM18" i="28" a="1"/>
  <c r="AM18" i="28" s="1"/>
  <c r="AN17" i="28"/>
  <c r="AG17" i="28" a="1"/>
  <c r="AG17" i="28" s="1"/>
  <c r="AH16" i="28"/>
  <c r="X17" i="28" a="1"/>
  <c r="X17" i="28" s="1"/>
  <c r="Y16" i="28"/>
  <c r="U18" i="28" a="1"/>
  <c r="U18" i="28" s="1"/>
  <c r="V17" i="28"/>
  <c r="X18" i="25" a="1"/>
  <c r="X18" i="25" s="1"/>
  <c r="Y18" i="25" s="1"/>
  <c r="Y17" i="25"/>
  <c r="U17" i="25" a="1"/>
  <c r="U17" i="25" s="1"/>
  <c r="V17" i="25" s="1"/>
  <c r="O17" i="25" a="1"/>
  <c r="O17" i="25" s="1"/>
  <c r="P17" i="25" s="1"/>
  <c r="AU19" i="70"/>
  <c r="BM21" i="70"/>
  <c r="BJ21" i="70"/>
  <c r="BG21" i="70"/>
  <c r="BD23" i="70"/>
  <c r="BA21" i="70"/>
  <c r="AX21" i="70"/>
  <c r="AR21" i="70"/>
  <c r="AO21" i="70"/>
  <c r="AL21" i="70"/>
  <c r="AI21" i="70"/>
  <c r="AF21" i="70"/>
  <c r="AC21" i="70"/>
  <c r="Z21" i="70"/>
  <c r="W21" i="70"/>
  <c r="T21" i="70"/>
  <c r="Q21" i="70"/>
  <c r="AI18" i="28"/>
  <c r="W18" i="28"/>
  <c r="N18" i="28"/>
  <c r="Q18" i="28"/>
  <c r="S18" i="28" s="1"/>
  <c r="Z19" i="28"/>
  <c r="AC20" i="28"/>
  <c r="AA17" i="28" a="1"/>
  <c r="AA17" i="28" s="1"/>
  <c r="AB17" i="28" s="1"/>
  <c r="AL19" i="28"/>
  <c r="AO18" i="28"/>
  <c r="AQ18" i="28" s="1"/>
  <c r="AF18" i="28"/>
  <c r="T18" i="28"/>
  <c r="AD18" i="28" a="1"/>
  <c r="AD18" i="28" s="1"/>
  <c r="AE18" i="28" s="1"/>
  <c r="AJ17" i="28" a="1"/>
  <c r="AJ17" i="28" s="1"/>
  <c r="AK17" i="28" s="1"/>
  <c r="C4" i="5" a="1"/>
  <c r="C4" i="5" s="1"/>
  <c r="C2" i="5" a="1"/>
  <c r="C2" i="5" s="1"/>
  <c r="P16" i="28" l="1"/>
  <c r="Q18" i="25"/>
  <c r="S17" i="25"/>
  <c r="AM19" i="28" a="1"/>
  <c r="AM19" i="28" s="1"/>
  <c r="AN18" i="28"/>
  <c r="AG18" i="28" a="1"/>
  <c r="AG18" i="28" s="1"/>
  <c r="AH17" i="28"/>
  <c r="X18" i="28" a="1"/>
  <c r="X18" i="28" s="1"/>
  <c r="Y17" i="28"/>
  <c r="U19" i="28" a="1"/>
  <c r="U19" i="28" s="1"/>
  <c r="V18" i="28"/>
  <c r="U18" i="25" a="1"/>
  <c r="U18" i="25" s="1"/>
  <c r="V18" i="25" s="1"/>
  <c r="O18" i="25" a="1"/>
  <c r="O18" i="25" s="1"/>
  <c r="P18" i="25" s="1"/>
  <c r="AU20" i="70"/>
  <c r="BM22" i="70"/>
  <c r="BJ22" i="70"/>
  <c r="BG22" i="70"/>
  <c r="BD24" i="70"/>
  <c r="BA22" i="70"/>
  <c r="AX22" i="70"/>
  <c r="AR22" i="70"/>
  <c r="AO22" i="70"/>
  <c r="AL22" i="70"/>
  <c r="AI22" i="70"/>
  <c r="AF22" i="70"/>
  <c r="AC22" i="70"/>
  <c r="Z22" i="70"/>
  <c r="W22" i="70"/>
  <c r="T22" i="70"/>
  <c r="Q22" i="70"/>
  <c r="AJ18" i="28" a="1"/>
  <c r="AJ18" i="28" s="1"/>
  <c r="Z20" i="28"/>
  <c r="Q19" i="28"/>
  <c r="S19" i="28" s="1"/>
  <c r="AF19" i="28"/>
  <c r="N19" i="28"/>
  <c r="T19" i="28"/>
  <c r="AL20" i="28"/>
  <c r="AC21" i="28"/>
  <c r="AO19" i="28"/>
  <c r="AQ19" i="28" s="1"/>
  <c r="W19" i="28"/>
  <c r="AI19" i="28"/>
  <c r="AA18" i="28" a="1"/>
  <c r="AA18" i="28" s="1"/>
  <c r="AB18" i="28" s="1"/>
  <c r="AD19" i="28" a="1"/>
  <c r="AD19" i="28" s="1"/>
  <c r="AE19" i="28" s="1"/>
  <c r="O18" i="28" a="1"/>
  <c r="O18" i="28" s="1"/>
  <c r="X19" i="25" l="1" a="1"/>
  <c r="X19" i="25" s="1"/>
  <c r="Y19" i="25" s="1"/>
  <c r="Q19" i="25"/>
  <c r="S18" i="25"/>
  <c r="AM20" i="28" a="1"/>
  <c r="AM20" i="28" s="1"/>
  <c r="AN19" i="28"/>
  <c r="AJ19" i="28" a="1"/>
  <c r="AJ19" i="28" s="1"/>
  <c r="AK18" i="28"/>
  <c r="AG19" i="28" a="1"/>
  <c r="AG19" i="28" s="1"/>
  <c r="AH18" i="28"/>
  <c r="X19" i="28" a="1"/>
  <c r="X19" i="28" s="1"/>
  <c r="Y18" i="28"/>
  <c r="U20" i="28" a="1"/>
  <c r="U20" i="28" s="1"/>
  <c r="V19" i="28"/>
  <c r="P18" i="28"/>
  <c r="C19" i="28" s="1"/>
  <c r="O19" i="28" s="1" a="1"/>
  <c r="O19" i="28" s="1"/>
  <c r="U19" i="25" a="1"/>
  <c r="U19" i="25" s="1"/>
  <c r="V19" i="25" s="1"/>
  <c r="O19" i="25" a="1"/>
  <c r="O19" i="25" s="1"/>
  <c r="P19" i="25" s="1"/>
  <c r="AU21" i="70"/>
  <c r="BM23" i="70"/>
  <c r="BJ23" i="70"/>
  <c r="BG23" i="70"/>
  <c r="BD25" i="70"/>
  <c r="BA23" i="70"/>
  <c r="AX23" i="70"/>
  <c r="AR23" i="70"/>
  <c r="AO23" i="70"/>
  <c r="AL23" i="70"/>
  <c r="AI23" i="70"/>
  <c r="AF23" i="70"/>
  <c r="AC23" i="70"/>
  <c r="Z23" i="70"/>
  <c r="W23" i="70"/>
  <c r="T23" i="70"/>
  <c r="Q23" i="70"/>
  <c r="T20" i="28"/>
  <c r="AD20" i="28" a="1"/>
  <c r="AD20" i="28" s="1"/>
  <c r="AE20" i="28" s="1"/>
  <c r="AA19" i="28" a="1"/>
  <c r="AA19" i="28" s="1"/>
  <c r="AB19" i="28" s="1"/>
  <c r="AL21" i="28"/>
  <c r="N20" i="28"/>
  <c r="AI20" i="28"/>
  <c r="AF20" i="28"/>
  <c r="W20" i="28"/>
  <c r="AO20" i="28"/>
  <c r="AQ20" i="28" s="1"/>
  <c r="Q20" i="28"/>
  <c r="S20" i="28" s="1"/>
  <c r="AC22" i="28"/>
  <c r="Z21" i="28"/>
  <c r="X20" i="25" l="1" a="1"/>
  <c r="X20" i="25" s="1"/>
  <c r="Y20" i="25" s="1"/>
  <c r="Q20" i="25"/>
  <c r="S20" i="25" s="1"/>
  <c r="S19" i="25"/>
  <c r="AM21" i="28" a="1"/>
  <c r="AM21" i="28" s="1"/>
  <c r="AN20" i="28"/>
  <c r="AJ20" i="28" a="1"/>
  <c r="AJ20" i="28" s="1"/>
  <c r="AK19" i="28"/>
  <c r="AG20" i="28" a="1"/>
  <c r="AG20" i="28" s="1"/>
  <c r="AH19" i="28"/>
  <c r="X20" i="28" a="1"/>
  <c r="X20" i="28" s="1"/>
  <c r="Y19" i="28"/>
  <c r="U21" i="28" a="1"/>
  <c r="U21" i="28" s="1"/>
  <c r="V20" i="28"/>
  <c r="O20" i="28" a="1"/>
  <c r="O20" i="28" s="1"/>
  <c r="P20" i="28" s="1"/>
  <c r="P19" i="28"/>
  <c r="U20" i="25" a="1"/>
  <c r="U20" i="25" s="1"/>
  <c r="V20" i="25" s="1"/>
  <c r="O20" i="25" a="1"/>
  <c r="O20" i="25" s="1"/>
  <c r="P20" i="25" s="1"/>
  <c r="AU22" i="70"/>
  <c r="BM24" i="70"/>
  <c r="BJ24" i="70"/>
  <c r="BG24" i="70"/>
  <c r="BD26" i="70"/>
  <c r="BA24" i="70"/>
  <c r="AX24" i="70"/>
  <c r="AR24" i="70"/>
  <c r="AO24" i="70"/>
  <c r="AL24" i="70"/>
  <c r="AI24" i="70"/>
  <c r="AF24" i="70"/>
  <c r="AC24" i="70"/>
  <c r="Z24" i="70"/>
  <c r="W24" i="70"/>
  <c r="T24" i="70"/>
  <c r="Q24" i="70"/>
  <c r="N21" i="28"/>
  <c r="AL22" i="28"/>
  <c r="Q21" i="28"/>
  <c r="AO21" i="28"/>
  <c r="AI21" i="28"/>
  <c r="AA20" i="28" a="1"/>
  <c r="AA20" i="28" s="1"/>
  <c r="AB20" i="28" s="1"/>
  <c r="W21" i="28"/>
  <c r="AC23" i="28"/>
  <c r="AD21" i="28" a="1"/>
  <c r="AD21" i="28" s="1"/>
  <c r="AE21" i="28" s="1"/>
  <c r="AF21" i="28"/>
  <c r="T21" i="28"/>
  <c r="Z22" i="28"/>
  <c r="S21" i="28" l="1"/>
  <c r="AM22" i="28" a="1"/>
  <c r="AM22" i="28" s="1"/>
  <c r="AN21" i="28"/>
  <c r="AJ21" i="28" a="1"/>
  <c r="AJ21" i="28" s="1"/>
  <c r="AK20" i="28"/>
  <c r="AG21" i="28" a="1"/>
  <c r="AG21" i="28" s="1"/>
  <c r="AH20" i="28"/>
  <c r="X21" i="28" a="1"/>
  <c r="X21" i="28" s="1"/>
  <c r="Y20" i="28"/>
  <c r="U22" i="28" a="1"/>
  <c r="U22" i="28" s="1"/>
  <c r="V21" i="28"/>
  <c r="O21" i="28" a="1"/>
  <c r="O21" i="28" s="1"/>
  <c r="AU23" i="70"/>
  <c r="BM25" i="70"/>
  <c r="BJ25" i="70"/>
  <c r="BG25" i="70"/>
  <c r="BD27" i="70"/>
  <c r="BA25" i="70"/>
  <c r="AX25" i="70"/>
  <c r="AR25" i="70"/>
  <c r="AO25" i="70"/>
  <c r="AL25" i="70"/>
  <c r="AI25" i="70"/>
  <c r="AF25" i="70"/>
  <c r="AC25" i="70"/>
  <c r="Z25" i="70"/>
  <c r="W25" i="70"/>
  <c r="T25" i="70"/>
  <c r="Q25" i="70"/>
  <c r="AP21" i="28" a="1"/>
  <c r="AP21" i="28" s="1"/>
  <c r="AQ21" i="28" s="1"/>
  <c r="AI22" i="28"/>
  <c r="AF22" i="28"/>
  <c r="AD22" i="28" a="1"/>
  <c r="AD22" i="28" s="1"/>
  <c r="AE22" i="28" s="1"/>
  <c r="Q22" i="28"/>
  <c r="AC24" i="28"/>
  <c r="AO22" i="28"/>
  <c r="W22" i="28"/>
  <c r="AL23" i="28"/>
  <c r="Z23" i="28"/>
  <c r="AA21" i="28" a="1"/>
  <c r="AA21" i="28" s="1"/>
  <c r="AB21" i="28" s="1"/>
  <c r="T22" i="28"/>
  <c r="N22" i="28"/>
  <c r="AM23" i="28" l="1" a="1"/>
  <c r="AM23" i="28" s="1"/>
  <c r="AN22" i="28"/>
  <c r="AJ22" i="28" a="1"/>
  <c r="AJ22" i="28" s="1"/>
  <c r="AK21" i="28"/>
  <c r="AG22" i="28" a="1"/>
  <c r="AG22" i="28" s="1"/>
  <c r="AH21" i="28"/>
  <c r="X22" i="28" a="1"/>
  <c r="X22" i="28" s="1"/>
  <c r="Y21" i="28"/>
  <c r="U23" i="28" a="1"/>
  <c r="U23" i="28" s="1"/>
  <c r="V22" i="28"/>
  <c r="O22" i="28" a="1"/>
  <c r="O22" i="28" s="1"/>
  <c r="P22" i="28" s="1"/>
  <c r="P21" i="28"/>
  <c r="AU24" i="70"/>
  <c r="BM26" i="70"/>
  <c r="BJ26" i="70"/>
  <c r="BG26" i="70"/>
  <c r="BD28" i="70"/>
  <c r="BA26" i="70"/>
  <c r="AX26" i="70"/>
  <c r="AR26" i="70"/>
  <c r="AO26" i="70"/>
  <c r="AL26" i="70"/>
  <c r="AI26" i="70"/>
  <c r="AF26" i="70"/>
  <c r="AC26" i="70"/>
  <c r="Z26" i="70"/>
  <c r="W26" i="70"/>
  <c r="T26" i="70"/>
  <c r="Q26" i="70"/>
  <c r="AP22" i="28" a="1"/>
  <c r="AP22" i="28" s="1"/>
  <c r="Z24" i="28"/>
  <c r="AB24" i="28" s="1"/>
  <c r="Q23" i="28"/>
  <c r="AA22" i="28" a="1"/>
  <c r="AA22" i="28" s="1"/>
  <c r="AB22" i="28" s="1"/>
  <c r="AC25" i="28"/>
  <c r="AD23" i="28" a="1"/>
  <c r="AD23" i="28" s="1"/>
  <c r="AE23" i="28" s="1"/>
  <c r="AL24" i="28"/>
  <c r="AF23" i="28"/>
  <c r="T23" i="28"/>
  <c r="W23" i="28"/>
  <c r="AO23" i="28"/>
  <c r="N23" i="28"/>
  <c r="R22" i="28" a="1"/>
  <c r="R22" i="28" s="1"/>
  <c r="AI23" i="28"/>
  <c r="AP23" i="28" l="1" a="1"/>
  <c r="AP23" i="28" s="1"/>
  <c r="AQ22" i="28"/>
  <c r="AM24" i="28" a="1"/>
  <c r="AM24" i="28" s="1"/>
  <c r="AN23" i="28"/>
  <c r="AJ23" i="28" a="1"/>
  <c r="AJ23" i="28" s="1"/>
  <c r="AK22" i="28"/>
  <c r="AG23" i="28" a="1"/>
  <c r="AG23" i="28" s="1"/>
  <c r="AH22" i="28"/>
  <c r="X23" i="28" a="1"/>
  <c r="X23" i="28" s="1"/>
  <c r="Y22" i="28"/>
  <c r="U24" i="28" a="1"/>
  <c r="U24" i="28" s="1"/>
  <c r="V23" i="28"/>
  <c r="R23" i="28" a="1"/>
  <c r="R23" i="28" s="1"/>
  <c r="S22" i="28"/>
  <c r="O23" i="28" a="1"/>
  <c r="O23" i="28" s="1"/>
  <c r="P23" i="28" s="1"/>
  <c r="AU25" i="70"/>
  <c r="BM27" i="70"/>
  <c r="BJ27" i="70"/>
  <c r="BG27" i="70"/>
  <c r="BD29" i="70"/>
  <c r="BA27" i="70"/>
  <c r="AX27" i="70"/>
  <c r="AR27" i="70"/>
  <c r="AO27" i="70"/>
  <c r="AL27" i="70"/>
  <c r="AI27" i="70"/>
  <c r="AF27" i="70"/>
  <c r="AC27" i="70"/>
  <c r="Z27" i="70"/>
  <c r="W27" i="70"/>
  <c r="T27" i="70"/>
  <c r="Q27" i="70"/>
  <c r="AI24" i="28"/>
  <c r="AD24" i="28" a="1"/>
  <c r="AD24" i="28" s="1"/>
  <c r="AE24" i="28" s="1"/>
  <c r="N24" i="28"/>
  <c r="AL25" i="28"/>
  <c r="AC26" i="28"/>
  <c r="AO24" i="28"/>
  <c r="W24" i="28"/>
  <c r="AA23" i="28" a="1"/>
  <c r="AA23" i="28" s="1"/>
  <c r="AB23" i="28" s="1"/>
  <c r="Q24" i="28"/>
  <c r="T24" i="28"/>
  <c r="AF24" i="28"/>
  <c r="Z25" i="28"/>
  <c r="AB25" i="28" s="1"/>
  <c r="AP24" i="28" l="1" a="1"/>
  <c r="AP24" i="28" s="1"/>
  <c r="AQ23" i="28"/>
  <c r="AM25" i="28" a="1"/>
  <c r="AM25" i="28" s="1"/>
  <c r="AN24" i="28"/>
  <c r="AJ24" i="28" a="1"/>
  <c r="AJ24" i="28" s="1"/>
  <c r="AK23" i="28"/>
  <c r="AG24" i="28" a="1"/>
  <c r="AG24" i="28" s="1"/>
  <c r="AH23" i="28"/>
  <c r="X24" i="28" a="1"/>
  <c r="X24" i="28" s="1"/>
  <c r="Y24" i="28" s="1"/>
  <c r="Y23" i="28"/>
  <c r="U25" i="28" a="1"/>
  <c r="U25" i="28" s="1"/>
  <c r="V24" i="28"/>
  <c r="R24" i="28" a="1"/>
  <c r="R24" i="28" s="1"/>
  <c r="S24" i="28" s="1"/>
  <c r="S23" i="28"/>
  <c r="AU26" i="70"/>
  <c r="BM28" i="70"/>
  <c r="BJ28" i="70"/>
  <c r="BG28" i="70"/>
  <c r="BD30" i="70"/>
  <c r="BA28" i="70"/>
  <c r="AX28" i="70"/>
  <c r="AR28" i="70"/>
  <c r="AO28" i="70"/>
  <c r="AL28" i="70"/>
  <c r="AI28" i="70"/>
  <c r="AF28" i="70"/>
  <c r="AC28" i="70"/>
  <c r="Z28" i="70"/>
  <c r="W28" i="70"/>
  <c r="T28" i="70"/>
  <c r="Q28" i="70"/>
  <c r="AC27" i="28"/>
  <c r="E5" i="3" s="1" a="1"/>
  <c r="E5" i="3" s="1"/>
  <c r="T25" i="28"/>
  <c r="AL26" i="28"/>
  <c r="N25" i="28"/>
  <c r="Z26" i="28"/>
  <c r="AB26" i="28" s="1"/>
  <c r="Q25" i="28"/>
  <c r="AO25" i="28"/>
  <c r="AD25" i="28" a="1"/>
  <c r="AD25" i="28" s="1"/>
  <c r="AE25" i="28" s="1"/>
  <c r="AF25" i="28"/>
  <c r="AA24" i="28" a="1"/>
  <c r="AA24" i="28" s="1"/>
  <c r="AA25" i="28" s="1" a="1"/>
  <c r="AA25" i="28" s="1"/>
  <c r="AA26" i="28" s="1" a="1"/>
  <c r="AA26" i="28" s="1"/>
  <c r="AA27" i="28" s="1" a="1"/>
  <c r="AA27" i="28" s="1"/>
  <c r="O24" i="28" a="1"/>
  <c r="O24" i="28" s="1"/>
  <c r="W25" i="28"/>
  <c r="AI25" i="28"/>
  <c r="AP25" i="28" l="1" a="1"/>
  <c r="AP25" i="28" s="1"/>
  <c r="AQ24" i="28"/>
  <c r="AM26" i="28" a="1"/>
  <c r="AM26" i="28" s="1"/>
  <c r="AN25" i="28"/>
  <c r="AJ25" i="28" a="1"/>
  <c r="AJ25" i="28" s="1"/>
  <c r="AK24" i="28"/>
  <c r="AG25" i="28" a="1"/>
  <c r="AG25" i="28" s="1"/>
  <c r="AH24" i="28"/>
  <c r="U26" i="28" a="1"/>
  <c r="U26" i="28" s="1"/>
  <c r="V25" i="28"/>
  <c r="O25" i="28" a="1"/>
  <c r="O25" i="28" s="1"/>
  <c r="P25" i="28" s="1"/>
  <c r="P24" i="28"/>
  <c r="AU27" i="70"/>
  <c r="BM29" i="70"/>
  <c r="BJ29" i="70"/>
  <c r="BG29" i="70"/>
  <c r="BD31" i="70"/>
  <c r="BA29" i="70"/>
  <c r="AX29" i="70"/>
  <c r="AR29" i="70"/>
  <c r="AO29" i="70"/>
  <c r="AL29" i="70"/>
  <c r="AI29" i="70"/>
  <c r="AF29" i="70"/>
  <c r="AC29" i="70"/>
  <c r="Z29" i="70"/>
  <c r="W29" i="70"/>
  <c r="T29" i="70"/>
  <c r="Q29" i="70"/>
  <c r="N26" i="28"/>
  <c r="AF26" i="28"/>
  <c r="Q26" i="28"/>
  <c r="AL27" i="28"/>
  <c r="E9" i="3" s="1" a="1"/>
  <c r="E9" i="3" s="1"/>
  <c r="Z27" i="28"/>
  <c r="AD26" i="28" a="1"/>
  <c r="AD26" i="28" s="1"/>
  <c r="AE26" i="28" s="1"/>
  <c r="AO26" i="28"/>
  <c r="T26" i="28"/>
  <c r="AI26" i="28"/>
  <c r="X25" i="28" a="1"/>
  <c r="X25" i="28" s="1"/>
  <c r="Y25" i="28" s="1"/>
  <c r="W26" i="28"/>
  <c r="Y26" i="28" s="1"/>
  <c r="R25" i="28" a="1"/>
  <c r="R25" i="28" s="1"/>
  <c r="AB27" i="28" l="1"/>
  <c r="E11" i="3" a="1"/>
  <c r="E11" i="3" s="1"/>
  <c r="AP26" i="28" a="1"/>
  <c r="AP26" i="28" s="1"/>
  <c r="AQ25" i="28"/>
  <c r="AM27" i="28" a="1"/>
  <c r="AM27" i="28" s="1"/>
  <c r="AN27" i="28" s="1"/>
  <c r="AN26" i="28"/>
  <c r="AJ26" i="28" a="1"/>
  <c r="AJ26" i="28" s="1"/>
  <c r="AK25" i="28"/>
  <c r="AG26" i="28" a="1"/>
  <c r="AG26" i="28" s="1"/>
  <c r="AH25" i="28"/>
  <c r="U27" i="28" a="1"/>
  <c r="U27" i="28" s="1"/>
  <c r="V26" i="28"/>
  <c r="R26" i="28" a="1"/>
  <c r="R26" i="28" s="1"/>
  <c r="S25" i="28"/>
  <c r="AU28" i="70"/>
  <c r="BM30" i="70"/>
  <c r="BJ30" i="70"/>
  <c r="BG30" i="70"/>
  <c r="BD32" i="70"/>
  <c r="BA30" i="70"/>
  <c r="AX30" i="70"/>
  <c r="AR30" i="70"/>
  <c r="AO30" i="70"/>
  <c r="AL30" i="70"/>
  <c r="AI30" i="70"/>
  <c r="AF30" i="70"/>
  <c r="AC30" i="70"/>
  <c r="Z30" i="70"/>
  <c r="W30" i="70"/>
  <c r="T30" i="70"/>
  <c r="Q30" i="70"/>
  <c r="X26" i="28" a="1"/>
  <c r="X26" i="28" s="1"/>
  <c r="X27" i="28" s="1" a="1"/>
  <c r="X27" i="28" s="1"/>
  <c r="O26" i="28" a="1"/>
  <c r="O26" i="28" s="1"/>
  <c r="Q27" i="28"/>
  <c r="E3" i="3" s="1" a="1"/>
  <c r="E3" i="3" s="1"/>
  <c r="AI27" i="28"/>
  <c r="E7" i="3" s="1" a="1"/>
  <c r="E7" i="3" s="1"/>
  <c r="T27" i="28"/>
  <c r="E4" i="3" s="1" a="1"/>
  <c r="E4" i="3" s="1"/>
  <c r="AD27" i="28" a="1"/>
  <c r="AD27" i="28" s="1"/>
  <c r="AE27" i="28" s="1"/>
  <c r="AF27" i="28"/>
  <c r="E6" i="3" s="1" a="1"/>
  <c r="E6" i="3" s="1"/>
  <c r="W27" i="28"/>
  <c r="AO27" i="28"/>
  <c r="E8" i="3" s="1" a="1"/>
  <c r="E8" i="3" s="1"/>
  <c r="N27" i="28"/>
  <c r="E2" i="3" s="1" a="1"/>
  <c r="E2" i="3" s="1"/>
  <c r="Y27" i="28" l="1"/>
  <c r="E10" i="3" a="1"/>
  <c r="E10" i="3" s="1"/>
  <c r="V27" i="28"/>
  <c r="AP27" i="28" a="1"/>
  <c r="AP27" i="28" s="1"/>
  <c r="AQ27" i="28" s="1"/>
  <c r="AQ26" i="28"/>
  <c r="AJ27" i="28" a="1"/>
  <c r="AJ27" i="28" s="1"/>
  <c r="AK27" i="28" s="1"/>
  <c r="AK26" i="28"/>
  <c r="AG27" i="28" a="1"/>
  <c r="AG27" i="28" s="1"/>
  <c r="AH27" i="28" s="1"/>
  <c r="AH26" i="28"/>
  <c r="R27" i="28" a="1"/>
  <c r="R27" i="28" s="1"/>
  <c r="S27" i="28" s="1"/>
  <c r="S26" i="28"/>
  <c r="P26" i="28"/>
  <c r="C27" i="28" s="1"/>
  <c r="AU29" i="70"/>
  <c r="BM31" i="70"/>
  <c r="BJ31" i="70"/>
  <c r="BG31" i="70"/>
  <c r="BD33" i="70"/>
  <c r="BA31" i="70"/>
  <c r="AX31" i="70"/>
  <c r="AR31" i="70"/>
  <c r="AO31" i="70"/>
  <c r="AL31" i="70"/>
  <c r="AI31" i="70"/>
  <c r="AF31" i="70"/>
  <c r="AC31" i="70"/>
  <c r="Z31" i="70"/>
  <c r="W31" i="70"/>
  <c r="T31" i="70"/>
  <c r="Q31" i="70"/>
  <c r="C28" i="28" l="1"/>
  <c r="O27" i="28" a="1"/>
  <c r="O27" i="28" s="1"/>
  <c r="P27" i="28" s="1"/>
  <c r="AU30" i="70"/>
  <c r="BM32" i="70"/>
  <c r="BJ32" i="70"/>
  <c r="BG32" i="70"/>
  <c r="BD34" i="70"/>
  <c r="BA32" i="70"/>
  <c r="AX32" i="70"/>
  <c r="AR32" i="70"/>
  <c r="AO32" i="70"/>
  <c r="AL32" i="70"/>
  <c r="AI32" i="70"/>
  <c r="AF32" i="70"/>
  <c r="AC32" i="70"/>
  <c r="Z32" i="70"/>
  <c r="W32" i="70"/>
  <c r="T32" i="70"/>
  <c r="Q32" i="70"/>
  <c r="L3" i="27"/>
  <c r="AU31" i="70" l="1"/>
  <c r="AU32" i="70" s="1"/>
  <c r="BM33" i="70"/>
  <c r="BJ33" i="70"/>
  <c r="BG33" i="70"/>
  <c r="BD35" i="70"/>
  <c r="BA33" i="70"/>
  <c r="AX33" i="70"/>
  <c r="AR33" i="70"/>
  <c r="AO33" i="70"/>
  <c r="AL33" i="70"/>
  <c r="AI33" i="70"/>
  <c r="AF33" i="70"/>
  <c r="AC33" i="70"/>
  <c r="Z33" i="70"/>
  <c r="W33" i="70"/>
  <c r="T33" i="70"/>
  <c r="Q33" i="70"/>
  <c r="AA3" i="27" a="1"/>
  <c r="AA3" i="27" s="1"/>
  <c r="AB3" i="27" s="1"/>
  <c r="M3" i="27"/>
  <c r="L4" i="27"/>
  <c r="AU33" i="70" l="1"/>
  <c r="BM34" i="70"/>
  <c r="BJ34" i="70"/>
  <c r="BG34" i="70"/>
  <c r="BD36" i="70"/>
  <c r="BA34" i="70"/>
  <c r="AX34" i="70"/>
  <c r="AR34" i="70"/>
  <c r="AO34" i="70"/>
  <c r="AL34" i="70"/>
  <c r="AI34" i="70"/>
  <c r="AF34" i="70"/>
  <c r="AC34" i="70"/>
  <c r="Z34" i="70"/>
  <c r="W34" i="70"/>
  <c r="T34" i="70"/>
  <c r="Q34" i="70"/>
  <c r="AD4" i="27" a="1"/>
  <c r="AD4" i="27" s="1"/>
  <c r="AE4" i="27" s="1"/>
  <c r="M4" i="27"/>
  <c r="M5" i="27" s="1"/>
  <c r="AA4" i="27" a="1"/>
  <c r="AA4" i="27" s="1"/>
  <c r="AB4" i="27" s="1"/>
  <c r="AU34" i="70" l="1"/>
  <c r="BM35" i="70"/>
  <c r="BJ35" i="70"/>
  <c r="BG35" i="70"/>
  <c r="BD37" i="70"/>
  <c r="BA35" i="70"/>
  <c r="AX35" i="70"/>
  <c r="AR35" i="70"/>
  <c r="AO35" i="70"/>
  <c r="AL35" i="70"/>
  <c r="AI35" i="70"/>
  <c r="AF35" i="70"/>
  <c r="AC35" i="70"/>
  <c r="Z35" i="70"/>
  <c r="W35" i="70"/>
  <c r="T35" i="70"/>
  <c r="Q35" i="70"/>
  <c r="L3" i="24"/>
  <c r="AU35" i="70" l="1"/>
  <c r="BM36" i="70"/>
  <c r="BJ36" i="70"/>
  <c r="BG36" i="70"/>
  <c r="BD38" i="70"/>
  <c r="BA36" i="70"/>
  <c r="AX36" i="70"/>
  <c r="AR36" i="70"/>
  <c r="AO36" i="70"/>
  <c r="AL36" i="70"/>
  <c r="AI36" i="70"/>
  <c r="AF36" i="70"/>
  <c r="AC36" i="70"/>
  <c r="Z36" i="70"/>
  <c r="W36" i="70"/>
  <c r="T36" i="70"/>
  <c r="Q36" i="70"/>
  <c r="M3" i="24"/>
  <c r="M4" i="24" s="1"/>
  <c r="R3" i="24" a="1"/>
  <c r="R3" i="24" s="1"/>
  <c r="S3" i="24" s="1"/>
  <c r="AU36" i="70" l="1"/>
  <c r="BM37" i="70"/>
  <c r="BJ37" i="70"/>
  <c r="BG37" i="70"/>
  <c r="BD39" i="70"/>
  <c r="BA37" i="70"/>
  <c r="AX37" i="70"/>
  <c r="AR37" i="70"/>
  <c r="AO37" i="70"/>
  <c r="AL37" i="70"/>
  <c r="AI37" i="70"/>
  <c r="AF37" i="70"/>
  <c r="AC37" i="70"/>
  <c r="Z37" i="70"/>
  <c r="W37" i="70"/>
  <c r="T37" i="70"/>
  <c r="Q37" i="70"/>
  <c r="AU37" i="70" l="1"/>
  <c r="AU38" i="70" s="1"/>
  <c r="BM38" i="70"/>
  <c r="BJ38" i="70"/>
  <c r="BG38" i="70"/>
  <c r="BD40" i="70"/>
  <c r="BA38" i="70"/>
  <c r="AX38" i="70"/>
  <c r="AR38" i="70"/>
  <c r="AO38" i="70"/>
  <c r="AL38" i="70"/>
  <c r="AI38" i="70"/>
  <c r="AF38" i="70"/>
  <c r="AC38" i="70"/>
  <c r="Z38" i="70"/>
  <c r="W38" i="70"/>
  <c r="T38" i="70"/>
  <c r="Q38" i="70"/>
  <c r="BM39" i="70" l="1"/>
  <c r="BJ39" i="70"/>
  <c r="BG39" i="70"/>
  <c r="BD41" i="70"/>
  <c r="BA39" i="70"/>
  <c r="AX39" i="70"/>
  <c r="AU39" i="70"/>
  <c r="AR39" i="70"/>
  <c r="AO39" i="70"/>
  <c r="AL39" i="70"/>
  <c r="AI39" i="70"/>
  <c r="AF39" i="70"/>
  <c r="AC39" i="70"/>
  <c r="Z39" i="70"/>
  <c r="W39" i="70"/>
  <c r="T39" i="70"/>
  <c r="Q39" i="70"/>
  <c r="BM40" i="70" l="1"/>
  <c r="BJ40" i="70"/>
  <c r="BG40" i="70"/>
  <c r="BD42" i="70"/>
  <c r="BA40" i="70"/>
  <c r="AX40" i="70"/>
  <c r="AU40" i="70"/>
  <c r="AR40" i="70"/>
  <c r="AO40" i="70"/>
  <c r="AL40" i="70"/>
  <c r="AI40" i="70"/>
  <c r="AF40" i="70"/>
  <c r="AC40" i="70"/>
  <c r="Z40" i="70"/>
  <c r="W40" i="70"/>
  <c r="T40" i="70"/>
  <c r="Q40" i="70"/>
  <c r="BM41" i="70" l="1"/>
  <c r="BJ41" i="70"/>
  <c r="BG41" i="70"/>
  <c r="BD43" i="70"/>
  <c r="BA41" i="70"/>
  <c r="AX41" i="70"/>
  <c r="AU41" i="70"/>
  <c r="AR41" i="70"/>
  <c r="AO41" i="70"/>
  <c r="AL41" i="70"/>
  <c r="AI41" i="70"/>
  <c r="AF41" i="70"/>
  <c r="AC41" i="70"/>
  <c r="Z41" i="70"/>
  <c r="W41" i="70"/>
  <c r="T41" i="70"/>
  <c r="Q41" i="70"/>
  <c r="BM42" i="70" l="1"/>
  <c r="BJ42" i="70"/>
  <c r="BG42" i="70"/>
  <c r="BD44" i="70"/>
  <c r="BA42" i="70"/>
  <c r="AX42" i="70"/>
  <c r="AU42" i="70"/>
  <c r="AR42" i="70"/>
  <c r="AO42" i="70"/>
  <c r="AL42" i="70"/>
  <c r="AI42" i="70"/>
  <c r="AF42" i="70"/>
  <c r="AC42" i="70"/>
  <c r="Z42" i="70"/>
  <c r="W42" i="70"/>
  <c r="T42" i="70"/>
  <c r="Q42" i="70"/>
  <c r="BM43" i="70" l="1"/>
  <c r="BJ43" i="70"/>
  <c r="BG43" i="70"/>
  <c r="BD45" i="70"/>
  <c r="BA43" i="70"/>
  <c r="AX43" i="70"/>
  <c r="AU43" i="70"/>
  <c r="AR43" i="70"/>
  <c r="AO43" i="70"/>
  <c r="AL43" i="70"/>
  <c r="AI43" i="70"/>
  <c r="AF43" i="70"/>
  <c r="AC43" i="70"/>
  <c r="Z43" i="70"/>
  <c r="W43" i="70"/>
  <c r="T43" i="70"/>
  <c r="Q43" i="70"/>
  <c r="BM44" i="70" l="1"/>
  <c r="BJ44" i="70"/>
  <c r="BG44" i="70"/>
  <c r="BD46" i="70"/>
  <c r="BA44" i="70"/>
  <c r="AX44" i="70"/>
  <c r="AU44" i="70"/>
  <c r="AR44" i="70"/>
  <c r="AO44" i="70"/>
  <c r="AL44" i="70"/>
  <c r="AI44" i="70"/>
  <c r="AF44" i="70"/>
  <c r="AC44" i="70"/>
  <c r="Z44" i="70"/>
  <c r="W44" i="70"/>
  <c r="T44" i="70"/>
  <c r="Q44" i="70"/>
  <c r="BM45" i="70" l="1"/>
  <c r="BJ45" i="70"/>
  <c r="BG45" i="70"/>
  <c r="BD47" i="70"/>
  <c r="BA45" i="70"/>
  <c r="AX45" i="70"/>
  <c r="AU45" i="70"/>
  <c r="AR45" i="70"/>
  <c r="AO45" i="70"/>
  <c r="AL45" i="70"/>
  <c r="AI45" i="70"/>
  <c r="AF45" i="70"/>
  <c r="AC45" i="70"/>
  <c r="Z45" i="70"/>
  <c r="W45" i="70"/>
  <c r="T45" i="70"/>
  <c r="Q45" i="70"/>
  <c r="BM46" i="70" l="1"/>
  <c r="BJ46" i="70"/>
  <c r="BG46" i="70"/>
  <c r="BD48" i="70"/>
  <c r="BA46" i="70"/>
  <c r="AX46" i="70"/>
  <c r="AU46" i="70"/>
  <c r="AR46" i="70"/>
  <c r="AO46" i="70"/>
  <c r="AL46" i="70"/>
  <c r="AI46" i="70"/>
  <c r="AF46" i="70"/>
  <c r="AC46" i="70"/>
  <c r="Z46" i="70"/>
  <c r="W46" i="70"/>
  <c r="T46" i="70"/>
  <c r="Q46" i="70"/>
  <c r="BM47" i="70" l="1"/>
  <c r="BJ47" i="70"/>
  <c r="BG47" i="70"/>
  <c r="BD49" i="70"/>
  <c r="BA47" i="70"/>
  <c r="AX47" i="70"/>
  <c r="AU47" i="70"/>
  <c r="AR47" i="70"/>
  <c r="AO47" i="70"/>
  <c r="AL47" i="70"/>
  <c r="AI47" i="70"/>
  <c r="AF47" i="70"/>
  <c r="AC47" i="70"/>
  <c r="Z47" i="70"/>
  <c r="W47" i="70"/>
  <c r="T47" i="70"/>
  <c r="Q47" i="70"/>
  <c r="BM48" i="70" l="1"/>
  <c r="BJ48" i="70"/>
  <c r="BG48" i="70"/>
  <c r="BD50" i="70"/>
  <c r="BA48" i="70"/>
  <c r="AX48" i="70"/>
  <c r="AU48" i="70"/>
  <c r="AR48" i="70"/>
  <c r="AO48" i="70"/>
  <c r="AL48" i="70"/>
  <c r="AI48" i="70"/>
  <c r="AF48" i="70"/>
  <c r="AC48" i="70"/>
  <c r="Z48" i="70"/>
  <c r="W48" i="70"/>
  <c r="T48" i="70"/>
  <c r="Q48" i="70"/>
  <c r="BM49" i="70" l="1"/>
  <c r="BJ49" i="70"/>
  <c r="BG49" i="70"/>
  <c r="BD51" i="70"/>
  <c r="BA49" i="70"/>
  <c r="AX49" i="70"/>
  <c r="AU49" i="70"/>
  <c r="AR49" i="70"/>
  <c r="AO49" i="70"/>
  <c r="AL49" i="70"/>
  <c r="AI49" i="70"/>
  <c r="AF49" i="70"/>
  <c r="AC49" i="70"/>
  <c r="Z49" i="70"/>
  <c r="W49" i="70"/>
  <c r="T49" i="70"/>
  <c r="Q49" i="70"/>
  <c r="BM50" i="70" l="1"/>
  <c r="BJ50" i="70"/>
  <c r="BG50" i="70"/>
  <c r="BD52" i="70"/>
  <c r="BA50" i="70"/>
  <c r="AX50" i="70"/>
  <c r="AU50" i="70"/>
  <c r="AR50" i="70"/>
  <c r="AO50" i="70"/>
  <c r="AL50" i="70"/>
  <c r="AI50" i="70"/>
  <c r="AF50" i="70"/>
  <c r="AC50" i="70"/>
  <c r="Z50" i="70"/>
  <c r="W50" i="70"/>
  <c r="T50" i="70"/>
  <c r="Q50" i="70"/>
  <c r="BM51" i="70" l="1"/>
  <c r="BJ51" i="70"/>
  <c r="BG51" i="70"/>
  <c r="BD53" i="70"/>
  <c r="BA51" i="70"/>
  <c r="AX51" i="70"/>
  <c r="AU51" i="70"/>
  <c r="AR51" i="70"/>
  <c r="AO51" i="70"/>
  <c r="AL51" i="70"/>
  <c r="AI51" i="70"/>
  <c r="AF51" i="70"/>
  <c r="AC51" i="70"/>
  <c r="Z51" i="70"/>
  <c r="W51" i="70"/>
  <c r="T51" i="70"/>
  <c r="Q51" i="70"/>
  <c r="BM52" i="70" l="1"/>
  <c r="BJ52" i="70"/>
  <c r="BG52" i="70"/>
  <c r="BD54" i="70"/>
  <c r="BA52" i="70"/>
  <c r="AX52" i="70"/>
  <c r="AU52" i="70"/>
  <c r="AR52" i="70"/>
  <c r="AO52" i="70"/>
  <c r="AL52" i="70"/>
  <c r="AI52" i="70"/>
  <c r="AF52" i="70"/>
  <c r="AC52" i="70"/>
  <c r="Z52" i="70"/>
  <c r="W52" i="70"/>
  <c r="T52" i="70"/>
  <c r="Q52" i="70"/>
  <c r="BM53" i="70" l="1"/>
  <c r="BJ53" i="70"/>
  <c r="BG53" i="70"/>
  <c r="BD55" i="70"/>
  <c r="BA53" i="70"/>
  <c r="AX53" i="70"/>
  <c r="AU53" i="70"/>
  <c r="AR53" i="70"/>
  <c r="AO53" i="70"/>
  <c r="AL53" i="70"/>
  <c r="AI53" i="70"/>
  <c r="AF53" i="70"/>
  <c r="AC53" i="70"/>
  <c r="Z53" i="70"/>
  <c r="W53" i="70"/>
  <c r="T53" i="70"/>
  <c r="Q53" i="70"/>
  <c r="BM54" i="70" l="1"/>
  <c r="BJ54" i="70"/>
  <c r="BG54" i="70"/>
  <c r="BD56" i="70"/>
  <c r="BA54" i="70"/>
  <c r="AX54" i="70"/>
  <c r="AU54" i="70"/>
  <c r="AR54" i="70"/>
  <c r="AO54" i="70"/>
  <c r="AL54" i="70"/>
  <c r="AI54" i="70"/>
  <c r="AF54" i="70"/>
  <c r="AC54" i="70"/>
  <c r="Z54" i="70"/>
  <c r="W54" i="70"/>
  <c r="T54" i="70"/>
  <c r="Q54" i="70"/>
  <c r="BM55" i="70" l="1"/>
  <c r="BJ55" i="70"/>
  <c r="BG55" i="70"/>
  <c r="BD57" i="70"/>
  <c r="BA55" i="70"/>
  <c r="AX55" i="70"/>
  <c r="AU55" i="70"/>
  <c r="AR55" i="70"/>
  <c r="AO55" i="70"/>
  <c r="AL55" i="70"/>
  <c r="AI55" i="70"/>
  <c r="AF55" i="70"/>
  <c r="AC55" i="70"/>
  <c r="Z55" i="70"/>
  <c r="W55" i="70"/>
  <c r="T55" i="70"/>
  <c r="Q55" i="70"/>
  <c r="BM56" i="70" l="1"/>
  <c r="BJ56" i="70"/>
  <c r="BG56" i="70"/>
  <c r="BD58" i="70"/>
  <c r="BA56" i="70"/>
  <c r="AX56" i="70"/>
  <c r="AU56" i="70"/>
  <c r="AR56" i="70"/>
  <c r="AO56" i="70"/>
  <c r="AL56" i="70"/>
  <c r="AI56" i="70"/>
  <c r="AF56" i="70"/>
  <c r="AC56" i="70"/>
  <c r="Z56" i="70"/>
  <c r="W56" i="70"/>
  <c r="T56" i="70"/>
  <c r="Q56" i="70"/>
  <c r="BM57" i="70" l="1"/>
  <c r="BJ57" i="70"/>
  <c r="BG57" i="70"/>
  <c r="BD59" i="70"/>
  <c r="BA57" i="70"/>
  <c r="AX57" i="70"/>
  <c r="AU57" i="70"/>
  <c r="AR57" i="70"/>
  <c r="AO57" i="70"/>
  <c r="AL57" i="70"/>
  <c r="AI57" i="70"/>
  <c r="AF57" i="70"/>
  <c r="AC57" i="70"/>
  <c r="Z57" i="70"/>
  <c r="W57" i="70"/>
  <c r="T57" i="70"/>
  <c r="Q57" i="70"/>
  <c r="BM58" i="70" l="1"/>
  <c r="BJ58" i="70"/>
  <c r="BG58" i="70"/>
  <c r="BD60" i="70"/>
  <c r="BA58" i="70"/>
  <c r="AX58" i="70"/>
  <c r="AU58" i="70"/>
  <c r="AR58" i="70"/>
  <c r="AO58" i="70"/>
  <c r="AL58" i="70"/>
  <c r="AI58" i="70"/>
  <c r="AF58" i="70"/>
  <c r="AC58" i="70"/>
  <c r="Z58" i="70"/>
  <c r="W58" i="70"/>
  <c r="T58" i="70"/>
  <c r="Q58" i="70"/>
  <c r="BM59" i="70" l="1"/>
  <c r="BJ59" i="70"/>
  <c r="BG59" i="70"/>
  <c r="BD61" i="70"/>
  <c r="BA59" i="70"/>
  <c r="AX59" i="70"/>
  <c r="AU59" i="70"/>
  <c r="AR59" i="70"/>
  <c r="AO59" i="70"/>
  <c r="AL59" i="70"/>
  <c r="AI59" i="70"/>
  <c r="AF59" i="70"/>
  <c r="AC59" i="70"/>
  <c r="Z59" i="70"/>
  <c r="W59" i="70"/>
  <c r="T59" i="70"/>
  <c r="Q59" i="70"/>
  <c r="BM60" i="70" l="1"/>
  <c r="BJ60" i="70"/>
  <c r="BG60" i="70"/>
  <c r="BD62" i="70"/>
  <c r="BA60" i="70"/>
  <c r="AX60" i="70"/>
  <c r="AU60" i="70"/>
  <c r="AR60" i="70"/>
  <c r="AO60" i="70"/>
  <c r="AL60" i="70"/>
  <c r="AI60" i="70"/>
  <c r="AF60" i="70"/>
  <c r="AC60" i="70"/>
  <c r="Z60" i="70"/>
  <c r="W60" i="70"/>
  <c r="T60" i="70"/>
  <c r="Q60" i="70"/>
  <c r="BM61" i="70" l="1"/>
  <c r="BJ61" i="70"/>
  <c r="BG61" i="70"/>
  <c r="BD63" i="70"/>
  <c r="BA61" i="70"/>
  <c r="AX61" i="70"/>
  <c r="AU61" i="70"/>
  <c r="AR61" i="70"/>
  <c r="AO61" i="70"/>
  <c r="AL61" i="70"/>
  <c r="AI61" i="70"/>
  <c r="AF61" i="70"/>
  <c r="AC61" i="70"/>
  <c r="Z61" i="70"/>
  <c r="W61" i="70"/>
  <c r="T61" i="70"/>
  <c r="Q61" i="70"/>
  <c r="BM62" i="70" l="1"/>
  <c r="BJ62" i="70"/>
  <c r="BG62" i="70"/>
  <c r="BD64" i="70"/>
  <c r="BA62" i="70"/>
  <c r="AX62" i="70"/>
  <c r="AU62" i="70"/>
  <c r="AR62" i="70"/>
  <c r="AO62" i="70"/>
  <c r="AL62" i="70"/>
  <c r="AI62" i="70"/>
  <c r="AF62" i="70"/>
  <c r="AC62" i="70"/>
  <c r="Z62" i="70"/>
  <c r="W62" i="70"/>
  <c r="T62" i="70"/>
  <c r="Q62" i="70"/>
  <c r="BM63" i="70" l="1"/>
  <c r="BJ63" i="70"/>
  <c r="BG63" i="70"/>
  <c r="BD65" i="70"/>
  <c r="BA63" i="70"/>
  <c r="AX63" i="70"/>
  <c r="AU63" i="70"/>
  <c r="AR63" i="70"/>
  <c r="AO63" i="70"/>
  <c r="AL63" i="70"/>
  <c r="AI63" i="70"/>
  <c r="AF63" i="70"/>
  <c r="AC63" i="70"/>
  <c r="Z63" i="70"/>
  <c r="W63" i="70"/>
  <c r="T63" i="70"/>
  <c r="Q63" i="70"/>
  <c r="BM64" i="70" l="1"/>
  <c r="BJ64" i="70"/>
  <c r="BG64" i="70"/>
  <c r="BD66" i="70"/>
  <c r="BA64" i="70"/>
  <c r="AX64" i="70"/>
  <c r="AU64" i="70"/>
  <c r="AR64" i="70"/>
  <c r="AO64" i="70"/>
  <c r="AL64" i="70"/>
  <c r="AI64" i="70"/>
  <c r="AF64" i="70"/>
  <c r="AC64" i="70"/>
  <c r="Z64" i="70"/>
  <c r="W64" i="70"/>
  <c r="T64" i="70"/>
  <c r="Q64" i="70"/>
  <c r="BM65" i="70" l="1"/>
  <c r="BJ65" i="70"/>
  <c r="BG65" i="70"/>
  <c r="BD67" i="70"/>
  <c r="BA65" i="70"/>
  <c r="AX65" i="70"/>
  <c r="AU65" i="70"/>
  <c r="AR65" i="70"/>
  <c r="AO65" i="70"/>
  <c r="AL65" i="70"/>
  <c r="AI65" i="70"/>
  <c r="AF65" i="70"/>
  <c r="AC65" i="70"/>
  <c r="Z65" i="70"/>
  <c r="W65" i="70"/>
  <c r="T65" i="70"/>
  <c r="Q65" i="70"/>
  <c r="BM66" i="70" l="1"/>
  <c r="BJ66" i="70"/>
  <c r="BG66" i="70"/>
  <c r="BD68" i="70"/>
  <c r="BA66" i="70"/>
  <c r="AX66" i="70"/>
  <c r="AU66" i="70"/>
  <c r="AR66" i="70"/>
  <c r="AO66" i="70"/>
  <c r="AL66" i="70"/>
  <c r="AI66" i="70"/>
  <c r="AF66" i="70"/>
  <c r="AC66" i="70"/>
  <c r="Z66" i="70"/>
  <c r="W66" i="70"/>
  <c r="T66" i="70"/>
  <c r="Q66" i="70"/>
  <c r="BM67" i="70" l="1"/>
  <c r="BJ67" i="70"/>
  <c r="BG67" i="70"/>
  <c r="BD69" i="70"/>
  <c r="BA67" i="70"/>
  <c r="AX67" i="70"/>
  <c r="AU67" i="70"/>
  <c r="AR67" i="70"/>
  <c r="AO67" i="70"/>
  <c r="AL67" i="70"/>
  <c r="AI67" i="70"/>
  <c r="AF67" i="70"/>
  <c r="AC67" i="70"/>
  <c r="Z67" i="70"/>
  <c r="W67" i="70"/>
  <c r="T67" i="70"/>
  <c r="Q67" i="70"/>
  <c r="BM68" i="70" l="1"/>
  <c r="BJ68" i="70"/>
  <c r="BG68" i="70"/>
  <c r="BD70" i="70"/>
  <c r="BA68" i="70"/>
  <c r="AX68" i="70"/>
  <c r="AU68" i="70"/>
  <c r="AR68" i="70"/>
  <c r="AO68" i="70"/>
  <c r="AL68" i="70"/>
  <c r="AI68" i="70"/>
  <c r="AF68" i="70"/>
  <c r="AC68" i="70"/>
  <c r="Z68" i="70"/>
  <c r="W68" i="70"/>
  <c r="T68" i="70"/>
  <c r="Q68" i="70"/>
  <c r="BM69" i="70" l="1"/>
  <c r="BJ69" i="70"/>
  <c r="BG69" i="70"/>
  <c r="BD71" i="70"/>
  <c r="BA69" i="70"/>
  <c r="AX69" i="70"/>
  <c r="AU69" i="70"/>
  <c r="AR69" i="70"/>
  <c r="AO69" i="70"/>
  <c r="AL69" i="70"/>
  <c r="AI69" i="70"/>
  <c r="AF69" i="70"/>
  <c r="AC69" i="70"/>
  <c r="Z69" i="70"/>
  <c r="W69" i="70"/>
  <c r="T69" i="70"/>
  <c r="Q69" i="70"/>
  <c r="BM70" i="70" l="1"/>
  <c r="BJ70" i="70"/>
  <c r="BG70" i="70"/>
  <c r="BD72" i="70"/>
  <c r="BA70" i="70"/>
  <c r="AX70" i="70"/>
  <c r="AU70" i="70"/>
  <c r="AR70" i="70"/>
  <c r="AO70" i="70"/>
  <c r="AL70" i="70"/>
  <c r="AI70" i="70"/>
  <c r="AF70" i="70"/>
  <c r="AC70" i="70"/>
  <c r="Z70" i="70"/>
  <c r="W70" i="70"/>
  <c r="T70" i="70"/>
  <c r="Q70" i="70"/>
  <c r="BM71" i="70" l="1"/>
  <c r="BJ71" i="70"/>
  <c r="BG71" i="70"/>
  <c r="BD73" i="70"/>
  <c r="BA71" i="70"/>
  <c r="AX71" i="70"/>
  <c r="AU71" i="70"/>
  <c r="AR71" i="70"/>
  <c r="AO71" i="70"/>
  <c r="AL71" i="70"/>
  <c r="AI71" i="70"/>
  <c r="AF71" i="70"/>
  <c r="AC71" i="70"/>
  <c r="Z71" i="70"/>
  <c r="W71" i="70"/>
  <c r="T71" i="70"/>
  <c r="Q71" i="70"/>
  <c r="BM72" i="70" l="1"/>
  <c r="BJ72" i="70"/>
  <c r="BG72" i="70"/>
  <c r="BD74" i="70"/>
  <c r="BA72" i="70"/>
  <c r="AX72" i="70"/>
  <c r="AU72" i="70"/>
  <c r="AR72" i="70"/>
  <c r="AO72" i="70"/>
  <c r="AL72" i="70"/>
  <c r="AI72" i="70"/>
  <c r="AF72" i="70"/>
  <c r="AC72" i="70"/>
  <c r="Z72" i="70"/>
  <c r="W72" i="70"/>
  <c r="T72" i="70"/>
  <c r="Q72" i="70"/>
  <c r="BM73" i="70" l="1"/>
  <c r="BJ73" i="70"/>
  <c r="BG73" i="70"/>
  <c r="BD75" i="70"/>
  <c r="BA73" i="70"/>
  <c r="AX73" i="70"/>
  <c r="AU73" i="70"/>
  <c r="AR73" i="70"/>
  <c r="AO73" i="70"/>
  <c r="AL73" i="70"/>
  <c r="AI73" i="70"/>
  <c r="AF73" i="70"/>
  <c r="AC73" i="70"/>
  <c r="Z73" i="70"/>
  <c r="W73" i="70"/>
  <c r="T73" i="70"/>
  <c r="Q73" i="70"/>
  <c r="BM74" i="70" l="1"/>
  <c r="BJ74" i="70"/>
  <c r="BG74" i="70"/>
  <c r="BD76" i="70"/>
  <c r="BA74" i="70"/>
  <c r="AX74" i="70"/>
  <c r="AU74" i="70"/>
  <c r="AR74" i="70"/>
  <c r="AO74" i="70"/>
  <c r="AL74" i="70"/>
  <c r="AI74" i="70"/>
  <c r="AF74" i="70"/>
  <c r="AC74" i="70"/>
  <c r="Z74" i="70"/>
  <c r="W74" i="70"/>
  <c r="T74" i="70"/>
  <c r="Q74" i="70"/>
  <c r="BM75" i="70" l="1"/>
  <c r="BJ75" i="70"/>
  <c r="BG75" i="70"/>
  <c r="BD77" i="70"/>
  <c r="BA75" i="70"/>
  <c r="AX75" i="70"/>
  <c r="AU75" i="70"/>
  <c r="AR75" i="70"/>
  <c r="AO75" i="70"/>
  <c r="AL75" i="70"/>
  <c r="AI75" i="70"/>
  <c r="AF75" i="70"/>
  <c r="AC75" i="70"/>
  <c r="Z75" i="70"/>
  <c r="W75" i="70"/>
  <c r="T75" i="70"/>
  <c r="Q75" i="70"/>
  <c r="BM76" i="70" l="1"/>
  <c r="BJ76" i="70"/>
  <c r="BG76" i="70"/>
  <c r="BD78" i="70"/>
  <c r="BA76" i="70"/>
  <c r="AX76" i="70"/>
  <c r="AU76" i="70"/>
  <c r="AR76" i="70"/>
  <c r="AO76" i="70"/>
  <c r="AL76" i="70"/>
  <c r="AI76" i="70"/>
  <c r="AF76" i="70"/>
  <c r="AC76" i="70"/>
  <c r="Z76" i="70"/>
  <c r="W76" i="70"/>
  <c r="T76" i="70"/>
  <c r="Q76" i="70"/>
  <c r="BM77" i="70" l="1"/>
  <c r="BJ77" i="70"/>
  <c r="BG77" i="70"/>
  <c r="BD79" i="70"/>
  <c r="BA77" i="70"/>
  <c r="AX77" i="70"/>
  <c r="AU77" i="70"/>
  <c r="AR77" i="70"/>
  <c r="AO77" i="70"/>
  <c r="AL77" i="70"/>
  <c r="AI77" i="70"/>
  <c r="AF77" i="70"/>
  <c r="AC77" i="70"/>
  <c r="Z77" i="70"/>
  <c r="W77" i="70"/>
  <c r="T77" i="70"/>
  <c r="Q77" i="70"/>
  <c r="BM78" i="70" l="1"/>
  <c r="BJ78" i="70"/>
  <c r="BG78" i="70"/>
  <c r="BD80" i="70"/>
  <c r="BA78" i="70"/>
  <c r="AX78" i="70"/>
  <c r="AU78" i="70"/>
  <c r="AR78" i="70"/>
  <c r="AO78" i="70"/>
  <c r="AL78" i="70"/>
  <c r="AI78" i="70"/>
  <c r="AF78" i="70"/>
  <c r="AC78" i="70"/>
  <c r="Z78" i="70"/>
  <c r="W78" i="70"/>
  <c r="T78" i="70"/>
  <c r="Q78" i="70"/>
  <c r="BM79" i="70" l="1"/>
  <c r="BJ79" i="70"/>
  <c r="BG79" i="70"/>
  <c r="BD81" i="70"/>
  <c r="BA79" i="70"/>
  <c r="AX79" i="70"/>
  <c r="AU79" i="70"/>
  <c r="AR79" i="70"/>
  <c r="AO79" i="70"/>
  <c r="AL79" i="70"/>
  <c r="AI79" i="70"/>
  <c r="AF79" i="70"/>
  <c r="AC79" i="70"/>
  <c r="Z79" i="70"/>
  <c r="W79" i="70"/>
  <c r="T79" i="70"/>
  <c r="Q79" i="70"/>
  <c r="BM80" i="70" l="1"/>
  <c r="BJ80" i="70"/>
  <c r="BG80" i="70"/>
  <c r="BD82" i="70"/>
  <c r="BA80" i="70"/>
  <c r="AX80" i="70"/>
  <c r="AU80" i="70"/>
  <c r="AR80" i="70"/>
  <c r="AO80" i="70"/>
  <c r="AL80" i="70"/>
  <c r="AI80" i="70"/>
  <c r="AF80" i="70"/>
  <c r="AC80" i="70"/>
  <c r="Z80" i="70"/>
  <c r="W80" i="70"/>
  <c r="T80" i="70"/>
  <c r="Q80" i="70"/>
  <c r="BM81" i="70" l="1"/>
  <c r="BJ81" i="70"/>
  <c r="BG81" i="70"/>
  <c r="BD83" i="70"/>
  <c r="BA81" i="70"/>
  <c r="AX81" i="70"/>
  <c r="AU81" i="70"/>
  <c r="AR81" i="70"/>
  <c r="AO81" i="70"/>
  <c r="AL81" i="70"/>
  <c r="AI81" i="70"/>
  <c r="AF81" i="70"/>
  <c r="AC81" i="70"/>
  <c r="Z81" i="70"/>
  <c r="W81" i="70"/>
  <c r="T81" i="70"/>
  <c r="Q81" i="70"/>
  <c r="BM82" i="70" l="1"/>
  <c r="BJ82" i="70"/>
  <c r="BG82" i="70"/>
  <c r="BD84" i="70"/>
  <c r="BA82" i="70"/>
  <c r="AX82" i="70"/>
  <c r="AU82" i="70"/>
  <c r="AR82" i="70"/>
  <c r="AO82" i="70"/>
  <c r="AL82" i="70"/>
  <c r="AI82" i="70"/>
  <c r="AF82" i="70"/>
  <c r="AC82" i="70"/>
  <c r="Z82" i="70"/>
  <c r="W82" i="70"/>
  <c r="T82" i="70"/>
  <c r="Q82" i="70"/>
  <c r="BM83" i="70" l="1"/>
  <c r="BJ83" i="70"/>
  <c r="BG83" i="70"/>
  <c r="BD85" i="70"/>
  <c r="BA83" i="70"/>
  <c r="AX83" i="70"/>
  <c r="AU83" i="70"/>
  <c r="AR83" i="70"/>
  <c r="AO83" i="70"/>
  <c r="AL83" i="70"/>
  <c r="AI83" i="70"/>
  <c r="AF83" i="70"/>
  <c r="AC83" i="70"/>
  <c r="Z83" i="70"/>
  <c r="W83" i="70"/>
  <c r="T83" i="70"/>
  <c r="Q83" i="70"/>
  <c r="BM84" i="70" l="1"/>
  <c r="BJ84" i="70"/>
  <c r="BG84" i="70"/>
  <c r="BD86" i="70"/>
  <c r="BA84" i="70"/>
  <c r="AX84" i="70"/>
  <c r="AU84" i="70"/>
  <c r="AR84" i="70"/>
  <c r="AO84" i="70"/>
  <c r="AL84" i="70"/>
  <c r="AI84" i="70"/>
  <c r="AF84" i="70"/>
  <c r="AC84" i="70"/>
  <c r="Z84" i="70"/>
  <c r="W84" i="70"/>
  <c r="T84" i="70"/>
  <c r="Q84" i="70"/>
  <c r="BM85" i="70" l="1"/>
  <c r="BJ85" i="70"/>
  <c r="BG85" i="70"/>
  <c r="BD87" i="70"/>
  <c r="BA85" i="70"/>
  <c r="AX85" i="70"/>
  <c r="AU85" i="70"/>
  <c r="AR85" i="70"/>
  <c r="AO85" i="70"/>
  <c r="AL85" i="70"/>
  <c r="AI85" i="70"/>
  <c r="AF85" i="70"/>
  <c r="AC85" i="70"/>
  <c r="Z85" i="70"/>
  <c r="W85" i="70"/>
  <c r="T85" i="70"/>
  <c r="Q85" i="70"/>
  <c r="BM86" i="70" l="1"/>
  <c r="BJ86" i="70"/>
  <c r="BG86" i="70"/>
  <c r="BD88" i="70"/>
  <c r="BA86" i="70"/>
  <c r="AX86" i="70"/>
  <c r="AU86" i="70"/>
  <c r="AR86" i="70"/>
  <c r="AO86" i="70"/>
  <c r="AL86" i="70"/>
  <c r="AI86" i="70"/>
  <c r="AF86" i="70"/>
  <c r="AC86" i="70"/>
  <c r="Z86" i="70"/>
  <c r="W86" i="70"/>
  <c r="T86" i="70"/>
  <c r="Q86" i="70"/>
  <c r="BM87" i="70" l="1"/>
  <c r="BJ87" i="70"/>
  <c r="BG87" i="70"/>
  <c r="BD89" i="70"/>
  <c r="BA87" i="70"/>
  <c r="AX87" i="70"/>
  <c r="AU87" i="70"/>
  <c r="AR87" i="70"/>
  <c r="AO87" i="70"/>
  <c r="AL87" i="70"/>
  <c r="AI87" i="70"/>
  <c r="AF87" i="70"/>
  <c r="AC87" i="70"/>
  <c r="Z87" i="70"/>
  <c r="W87" i="70"/>
  <c r="T87" i="70"/>
  <c r="Q87" i="70"/>
  <c r="BM88" i="70" l="1"/>
  <c r="BJ88" i="70"/>
  <c r="BG88" i="70"/>
  <c r="BD90" i="70"/>
  <c r="BA88" i="70"/>
  <c r="AX88" i="70"/>
  <c r="AU88" i="70"/>
  <c r="AR88" i="70"/>
  <c r="AO88" i="70"/>
  <c r="AL88" i="70"/>
  <c r="AI88" i="70"/>
  <c r="AF88" i="70"/>
  <c r="AC88" i="70"/>
  <c r="Z88" i="70"/>
  <c r="W88" i="70"/>
  <c r="T88" i="70"/>
  <c r="Q88" i="70"/>
  <c r="BM89" i="70" l="1"/>
  <c r="BJ89" i="70"/>
  <c r="BG89" i="70"/>
  <c r="BD91" i="70"/>
  <c r="BA89" i="70"/>
  <c r="AX89" i="70"/>
  <c r="AU89" i="70"/>
  <c r="AR89" i="70"/>
  <c r="AO89" i="70"/>
  <c r="AL89" i="70"/>
  <c r="AI89" i="70"/>
  <c r="AF89" i="70"/>
  <c r="AC89" i="70"/>
  <c r="Z89" i="70"/>
  <c r="W89" i="70"/>
  <c r="T89" i="70"/>
  <c r="Q89" i="70"/>
  <c r="BM90" i="70" l="1"/>
  <c r="BJ90" i="70"/>
  <c r="BG90" i="70"/>
  <c r="BD92" i="70"/>
  <c r="BA90" i="70"/>
  <c r="AX90" i="70"/>
  <c r="AU90" i="70"/>
  <c r="AR90" i="70"/>
  <c r="AO90" i="70"/>
  <c r="AL90" i="70"/>
  <c r="AI90" i="70"/>
  <c r="AF90" i="70"/>
  <c r="AC90" i="70"/>
  <c r="Z90" i="70"/>
  <c r="W90" i="70"/>
  <c r="T90" i="70"/>
  <c r="Q90" i="70"/>
  <c r="BM91" i="70" l="1"/>
  <c r="BJ91" i="70"/>
  <c r="BG91" i="70"/>
  <c r="BD93" i="70"/>
  <c r="BA91" i="70"/>
  <c r="AX91" i="70"/>
  <c r="AU91" i="70"/>
  <c r="AR91" i="70"/>
  <c r="AO91" i="70"/>
  <c r="AL91" i="70"/>
  <c r="AI91" i="70"/>
  <c r="AF91" i="70"/>
  <c r="AC91" i="70"/>
  <c r="Z91" i="70"/>
  <c r="W91" i="70"/>
  <c r="T91" i="70"/>
  <c r="Q91" i="70"/>
  <c r="BM92" i="70" l="1"/>
  <c r="BJ92" i="70"/>
  <c r="BG92" i="70"/>
  <c r="BD94" i="70"/>
  <c r="BA92" i="70"/>
  <c r="AX92" i="70"/>
  <c r="AU92" i="70"/>
  <c r="AR92" i="70"/>
  <c r="AO92" i="70"/>
  <c r="AL92" i="70"/>
  <c r="AI92" i="70"/>
  <c r="AF92" i="70"/>
  <c r="AC92" i="70"/>
  <c r="Z92" i="70"/>
  <c r="W92" i="70"/>
  <c r="T92" i="70"/>
  <c r="Q92" i="70"/>
  <c r="BM93" i="70" l="1"/>
  <c r="BJ93" i="70"/>
  <c r="BG93" i="70"/>
  <c r="BD95" i="70"/>
  <c r="BA93" i="70"/>
  <c r="AX93" i="70"/>
  <c r="AU93" i="70"/>
  <c r="AR93" i="70"/>
  <c r="AO93" i="70"/>
  <c r="AL93" i="70"/>
  <c r="AI93" i="70"/>
  <c r="AF93" i="70"/>
  <c r="AC93" i="70"/>
  <c r="Z93" i="70"/>
  <c r="W93" i="70"/>
  <c r="T93" i="70"/>
  <c r="Q93" i="70"/>
  <c r="BM94" i="70" l="1"/>
  <c r="BJ94" i="70"/>
  <c r="BG94" i="70"/>
  <c r="BD96" i="70"/>
  <c r="BA94" i="70"/>
  <c r="AX94" i="70"/>
  <c r="AU94" i="70"/>
  <c r="AR94" i="70"/>
  <c r="AO94" i="70"/>
  <c r="AL94" i="70"/>
  <c r="AI94" i="70"/>
  <c r="AF94" i="70"/>
  <c r="AC94" i="70"/>
  <c r="Z94" i="70"/>
  <c r="W94" i="70"/>
  <c r="T94" i="70"/>
  <c r="Q94" i="70"/>
  <c r="BM95" i="70" l="1"/>
  <c r="BJ95" i="70"/>
  <c r="BG95" i="70"/>
  <c r="BD97" i="70"/>
  <c r="BA95" i="70"/>
  <c r="AX95" i="70"/>
  <c r="AU95" i="70"/>
  <c r="AR95" i="70"/>
  <c r="AO95" i="70"/>
  <c r="AL95" i="70"/>
  <c r="AI95" i="70"/>
  <c r="AF95" i="70"/>
  <c r="AC95" i="70"/>
  <c r="Z95" i="70"/>
  <c r="W95" i="70"/>
  <c r="T95" i="70"/>
  <c r="Q95" i="70"/>
  <c r="BM96" i="70" l="1"/>
  <c r="BJ96" i="70"/>
  <c r="BG96" i="70"/>
  <c r="BD98" i="70"/>
  <c r="BA96" i="70"/>
  <c r="AX96" i="70"/>
  <c r="AU96" i="70"/>
  <c r="AR96" i="70"/>
  <c r="AO96" i="70"/>
  <c r="AL96" i="70"/>
  <c r="AI96" i="70"/>
  <c r="AF96" i="70"/>
  <c r="AC96" i="70"/>
  <c r="Z96" i="70"/>
  <c r="W96" i="70"/>
  <c r="T96" i="70"/>
  <c r="Q96" i="70"/>
  <c r="BM97" i="70" l="1"/>
  <c r="BJ97" i="70"/>
  <c r="BG97" i="70"/>
  <c r="BD99" i="70"/>
  <c r="BA97" i="70"/>
  <c r="AX97" i="70"/>
  <c r="AU97" i="70"/>
  <c r="AR97" i="70"/>
  <c r="AO97" i="70"/>
  <c r="AL97" i="70"/>
  <c r="AI97" i="70"/>
  <c r="AF97" i="70"/>
  <c r="AC97" i="70"/>
  <c r="Z97" i="70"/>
  <c r="W97" i="70"/>
  <c r="T97" i="70"/>
  <c r="Q97" i="70"/>
  <c r="BM98" i="70" l="1"/>
  <c r="BJ98" i="70"/>
  <c r="BG98" i="70"/>
  <c r="BD100" i="70"/>
  <c r="BA98" i="70"/>
  <c r="AX98" i="70"/>
  <c r="AU98" i="70"/>
  <c r="AR98" i="70"/>
  <c r="AO98" i="70"/>
  <c r="AL98" i="70"/>
  <c r="AI98" i="70"/>
  <c r="AF98" i="70"/>
  <c r="AC98" i="70"/>
  <c r="Z98" i="70"/>
  <c r="W98" i="70"/>
  <c r="T98" i="70"/>
  <c r="Q98" i="70"/>
  <c r="BM99" i="70" l="1"/>
  <c r="BJ99" i="70"/>
  <c r="BG99" i="70"/>
  <c r="BD101" i="70"/>
  <c r="BA99" i="70"/>
  <c r="AX99" i="70"/>
  <c r="AU99" i="70"/>
  <c r="AR99" i="70"/>
  <c r="AO99" i="70"/>
  <c r="AL99" i="70"/>
  <c r="AI99" i="70"/>
  <c r="AF99" i="70"/>
  <c r="AC99" i="70"/>
  <c r="Z99" i="70"/>
  <c r="W99" i="70"/>
  <c r="T99" i="70"/>
  <c r="Q99" i="70"/>
  <c r="BM100" i="70" l="1"/>
  <c r="BJ100" i="70"/>
  <c r="BG100" i="70"/>
  <c r="BD102" i="70"/>
  <c r="BA100" i="70"/>
  <c r="AX100" i="70"/>
  <c r="AU100" i="70"/>
  <c r="AR100" i="70"/>
  <c r="AO100" i="70"/>
  <c r="AL100" i="70"/>
  <c r="AI100" i="70"/>
  <c r="AF100" i="70"/>
  <c r="AC100" i="70"/>
  <c r="Z100" i="70"/>
  <c r="W100" i="70"/>
  <c r="T100" i="70"/>
  <c r="Q100" i="70"/>
  <c r="BM101" i="70" l="1"/>
  <c r="BJ101" i="70"/>
  <c r="BG101" i="70"/>
  <c r="BD103" i="70"/>
  <c r="BA101" i="70"/>
  <c r="AX101" i="70"/>
  <c r="AU101" i="70"/>
  <c r="AR101" i="70"/>
  <c r="AO101" i="70"/>
  <c r="AL101" i="70"/>
  <c r="AI101" i="70"/>
  <c r="AF101" i="70"/>
  <c r="AC101" i="70"/>
  <c r="Z101" i="70"/>
  <c r="W101" i="70"/>
  <c r="T101" i="70"/>
  <c r="Q101" i="70"/>
  <c r="BM102" i="70" l="1"/>
  <c r="BJ102" i="70"/>
  <c r="BG102" i="70"/>
  <c r="BD104" i="70"/>
  <c r="BA102" i="70"/>
  <c r="AX102" i="70"/>
  <c r="AU102" i="70"/>
  <c r="AR102" i="70"/>
  <c r="AO102" i="70"/>
  <c r="AL102" i="70"/>
  <c r="AI102" i="70"/>
  <c r="AF102" i="70"/>
  <c r="AC102" i="70"/>
  <c r="Z102" i="70"/>
  <c r="W102" i="70"/>
  <c r="T102" i="70"/>
  <c r="Q102" i="70"/>
  <c r="BM103" i="70" l="1"/>
  <c r="BJ103" i="70"/>
  <c r="BG103" i="70"/>
  <c r="BD105" i="70"/>
  <c r="BA103" i="70"/>
  <c r="AX103" i="70"/>
  <c r="AU103" i="70"/>
  <c r="AR103" i="70"/>
  <c r="AO103" i="70"/>
  <c r="AL103" i="70"/>
  <c r="AI103" i="70"/>
  <c r="AF103" i="70"/>
  <c r="AC103" i="70"/>
  <c r="Z103" i="70"/>
  <c r="W103" i="70"/>
  <c r="T103" i="70"/>
  <c r="Q103" i="70"/>
  <c r="BM104" i="70" l="1"/>
  <c r="BJ104" i="70"/>
  <c r="BG104" i="70"/>
  <c r="BD106" i="70"/>
  <c r="BA104" i="70"/>
  <c r="AX104" i="70"/>
  <c r="AU104" i="70"/>
  <c r="AR104" i="70"/>
  <c r="AO104" i="70"/>
  <c r="AL104" i="70"/>
  <c r="AI104" i="70"/>
  <c r="AF104" i="70"/>
  <c r="AC104" i="70"/>
  <c r="Z104" i="70"/>
  <c r="W104" i="70"/>
  <c r="T104" i="70"/>
  <c r="Q104" i="70"/>
  <c r="BM105" i="70" l="1"/>
  <c r="BJ105" i="70"/>
  <c r="BG105" i="70"/>
  <c r="BD107" i="70"/>
  <c r="BA105" i="70"/>
  <c r="AX105" i="70"/>
  <c r="AU105" i="70"/>
  <c r="AR105" i="70"/>
  <c r="AO105" i="70"/>
  <c r="AL105" i="70"/>
  <c r="AI105" i="70"/>
  <c r="AF105" i="70"/>
  <c r="AC105" i="70"/>
  <c r="Z105" i="70"/>
  <c r="W105" i="70"/>
  <c r="T105" i="70"/>
  <c r="Q105" i="70"/>
  <c r="BM106" i="70" l="1"/>
  <c r="BJ106" i="70"/>
  <c r="BG106" i="70"/>
  <c r="BD108" i="70"/>
  <c r="BA106" i="70"/>
  <c r="AX106" i="70"/>
  <c r="AU106" i="70"/>
  <c r="AR106" i="70"/>
  <c r="AO106" i="70"/>
  <c r="AL106" i="70"/>
  <c r="AI106" i="70"/>
  <c r="AF106" i="70"/>
  <c r="AC106" i="70"/>
  <c r="Z106" i="70"/>
  <c r="W106" i="70"/>
  <c r="T106" i="70"/>
  <c r="Q106" i="70"/>
  <c r="BM107" i="70" l="1"/>
  <c r="BJ107" i="70"/>
  <c r="BG107" i="70"/>
  <c r="BD109" i="70"/>
  <c r="BA107" i="70"/>
  <c r="AX107" i="70"/>
  <c r="AU107" i="70"/>
  <c r="AR107" i="70"/>
  <c r="AO107" i="70"/>
  <c r="AL107" i="70"/>
  <c r="AI107" i="70"/>
  <c r="AF107" i="70"/>
  <c r="AC107" i="70"/>
  <c r="Z107" i="70"/>
  <c r="W107" i="70"/>
  <c r="T107" i="70"/>
  <c r="Q107" i="70"/>
  <c r="BM108" i="70" l="1"/>
  <c r="BJ108" i="70"/>
  <c r="BG108" i="70"/>
  <c r="BD110" i="70"/>
  <c r="BA108" i="70"/>
  <c r="AX108" i="70"/>
  <c r="AU108" i="70"/>
  <c r="AR108" i="70"/>
  <c r="AO108" i="70"/>
  <c r="AL108" i="70"/>
  <c r="AI108" i="70"/>
  <c r="AF108" i="70"/>
  <c r="AC108" i="70"/>
  <c r="Z108" i="70"/>
  <c r="W108" i="70"/>
  <c r="T108" i="70"/>
  <c r="Q108" i="70"/>
  <c r="BM109" i="70" l="1"/>
  <c r="BJ109" i="70"/>
  <c r="BG109" i="70"/>
  <c r="BD111" i="70"/>
  <c r="BA109" i="70"/>
  <c r="AX109" i="70"/>
  <c r="AU109" i="70"/>
  <c r="AR109" i="70"/>
  <c r="AO109" i="70"/>
  <c r="AL109" i="70"/>
  <c r="AI109" i="70"/>
  <c r="AF109" i="70"/>
  <c r="AC109" i="70"/>
  <c r="Z109" i="70"/>
  <c r="W109" i="70"/>
  <c r="T109" i="70"/>
  <c r="Q109" i="70"/>
  <c r="BM110" i="70" l="1"/>
  <c r="BJ110" i="70"/>
  <c r="BG110" i="70"/>
  <c r="BD112" i="70"/>
  <c r="BA110" i="70"/>
  <c r="AX110" i="70"/>
  <c r="AU110" i="70"/>
  <c r="AR110" i="70"/>
  <c r="AO110" i="70"/>
  <c r="AL110" i="70"/>
  <c r="AI110" i="70"/>
  <c r="AF110" i="70"/>
  <c r="AC110" i="70"/>
  <c r="Z110" i="70"/>
  <c r="W110" i="70"/>
  <c r="T110" i="70"/>
  <c r="Q110" i="70"/>
  <c r="BM111" i="70" l="1"/>
  <c r="BJ111" i="70"/>
  <c r="BG111" i="70"/>
  <c r="BD113" i="70"/>
  <c r="BA111" i="70"/>
  <c r="AX111" i="70"/>
  <c r="AU111" i="70"/>
  <c r="AR111" i="70"/>
  <c r="AO111" i="70"/>
  <c r="AL111" i="70"/>
  <c r="AI111" i="70"/>
  <c r="AF111" i="70"/>
  <c r="AC111" i="70"/>
  <c r="Z111" i="70"/>
  <c r="W111" i="70"/>
  <c r="T111" i="70"/>
  <c r="Q111" i="70"/>
  <c r="BM112" i="70" l="1"/>
  <c r="BJ112" i="70"/>
  <c r="BG112" i="70"/>
  <c r="BD114" i="70"/>
  <c r="BA112" i="70"/>
  <c r="AX112" i="70"/>
  <c r="AU112" i="70"/>
  <c r="AR112" i="70"/>
  <c r="AO112" i="70"/>
  <c r="AL112" i="70"/>
  <c r="AI112" i="70"/>
  <c r="AF112" i="70"/>
  <c r="AC112" i="70"/>
  <c r="Z112" i="70"/>
  <c r="W112" i="70"/>
  <c r="T112" i="70"/>
  <c r="Q112" i="70"/>
  <c r="BM113" i="70" l="1"/>
  <c r="BJ113" i="70"/>
  <c r="BG113" i="70"/>
  <c r="BD115" i="70"/>
  <c r="BA113" i="70"/>
  <c r="AX113" i="70"/>
  <c r="AU113" i="70"/>
  <c r="AR113" i="70"/>
  <c r="AO113" i="70"/>
  <c r="AL113" i="70"/>
  <c r="AI113" i="70"/>
  <c r="AF113" i="70"/>
  <c r="AC113" i="70"/>
  <c r="Z113" i="70"/>
  <c r="W113" i="70"/>
  <c r="T113" i="70"/>
  <c r="Q113" i="70"/>
  <c r="BM114" i="70" l="1"/>
  <c r="BJ114" i="70"/>
  <c r="BG114" i="70"/>
  <c r="BD116" i="70"/>
  <c r="BA114" i="70"/>
  <c r="AX114" i="70"/>
  <c r="AU114" i="70"/>
  <c r="AR114" i="70"/>
  <c r="AO114" i="70"/>
  <c r="AL114" i="70"/>
  <c r="AI114" i="70"/>
  <c r="AF114" i="70"/>
  <c r="AC114" i="70"/>
  <c r="Z114" i="70"/>
  <c r="W114" i="70"/>
  <c r="T114" i="70"/>
  <c r="Q114" i="70"/>
  <c r="BM115" i="70" l="1"/>
  <c r="BJ115" i="70"/>
  <c r="BG115" i="70"/>
  <c r="BD117" i="70"/>
  <c r="BA115" i="70"/>
  <c r="AX115" i="70"/>
  <c r="AU115" i="70"/>
  <c r="AR115" i="70"/>
  <c r="AO115" i="70"/>
  <c r="AL115" i="70"/>
  <c r="AI115" i="70"/>
  <c r="AF115" i="70"/>
  <c r="AC115" i="70"/>
  <c r="Z115" i="70"/>
  <c r="W115" i="70"/>
  <c r="T115" i="70"/>
  <c r="Q115" i="70"/>
  <c r="BM116" i="70" l="1"/>
  <c r="BJ116" i="70"/>
  <c r="BG116" i="70"/>
  <c r="BD118" i="70"/>
  <c r="BA116" i="70"/>
  <c r="AX116" i="70"/>
  <c r="AU116" i="70"/>
  <c r="AR116" i="70"/>
  <c r="AO116" i="70"/>
  <c r="AL116" i="70"/>
  <c r="AI116" i="70"/>
  <c r="AF116" i="70"/>
  <c r="AC116" i="70"/>
  <c r="Z116" i="70"/>
  <c r="W116" i="70"/>
  <c r="T116" i="70"/>
  <c r="Q116" i="70"/>
  <c r="BM117" i="70" l="1"/>
  <c r="BJ117" i="70"/>
  <c r="BG117" i="70"/>
  <c r="BD119" i="70"/>
  <c r="BA117" i="70"/>
  <c r="AX117" i="70"/>
  <c r="AU117" i="70"/>
  <c r="AR117" i="70"/>
  <c r="AO117" i="70"/>
  <c r="AL117" i="70"/>
  <c r="AI117" i="70"/>
  <c r="AF117" i="70"/>
  <c r="AC117" i="70"/>
  <c r="Z117" i="70"/>
  <c r="W117" i="70"/>
  <c r="T117" i="70"/>
  <c r="Q117" i="70"/>
  <c r="BM118" i="70" l="1"/>
  <c r="BJ118" i="70"/>
  <c r="BG118" i="70"/>
  <c r="BD120" i="70"/>
  <c r="BA118" i="70"/>
  <c r="AX118" i="70"/>
  <c r="AU118" i="70"/>
  <c r="AR118" i="70"/>
  <c r="AO118" i="70"/>
  <c r="AL118" i="70"/>
  <c r="AI118" i="70"/>
  <c r="AF118" i="70"/>
  <c r="AC118" i="70"/>
  <c r="Z118" i="70"/>
  <c r="W118" i="70"/>
  <c r="T118" i="70"/>
  <c r="Q118" i="70"/>
  <c r="BM119" i="70" l="1"/>
  <c r="BJ119" i="70"/>
  <c r="BG119" i="70"/>
  <c r="BD121" i="70"/>
  <c r="BA119" i="70"/>
  <c r="AX119" i="70"/>
  <c r="AU119" i="70"/>
  <c r="AR119" i="70"/>
  <c r="AO119" i="70"/>
  <c r="AL119" i="70"/>
  <c r="AI119" i="70"/>
  <c r="AF119" i="70"/>
  <c r="AC119" i="70"/>
  <c r="Z119" i="70"/>
  <c r="W119" i="70"/>
  <c r="T119" i="70"/>
  <c r="Q119" i="70"/>
  <c r="BM120" i="70" l="1"/>
  <c r="BJ120" i="70"/>
  <c r="BG120" i="70"/>
  <c r="BD122" i="70"/>
  <c r="BA120" i="70"/>
  <c r="AX120" i="70"/>
  <c r="AU120" i="70"/>
  <c r="AR120" i="70"/>
  <c r="AO120" i="70"/>
  <c r="AL120" i="70"/>
  <c r="AI120" i="70"/>
  <c r="AF120" i="70"/>
  <c r="AC120" i="70"/>
  <c r="Z120" i="70"/>
  <c r="W120" i="70"/>
  <c r="T120" i="70"/>
  <c r="Q120" i="70"/>
  <c r="BM121" i="70" l="1"/>
  <c r="BJ121" i="70"/>
  <c r="BG121" i="70"/>
  <c r="BD123" i="70"/>
  <c r="BA121" i="70"/>
  <c r="AX121" i="70"/>
  <c r="AU121" i="70"/>
  <c r="AR121" i="70"/>
  <c r="AO121" i="70"/>
  <c r="AL121" i="70"/>
  <c r="AI121" i="70"/>
  <c r="AF121" i="70"/>
  <c r="AC121" i="70"/>
  <c r="Z121" i="70"/>
  <c r="W121" i="70"/>
  <c r="T121" i="70"/>
  <c r="Q121" i="70"/>
  <c r="BM122" i="70" l="1"/>
  <c r="BJ122" i="70"/>
  <c r="BG122" i="70"/>
  <c r="BD124" i="70"/>
  <c r="BA122" i="70"/>
  <c r="AX122" i="70"/>
  <c r="AU122" i="70"/>
  <c r="AR122" i="70"/>
  <c r="AO122" i="70"/>
  <c r="AL122" i="70"/>
  <c r="AI122" i="70"/>
  <c r="AF122" i="70"/>
  <c r="AC122" i="70"/>
  <c r="Z122" i="70"/>
  <c r="W122" i="70"/>
  <c r="T122" i="70"/>
  <c r="Q122" i="70"/>
  <c r="BM123" i="70" l="1"/>
  <c r="BJ123" i="70"/>
  <c r="BG123" i="70"/>
  <c r="BD125" i="70"/>
  <c r="BA123" i="70"/>
  <c r="AX123" i="70"/>
  <c r="AU123" i="70"/>
  <c r="AR123" i="70"/>
  <c r="AO123" i="70"/>
  <c r="AL123" i="70"/>
  <c r="AI123" i="70"/>
  <c r="AF123" i="70"/>
  <c r="AC123" i="70"/>
  <c r="Z123" i="70"/>
  <c r="W123" i="70"/>
  <c r="T123" i="70"/>
  <c r="Q123" i="70"/>
  <c r="BM124" i="70" l="1"/>
  <c r="BJ124" i="70"/>
  <c r="BG124" i="70"/>
  <c r="BD126" i="70"/>
  <c r="BA124" i="70"/>
  <c r="AX124" i="70"/>
  <c r="AU124" i="70"/>
  <c r="AR124" i="70"/>
  <c r="AO124" i="70"/>
  <c r="AL124" i="70"/>
  <c r="AI124" i="70"/>
  <c r="AF124" i="70"/>
  <c r="AC124" i="70"/>
  <c r="Z124" i="70"/>
  <c r="W124" i="70"/>
  <c r="T124" i="70"/>
  <c r="Q124" i="70"/>
  <c r="BM125" i="70" l="1"/>
  <c r="BJ125" i="70"/>
  <c r="BG125" i="70"/>
  <c r="BD127" i="70"/>
  <c r="BA125" i="70"/>
  <c r="AX125" i="70"/>
  <c r="AU125" i="70"/>
  <c r="AR125" i="70"/>
  <c r="AO125" i="70"/>
  <c r="AL125" i="70"/>
  <c r="AI125" i="70"/>
  <c r="AF125" i="70"/>
  <c r="AC125" i="70"/>
  <c r="Z125" i="70"/>
  <c r="W125" i="70"/>
  <c r="T125" i="70"/>
  <c r="Q125" i="70"/>
  <c r="BM126" i="70" l="1"/>
  <c r="BJ126" i="70"/>
  <c r="BG126" i="70"/>
  <c r="BD128" i="70"/>
  <c r="BA126" i="70"/>
  <c r="AX126" i="70"/>
  <c r="AU126" i="70"/>
  <c r="AR126" i="70"/>
  <c r="AO126" i="70"/>
  <c r="AL126" i="70"/>
  <c r="AI126" i="70"/>
  <c r="AF126" i="70"/>
  <c r="AC126" i="70"/>
  <c r="Z126" i="70"/>
  <c r="W126" i="70"/>
  <c r="T126" i="70"/>
  <c r="Q126" i="70"/>
  <c r="BM127" i="70" l="1"/>
  <c r="BJ127" i="70"/>
  <c r="BG127" i="70"/>
  <c r="BD129" i="70"/>
  <c r="BA127" i="70"/>
  <c r="AX127" i="70"/>
  <c r="AU127" i="70"/>
  <c r="AR127" i="70"/>
  <c r="AO127" i="70"/>
  <c r="AL127" i="70"/>
  <c r="AI127" i="70"/>
  <c r="AF127" i="70"/>
  <c r="AC127" i="70"/>
  <c r="Z127" i="70"/>
  <c r="W127" i="70"/>
  <c r="T127" i="70"/>
  <c r="Q127" i="70"/>
  <c r="BM128" i="70" l="1"/>
  <c r="BJ128" i="70"/>
  <c r="BG128" i="70"/>
  <c r="BD130" i="70"/>
  <c r="BA128" i="70"/>
  <c r="AX128" i="70"/>
  <c r="AU128" i="70"/>
  <c r="AR128" i="70"/>
  <c r="AO128" i="70"/>
  <c r="AL128" i="70"/>
  <c r="AI128" i="70"/>
  <c r="AF128" i="70"/>
  <c r="AC128" i="70"/>
  <c r="Z128" i="70"/>
  <c r="W128" i="70"/>
  <c r="T128" i="70"/>
  <c r="Q128" i="70"/>
  <c r="BM129" i="70" l="1"/>
  <c r="BJ129" i="70"/>
  <c r="BG129" i="70"/>
  <c r="BD131" i="70"/>
  <c r="BA129" i="70"/>
  <c r="AX129" i="70"/>
  <c r="AU129" i="70"/>
  <c r="AR129" i="70"/>
  <c r="AO129" i="70"/>
  <c r="AL129" i="70"/>
  <c r="AI129" i="70"/>
  <c r="AF129" i="70"/>
  <c r="AC129" i="70"/>
  <c r="Z129" i="70"/>
  <c r="W129" i="70"/>
  <c r="T129" i="70"/>
  <c r="Q129" i="70"/>
  <c r="BM130" i="70" l="1"/>
  <c r="BJ130" i="70"/>
  <c r="BG130" i="70"/>
  <c r="BD132" i="70"/>
  <c r="BA130" i="70"/>
  <c r="AX130" i="70"/>
  <c r="AU130" i="70"/>
  <c r="AR130" i="70"/>
  <c r="AO130" i="70"/>
  <c r="AL130" i="70"/>
  <c r="AI130" i="70"/>
  <c r="AF130" i="70"/>
  <c r="AC130" i="70"/>
  <c r="Z130" i="70"/>
  <c r="W130" i="70"/>
  <c r="T130" i="70"/>
  <c r="Q130" i="70"/>
  <c r="BM131" i="70" l="1"/>
  <c r="BJ131" i="70"/>
  <c r="BG131" i="70"/>
  <c r="BD133" i="70"/>
  <c r="BA131" i="70"/>
  <c r="AX131" i="70"/>
  <c r="AU131" i="70"/>
  <c r="AR131" i="70"/>
  <c r="AO131" i="70"/>
  <c r="AL131" i="70"/>
  <c r="AI131" i="70"/>
  <c r="AF131" i="70"/>
  <c r="AC131" i="70"/>
  <c r="Z131" i="70"/>
  <c r="W131" i="70"/>
  <c r="T131" i="70"/>
  <c r="Q131" i="70"/>
  <c r="BM132" i="70" l="1"/>
  <c r="BJ132" i="70"/>
  <c r="BG132" i="70"/>
  <c r="BD134" i="70"/>
  <c r="BA132" i="70"/>
  <c r="AX132" i="70"/>
  <c r="AU132" i="70"/>
  <c r="AR132" i="70"/>
  <c r="AO132" i="70"/>
  <c r="AL132" i="70"/>
  <c r="AI132" i="70"/>
  <c r="AF132" i="70"/>
  <c r="AC132" i="70"/>
  <c r="Z132" i="70"/>
  <c r="W132" i="70"/>
  <c r="T132" i="70"/>
  <c r="Q132" i="70"/>
  <c r="BM133" i="70" l="1"/>
  <c r="BJ133" i="70"/>
  <c r="BG133" i="70"/>
  <c r="BD135" i="70"/>
  <c r="BA133" i="70"/>
  <c r="AX133" i="70"/>
  <c r="AU133" i="70"/>
  <c r="AR133" i="70"/>
  <c r="AO133" i="70"/>
  <c r="AL133" i="70"/>
  <c r="AI133" i="70"/>
  <c r="AF133" i="70"/>
  <c r="AC133" i="70"/>
  <c r="Z133" i="70"/>
  <c r="W133" i="70"/>
  <c r="T133" i="70"/>
  <c r="Q133" i="70"/>
  <c r="BM134" i="70" l="1"/>
  <c r="BJ134" i="70"/>
  <c r="BG134" i="70"/>
  <c r="BD136" i="70"/>
  <c r="BA134" i="70"/>
  <c r="AX134" i="70"/>
  <c r="AU134" i="70"/>
  <c r="AR134" i="70"/>
  <c r="AO134" i="70"/>
  <c r="AL134" i="70"/>
  <c r="AI134" i="70"/>
  <c r="AF134" i="70"/>
  <c r="AC134" i="70"/>
  <c r="Z134" i="70"/>
  <c r="W134" i="70"/>
  <c r="T134" i="70"/>
  <c r="Q134" i="70"/>
  <c r="BM135" i="70" l="1"/>
  <c r="BJ135" i="70"/>
  <c r="BG135" i="70"/>
  <c r="BD137" i="70"/>
  <c r="BA135" i="70"/>
  <c r="AX135" i="70"/>
  <c r="AU135" i="70"/>
  <c r="AR135" i="70"/>
  <c r="AO135" i="70"/>
  <c r="AL135" i="70"/>
  <c r="AI135" i="70"/>
  <c r="AF135" i="70"/>
  <c r="AC135" i="70"/>
  <c r="Z135" i="70"/>
  <c r="W135" i="70"/>
  <c r="T135" i="70"/>
  <c r="Q135" i="70"/>
  <c r="BM136" i="70" l="1"/>
  <c r="BJ136" i="70"/>
  <c r="BG136" i="70"/>
  <c r="BD138" i="70"/>
  <c r="BA136" i="70"/>
  <c r="AX136" i="70"/>
  <c r="AU136" i="70"/>
  <c r="AR136" i="70"/>
  <c r="AO136" i="70"/>
  <c r="AL136" i="70"/>
  <c r="AI136" i="70"/>
  <c r="AF136" i="70"/>
  <c r="AC136" i="70"/>
  <c r="Z136" i="70"/>
  <c r="W136" i="70"/>
  <c r="T136" i="70"/>
  <c r="Q136" i="70"/>
  <c r="BM137" i="70" l="1"/>
  <c r="BJ137" i="70"/>
  <c r="BG137" i="70"/>
  <c r="BD139" i="70"/>
  <c r="BA137" i="70"/>
  <c r="AX137" i="70"/>
  <c r="AU137" i="70"/>
  <c r="AR137" i="70"/>
  <c r="AO137" i="70"/>
  <c r="AL137" i="70"/>
  <c r="AI137" i="70"/>
  <c r="AF137" i="70"/>
  <c r="AC137" i="70"/>
  <c r="Z137" i="70"/>
  <c r="W137" i="70"/>
  <c r="T137" i="70"/>
  <c r="Q137" i="70"/>
  <c r="BM138" i="70" l="1"/>
  <c r="BJ138" i="70"/>
  <c r="BG138" i="70"/>
  <c r="BD140" i="70"/>
  <c r="BA138" i="70"/>
  <c r="AX138" i="70"/>
  <c r="AU138" i="70"/>
  <c r="AR138" i="70"/>
  <c r="AO138" i="70"/>
  <c r="AL138" i="70"/>
  <c r="AI138" i="70"/>
  <c r="AF138" i="70"/>
  <c r="AC138" i="70"/>
  <c r="Z138" i="70"/>
  <c r="W138" i="70"/>
  <c r="T138" i="70"/>
  <c r="Q138" i="70"/>
  <c r="BM139" i="70" l="1"/>
  <c r="BJ139" i="70"/>
  <c r="BG139" i="70"/>
  <c r="BD141" i="70"/>
  <c r="BA139" i="70"/>
  <c r="AX139" i="70"/>
  <c r="AU139" i="70"/>
  <c r="AR139" i="70"/>
  <c r="AO139" i="70"/>
  <c r="AL139" i="70"/>
  <c r="AI139" i="70"/>
  <c r="AF139" i="70"/>
  <c r="AC139" i="70"/>
  <c r="Z139" i="70"/>
  <c r="W139" i="70"/>
  <c r="T139" i="70"/>
  <c r="Q139" i="70"/>
  <c r="BM140" i="70" l="1"/>
  <c r="BJ140" i="70"/>
  <c r="BG140" i="70"/>
  <c r="BD142" i="70"/>
  <c r="BA140" i="70"/>
  <c r="AX140" i="70"/>
  <c r="AU140" i="70"/>
  <c r="AR140" i="70"/>
  <c r="AO140" i="70"/>
  <c r="AL140" i="70"/>
  <c r="AI140" i="70"/>
  <c r="AF140" i="70"/>
  <c r="AC140" i="70"/>
  <c r="Z140" i="70"/>
  <c r="W140" i="70"/>
  <c r="T140" i="70"/>
  <c r="Q140" i="70"/>
  <c r="BM141" i="70" l="1"/>
  <c r="BJ141" i="70"/>
  <c r="BG141" i="70"/>
  <c r="BD143" i="70"/>
  <c r="BA141" i="70"/>
  <c r="AX141" i="70"/>
  <c r="AU141" i="70"/>
  <c r="AR141" i="70"/>
  <c r="AO141" i="70"/>
  <c r="AL141" i="70"/>
  <c r="AI141" i="70"/>
  <c r="AF141" i="70"/>
  <c r="AC141" i="70"/>
  <c r="Z141" i="70"/>
  <c r="W141" i="70"/>
  <c r="T141" i="70"/>
  <c r="Q141" i="70"/>
  <c r="BM142" i="70" l="1"/>
  <c r="BJ142" i="70"/>
  <c r="BG142" i="70"/>
  <c r="BD144" i="70"/>
  <c r="BA142" i="70"/>
  <c r="AX142" i="70"/>
  <c r="AU142" i="70"/>
  <c r="AR142" i="70"/>
  <c r="AO142" i="70"/>
  <c r="AL142" i="70"/>
  <c r="AI142" i="70"/>
  <c r="AF142" i="70"/>
  <c r="AC142" i="70"/>
  <c r="Z142" i="70"/>
  <c r="W142" i="70"/>
  <c r="T142" i="70"/>
  <c r="Q142" i="70"/>
  <c r="BM143" i="70" l="1"/>
  <c r="BJ143" i="70"/>
  <c r="BG143" i="70"/>
  <c r="BD145" i="70"/>
  <c r="BA143" i="70"/>
  <c r="AX143" i="70"/>
  <c r="AU143" i="70"/>
  <c r="AR143" i="70"/>
  <c r="AO143" i="70"/>
  <c r="AL143" i="70"/>
  <c r="AI143" i="70"/>
  <c r="AF143" i="70"/>
  <c r="AC143" i="70"/>
  <c r="Z143" i="70"/>
  <c r="W143" i="70"/>
  <c r="T143" i="70"/>
  <c r="Q143" i="70"/>
  <c r="BM144" i="70" l="1"/>
  <c r="BJ144" i="70"/>
  <c r="BG144" i="70"/>
  <c r="BD146" i="70"/>
  <c r="BA144" i="70"/>
  <c r="AX144" i="70"/>
  <c r="AU144" i="70"/>
  <c r="AR144" i="70"/>
  <c r="AO144" i="70"/>
  <c r="AL144" i="70"/>
  <c r="AI144" i="70"/>
  <c r="AF144" i="70"/>
  <c r="AC144" i="70"/>
  <c r="Z144" i="70"/>
  <c r="W144" i="70"/>
  <c r="T144" i="70"/>
  <c r="Q144" i="70"/>
  <c r="BM145" i="70" l="1"/>
  <c r="BJ145" i="70"/>
  <c r="BG145" i="70"/>
  <c r="BD147" i="70"/>
  <c r="BA145" i="70"/>
  <c r="AX145" i="70"/>
  <c r="AU145" i="70"/>
  <c r="AR145" i="70"/>
  <c r="AO145" i="70"/>
  <c r="AL145" i="70"/>
  <c r="AI145" i="70"/>
  <c r="AF145" i="70"/>
  <c r="AC145" i="70"/>
  <c r="Z145" i="70"/>
  <c r="W145" i="70"/>
  <c r="T145" i="70"/>
  <c r="Q145" i="70"/>
  <c r="BM146" i="70" l="1"/>
  <c r="BJ146" i="70"/>
  <c r="BG146" i="70"/>
  <c r="BD148" i="70"/>
  <c r="BA146" i="70"/>
  <c r="AX146" i="70"/>
  <c r="AU146" i="70"/>
  <c r="AR146" i="70"/>
  <c r="AO146" i="70"/>
  <c r="AL146" i="70"/>
  <c r="AI146" i="70"/>
  <c r="AF146" i="70"/>
  <c r="AC146" i="70"/>
  <c r="Z146" i="70"/>
  <c r="W146" i="70"/>
  <c r="T146" i="70"/>
  <c r="Q146" i="70"/>
  <c r="BM147" i="70" l="1"/>
  <c r="BJ147" i="70"/>
  <c r="BG147" i="70"/>
  <c r="BD149" i="70"/>
  <c r="BA147" i="70"/>
  <c r="AX147" i="70"/>
  <c r="AU147" i="70"/>
  <c r="AR147" i="70"/>
  <c r="AO147" i="70"/>
  <c r="AL147" i="70"/>
  <c r="AI147" i="70"/>
  <c r="AF147" i="70"/>
  <c r="AC147" i="70"/>
  <c r="Z147" i="70"/>
  <c r="W147" i="70"/>
  <c r="T147" i="70"/>
  <c r="Q147" i="70"/>
  <c r="BM148" i="70" l="1"/>
  <c r="BJ148" i="70"/>
  <c r="BG148" i="70"/>
  <c r="BD150" i="70"/>
  <c r="BA148" i="70"/>
  <c r="AX148" i="70"/>
  <c r="AU148" i="70"/>
  <c r="AR148" i="70"/>
  <c r="AO148" i="70"/>
  <c r="AL148" i="70"/>
  <c r="AI148" i="70"/>
  <c r="AF148" i="70"/>
  <c r="AC148" i="70"/>
  <c r="Z148" i="70"/>
  <c r="W148" i="70"/>
  <c r="T148" i="70"/>
  <c r="Q148" i="70"/>
  <c r="BM149" i="70" l="1"/>
  <c r="BJ149" i="70"/>
  <c r="BG149" i="70"/>
  <c r="BD151" i="70"/>
  <c r="BA149" i="70"/>
  <c r="AX149" i="70"/>
  <c r="AU149" i="70"/>
  <c r="AR149" i="70"/>
  <c r="AO149" i="70"/>
  <c r="AL149" i="70"/>
  <c r="AI149" i="70"/>
  <c r="AF149" i="70"/>
  <c r="AC149" i="70"/>
  <c r="Z149" i="70"/>
  <c r="W149" i="70"/>
  <c r="T149" i="70"/>
  <c r="Q149" i="70"/>
  <c r="BM150" i="70" l="1"/>
  <c r="BJ150" i="70"/>
  <c r="BG150" i="70"/>
  <c r="BD152" i="70"/>
  <c r="BA150" i="70"/>
  <c r="AX150" i="70"/>
  <c r="AU150" i="70"/>
  <c r="AR150" i="70"/>
  <c r="AO150" i="70"/>
  <c r="AL150" i="70"/>
  <c r="AI150" i="70"/>
  <c r="AF150" i="70"/>
  <c r="AC150" i="70"/>
  <c r="Z150" i="70"/>
  <c r="W150" i="70"/>
  <c r="T150" i="70"/>
  <c r="Q150" i="70"/>
  <c r="BM151" i="70" l="1"/>
  <c r="BJ151" i="70"/>
  <c r="BG151" i="70"/>
  <c r="BD153" i="70"/>
  <c r="BA151" i="70"/>
  <c r="AX151" i="70"/>
  <c r="AU151" i="70"/>
  <c r="AR151" i="70"/>
  <c r="AO151" i="70"/>
  <c r="AL151" i="70"/>
  <c r="AI151" i="70"/>
  <c r="AF151" i="70"/>
  <c r="AC151" i="70"/>
  <c r="Z151" i="70"/>
  <c r="W151" i="70"/>
  <c r="T151" i="70"/>
  <c r="Q151" i="70"/>
  <c r="BM152" i="70" l="1"/>
  <c r="BJ152" i="70"/>
  <c r="BG152" i="70"/>
  <c r="BD154" i="70"/>
  <c r="BA152" i="70"/>
  <c r="AX152" i="70"/>
  <c r="AU152" i="70"/>
  <c r="AR152" i="70"/>
  <c r="AO152" i="70"/>
  <c r="AL152" i="70"/>
  <c r="AI152" i="70"/>
  <c r="AF152" i="70"/>
  <c r="AC152" i="70"/>
  <c r="Z152" i="70"/>
  <c r="W152" i="70"/>
  <c r="T152" i="70"/>
  <c r="Q152" i="70"/>
  <c r="BM153" i="70" l="1"/>
  <c r="BJ153" i="70"/>
  <c r="BG153" i="70"/>
  <c r="BD155" i="70"/>
  <c r="BA153" i="70"/>
  <c r="AX153" i="70"/>
  <c r="AU153" i="70"/>
  <c r="AR153" i="70"/>
  <c r="AO153" i="70"/>
  <c r="AL153" i="70"/>
  <c r="AI153" i="70"/>
  <c r="AF153" i="70"/>
  <c r="AC153" i="70"/>
  <c r="Z153" i="70"/>
  <c r="W153" i="70"/>
  <c r="T153" i="70"/>
  <c r="Q153" i="70"/>
  <c r="BM154" i="70" l="1"/>
  <c r="BJ154" i="70"/>
  <c r="BG154" i="70"/>
  <c r="BD156" i="70"/>
  <c r="BA154" i="70"/>
  <c r="AX154" i="70"/>
  <c r="AU154" i="70"/>
  <c r="AR154" i="70"/>
  <c r="AO154" i="70"/>
  <c r="AL154" i="70"/>
  <c r="AI154" i="70"/>
  <c r="AF154" i="70"/>
  <c r="AC154" i="70"/>
  <c r="Z154" i="70"/>
  <c r="W154" i="70"/>
  <c r="T154" i="70"/>
  <c r="Q154" i="70"/>
  <c r="BM155" i="70" l="1"/>
  <c r="BJ155" i="70"/>
  <c r="BG155" i="70"/>
  <c r="BD157" i="70"/>
  <c r="BA155" i="70"/>
  <c r="AX155" i="70"/>
  <c r="AU155" i="70"/>
  <c r="AR155" i="70"/>
  <c r="AO155" i="70"/>
  <c r="AL155" i="70"/>
  <c r="AI155" i="70"/>
  <c r="AF155" i="70"/>
  <c r="AC155" i="70"/>
  <c r="Z155" i="70"/>
  <c r="W155" i="70"/>
  <c r="T155" i="70"/>
  <c r="Q155" i="70"/>
  <c r="BM156" i="70" l="1"/>
  <c r="BJ156" i="70"/>
  <c r="BG156" i="70"/>
  <c r="BD158" i="70"/>
  <c r="BA156" i="70"/>
  <c r="AX156" i="70"/>
  <c r="AU156" i="70"/>
  <c r="AR156" i="70"/>
  <c r="AO156" i="70"/>
  <c r="AL156" i="70"/>
  <c r="AI156" i="70"/>
  <c r="AF156" i="70"/>
  <c r="AC156" i="70"/>
  <c r="Z156" i="70"/>
  <c r="W156" i="70"/>
  <c r="T156" i="70"/>
  <c r="Q156" i="70"/>
  <c r="BM157" i="70" l="1"/>
  <c r="BJ157" i="70"/>
  <c r="BG157" i="70"/>
  <c r="BD159" i="70"/>
  <c r="BA157" i="70"/>
  <c r="AX157" i="70"/>
  <c r="AU157" i="70"/>
  <c r="AR157" i="70"/>
  <c r="AO157" i="70"/>
  <c r="AL157" i="70"/>
  <c r="AI157" i="70"/>
  <c r="AF157" i="70"/>
  <c r="AC157" i="70"/>
  <c r="Z157" i="70"/>
  <c r="W157" i="70"/>
  <c r="T157" i="70"/>
  <c r="Q157" i="70"/>
  <c r="BM158" i="70" l="1"/>
  <c r="BJ158" i="70"/>
  <c r="BG158" i="70"/>
  <c r="BD160" i="70"/>
  <c r="BA158" i="70"/>
  <c r="AX158" i="70"/>
  <c r="AU158" i="70"/>
  <c r="AR158" i="70"/>
  <c r="AO158" i="70"/>
  <c r="AL158" i="70"/>
  <c r="AI158" i="70"/>
  <c r="AF158" i="70"/>
  <c r="AC158" i="70"/>
  <c r="Z158" i="70"/>
  <c r="W158" i="70"/>
  <c r="T158" i="70"/>
  <c r="Q158" i="70"/>
  <c r="BM159" i="70" l="1"/>
  <c r="BJ159" i="70"/>
  <c r="BG159" i="70"/>
  <c r="BD161" i="70"/>
  <c r="BA159" i="70"/>
  <c r="AX159" i="70"/>
  <c r="AU159" i="70"/>
  <c r="AR159" i="70"/>
  <c r="AO159" i="70"/>
  <c r="AL159" i="70"/>
  <c r="AI159" i="70"/>
  <c r="AF159" i="70"/>
  <c r="AC159" i="70"/>
  <c r="Z159" i="70"/>
  <c r="W159" i="70"/>
  <c r="T159" i="70"/>
  <c r="Q159" i="70"/>
  <c r="BM160" i="70" l="1"/>
  <c r="BJ160" i="70"/>
  <c r="BG160" i="70"/>
  <c r="BD162" i="70"/>
  <c r="BA160" i="70"/>
  <c r="AX160" i="70"/>
  <c r="AU160" i="70"/>
  <c r="AR160" i="70"/>
  <c r="AO160" i="70"/>
  <c r="AL160" i="70"/>
  <c r="AI160" i="70"/>
  <c r="AF160" i="70"/>
  <c r="AC160" i="70"/>
  <c r="Z160" i="70"/>
  <c r="W160" i="70"/>
  <c r="T160" i="70"/>
  <c r="Q160" i="70"/>
  <c r="BM161" i="70" l="1"/>
  <c r="BJ161" i="70"/>
  <c r="BG161" i="70"/>
  <c r="BD163" i="70"/>
  <c r="BA161" i="70"/>
  <c r="AX161" i="70"/>
  <c r="AU161" i="70"/>
  <c r="AR161" i="70"/>
  <c r="AO161" i="70"/>
  <c r="AL161" i="70"/>
  <c r="AI161" i="70"/>
  <c r="AF161" i="70"/>
  <c r="AC161" i="70"/>
  <c r="Z161" i="70"/>
  <c r="W161" i="70"/>
  <c r="T161" i="70"/>
  <c r="Q161" i="70"/>
  <c r="BM162" i="70" l="1"/>
  <c r="BJ162" i="70"/>
  <c r="BG162" i="70"/>
  <c r="BD164" i="70"/>
  <c r="BA162" i="70"/>
  <c r="AX162" i="70"/>
  <c r="AU162" i="70"/>
  <c r="AR162" i="70"/>
  <c r="AO162" i="70"/>
  <c r="AL162" i="70"/>
  <c r="AI162" i="70"/>
  <c r="AF162" i="70"/>
  <c r="AC162" i="70"/>
  <c r="Z162" i="70"/>
  <c r="W162" i="70"/>
  <c r="T162" i="70"/>
  <c r="Q162" i="70"/>
  <c r="BM163" i="70" l="1"/>
  <c r="BJ163" i="70"/>
  <c r="BG163" i="70"/>
  <c r="BD165" i="70"/>
  <c r="BA163" i="70"/>
  <c r="AX163" i="70"/>
  <c r="AU163" i="70"/>
  <c r="AR163" i="70"/>
  <c r="AO163" i="70"/>
  <c r="AL163" i="70"/>
  <c r="AI163" i="70"/>
  <c r="AF163" i="70"/>
  <c r="AC163" i="70"/>
  <c r="Z163" i="70"/>
  <c r="W163" i="70"/>
  <c r="T163" i="70"/>
  <c r="Q163" i="70"/>
  <c r="BM164" i="70" l="1"/>
  <c r="BJ164" i="70"/>
  <c r="BG164" i="70"/>
  <c r="BD166" i="70"/>
  <c r="BA164" i="70"/>
  <c r="AX164" i="70"/>
  <c r="AU164" i="70"/>
  <c r="AR164" i="70"/>
  <c r="AO164" i="70"/>
  <c r="AL164" i="70"/>
  <c r="AI164" i="70"/>
  <c r="AF164" i="70"/>
  <c r="AC164" i="70"/>
  <c r="Z164" i="70"/>
  <c r="W164" i="70"/>
  <c r="T164" i="70"/>
  <c r="Q164" i="70"/>
  <c r="BM165" i="70" l="1"/>
  <c r="BJ165" i="70"/>
  <c r="BG165" i="70"/>
  <c r="BD167" i="70"/>
  <c r="BA165" i="70"/>
  <c r="AX165" i="70"/>
  <c r="AU165" i="70"/>
  <c r="AR165" i="70"/>
  <c r="AO165" i="70"/>
  <c r="AL165" i="70"/>
  <c r="AI165" i="70"/>
  <c r="AF165" i="70"/>
  <c r="AC165" i="70"/>
  <c r="Z165" i="70"/>
  <c r="W165" i="70"/>
  <c r="T165" i="70"/>
  <c r="Q165" i="70"/>
  <c r="BM166" i="70" l="1"/>
  <c r="BJ166" i="70"/>
  <c r="BG166" i="70"/>
  <c r="BD168" i="70"/>
  <c r="BA166" i="70"/>
  <c r="AX166" i="70"/>
  <c r="AU166" i="70"/>
  <c r="AR166" i="70"/>
  <c r="AO166" i="70"/>
  <c r="AL166" i="70"/>
  <c r="AI166" i="70"/>
  <c r="AF166" i="70"/>
  <c r="AC166" i="70"/>
  <c r="Z166" i="70"/>
  <c r="W166" i="70"/>
  <c r="T166" i="70"/>
  <c r="Q166" i="70"/>
  <c r="BM167" i="70" l="1"/>
  <c r="BJ167" i="70"/>
  <c r="BG167" i="70"/>
  <c r="BD169" i="70"/>
  <c r="BA167" i="70"/>
  <c r="AX167" i="70"/>
  <c r="AU167" i="70"/>
  <c r="AR167" i="70"/>
  <c r="AO167" i="70"/>
  <c r="AL167" i="70"/>
  <c r="AI167" i="70"/>
  <c r="AF167" i="70"/>
  <c r="AC167" i="70"/>
  <c r="Z167" i="70"/>
  <c r="W167" i="70"/>
  <c r="T167" i="70"/>
  <c r="Q167" i="70"/>
  <c r="BM168" i="70" l="1"/>
  <c r="BJ168" i="70"/>
  <c r="BG168" i="70"/>
  <c r="BD170" i="70"/>
  <c r="BA168" i="70"/>
  <c r="AX168" i="70"/>
  <c r="AU168" i="70"/>
  <c r="AR168" i="70"/>
  <c r="AO168" i="70"/>
  <c r="AL168" i="70"/>
  <c r="AI168" i="70"/>
  <c r="AF168" i="70"/>
  <c r="AC168" i="70"/>
  <c r="Z168" i="70"/>
  <c r="W168" i="70"/>
  <c r="T168" i="70"/>
  <c r="Q168" i="70"/>
  <c r="BM169" i="70" l="1"/>
  <c r="BJ169" i="70"/>
  <c r="BG169" i="70"/>
  <c r="BD171" i="70"/>
  <c r="BA169" i="70"/>
  <c r="AX169" i="70"/>
  <c r="AU169" i="70"/>
  <c r="AR169" i="70"/>
  <c r="AO169" i="70"/>
  <c r="AL169" i="70"/>
  <c r="AI169" i="70"/>
  <c r="AF169" i="70"/>
  <c r="AC169" i="70"/>
  <c r="Z169" i="70"/>
  <c r="W169" i="70"/>
  <c r="T169" i="70"/>
  <c r="Q169" i="70"/>
  <c r="BM170" i="70" l="1"/>
  <c r="BJ170" i="70"/>
  <c r="BG170" i="70"/>
  <c r="BD172" i="70"/>
  <c r="BA170" i="70"/>
  <c r="AX170" i="70"/>
  <c r="AU170" i="70"/>
  <c r="AR170" i="70"/>
  <c r="AO170" i="70"/>
  <c r="AL170" i="70"/>
  <c r="AI170" i="70"/>
  <c r="AF170" i="70"/>
  <c r="AC170" i="70"/>
  <c r="Z170" i="70"/>
  <c r="W170" i="70"/>
  <c r="T170" i="70"/>
  <c r="Q170" i="70"/>
  <c r="BM171" i="70" l="1"/>
  <c r="BJ171" i="70"/>
  <c r="BG171" i="70"/>
  <c r="BD173" i="70"/>
  <c r="BA171" i="70"/>
  <c r="AX171" i="70"/>
  <c r="AU171" i="70"/>
  <c r="AR171" i="70"/>
  <c r="AO171" i="70"/>
  <c r="AL171" i="70"/>
  <c r="AI171" i="70"/>
  <c r="AF171" i="70"/>
  <c r="AC171" i="70"/>
  <c r="Z171" i="70"/>
  <c r="W171" i="70"/>
  <c r="T171" i="70"/>
  <c r="Q171" i="70"/>
  <c r="BM172" i="70" l="1"/>
  <c r="BJ172" i="70"/>
  <c r="BG172" i="70"/>
  <c r="BD174" i="70"/>
  <c r="BA172" i="70"/>
  <c r="AX172" i="70"/>
  <c r="AU172" i="70"/>
  <c r="AR172" i="70"/>
  <c r="AO172" i="70"/>
  <c r="AL172" i="70"/>
  <c r="AI172" i="70"/>
  <c r="AF172" i="70"/>
  <c r="AC172" i="70"/>
  <c r="Z172" i="70"/>
  <c r="W172" i="70"/>
  <c r="T172" i="70"/>
  <c r="Q172" i="70"/>
  <c r="BM173" i="70" l="1"/>
  <c r="BJ173" i="70"/>
  <c r="BG173" i="70"/>
  <c r="BD175" i="70"/>
  <c r="BA173" i="70"/>
  <c r="AX173" i="70"/>
  <c r="AU173" i="70"/>
  <c r="AR173" i="70"/>
  <c r="AO173" i="70"/>
  <c r="AL173" i="70"/>
  <c r="AI173" i="70"/>
  <c r="AF173" i="70"/>
  <c r="AC173" i="70"/>
  <c r="Z173" i="70"/>
  <c r="W173" i="70"/>
  <c r="T173" i="70"/>
  <c r="Q173" i="70"/>
  <c r="BM174" i="70" l="1"/>
  <c r="BJ174" i="70"/>
  <c r="BG174" i="70"/>
  <c r="BD176" i="70"/>
  <c r="BA174" i="70"/>
  <c r="AX174" i="70"/>
  <c r="AU174" i="70"/>
  <c r="AR174" i="70"/>
  <c r="AO174" i="70"/>
  <c r="AL174" i="70"/>
  <c r="AI174" i="70"/>
  <c r="AF174" i="70"/>
  <c r="AC174" i="70"/>
  <c r="Z174" i="70"/>
  <c r="W174" i="70"/>
  <c r="T174" i="70"/>
  <c r="Q174" i="70"/>
  <c r="BM175" i="70" l="1"/>
  <c r="BJ175" i="70"/>
  <c r="BG175" i="70"/>
  <c r="BD177" i="70"/>
  <c r="BA175" i="70"/>
  <c r="AX175" i="70"/>
  <c r="AU175" i="70"/>
  <c r="AR175" i="70"/>
  <c r="AO175" i="70"/>
  <c r="AL175" i="70"/>
  <c r="AI175" i="70"/>
  <c r="AF175" i="70"/>
  <c r="AC175" i="70"/>
  <c r="Z175" i="70"/>
  <c r="W175" i="70"/>
  <c r="T175" i="70"/>
  <c r="Q175" i="70"/>
  <c r="BM176" i="70" l="1"/>
  <c r="BJ176" i="70"/>
  <c r="BG176" i="70"/>
  <c r="BD178" i="70"/>
  <c r="BA176" i="70"/>
  <c r="AX176" i="70"/>
  <c r="AU176" i="70"/>
  <c r="AR176" i="70"/>
  <c r="AO176" i="70"/>
  <c r="AL176" i="70"/>
  <c r="AI176" i="70"/>
  <c r="AF176" i="70"/>
  <c r="AC176" i="70"/>
  <c r="Z176" i="70"/>
  <c r="W176" i="70"/>
  <c r="T176" i="70"/>
  <c r="Q176" i="70"/>
  <c r="BM177" i="70" l="1"/>
  <c r="BJ177" i="70"/>
  <c r="BG177" i="70"/>
  <c r="BD179" i="70"/>
  <c r="BA177" i="70"/>
  <c r="AX177" i="70"/>
  <c r="AU177" i="70"/>
  <c r="AR177" i="70"/>
  <c r="AO177" i="70"/>
  <c r="AL177" i="70"/>
  <c r="AI177" i="70"/>
  <c r="AF177" i="70"/>
  <c r="AC177" i="70"/>
  <c r="Z177" i="70"/>
  <c r="W177" i="70"/>
  <c r="T177" i="70"/>
  <c r="Q177" i="70"/>
  <c r="BM178" i="70" l="1"/>
  <c r="BJ178" i="70"/>
  <c r="BG178" i="70"/>
  <c r="BD180" i="70"/>
  <c r="BA178" i="70"/>
  <c r="AX178" i="70"/>
  <c r="AU178" i="70"/>
  <c r="AR178" i="70"/>
  <c r="AO178" i="70"/>
  <c r="AL178" i="70"/>
  <c r="AI178" i="70"/>
  <c r="AF178" i="70"/>
  <c r="AC178" i="70"/>
  <c r="Z178" i="70"/>
  <c r="W178" i="70"/>
  <c r="T178" i="70"/>
  <c r="Q178" i="70"/>
  <c r="BM179" i="70" l="1"/>
  <c r="BJ179" i="70"/>
  <c r="BG179" i="70"/>
  <c r="BD181" i="70"/>
  <c r="BA179" i="70"/>
  <c r="AX179" i="70"/>
  <c r="AU179" i="70"/>
  <c r="AR179" i="70"/>
  <c r="AO179" i="70"/>
  <c r="AL179" i="70"/>
  <c r="AI179" i="70"/>
  <c r="AF179" i="70"/>
  <c r="AC179" i="70"/>
  <c r="Z179" i="70"/>
  <c r="W179" i="70"/>
  <c r="T179" i="70"/>
  <c r="Q179" i="70"/>
  <c r="BM180" i="70" l="1"/>
  <c r="BJ180" i="70"/>
  <c r="BG180" i="70"/>
  <c r="BD182" i="70"/>
  <c r="BA180" i="70"/>
  <c r="AX180" i="70"/>
  <c r="AU180" i="70"/>
  <c r="AR180" i="70"/>
  <c r="AO180" i="70"/>
  <c r="AL180" i="70"/>
  <c r="AI180" i="70"/>
  <c r="AF180" i="70"/>
  <c r="AC180" i="70"/>
  <c r="Z180" i="70"/>
  <c r="W180" i="70"/>
  <c r="T180" i="70"/>
  <c r="Q180" i="70"/>
  <c r="BM181" i="70" l="1"/>
  <c r="BJ181" i="70"/>
  <c r="BG181" i="70"/>
  <c r="BD183" i="70"/>
  <c r="BA181" i="70"/>
  <c r="AX181" i="70"/>
  <c r="AU181" i="70"/>
  <c r="AR181" i="70"/>
  <c r="AO181" i="70"/>
  <c r="AL181" i="70"/>
  <c r="AI181" i="70"/>
  <c r="AF181" i="70"/>
  <c r="AC181" i="70"/>
  <c r="Z181" i="70"/>
  <c r="W181" i="70"/>
  <c r="T181" i="70"/>
  <c r="Q181" i="70"/>
  <c r="BM182" i="70" l="1"/>
  <c r="BJ182" i="70"/>
  <c r="BG182" i="70"/>
  <c r="BD184" i="70"/>
  <c r="BA182" i="70"/>
  <c r="AX182" i="70"/>
  <c r="AU182" i="70"/>
  <c r="AR182" i="70"/>
  <c r="AO182" i="70"/>
  <c r="AL182" i="70"/>
  <c r="AI182" i="70"/>
  <c r="AF182" i="70"/>
  <c r="AC182" i="70"/>
  <c r="Z182" i="70"/>
  <c r="W182" i="70"/>
  <c r="T182" i="70"/>
  <c r="Q182" i="70"/>
  <c r="BM183" i="70" l="1"/>
  <c r="BJ183" i="70"/>
  <c r="BG183" i="70"/>
  <c r="BD185" i="70"/>
  <c r="BA183" i="70"/>
  <c r="AX183" i="70"/>
  <c r="AU183" i="70"/>
  <c r="AR183" i="70"/>
  <c r="AO183" i="70"/>
  <c r="AL183" i="70"/>
  <c r="AI183" i="70"/>
  <c r="AF183" i="70"/>
  <c r="AC183" i="70"/>
  <c r="Z183" i="70"/>
  <c r="W183" i="70"/>
  <c r="T183" i="70"/>
  <c r="Q183" i="70"/>
  <c r="BM184" i="70" l="1"/>
  <c r="BJ184" i="70"/>
  <c r="BG184" i="70"/>
  <c r="BD186" i="70"/>
  <c r="BA184" i="70"/>
  <c r="AX184" i="70"/>
  <c r="AU184" i="70"/>
  <c r="AR184" i="70"/>
  <c r="AO184" i="70"/>
  <c r="AL184" i="70"/>
  <c r="AI184" i="70"/>
  <c r="AF184" i="70"/>
  <c r="AC184" i="70"/>
  <c r="Z184" i="70"/>
  <c r="W184" i="70"/>
  <c r="T184" i="70"/>
  <c r="Q184" i="70"/>
  <c r="BM185" i="70" l="1"/>
  <c r="BJ185" i="70"/>
  <c r="BG185" i="70"/>
  <c r="BD187" i="70"/>
  <c r="BA185" i="70"/>
  <c r="AX185" i="70"/>
  <c r="AU185" i="70"/>
  <c r="AR185" i="70"/>
  <c r="AO185" i="70"/>
  <c r="AL185" i="70"/>
  <c r="AI185" i="70"/>
  <c r="AF185" i="70"/>
  <c r="AC185" i="70"/>
  <c r="Z185" i="70"/>
  <c r="W185" i="70"/>
  <c r="T185" i="70"/>
  <c r="Q185" i="70"/>
  <c r="BM186" i="70" l="1"/>
  <c r="BJ186" i="70"/>
  <c r="BG186" i="70"/>
  <c r="BD188" i="70"/>
  <c r="BA186" i="70"/>
  <c r="AX186" i="70"/>
  <c r="AU186" i="70"/>
  <c r="AR186" i="70"/>
  <c r="AO186" i="70"/>
  <c r="AL186" i="70"/>
  <c r="AI186" i="70"/>
  <c r="AF186" i="70"/>
  <c r="AC186" i="70"/>
  <c r="Z186" i="70"/>
  <c r="W186" i="70"/>
  <c r="T186" i="70"/>
  <c r="Q186" i="70"/>
  <c r="BM187" i="70" l="1"/>
  <c r="BJ187" i="70"/>
  <c r="BG187" i="70"/>
  <c r="BD189" i="70"/>
  <c r="BA187" i="70"/>
  <c r="AX187" i="70"/>
  <c r="AU187" i="70"/>
  <c r="AR187" i="70"/>
  <c r="AO187" i="70"/>
  <c r="AL187" i="70"/>
  <c r="AI187" i="70"/>
  <c r="AF187" i="70"/>
  <c r="AC187" i="70"/>
  <c r="Z187" i="70"/>
  <c r="W187" i="70"/>
  <c r="T187" i="70"/>
  <c r="Q187" i="70"/>
  <c r="BM188" i="70" l="1"/>
  <c r="BJ188" i="70"/>
  <c r="BG188" i="70"/>
  <c r="BD190" i="70"/>
  <c r="BA188" i="70"/>
  <c r="AX188" i="70"/>
  <c r="AU188" i="70"/>
  <c r="AR188" i="70"/>
  <c r="AO188" i="70"/>
  <c r="AL188" i="70"/>
  <c r="AI188" i="70"/>
  <c r="AF188" i="70"/>
  <c r="AC188" i="70"/>
  <c r="Z188" i="70"/>
  <c r="W188" i="70"/>
  <c r="T188" i="70"/>
  <c r="Q188" i="70"/>
  <c r="BM189" i="70" l="1"/>
  <c r="BJ189" i="70"/>
  <c r="BG189" i="70"/>
  <c r="BD191" i="70"/>
  <c r="BA189" i="70"/>
  <c r="AX189" i="70"/>
  <c r="AU189" i="70"/>
  <c r="AR189" i="70"/>
  <c r="AO189" i="70"/>
  <c r="AL189" i="70"/>
  <c r="AI189" i="70"/>
  <c r="AF189" i="70"/>
  <c r="AC189" i="70"/>
  <c r="Z189" i="70"/>
  <c r="W189" i="70"/>
  <c r="T189" i="70"/>
  <c r="Q189" i="70"/>
  <c r="BM190" i="70" l="1"/>
  <c r="BJ190" i="70"/>
  <c r="BG190" i="70"/>
  <c r="BD192" i="70"/>
  <c r="BA190" i="70"/>
  <c r="AX190" i="70"/>
  <c r="AU190" i="70"/>
  <c r="AR190" i="70"/>
  <c r="AO190" i="70"/>
  <c r="AL190" i="70"/>
  <c r="AI190" i="70"/>
  <c r="AF190" i="70"/>
  <c r="AC190" i="70"/>
  <c r="Z190" i="70"/>
  <c r="W190" i="70"/>
  <c r="T190" i="70"/>
  <c r="Q190" i="70"/>
  <c r="BM191" i="70" l="1"/>
  <c r="BJ191" i="70"/>
  <c r="BG191" i="70"/>
  <c r="BD193" i="70"/>
  <c r="BA191" i="70"/>
  <c r="AX191" i="70"/>
  <c r="AU191" i="70"/>
  <c r="AR191" i="70"/>
  <c r="AO191" i="70"/>
  <c r="AL191" i="70"/>
  <c r="AI191" i="70"/>
  <c r="AF191" i="70"/>
  <c r="AC191" i="70"/>
  <c r="Z191" i="70"/>
  <c r="W191" i="70"/>
  <c r="T191" i="70"/>
  <c r="Q191" i="70"/>
  <c r="BM192" i="70" l="1"/>
  <c r="BJ192" i="70"/>
  <c r="BG192" i="70"/>
  <c r="BD194" i="70"/>
  <c r="BA192" i="70"/>
  <c r="AX192" i="70"/>
  <c r="AU192" i="70"/>
  <c r="AR192" i="70"/>
  <c r="AO192" i="70"/>
  <c r="AL192" i="70"/>
  <c r="AI192" i="70"/>
  <c r="AF192" i="70"/>
  <c r="AC192" i="70"/>
  <c r="Z192" i="70"/>
  <c r="W192" i="70"/>
  <c r="T192" i="70"/>
  <c r="Q192" i="70"/>
  <c r="BM193" i="70" l="1"/>
  <c r="BJ193" i="70"/>
  <c r="BG193" i="70"/>
  <c r="BD195" i="70"/>
  <c r="BA193" i="70"/>
  <c r="AX193" i="70"/>
  <c r="AU193" i="70"/>
  <c r="AR193" i="70"/>
  <c r="AO193" i="70"/>
  <c r="AL193" i="70"/>
  <c r="AI193" i="70"/>
  <c r="AF193" i="70"/>
  <c r="AC193" i="70"/>
  <c r="Z193" i="70"/>
  <c r="W193" i="70"/>
  <c r="T193" i="70"/>
  <c r="Q193" i="70"/>
  <c r="BM194" i="70" l="1"/>
  <c r="BJ194" i="70"/>
  <c r="BG194" i="70"/>
  <c r="BD196" i="70"/>
  <c r="BA194" i="70"/>
  <c r="AX194" i="70"/>
  <c r="AU194" i="70"/>
  <c r="AR194" i="70"/>
  <c r="AO194" i="70"/>
  <c r="AL194" i="70"/>
  <c r="AI194" i="70"/>
  <c r="AF194" i="70"/>
  <c r="AC194" i="70"/>
  <c r="Z194" i="70"/>
  <c r="W194" i="70"/>
  <c r="T194" i="70"/>
  <c r="Q194" i="70"/>
  <c r="BM195" i="70" l="1"/>
  <c r="BJ195" i="70"/>
  <c r="BG195" i="70"/>
  <c r="BD197" i="70"/>
  <c r="BA195" i="70"/>
  <c r="AX195" i="70"/>
  <c r="AU195" i="70"/>
  <c r="AR195" i="70"/>
  <c r="AO195" i="70"/>
  <c r="AL195" i="70"/>
  <c r="AI195" i="70"/>
  <c r="AF195" i="70"/>
  <c r="AC195" i="70"/>
  <c r="Z195" i="70"/>
  <c r="W195" i="70"/>
  <c r="T195" i="70"/>
  <c r="Q195" i="70"/>
  <c r="BM196" i="70" l="1"/>
  <c r="BJ196" i="70"/>
  <c r="BG196" i="70"/>
  <c r="BD198" i="70"/>
  <c r="BA196" i="70"/>
  <c r="AX196" i="70"/>
  <c r="AU196" i="70"/>
  <c r="AR196" i="70"/>
  <c r="AO196" i="70"/>
  <c r="AL196" i="70"/>
  <c r="AI196" i="70"/>
  <c r="AF196" i="70"/>
  <c r="AC196" i="70"/>
  <c r="Z196" i="70"/>
  <c r="W196" i="70"/>
  <c r="T196" i="70"/>
  <c r="Q196" i="70"/>
  <c r="BM197" i="70" l="1"/>
  <c r="BJ197" i="70"/>
  <c r="BG197" i="70"/>
  <c r="BD199" i="70"/>
  <c r="BA197" i="70"/>
  <c r="AX197" i="70"/>
  <c r="AU197" i="70"/>
  <c r="AR197" i="70"/>
  <c r="AO197" i="70"/>
  <c r="AL197" i="70"/>
  <c r="AI197" i="70"/>
  <c r="AF197" i="70"/>
  <c r="AC197" i="70"/>
  <c r="Z197" i="70"/>
  <c r="W197" i="70"/>
  <c r="T197" i="70"/>
  <c r="Q197" i="70"/>
  <c r="BM198" i="70" l="1"/>
  <c r="BJ198" i="70"/>
  <c r="BG198" i="70"/>
  <c r="BD200" i="70"/>
  <c r="BA198" i="70"/>
  <c r="AX198" i="70"/>
  <c r="AU198" i="70"/>
  <c r="AR198" i="70"/>
  <c r="AO198" i="70"/>
  <c r="AL198" i="70"/>
  <c r="AI198" i="70"/>
  <c r="AF198" i="70"/>
  <c r="AC198" i="70"/>
  <c r="Z198" i="70"/>
  <c r="W198" i="70"/>
  <c r="T198" i="70"/>
  <c r="Q198" i="70"/>
  <c r="BM199" i="70" l="1"/>
  <c r="BJ199" i="70"/>
  <c r="BG199" i="70"/>
  <c r="BD201" i="70"/>
  <c r="BA199" i="70"/>
  <c r="AX199" i="70"/>
  <c r="AU199" i="70"/>
  <c r="AR199" i="70"/>
  <c r="AO199" i="70"/>
  <c r="AL199" i="70"/>
  <c r="AI199" i="70"/>
  <c r="AF199" i="70"/>
  <c r="AC199" i="70"/>
  <c r="Z199" i="70"/>
  <c r="W199" i="70"/>
  <c r="T199" i="70"/>
  <c r="Q199" i="70"/>
  <c r="BM200" i="70" l="1"/>
  <c r="BJ200" i="70"/>
  <c r="BG200" i="70"/>
  <c r="BD202" i="70"/>
  <c r="BA200" i="70"/>
  <c r="AX200" i="70"/>
  <c r="AU200" i="70"/>
  <c r="AR200" i="70"/>
  <c r="AO200" i="70"/>
  <c r="AL200" i="70"/>
  <c r="AI200" i="70"/>
  <c r="AF200" i="70"/>
  <c r="AC200" i="70"/>
  <c r="Z200" i="70"/>
  <c r="W200" i="70"/>
  <c r="T200" i="70"/>
  <c r="Q200" i="70"/>
  <c r="BM201" i="70" l="1"/>
  <c r="BJ201" i="70"/>
  <c r="BG201" i="70"/>
  <c r="BD203" i="70"/>
  <c r="BA201" i="70"/>
  <c r="AX201" i="70"/>
  <c r="AU201" i="70"/>
  <c r="AR201" i="70"/>
  <c r="AO201" i="70"/>
  <c r="AL201" i="70"/>
  <c r="AI201" i="70"/>
  <c r="AF201" i="70"/>
  <c r="AC201" i="70"/>
  <c r="Z201" i="70"/>
  <c r="W201" i="70"/>
  <c r="T201" i="70"/>
  <c r="Q201" i="70"/>
  <c r="BM202" i="70" l="1"/>
  <c r="BJ202" i="70"/>
  <c r="BG202" i="70"/>
  <c r="BD204" i="70"/>
  <c r="BA202" i="70"/>
  <c r="AX202" i="70"/>
  <c r="AU202" i="70"/>
  <c r="AR202" i="70"/>
  <c r="AO202" i="70"/>
  <c r="AL202" i="70"/>
  <c r="AI202" i="70"/>
  <c r="AF202" i="70"/>
  <c r="AC202" i="70"/>
  <c r="Z202" i="70"/>
  <c r="W202" i="70"/>
  <c r="T202" i="70"/>
  <c r="Q202" i="70"/>
  <c r="BM203" i="70" l="1"/>
  <c r="BJ203" i="70"/>
  <c r="BG203" i="70"/>
  <c r="BD205" i="70"/>
  <c r="BA203" i="70"/>
  <c r="AX203" i="70"/>
  <c r="AU203" i="70"/>
  <c r="AR203" i="70"/>
  <c r="AO203" i="70"/>
  <c r="AL203" i="70"/>
  <c r="AI203" i="70"/>
  <c r="AF203" i="70"/>
  <c r="AC203" i="70"/>
  <c r="Z203" i="70"/>
  <c r="W203" i="70"/>
  <c r="T203" i="70"/>
  <c r="Q203" i="70"/>
  <c r="BM204" i="70" l="1"/>
  <c r="BJ204" i="70"/>
  <c r="BG204" i="70"/>
  <c r="BD206" i="70"/>
  <c r="BA204" i="70"/>
  <c r="AX204" i="70"/>
  <c r="AU204" i="70"/>
  <c r="AR204" i="70"/>
  <c r="AO204" i="70"/>
  <c r="AL204" i="70"/>
  <c r="AI204" i="70"/>
  <c r="AF204" i="70"/>
  <c r="AC204" i="70"/>
  <c r="Z204" i="70"/>
  <c r="W204" i="70"/>
  <c r="T204" i="70"/>
  <c r="Q204" i="70"/>
  <c r="BM205" i="70" l="1"/>
  <c r="BJ205" i="70"/>
  <c r="BG205" i="70"/>
  <c r="BD207" i="70"/>
  <c r="BA205" i="70"/>
  <c r="AX205" i="70"/>
  <c r="AU205" i="70"/>
  <c r="AR205" i="70"/>
  <c r="AO205" i="70"/>
  <c r="AL205" i="70"/>
  <c r="AI205" i="70"/>
  <c r="AF205" i="70"/>
  <c r="AC205" i="70"/>
  <c r="Z205" i="70"/>
  <c r="W205" i="70"/>
  <c r="T205" i="70"/>
  <c r="Q205" i="70"/>
  <c r="BM206" i="70" l="1"/>
  <c r="BJ206" i="70"/>
  <c r="BG206" i="70"/>
  <c r="BD208" i="70"/>
  <c r="BA206" i="70"/>
  <c r="AX206" i="70"/>
  <c r="AU206" i="70"/>
  <c r="AR206" i="70"/>
  <c r="AO206" i="70"/>
  <c r="AL206" i="70"/>
  <c r="AI206" i="70"/>
  <c r="AF206" i="70"/>
  <c r="AC206" i="70"/>
  <c r="Z206" i="70"/>
  <c r="W206" i="70"/>
  <c r="T206" i="70"/>
  <c r="Q206" i="70"/>
  <c r="BM207" i="70" l="1"/>
  <c r="BJ207" i="70"/>
  <c r="BG207" i="70"/>
  <c r="BD209" i="70"/>
  <c r="BA207" i="70"/>
  <c r="AX207" i="70"/>
  <c r="AU207" i="70"/>
  <c r="AR207" i="70"/>
  <c r="AO207" i="70"/>
  <c r="AL207" i="70"/>
  <c r="AI207" i="70"/>
  <c r="AF207" i="70"/>
  <c r="AC207" i="70"/>
  <c r="Z207" i="70"/>
  <c r="W207" i="70"/>
  <c r="T207" i="70"/>
  <c r="Q207" i="70"/>
  <c r="BM208" i="70" l="1"/>
  <c r="BJ208" i="70"/>
  <c r="BG208" i="70"/>
  <c r="BD210" i="70"/>
  <c r="BA208" i="70"/>
  <c r="AX208" i="70"/>
  <c r="AU208" i="70"/>
  <c r="AR208" i="70"/>
  <c r="AO208" i="70"/>
  <c r="AL208" i="70"/>
  <c r="AI208" i="70"/>
  <c r="AF208" i="70"/>
  <c r="AC208" i="70"/>
  <c r="Z208" i="70"/>
  <c r="W208" i="70"/>
  <c r="T208" i="70"/>
  <c r="Q208" i="70"/>
  <c r="BM209" i="70" l="1"/>
  <c r="BJ209" i="70"/>
  <c r="BG209" i="70"/>
  <c r="BD211" i="70"/>
  <c r="BA209" i="70"/>
  <c r="AX209" i="70"/>
  <c r="AU209" i="70"/>
  <c r="AR209" i="70"/>
  <c r="AO209" i="70"/>
  <c r="AL209" i="70"/>
  <c r="AI209" i="70"/>
  <c r="AF209" i="70"/>
  <c r="AC209" i="70"/>
  <c r="Z209" i="70"/>
  <c r="W209" i="70"/>
  <c r="T209" i="70"/>
  <c r="Q209" i="70"/>
  <c r="BD212" i="70" l="1"/>
  <c r="BM210" i="70"/>
  <c r="BJ210" i="70"/>
  <c r="BG210" i="70"/>
  <c r="BA210" i="70"/>
  <c r="AX210" i="70"/>
  <c r="AU210" i="70"/>
  <c r="AR210" i="70"/>
  <c r="AO210" i="70"/>
  <c r="AL210" i="70"/>
  <c r="AI210" i="70"/>
  <c r="AF210" i="70"/>
  <c r="AC210" i="70"/>
  <c r="Z210" i="70"/>
  <c r="W210" i="70"/>
  <c r="T210" i="70"/>
  <c r="Q210" i="70"/>
  <c r="BD213" i="70" l="1"/>
  <c r="BM211" i="70"/>
  <c r="BJ211" i="70"/>
  <c r="BG211" i="70"/>
  <c r="BA211" i="70"/>
  <c r="AX211" i="70"/>
  <c r="AX212" i="70" s="1"/>
  <c r="AU211" i="70"/>
  <c r="AU212" i="70" s="1"/>
  <c r="AR211" i="70"/>
  <c r="AO211" i="70"/>
  <c r="AO212" i="70" s="1"/>
  <c r="AL211" i="70"/>
  <c r="AI211" i="70"/>
  <c r="AF211" i="70"/>
  <c r="AC211" i="70"/>
  <c r="Z211" i="70"/>
  <c r="W211" i="70"/>
  <c r="W212" i="70" s="1"/>
  <c r="W213" i="70" s="1"/>
  <c r="W214" i="70" s="1"/>
  <c r="W215" i="70" s="1"/>
  <c r="W216" i="70" s="1"/>
  <c r="W217" i="70" s="1"/>
  <c r="W218" i="70" s="1"/>
  <c r="W219" i="70" s="1"/>
  <c r="W220" i="70" s="1"/>
  <c r="W221" i="70" s="1"/>
  <c r="W222" i="70" s="1"/>
  <c r="W223" i="70" s="1"/>
  <c r="W224" i="70" s="1"/>
  <c r="W225" i="70" s="1"/>
  <c r="W226" i="70" s="1"/>
  <c r="W227" i="70" s="1"/>
  <c r="W228" i="70" s="1"/>
  <c r="W229" i="70" s="1"/>
  <c r="W230" i="70" s="1"/>
  <c r="W231" i="70" s="1"/>
  <c r="T211" i="70"/>
  <c r="Q211" i="70"/>
  <c r="BD214" i="70" l="1"/>
  <c r="BD215" i="70" s="1"/>
  <c r="AX213" i="70"/>
  <c r="AO213" i="70"/>
  <c r="AU213" i="70"/>
  <c r="AF212" i="70"/>
  <c r="AI212" i="70"/>
  <c r="BA212" i="70"/>
  <c r="Q212" i="70"/>
  <c r="Q213" i="70" s="1"/>
  <c r="Q214" i="70" s="1"/>
  <c r="Q215" i="70" s="1"/>
  <c r="Q216" i="70" s="1"/>
  <c r="Q217" i="70" s="1"/>
  <c r="Q218" i="70" s="1"/>
  <c r="Q219" i="70" s="1"/>
  <c r="Q220" i="70" s="1"/>
  <c r="Q221" i="70" s="1"/>
  <c r="Q222" i="70" s="1"/>
  <c r="Q223" i="70" s="1"/>
  <c r="Q224" i="70" s="1"/>
  <c r="Q225" i="70" s="1"/>
  <c r="Q226" i="70" s="1"/>
  <c r="Q227" i="70" s="1"/>
  <c r="Q228" i="70" s="1"/>
  <c r="Q229" i="70" s="1"/>
  <c r="Q230" i="70" s="1"/>
  <c r="Q231" i="70" s="1"/>
  <c r="BG212" i="70"/>
  <c r="T212" i="70"/>
  <c r="AC212" i="70"/>
  <c r="AL212" i="70"/>
  <c r="BJ212" i="70"/>
  <c r="Z212" i="70"/>
  <c r="AR212" i="70"/>
  <c r="BM212" i="70"/>
  <c r="C4" i="6" l="1" a="1"/>
  <c r="C4" i="6" s="1"/>
  <c r="BD216" i="70"/>
  <c r="AU214" i="70"/>
  <c r="AO214" i="70"/>
  <c r="AO215" i="70" s="1"/>
  <c r="AX214" i="70"/>
  <c r="AX215" i="70" s="1"/>
  <c r="BJ213" i="70"/>
  <c r="AI213" i="70"/>
  <c r="AL213" i="70"/>
  <c r="AF213" i="70"/>
  <c r="AC213" i="70"/>
  <c r="BM213" i="70"/>
  <c r="T213" i="70"/>
  <c r="AR213" i="70"/>
  <c r="BG213" i="70"/>
  <c r="Z213" i="70"/>
  <c r="BA213" i="70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1" i="17"/>
  <c r="C3" i="6" l="1" a="1"/>
  <c r="C3" i="6" s="1"/>
  <c r="BD217" i="70"/>
  <c r="BD218" i="70" s="1"/>
  <c r="AO216" i="70"/>
  <c r="AX216" i="70"/>
  <c r="AU215" i="70"/>
  <c r="AI214" i="70"/>
  <c r="T214" i="70"/>
  <c r="BJ214" i="70"/>
  <c r="BA214" i="70"/>
  <c r="BM214" i="70"/>
  <c r="AC214" i="70"/>
  <c r="AF214" i="70"/>
  <c r="BG214" i="70"/>
  <c r="Z214" i="70"/>
  <c r="AL214" i="70"/>
  <c r="AR214" i="70"/>
  <c r="BD219" i="70" l="1"/>
  <c r="AX217" i="70"/>
  <c r="AX218" i="70" s="1"/>
  <c r="AO217" i="70"/>
  <c r="AO218" i="70" s="1"/>
  <c r="AU216" i="70"/>
  <c r="AU217" i="70" s="1"/>
  <c r="AU218" i="70" s="1"/>
  <c r="AF215" i="70"/>
  <c r="AR215" i="70"/>
  <c r="AL215" i="70"/>
  <c r="BM215" i="70"/>
  <c r="T215" i="70"/>
  <c r="Z215" i="70"/>
  <c r="BA215" i="70"/>
  <c r="AC215" i="70"/>
  <c r="AI215" i="70"/>
  <c r="BG215" i="70"/>
  <c r="BJ215" i="70"/>
  <c r="AX219" i="70" l="1"/>
  <c r="AU219" i="70"/>
  <c r="BD220" i="70"/>
  <c r="AO219" i="70"/>
  <c r="BM216" i="70"/>
  <c r="AI216" i="70"/>
  <c r="AL216" i="70"/>
  <c r="AC216" i="70"/>
  <c r="AR216" i="70"/>
  <c r="BA216" i="70"/>
  <c r="BG216" i="70"/>
  <c r="AF216" i="70"/>
  <c r="Z216" i="70"/>
  <c r="BJ216" i="70"/>
  <c r="T216" i="70"/>
  <c r="AO220" i="70" l="1"/>
  <c r="AU220" i="70"/>
  <c r="BD221" i="70"/>
  <c r="AX220" i="70"/>
  <c r="AL217" i="70"/>
  <c r="AL218" i="70" s="1"/>
  <c r="AI217" i="70"/>
  <c r="AI218" i="70" s="1"/>
  <c r="AF217" i="70"/>
  <c r="AF218" i="70" s="1"/>
  <c r="BG217" i="70"/>
  <c r="BG218" i="70" s="1"/>
  <c r="T217" i="70"/>
  <c r="T218" i="70" s="1"/>
  <c r="BM217" i="70"/>
  <c r="BM218" i="70" s="1"/>
  <c r="BA217" i="70"/>
  <c r="BA218" i="70" s="1"/>
  <c r="AR217" i="70"/>
  <c r="AR218" i="70" s="1"/>
  <c r="Z217" i="70"/>
  <c r="Z218" i="70" s="1"/>
  <c r="BJ217" i="70"/>
  <c r="BJ218" i="70" s="1"/>
  <c r="AC217" i="70"/>
  <c r="AC218" i="70" s="1"/>
  <c r="AC219" i="70" l="1"/>
  <c r="T219" i="70"/>
  <c r="AI219" i="70"/>
  <c r="BD222" i="70"/>
  <c r="AU221" i="70"/>
  <c r="Z219" i="70"/>
  <c r="AR219" i="70"/>
  <c r="BG219" i="70"/>
  <c r="AF219" i="70"/>
  <c r="AL219" i="70"/>
  <c r="BA219" i="70"/>
  <c r="BJ219" i="70"/>
  <c r="BM219" i="70"/>
  <c r="AX221" i="70"/>
  <c r="AO221" i="70"/>
  <c r="AL220" i="70" l="1"/>
  <c r="Z220" i="70"/>
  <c r="AX222" i="70"/>
  <c r="T220" i="70"/>
  <c r="BJ220" i="70"/>
  <c r="BD223" i="70"/>
  <c r="BD224" i="70" s="1"/>
  <c r="BM220" i="70"/>
  <c r="BA220" i="70"/>
  <c r="AF220" i="70"/>
  <c r="AR220" i="70"/>
  <c r="AI220" i="70"/>
  <c r="AC220" i="70"/>
  <c r="BG220" i="70"/>
  <c r="AO222" i="70"/>
  <c r="AU222" i="70"/>
  <c r="BD225" i="70" l="1"/>
  <c r="AC221" i="70"/>
  <c r="AR221" i="70"/>
  <c r="Z221" i="70"/>
  <c r="AO223" i="70"/>
  <c r="AO224" i="70" s="1"/>
  <c r="BA221" i="70"/>
  <c r="T221" i="70"/>
  <c r="AI221" i="70"/>
  <c r="AF221" i="70"/>
  <c r="AU223" i="70"/>
  <c r="AU224" i="70" s="1"/>
  <c r="BG221" i="70"/>
  <c r="BM221" i="70"/>
  <c r="BJ221" i="70"/>
  <c r="AX223" i="70"/>
  <c r="AX224" i="70" s="1"/>
  <c r="AL221" i="70"/>
  <c r="AO225" i="70" l="1"/>
  <c r="AX225" i="70"/>
  <c r="AU225" i="70"/>
  <c r="BD226" i="70"/>
  <c r="BD227" i="70" s="1"/>
  <c r="AL222" i="70"/>
  <c r="BG222" i="70"/>
  <c r="AF222" i="70"/>
  <c r="AR222" i="70"/>
  <c r="BJ222" i="70"/>
  <c r="BA222" i="70"/>
  <c r="T222" i="70"/>
  <c r="BM222" i="70"/>
  <c r="AI222" i="70"/>
  <c r="Z222" i="70"/>
  <c r="AC222" i="70"/>
  <c r="BD228" i="70" l="1"/>
  <c r="AX226" i="70"/>
  <c r="AX227" i="70" s="1"/>
  <c r="AU226" i="70"/>
  <c r="AU227" i="70" s="1"/>
  <c r="AO226" i="70"/>
  <c r="AO227" i="70" s="1"/>
  <c r="AC223" i="70"/>
  <c r="AC224" i="70" s="1"/>
  <c r="BM223" i="70"/>
  <c r="BM224" i="70" s="1"/>
  <c r="BJ223" i="70"/>
  <c r="BJ224" i="70" s="1"/>
  <c r="T223" i="70"/>
  <c r="T224" i="70" s="1"/>
  <c r="BG223" i="70"/>
  <c r="BG224" i="70" s="1"/>
  <c r="Z223" i="70"/>
  <c r="Z224" i="70" s="1"/>
  <c r="BA223" i="70"/>
  <c r="BA224" i="70" s="1"/>
  <c r="AF223" i="70"/>
  <c r="AF224" i="70" s="1"/>
  <c r="AI223" i="70"/>
  <c r="AI224" i="70" s="1"/>
  <c r="AR223" i="70"/>
  <c r="AR224" i="70" s="1"/>
  <c r="AL223" i="70"/>
  <c r="AL224" i="70" s="1"/>
  <c r="BD229" i="70" l="1"/>
  <c r="BD230" i="70" s="1"/>
  <c r="AO228" i="70"/>
  <c r="AU228" i="70"/>
  <c r="AX228" i="70"/>
  <c r="AF225" i="70"/>
  <c r="AI225" i="70"/>
  <c r="T225" i="70"/>
  <c r="BM225" i="70"/>
  <c r="AR225" i="70"/>
  <c r="Z225" i="70"/>
  <c r="AL225" i="70"/>
  <c r="BA225" i="70"/>
  <c r="BJ225" i="70"/>
  <c r="BG225" i="70"/>
  <c r="AC225" i="70"/>
  <c r="BF230" i="70" l="1"/>
  <c r="BD231" i="70"/>
  <c r="BF231" i="70" s="1"/>
  <c r="AX229" i="70"/>
  <c r="AX230" i="70" s="1"/>
  <c r="AX231" i="70" s="1"/>
  <c r="AU229" i="70"/>
  <c r="AU230" i="70" s="1"/>
  <c r="AU231" i="70" s="1"/>
  <c r="AO229" i="70"/>
  <c r="AO230" i="70" s="1"/>
  <c r="AO231" i="70" s="1"/>
  <c r="BG226" i="70"/>
  <c r="BG227" i="70" s="1"/>
  <c r="BA226" i="70"/>
  <c r="BA227" i="70" s="1"/>
  <c r="BM226" i="70"/>
  <c r="BM227" i="70" s="1"/>
  <c r="AI226" i="70"/>
  <c r="AI227" i="70" s="1"/>
  <c r="Z226" i="70"/>
  <c r="Z227" i="70" s="1"/>
  <c r="AC226" i="70"/>
  <c r="AC227" i="70" s="1"/>
  <c r="AR226" i="70"/>
  <c r="AR227" i="70" s="1"/>
  <c r="BJ226" i="70"/>
  <c r="BJ227" i="70" s="1"/>
  <c r="AL226" i="70"/>
  <c r="AL227" i="70" s="1"/>
  <c r="T226" i="70"/>
  <c r="T227" i="70" s="1"/>
  <c r="AF226" i="70"/>
  <c r="AF227" i="70" s="1"/>
  <c r="C7" i="6" l="1" a="1"/>
  <c r="C7" i="6" s="1"/>
  <c r="C6" i="6" a="1"/>
  <c r="C6" i="6" s="1"/>
  <c r="C5" i="6" a="1"/>
  <c r="C5" i="6" s="1"/>
  <c r="Z228" i="70"/>
  <c r="T228" i="70"/>
  <c r="AI228" i="70"/>
  <c r="BM228" i="70"/>
  <c r="AL228" i="70"/>
  <c r="BJ228" i="70"/>
  <c r="AR228" i="70"/>
  <c r="BA228" i="70"/>
  <c r="AF228" i="70"/>
  <c r="BG228" i="70"/>
  <c r="AC228" i="70"/>
  <c r="AL229" i="70" l="1"/>
  <c r="AL230" i="70" s="1"/>
  <c r="BM229" i="70"/>
  <c r="BM230" i="70" s="1"/>
  <c r="AF229" i="70"/>
  <c r="AI229" i="70"/>
  <c r="AI230" i="70" s="1"/>
  <c r="BG229" i="70"/>
  <c r="BG230" i="70" s="1"/>
  <c r="T229" i="70"/>
  <c r="T230" i="70" s="1"/>
  <c r="T231" i="70" s="1"/>
  <c r="BA229" i="70"/>
  <c r="BA230" i="70" s="1"/>
  <c r="AR229" i="70"/>
  <c r="AR230" i="70" s="1"/>
  <c r="Z229" i="70"/>
  <c r="AC229" i="70"/>
  <c r="AC230" i="70" s="1"/>
  <c r="BJ229" i="70"/>
  <c r="O2" i="70" a="1"/>
  <c r="O2" i="70" s="1"/>
  <c r="O3" i="70" s="1" a="1"/>
  <c r="O3" i="70" s="1"/>
  <c r="P2" i="70"/>
  <c r="R2" i="70" a="1"/>
  <c r="R2" i="70" s="1"/>
  <c r="S2" i="70"/>
  <c r="U2" i="70" a="1"/>
  <c r="U2" i="70" s="1"/>
  <c r="U3" i="70" s="1" a="1"/>
  <c r="U3" i="70" s="1"/>
  <c r="U4" i="70" s="1" a="1"/>
  <c r="U4" i="70" s="1"/>
  <c r="U5" i="70" s="1" a="1"/>
  <c r="U5" i="70" s="1"/>
  <c r="U6" i="70" s="1" a="1"/>
  <c r="U6" i="70" s="1"/>
  <c r="U7" i="70" s="1" a="1"/>
  <c r="U7" i="70" s="1"/>
  <c r="U8" i="70" s="1" a="1"/>
  <c r="U8" i="70" s="1"/>
  <c r="U9" i="70" s="1" a="1"/>
  <c r="U9" i="70" s="1"/>
  <c r="U10" i="70" s="1" a="1"/>
  <c r="U10" i="70" s="1"/>
  <c r="U11" i="70" s="1" a="1"/>
  <c r="U11" i="70" s="1"/>
  <c r="V2" i="70"/>
  <c r="X2" i="70" a="1"/>
  <c r="X2" i="70" s="1"/>
  <c r="X3" i="70" s="1" a="1"/>
  <c r="X3" i="70" s="1"/>
  <c r="X4" i="70" s="1" a="1"/>
  <c r="X4" i="70" s="1"/>
  <c r="Y2" i="70"/>
  <c r="AA2" i="70" a="1"/>
  <c r="AA2" i="70" s="1"/>
  <c r="AA3" i="70" s="1" a="1"/>
  <c r="AA3" i="70" s="1"/>
  <c r="AA4" i="70" s="1" a="1"/>
  <c r="AA4" i="70" s="1"/>
  <c r="AA5" i="70" s="1" a="1"/>
  <c r="AA5" i="70" s="1"/>
  <c r="AA6" i="70" s="1" a="1"/>
  <c r="AA6" i="70" s="1"/>
  <c r="AA7" i="70" s="1" a="1"/>
  <c r="AA7" i="70" s="1"/>
  <c r="AA8" i="70" s="1" a="1"/>
  <c r="AA8" i="70" s="1"/>
  <c r="AA9" i="70" s="1" a="1"/>
  <c r="AA9" i="70" s="1"/>
  <c r="AA10" i="70" s="1" a="1"/>
  <c r="AA10" i="70" s="1"/>
  <c r="AA11" i="70" s="1" a="1"/>
  <c r="AA11" i="70" s="1"/>
  <c r="AA12" i="70" s="1" a="1"/>
  <c r="AA12" i="70" s="1"/>
  <c r="AA13" i="70" s="1" a="1"/>
  <c r="AA13" i="70" s="1"/>
  <c r="AA14" i="70" s="1" a="1"/>
  <c r="AA14" i="70" s="1"/>
  <c r="AA15" i="70" s="1" a="1"/>
  <c r="AA15" i="70" s="1"/>
  <c r="AA16" i="70" s="1" a="1"/>
  <c r="AA16" i="70" s="1"/>
  <c r="AA17" i="70" s="1" a="1"/>
  <c r="AA17" i="70" s="1"/>
  <c r="AA18" i="70" s="1" a="1"/>
  <c r="AA18" i="70" s="1"/>
  <c r="AA19" i="70" s="1" a="1"/>
  <c r="AA19" i="70" s="1"/>
  <c r="AA20" i="70" s="1" a="1"/>
  <c r="AA20" i="70" s="1"/>
  <c r="AA21" i="70" s="1" a="1"/>
  <c r="AA21" i="70" s="1"/>
  <c r="AA22" i="70" s="1" a="1"/>
  <c r="AA22" i="70" s="1"/>
  <c r="AA23" i="70" s="1" a="1"/>
  <c r="AA23" i="70" s="1"/>
  <c r="AA24" i="70" s="1" a="1"/>
  <c r="AA24" i="70" s="1"/>
  <c r="AA25" i="70" s="1" a="1"/>
  <c r="AA25" i="70" s="1"/>
  <c r="AA26" i="70" s="1" a="1"/>
  <c r="AA26" i="70" s="1"/>
  <c r="AA27" i="70" s="1" a="1"/>
  <c r="AA27" i="70" s="1"/>
  <c r="AA28" i="70" s="1" a="1"/>
  <c r="AA28" i="70" s="1"/>
  <c r="AA29" i="70" s="1" a="1"/>
  <c r="AA29" i="70" s="1"/>
  <c r="AA30" i="70" s="1" a="1"/>
  <c r="AA30" i="70" s="1"/>
  <c r="AA31" i="70" s="1" a="1"/>
  <c r="AA31" i="70" s="1"/>
  <c r="AA32" i="70" s="1" a="1"/>
  <c r="AA32" i="70" s="1"/>
  <c r="AA33" i="70" s="1" a="1"/>
  <c r="AA33" i="70" s="1"/>
  <c r="AA34" i="70" s="1" a="1"/>
  <c r="AA34" i="70" s="1"/>
  <c r="AA35" i="70" s="1" a="1"/>
  <c r="AA35" i="70" s="1"/>
  <c r="AA36" i="70" s="1" a="1"/>
  <c r="AA36" i="70" s="1"/>
  <c r="AA37" i="70" s="1" a="1"/>
  <c r="AA37" i="70" s="1"/>
  <c r="AA38" i="70" s="1" a="1"/>
  <c r="AA38" i="70" s="1"/>
  <c r="AA39" i="70" s="1" a="1"/>
  <c r="AA39" i="70" s="1"/>
  <c r="AA40" i="70" s="1" a="1"/>
  <c r="AA40" i="70" s="1"/>
  <c r="AA41" i="70" s="1" a="1"/>
  <c r="AA41" i="70" s="1"/>
  <c r="AA42" i="70" s="1" a="1"/>
  <c r="AA42" i="70" s="1"/>
  <c r="AA43" i="70" s="1" a="1"/>
  <c r="AA43" i="70" s="1"/>
  <c r="AA44" i="70" s="1" a="1"/>
  <c r="AA44" i="70" s="1"/>
  <c r="AA45" i="70" s="1" a="1"/>
  <c r="AA45" i="70" s="1"/>
  <c r="AA46" i="70" s="1" a="1"/>
  <c r="AA46" i="70" s="1"/>
  <c r="AA47" i="70" s="1" a="1"/>
  <c r="AA47" i="70" s="1"/>
  <c r="AA48" i="70" s="1" a="1"/>
  <c r="AA48" i="70" s="1"/>
  <c r="AA49" i="70" s="1" a="1"/>
  <c r="AA49" i="70" s="1"/>
  <c r="AA50" i="70" s="1" a="1"/>
  <c r="AA50" i="70" s="1"/>
  <c r="AA51" i="70" s="1" a="1"/>
  <c r="AA51" i="70" s="1"/>
  <c r="AA52" i="70" s="1" a="1"/>
  <c r="AA52" i="70" s="1"/>
  <c r="AA53" i="70" s="1" a="1"/>
  <c r="AA53" i="70" s="1"/>
  <c r="AA54" i="70" s="1" a="1"/>
  <c r="AA54" i="70" s="1"/>
  <c r="AA55" i="70" s="1" a="1"/>
  <c r="AA55" i="70" s="1"/>
  <c r="AA56" i="70" s="1" a="1"/>
  <c r="AA56" i="70" s="1"/>
  <c r="AA57" i="70" s="1" a="1"/>
  <c r="AA57" i="70" s="1"/>
  <c r="AA58" i="70" s="1" a="1"/>
  <c r="AA58" i="70" s="1"/>
  <c r="AA59" i="70" s="1" a="1"/>
  <c r="AA59" i="70" s="1"/>
  <c r="AA60" i="70" s="1" a="1"/>
  <c r="AA60" i="70" s="1"/>
  <c r="AA61" i="70" s="1" a="1"/>
  <c r="AA61" i="70" s="1"/>
  <c r="AA62" i="70" s="1" a="1"/>
  <c r="AA62" i="70" s="1"/>
  <c r="AA63" i="70" s="1" a="1"/>
  <c r="AA63" i="70" s="1"/>
  <c r="AA64" i="70" s="1" a="1"/>
  <c r="AA64" i="70" s="1"/>
  <c r="AA65" i="70" s="1" a="1"/>
  <c r="AA65" i="70" s="1"/>
  <c r="AA66" i="70" s="1" a="1"/>
  <c r="AA66" i="70" s="1"/>
  <c r="AA67" i="70" s="1" a="1"/>
  <c r="AA67" i="70" s="1"/>
  <c r="AA68" i="70" s="1" a="1"/>
  <c r="AA68" i="70" s="1"/>
  <c r="AA69" i="70" s="1" a="1"/>
  <c r="AA69" i="70" s="1"/>
  <c r="AA70" i="70" s="1" a="1"/>
  <c r="AA70" i="70" s="1"/>
  <c r="AA71" i="70" s="1" a="1"/>
  <c r="AA71" i="70" s="1"/>
  <c r="AA72" i="70" s="1" a="1"/>
  <c r="AA72" i="70" s="1"/>
  <c r="AA73" i="70" s="1" a="1"/>
  <c r="AA73" i="70" s="1"/>
  <c r="AA74" i="70" s="1" a="1"/>
  <c r="AA74" i="70" s="1"/>
  <c r="AA75" i="70" s="1" a="1"/>
  <c r="AA75" i="70" s="1"/>
  <c r="AA76" i="70" s="1" a="1"/>
  <c r="AA76" i="70" s="1"/>
  <c r="AA77" i="70" s="1" a="1"/>
  <c r="AA77" i="70" s="1"/>
  <c r="AA78" i="70" s="1" a="1"/>
  <c r="AA78" i="70" s="1"/>
  <c r="AA79" i="70" s="1" a="1"/>
  <c r="AA79" i="70" s="1"/>
  <c r="AA80" i="70" s="1" a="1"/>
  <c r="AA80" i="70" s="1"/>
  <c r="AA81" i="70" s="1" a="1"/>
  <c r="AA81" i="70" s="1"/>
  <c r="AA82" i="70" s="1" a="1"/>
  <c r="AA82" i="70" s="1"/>
  <c r="AA83" i="70" s="1" a="1"/>
  <c r="AA83" i="70" s="1"/>
  <c r="AA84" i="70" s="1" a="1"/>
  <c r="AA84" i="70" s="1"/>
  <c r="AA85" i="70" s="1" a="1"/>
  <c r="AA85" i="70" s="1"/>
  <c r="AA86" i="70" s="1" a="1"/>
  <c r="AA86" i="70" s="1"/>
  <c r="AA87" i="70" s="1" a="1"/>
  <c r="AA87" i="70" s="1"/>
  <c r="AA88" i="70" s="1" a="1"/>
  <c r="AA88" i="70" s="1"/>
  <c r="AA89" i="70" s="1" a="1"/>
  <c r="AA89" i="70" s="1"/>
  <c r="AA90" i="70" s="1" a="1"/>
  <c r="AA90" i="70" s="1"/>
  <c r="AA91" i="70" s="1" a="1"/>
  <c r="AA91" i="70" s="1"/>
  <c r="AA92" i="70" s="1" a="1"/>
  <c r="AA92" i="70" s="1"/>
  <c r="AA93" i="70" s="1" a="1"/>
  <c r="AA93" i="70" s="1"/>
  <c r="AA94" i="70" s="1" a="1"/>
  <c r="AA94" i="70" s="1"/>
  <c r="AA95" i="70" s="1" a="1"/>
  <c r="AA95" i="70" s="1"/>
  <c r="AA96" i="70" s="1" a="1"/>
  <c r="AA96" i="70" s="1"/>
  <c r="AA97" i="70" s="1" a="1"/>
  <c r="AA97" i="70" s="1"/>
  <c r="AA98" i="70" s="1" a="1"/>
  <c r="AA98" i="70" s="1"/>
  <c r="AA99" i="70" s="1" a="1"/>
  <c r="AA99" i="70" s="1"/>
  <c r="AA100" i="70" s="1" a="1"/>
  <c r="AA100" i="70" s="1"/>
  <c r="AA101" i="70" s="1" a="1"/>
  <c r="AA101" i="70" s="1"/>
  <c r="AA102" i="70" s="1" a="1"/>
  <c r="AA102" i="70" s="1"/>
  <c r="AA103" i="70" s="1" a="1"/>
  <c r="AA103" i="70" s="1"/>
  <c r="AA104" i="70" s="1" a="1"/>
  <c r="AA104" i="70" s="1"/>
  <c r="AB2" i="70"/>
  <c r="AD2" i="70" a="1"/>
  <c r="AD2" i="70" s="1"/>
  <c r="AD3" i="70" s="1" a="1"/>
  <c r="AD3" i="70" s="1"/>
  <c r="AD4" i="70" s="1" a="1"/>
  <c r="AD4" i="70" s="1"/>
  <c r="AD5" i="70" s="1" a="1"/>
  <c r="AD5" i="70" s="1"/>
  <c r="AD6" i="70" s="1" a="1"/>
  <c r="AD6" i="70" s="1"/>
  <c r="AD7" i="70" s="1" a="1"/>
  <c r="AD7" i="70" s="1"/>
  <c r="AD8" i="70" s="1" a="1"/>
  <c r="AD8" i="70" s="1"/>
  <c r="AD9" i="70" s="1" a="1"/>
  <c r="AD9" i="70" s="1"/>
  <c r="AD10" i="70" s="1" a="1"/>
  <c r="AD10" i="70" s="1"/>
  <c r="AD11" i="70" s="1" a="1"/>
  <c r="AD11" i="70" s="1"/>
  <c r="AD12" i="70" s="1" a="1"/>
  <c r="AD12" i="70" s="1"/>
  <c r="AD13" i="70" s="1" a="1"/>
  <c r="AD13" i="70" s="1"/>
  <c r="AD14" i="70" s="1" a="1"/>
  <c r="AD14" i="70" s="1"/>
  <c r="AD15" i="70" s="1" a="1"/>
  <c r="AD15" i="70" s="1"/>
  <c r="AD16" i="70" s="1" a="1"/>
  <c r="AD16" i="70" s="1"/>
  <c r="AD17" i="70" s="1" a="1"/>
  <c r="AD17" i="70" s="1"/>
  <c r="AD18" i="70" s="1" a="1"/>
  <c r="AD18" i="70" s="1"/>
  <c r="AD19" i="70" s="1" a="1"/>
  <c r="AD19" i="70" s="1"/>
  <c r="AD20" i="70" s="1" a="1"/>
  <c r="AD20" i="70" s="1"/>
  <c r="AD21" i="70" s="1" a="1"/>
  <c r="AD21" i="70" s="1"/>
  <c r="AD22" i="70" s="1" a="1"/>
  <c r="AD22" i="70" s="1"/>
  <c r="AD23" i="70" s="1" a="1"/>
  <c r="AD23" i="70" s="1"/>
  <c r="AD24" i="70" s="1" a="1"/>
  <c r="AD24" i="70" s="1"/>
  <c r="AD25" i="70" s="1" a="1"/>
  <c r="AD25" i="70" s="1"/>
  <c r="AD26" i="70" s="1" a="1"/>
  <c r="AD26" i="70" s="1"/>
  <c r="AD27" i="70" s="1" a="1"/>
  <c r="AD27" i="70" s="1"/>
  <c r="AD28" i="70" s="1" a="1"/>
  <c r="AD28" i="70" s="1"/>
  <c r="AD29" i="70" s="1" a="1"/>
  <c r="AD29" i="70" s="1"/>
  <c r="AD30" i="70" s="1" a="1"/>
  <c r="AD30" i="70" s="1"/>
  <c r="AD31" i="70" s="1" a="1"/>
  <c r="AD31" i="70" s="1"/>
  <c r="AD32" i="70" s="1" a="1"/>
  <c r="AD32" i="70" s="1"/>
  <c r="AD33" i="70" s="1" a="1"/>
  <c r="AD33" i="70" s="1"/>
  <c r="AD34" i="70" s="1" a="1"/>
  <c r="AD34" i="70" s="1"/>
  <c r="AD35" i="70" s="1" a="1"/>
  <c r="AD35" i="70" s="1"/>
  <c r="AD36" i="70" s="1" a="1"/>
  <c r="AD36" i="70" s="1"/>
  <c r="AD37" i="70" s="1" a="1"/>
  <c r="AD37" i="70" s="1"/>
  <c r="AD38" i="70" s="1" a="1"/>
  <c r="AD38" i="70" s="1"/>
  <c r="AD39" i="70" s="1" a="1"/>
  <c r="AD39" i="70" s="1"/>
  <c r="AD40" i="70" s="1" a="1"/>
  <c r="AD40" i="70" s="1"/>
  <c r="AD41" i="70" s="1" a="1"/>
  <c r="AD41" i="70" s="1"/>
  <c r="AD42" i="70" s="1" a="1"/>
  <c r="AD42" i="70" s="1"/>
  <c r="AD43" i="70" s="1" a="1"/>
  <c r="AD43" i="70" s="1"/>
  <c r="AD44" i="70" s="1" a="1"/>
  <c r="AD44" i="70" s="1"/>
  <c r="AD45" i="70" s="1" a="1"/>
  <c r="AD45" i="70" s="1"/>
  <c r="AD46" i="70" s="1" a="1"/>
  <c r="AD46" i="70" s="1"/>
  <c r="AD47" i="70" s="1" a="1"/>
  <c r="AD47" i="70" s="1"/>
  <c r="AD48" i="70" s="1" a="1"/>
  <c r="AD48" i="70" s="1"/>
  <c r="AD49" i="70" s="1" a="1"/>
  <c r="AD49" i="70" s="1"/>
  <c r="AD50" i="70" s="1" a="1"/>
  <c r="AD50" i="70" s="1"/>
  <c r="AD51" i="70" s="1" a="1"/>
  <c r="AD51" i="70" s="1"/>
  <c r="AD52" i="70" s="1" a="1"/>
  <c r="AD52" i="70" s="1"/>
  <c r="AD53" i="70" s="1" a="1"/>
  <c r="AD53" i="70" s="1"/>
  <c r="AD54" i="70" s="1" a="1"/>
  <c r="AD54" i="70" s="1"/>
  <c r="AD55" i="70" s="1" a="1"/>
  <c r="AD55" i="70" s="1"/>
  <c r="AD56" i="70" s="1" a="1"/>
  <c r="AD56" i="70" s="1"/>
  <c r="AD57" i="70" s="1" a="1"/>
  <c r="AD57" i="70" s="1"/>
  <c r="AD58" i="70" s="1" a="1"/>
  <c r="AD58" i="70" s="1"/>
  <c r="AD59" i="70" s="1" a="1"/>
  <c r="AD59" i="70" s="1"/>
  <c r="AD60" i="70" s="1" a="1"/>
  <c r="AD60" i="70" s="1"/>
  <c r="AD61" i="70" s="1" a="1"/>
  <c r="AD61" i="70" s="1"/>
  <c r="AD62" i="70" s="1" a="1"/>
  <c r="AD62" i="70" s="1"/>
  <c r="AD63" i="70" s="1" a="1"/>
  <c r="AD63" i="70" s="1"/>
  <c r="AD64" i="70" s="1" a="1"/>
  <c r="AD64" i="70" s="1"/>
  <c r="AD65" i="70" s="1" a="1"/>
  <c r="AD65" i="70" s="1"/>
  <c r="AD66" i="70" s="1" a="1"/>
  <c r="AD66" i="70" s="1"/>
  <c r="AD67" i="70" s="1" a="1"/>
  <c r="AD67" i="70" s="1"/>
  <c r="AD68" i="70" s="1" a="1"/>
  <c r="AD68" i="70" s="1"/>
  <c r="AD69" i="70" s="1" a="1"/>
  <c r="AD69" i="70" s="1"/>
  <c r="AD70" i="70" s="1" a="1"/>
  <c r="AD70" i="70" s="1"/>
  <c r="AD71" i="70" s="1" a="1"/>
  <c r="AD71" i="70" s="1"/>
  <c r="AD72" i="70" s="1" a="1"/>
  <c r="AD72" i="70" s="1"/>
  <c r="AD73" i="70" s="1" a="1"/>
  <c r="AD73" i="70" s="1"/>
  <c r="AD74" i="70" s="1" a="1"/>
  <c r="AD74" i="70" s="1"/>
  <c r="AD75" i="70" s="1" a="1"/>
  <c r="AD75" i="70" s="1"/>
  <c r="AD76" i="70" s="1" a="1"/>
  <c r="AD76" i="70" s="1"/>
  <c r="AD77" i="70" s="1" a="1"/>
  <c r="AD77" i="70" s="1"/>
  <c r="AD78" i="70" s="1" a="1"/>
  <c r="AD78" i="70" s="1"/>
  <c r="AD79" i="70" s="1" a="1"/>
  <c r="AD79" i="70" s="1"/>
  <c r="AD80" i="70" s="1" a="1"/>
  <c r="AD80" i="70" s="1"/>
  <c r="AD81" i="70" s="1" a="1"/>
  <c r="AD81" i="70" s="1"/>
  <c r="AD82" i="70" s="1" a="1"/>
  <c r="AD82" i="70" s="1"/>
  <c r="AD83" i="70" s="1" a="1"/>
  <c r="AD83" i="70" s="1"/>
  <c r="AD84" i="70" s="1" a="1"/>
  <c r="AD84" i="70" s="1"/>
  <c r="AD85" i="70" s="1" a="1"/>
  <c r="AD85" i="70" s="1"/>
  <c r="AD86" i="70" s="1" a="1"/>
  <c r="AD86" i="70" s="1"/>
  <c r="AD87" i="70" s="1" a="1"/>
  <c r="AD87" i="70" s="1"/>
  <c r="AD88" i="70" s="1" a="1"/>
  <c r="AD88" i="70" s="1"/>
  <c r="AE2" i="70"/>
  <c r="AG2" i="70" a="1"/>
  <c r="AG2" i="70" s="1"/>
  <c r="AG3" i="70" s="1" a="1"/>
  <c r="AG3" i="70" s="1"/>
  <c r="AG4" i="70" s="1" a="1"/>
  <c r="AG4" i="70" s="1"/>
  <c r="AG5" i="70" s="1" a="1"/>
  <c r="AG5" i="70" s="1"/>
  <c r="AG6" i="70" s="1" a="1"/>
  <c r="AG6" i="70" s="1"/>
  <c r="AG7" i="70" s="1" a="1"/>
  <c r="AG7" i="70" s="1"/>
  <c r="AG8" i="70" s="1" a="1"/>
  <c r="AG8" i="70" s="1"/>
  <c r="AG9" i="70" s="1" a="1"/>
  <c r="AG9" i="70" s="1"/>
  <c r="AG10" i="70" s="1" a="1"/>
  <c r="AG10" i="70" s="1"/>
  <c r="AG11" i="70" s="1" a="1"/>
  <c r="AG11" i="70" s="1"/>
  <c r="AG12" i="70" s="1" a="1"/>
  <c r="AG12" i="70" s="1"/>
  <c r="AG13" i="70" s="1" a="1"/>
  <c r="AG13" i="70" s="1"/>
  <c r="AG14" i="70" s="1" a="1"/>
  <c r="AG14" i="70" s="1"/>
  <c r="AG15" i="70" s="1" a="1"/>
  <c r="AG15" i="70" s="1"/>
  <c r="AG16" i="70" s="1" a="1"/>
  <c r="AG16" i="70" s="1"/>
  <c r="AG17" i="70" s="1" a="1"/>
  <c r="AG17" i="70" s="1"/>
  <c r="AG18" i="70" s="1" a="1"/>
  <c r="AG18" i="70" s="1"/>
  <c r="AG19" i="70" s="1" a="1"/>
  <c r="AG19" i="70" s="1"/>
  <c r="AG20" i="70" s="1" a="1"/>
  <c r="AG20" i="70" s="1"/>
  <c r="AG21" i="70" s="1" a="1"/>
  <c r="AG21" i="70" s="1"/>
  <c r="AG22" i="70" s="1" a="1"/>
  <c r="AG22" i="70" s="1"/>
  <c r="AG23" i="70" s="1" a="1"/>
  <c r="AG23" i="70" s="1"/>
  <c r="AG24" i="70" s="1" a="1"/>
  <c r="AG24" i="70" s="1"/>
  <c r="AG25" i="70" s="1" a="1"/>
  <c r="AG25" i="70" s="1"/>
  <c r="AG26" i="70" s="1" a="1"/>
  <c r="AG26" i="70" s="1"/>
  <c r="AG27" i="70" s="1" a="1"/>
  <c r="AG27" i="70" s="1"/>
  <c r="AG28" i="70" s="1" a="1"/>
  <c r="AG28" i="70" s="1"/>
  <c r="AG29" i="70" s="1" a="1"/>
  <c r="AG29" i="70" s="1"/>
  <c r="AG30" i="70" s="1" a="1"/>
  <c r="AG30" i="70" s="1"/>
  <c r="AG31" i="70" s="1" a="1"/>
  <c r="AG31" i="70" s="1"/>
  <c r="AG32" i="70" s="1" a="1"/>
  <c r="AG32" i="70" s="1"/>
  <c r="AG33" i="70" s="1" a="1"/>
  <c r="AG33" i="70" s="1"/>
  <c r="AG34" i="70" s="1" a="1"/>
  <c r="AG34" i="70" s="1"/>
  <c r="AG35" i="70" s="1" a="1"/>
  <c r="AG35" i="70" s="1"/>
  <c r="AG36" i="70" s="1" a="1"/>
  <c r="AG36" i="70" s="1"/>
  <c r="AG37" i="70" s="1" a="1"/>
  <c r="AG37" i="70" s="1"/>
  <c r="AG38" i="70" s="1" a="1"/>
  <c r="AG38" i="70" s="1"/>
  <c r="AG39" i="70" s="1" a="1"/>
  <c r="AG39" i="70" s="1"/>
  <c r="AG40" i="70" s="1" a="1"/>
  <c r="AG40" i="70" s="1"/>
  <c r="AG41" i="70" s="1" a="1"/>
  <c r="AG41" i="70" s="1"/>
  <c r="AG42" i="70" s="1" a="1"/>
  <c r="AG42" i="70" s="1"/>
  <c r="AG43" i="70" s="1" a="1"/>
  <c r="AG43" i="70" s="1"/>
  <c r="AG44" i="70" s="1" a="1"/>
  <c r="AG44" i="70" s="1"/>
  <c r="AH2" i="70"/>
  <c r="AJ2" i="70" a="1"/>
  <c r="AJ2" i="70" s="1"/>
  <c r="AJ3" i="70" s="1" a="1"/>
  <c r="AJ3" i="70" s="1"/>
  <c r="AJ4" i="70" s="1" a="1"/>
  <c r="AJ4" i="70" s="1"/>
  <c r="AJ5" i="70" s="1" a="1"/>
  <c r="AJ5" i="70" s="1"/>
  <c r="AJ6" i="70" s="1" a="1"/>
  <c r="AJ6" i="70" s="1"/>
  <c r="AJ7" i="70" s="1" a="1"/>
  <c r="AJ7" i="70" s="1"/>
  <c r="AJ8" i="70" s="1" a="1"/>
  <c r="AJ8" i="70" s="1"/>
  <c r="AJ9" i="70" s="1" a="1"/>
  <c r="AJ9" i="70" s="1"/>
  <c r="AJ10" i="70" s="1" a="1"/>
  <c r="AJ10" i="70" s="1"/>
  <c r="AJ11" i="70" s="1" a="1"/>
  <c r="AJ11" i="70" s="1"/>
  <c r="AJ12" i="70" s="1" a="1"/>
  <c r="AJ12" i="70" s="1"/>
  <c r="AJ13" i="70" s="1" a="1"/>
  <c r="AJ13" i="70" s="1"/>
  <c r="AJ14" i="70" s="1" a="1"/>
  <c r="AJ14" i="70" s="1"/>
  <c r="AJ15" i="70" s="1" a="1"/>
  <c r="AJ15" i="70" s="1"/>
  <c r="AJ16" i="70" s="1" a="1"/>
  <c r="AJ16" i="70" s="1"/>
  <c r="AJ17" i="70" s="1" a="1"/>
  <c r="AJ17" i="70" s="1"/>
  <c r="AJ18" i="70" s="1" a="1"/>
  <c r="AJ18" i="70" s="1"/>
  <c r="AJ19" i="70" s="1" a="1"/>
  <c r="AJ19" i="70" s="1"/>
  <c r="AJ20" i="70" s="1" a="1"/>
  <c r="AJ20" i="70" s="1"/>
  <c r="AJ21" i="70" s="1" a="1"/>
  <c r="AJ21" i="70" s="1"/>
  <c r="AJ22" i="70" s="1" a="1"/>
  <c r="AJ22" i="70" s="1"/>
  <c r="AJ23" i="70" s="1" a="1"/>
  <c r="AJ23" i="70" s="1"/>
  <c r="AJ24" i="70" s="1" a="1"/>
  <c r="AJ24" i="70" s="1"/>
  <c r="AJ25" i="70" s="1" a="1"/>
  <c r="AJ25" i="70" s="1"/>
  <c r="AJ26" i="70" s="1" a="1"/>
  <c r="AJ26" i="70" s="1"/>
  <c r="AJ27" i="70" s="1" a="1"/>
  <c r="AJ27" i="70" s="1"/>
  <c r="AJ28" i="70" s="1" a="1"/>
  <c r="AJ28" i="70" s="1"/>
  <c r="AJ29" i="70" s="1" a="1"/>
  <c r="AJ29" i="70" s="1"/>
  <c r="AJ30" i="70" s="1" a="1"/>
  <c r="AJ30" i="70" s="1"/>
  <c r="AJ31" i="70" s="1" a="1"/>
  <c r="AJ31" i="70" s="1"/>
  <c r="AJ32" i="70" s="1" a="1"/>
  <c r="AJ32" i="70" s="1"/>
  <c r="AJ33" i="70" s="1" a="1"/>
  <c r="AJ33" i="70" s="1"/>
  <c r="AJ34" i="70" s="1" a="1"/>
  <c r="AJ34" i="70" s="1"/>
  <c r="AJ35" i="70" s="1" a="1"/>
  <c r="AJ35" i="70" s="1"/>
  <c r="AJ36" i="70" s="1" a="1"/>
  <c r="AJ36" i="70" s="1"/>
  <c r="AJ37" i="70" s="1" a="1"/>
  <c r="AJ37" i="70" s="1"/>
  <c r="AJ38" i="70" s="1" a="1"/>
  <c r="AJ38" i="70" s="1"/>
  <c r="AJ39" i="70" s="1" a="1"/>
  <c r="AJ39" i="70" s="1"/>
  <c r="AJ40" i="70" s="1" a="1"/>
  <c r="AJ40" i="70" s="1"/>
  <c r="AJ41" i="70" s="1" a="1"/>
  <c r="AJ41" i="70" s="1"/>
  <c r="AJ42" i="70" s="1" a="1"/>
  <c r="AJ42" i="70" s="1"/>
  <c r="AJ43" i="70" s="1" a="1"/>
  <c r="AJ43" i="70" s="1"/>
  <c r="AJ44" i="70" s="1" a="1"/>
  <c r="AJ44" i="70" s="1"/>
  <c r="AJ45" i="70" s="1" a="1"/>
  <c r="AJ45" i="70" s="1"/>
  <c r="AJ46" i="70" s="1" a="1"/>
  <c r="AJ46" i="70" s="1"/>
  <c r="AJ47" i="70" s="1" a="1"/>
  <c r="AJ47" i="70" s="1"/>
  <c r="AJ48" i="70" s="1" a="1"/>
  <c r="AJ48" i="70" s="1"/>
  <c r="AK2" i="70"/>
  <c r="AM2" i="70" a="1"/>
  <c r="AM2" i="70" s="1"/>
  <c r="AM3" i="70" s="1" a="1"/>
  <c r="AM3" i="70" s="1"/>
  <c r="AM4" i="70" s="1" a="1"/>
  <c r="AM4" i="70" s="1"/>
  <c r="AM5" i="70" s="1" a="1"/>
  <c r="AM5" i="70" s="1"/>
  <c r="AM6" i="70" s="1" a="1"/>
  <c r="AM6" i="70" s="1"/>
  <c r="AM7" i="70" s="1" a="1"/>
  <c r="AM7" i="70" s="1"/>
  <c r="AM8" i="70" s="1" a="1"/>
  <c r="AM8" i="70" s="1"/>
  <c r="AM9" i="70" s="1" a="1"/>
  <c r="AM9" i="70" s="1"/>
  <c r="AM10" i="70" s="1" a="1"/>
  <c r="AM10" i="70" s="1"/>
  <c r="AM11" i="70" s="1" a="1"/>
  <c r="AM11" i="70" s="1"/>
  <c r="AM12" i="70" s="1" a="1"/>
  <c r="AM12" i="70" s="1"/>
  <c r="AM13" i="70" s="1" a="1"/>
  <c r="AM13" i="70" s="1"/>
  <c r="AM14" i="70" s="1" a="1"/>
  <c r="AM14" i="70" s="1"/>
  <c r="AM15" i="70" s="1" a="1"/>
  <c r="AM15" i="70" s="1"/>
  <c r="AM16" i="70" s="1" a="1"/>
  <c r="AM16" i="70" s="1"/>
  <c r="AM17" i="70" s="1" a="1"/>
  <c r="AM17" i="70" s="1"/>
  <c r="AM18" i="70" s="1" a="1"/>
  <c r="AM18" i="70" s="1"/>
  <c r="AM19" i="70" s="1" a="1"/>
  <c r="AM19" i="70" s="1"/>
  <c r="AM20" i="70" s="1" a="1"/>
  <c r="AM20" i="70" s="1"/>
  <c r="AM21" i="70" s="1" a="1"/>
  <c r="AM21" i="70" s="1"/>
  <c r="AM22" i="70" s="1" a="1"/>
  <c r="AM22" i="70" s="1"/>
  <c r="AM23" i="70" s="1" a="1"/>
  <c r="AM23" i="70" s="1"/>
  <c r="AM24" i="70" s="1" a="1"/>
  <c r="AM24" i="70" s="1"/>
  <c r="AM25" i="70" s="1" a="1"/>
  <c r="AM25" i="70" s="1"/>
  <c r="AM26" i="70" s="1" a="1"/>
  <c r="AM26" i="70" s="1"/>
  <c r="AM27" i="70" s="1" a="1"/>
  <c r="AM27" i="70" s="1"/>
  <c r="AM28" i="70" s="1" a="1"/>
  <c r="AM28" i="70" s="1"/>
  <c r="AM29" i="70" s="1" a="1"/>
  <c r="AM29" i="70" s="1"/>
  <c r="AM30" i="70" s="1" a="1"/>
  <c r="AM30" i="70" s="1"/>
  <c r="AM31" i="70" s="1" a="1"/>
  <c r="AM31" i="70" s="1"/>
  <c r="AM32" i="70" s="1" a="1"/>
  <c r="AM32" i="70" s="1"/>
  <c r="AM33" i="70" s="1" a="1"/>
  <c r="AM33" i="70" s="1"/>
  <c r="AM34" i="70" s="1" a="1"/>
  <c r="AM34" i="70" s="1"/>
  <c r="AM35" i="70" s="1" a="1"/>
  <c r="AM35" i="70" s="1"/>
  <c r="AM36" i="70" s="1" a="1"/>
  <c r="AM36" i="70" s="1"/>
  <c r="AM37" i="70" s="1" a="1"/>
  <c r="AM37" i="70" s="1"/>
  <c r="AM38" i="70" s="1" a="1"/>
  <c r="AM38" i="70" s="1"/>
  <c r="AM39" i="70" s="1" a="1"/>
  <c r="AM39" i="70" s="1"/>
  <c r="AM40" i="70" s="1" a="1"/>
  <c r="AM40" i="70" s="1"/>
  <c r="AM41" i="70" s="1" a="1"/>
  <c r="AM41" i="70" s="1"/>
  <c r="AM42" i="70" s="1" a="1"/>
  <c r="AM42" i="70" s="1"/>
  <c r="AM43" i="70" s="1" a="1"/>
  <c r="AM43" i="70" s="1"/>
  <c r="AM44" i="70" s="1" a="1"/>
  <c r="AM44" i="70" s="1"/>
  <c r="AM45" i="70" s="1" a="1"/>
  <c r="AM45" i="70" s="1"/>
  <c r="AM46" i="70" s="1" a="1"/>
  <c r="AM46" i="70" s="1"/>
  <c r="AM47" i="70" s="1" a="1"/>
  <c r="AM47" i="70" s="1"/>
  <c r="AM48" i="70" s="1" a="1"/>
  <c r="AM48" i="70" s="1"/>
  <c r="AM49" i="70" s="1" a="1"/>
  <c r="AM49" i="70" s="1"/>
  <c r="AM50" i="70" s="1" a="1"/>
  <c r="AM50" i="70" s="1"/>
  <c r="AM51" i="70" s="1" a="1"/>
  <c r="AM51" i="70" s="1"/>
  <c r="AM52" i="70" s="1" a="1"/>
  <c r="AM52" i="70" s="1"/>
  <c r="AM53" i="70" s="1" a="1"/>
  <c r="AM53" i="70" s="1"/>
  <c r="AM54" i="70" s="1" a="1"/>
  <c r="AM54" i="70" s="1"/>
  <c r="AM55" i="70" s="1" a="1"/>
  <c r="AM55" i="70" s="1"/>
  <c r="AM56" i="70" s="1" a="1"/>
  <c r="AM56" i="70" s="1"/>
  <c r="AM57" i="70" s="1" a="1"/>
  <c r="AM57" i="70" s="1"/>
  <c r="AM58" i="70" s="1" a="1"/>
  <c r="AM58" i="70" s="1"/>
  <c r="AM59" i="70" s="1" a="1"/>
  <c r="AM59" i="70" s="1"/>
  <c r="AM60" i="70" s="1" a="1"/>
  <c r="AM60" i="70" s="1"/>
  <c r="AM61" i="70" s="1" a="1"/>
  <c r="AM61" i="70" s="1"/>
  <c r="AM62" i="70" s="1" a="1"/>
  <c r="AM62" i="70" s="1"/>
  <c r="AM63" i="70" s="1" a="1"/>
  <c r="AM63" i="70" s="1"/>
  <c r="AM64" i="70" s="1" a="1"/>
  <c r="AM64" i="70" s="1"/>
  <c r="AM65" i="70" s="1" a="1"/>
  <c r="AM65" i="70" s="1"/>
  <c r="AN2" i="70"/>
  <c r="AP2" i="70" a="1"/>
  <c r="AP2" i="70" s="1"/>
  <c r="AP3" i="70" s="1" a="1"/>
  <c r="AP3" i="70" s="1"/>
  <c r="AP4" i="70" s="1" a="1"/>
  <c r="AP4" i="70" s="1"/>
  <c r="AP5" i="70" s="1" a="1"/>
  <c r="AP5" i="70" s="1"/>
  <c r="AP6" i="70" s="1" a="1"/>
  <c r="AP6" i="70" s="1"/>
  <c r="AP7" i="70" s="1" a="1"/>
  <c r="AP7" i="70" s="1"/>
  <c r="AP8" i="70" s="1" a="1"/>
  <c r="AP8" i="70" s="1"/>
  <c r="AP9" i="70" s="1" a="1"/>
  <c r="AP9" i="70" s="1"/>
  <c r="AP10" i="70" s="1" a="1"/>
  <c r="AP10" i="70" s="1"/>
  <c r="AP11" i="70" s="1" a="1"/>
  <c r="AP11" i="70" s="1"/>
  <c r="AP12" i="70" s="1" a="1"/>
  <c r="AP12" i="70" s="1"/>
  <c r="AP13" i="70" s="1" a="1"/>
  <c r="AP13" i="70" s="1"/>
  <c r="AP14" i="70" s="1" a="1"/>
  <c r="AP14" i="70" s="1"/>
  <c r="AP15" i="70" s="1" a="1"/>
  <c r="AP15" i="70" s="1"/>
  <c r="AP16" i="70" s="1" a="1"/>
  <c r="AP16" i="70" s="1"/>
  <c r="AP17" i="70" s="1" a="1"/>
  <c r="AP17" i="70" s="1"/>
  <c r="AP18" i="70" s="1" a="1"/>
  <c r="AP18" i="70" s="1"/>
  <c r="AP19" i="70" s="1" a="1"/>
  <c r="AP19" i="70" s="1"/>
  <c r="AP20" i="70" s="1" a="1"/>
  <c r="AP20" i="70" s="1"/>
  <c r="AP21" i="70" s="1" a="1"/>
  <c r="AP21" i="70" s="1"/>
  <c r="AP22" i="70" s="1" a="1"/>
  <c r="AP22" i="70" s="1"/>
  <c r="AP23" i="70" s="1" a="1"/>
  <c r="AP23" i="70" s="1"/>
  <c r="AP24" i="70" s="1" a="1"/>
  <c r="AP24" i="70" s="1"/>
  <c r="AP25" i="70" s="1" a="1"/>
  <c r="AP25" i="70" s="1"/>
  <c r="AP26" i="70" s="1" a="1"/>
  <c r="AP26" i="70" s="1"/>
  <c r="AP27" i="70" s="1" a="1"/>
  <c r="AP27" i="70" s="1"/>
  <c r="AP28" i="70" s="1" a="1"/>
  <c r="AP28" i="70" s="1"/>
  <c r="AP29" i="70" s="1" a="1"/>
  <c r="AP29" i="70" s="1"/>
  <c r="AP30" i="70" s="1" a="1"/>
  <c r="AP30" i="70" s="1"/>
  <c r="AP31" i="70" s="1" a="1"/>
  <c r="AP31" i="70" s="1"/>
  <c r="AP32" i="70" s="1" a="1"/>
  <c r="AP32" i="70" s="1"/>
  <c r="AP33" i="70" s="1" a="1"/>
  <c r="AP33" i="70" s="1"/>
  <c r="AP34" i="70" s="1" a="1"/>
  <c r="AP34" i="70" s="1"/>
  <c r="AP35" i="70" s="1" a="1"/>
  <c r="AP35" i="70" s="1"/>
  <c r="AP36" i="70" s="1" a="1"/>
  <c r="AP36" i="70" s="1"/>
  <c r="AP37" i="70" s="1" a="1"/>
  <c r="AP37" i="70" s="1"/>
  <c r="AP38" i="70" s="1" a="1"/>
  <c r="AP38" i="70" s="1"/>
  <c r="AP39" i="70" s="1" a="1"/>
  <c r="AP39" i="70" s="1"/>
  <c r="AP40" i="70" s="1" a="1"/>
  <c r="AP40" i="70" s="1"/>
  <c r="AP41" i="70" s="1" a="1"/>
  <c r="AP41" i="70" s="1"/>
  <c r="AP42" i="70" s="1" a="1"/>
  <c r="AP42" i="70" s="1"/>
  <c r="AP43" i="70" s="1" a="1"/>
  <c r="AP43" i="70" s="1"/>
  <c r="AP44" i="70" s="1" a="1"/>
  <c r="AP44" i="70" s="1"/>
  <c r="AP45" i="70" s="1" a="1"/>
  <c r="AP45" i="70" s="1"/>
  <c r="AP46" i="70" s="1" a="1"/>
  <c r="AP46" i="70" s="1"/>
  <c r="AQ2" i="70"/>
  <c r="AS2" i="70" a="1"/>
  <c r="AS2" i="70" s="1"/>
  <c r="AS3" i="70" s="1" a="1"/>
  <c r="AS3" i="70" s="1"/>
  <c r="AS4" i="70" s="1" a="1"/>
  <c r="AS4" i="70" s="1"/>
  <c r="AS5" i="70" s="1" a="1"/>
  <c r="AS5" i="70" s="1"/>
  <c r="AS6" i="70" s="1" a="1"/>
  <c r="AS6" i="70" s="1"/>
  <c r="AS7" i="70" s="1" a="1"/>
  <c r="AS7" i="70" s="1"/>
  <c r="AS8" i="70" s="1" a="1"/>
  <c r="AS8" i="70" s="1"/>
  <c r="AS9" i="70" s="1" a="1"/>
  <c r="AS9" i="70" s="1"/>
  <c r="AS10" i="70" s="1" a="1"/>
  <c r="AS10" i="70" s="1"/>
  <c r="AS11" i="70" s="1" a="1"/>
  <c r="AS11" i="70" s="1"/>
  <c r="AS12" i="70" s="1" a="1"/>
  <c r="AS12" i="70" s="1"/>
  <c r="AS13" i="70" s="1" a="1"/>
  <c r="AS13" i="70" s="1"/>
  <c r="AS14" i="70" s="1" a="1"/>
  <c r="AS14" i="70" s="1"/>
  <c r="AS15" i="70" s="1" a="1"/>
  <c r="AS15" i="70" s="1"/>
  <c r="AS16" i="70" s="1" a="1"/>
  <c r="AS16" i="70" s="1"/>
  <c r="AS17" i="70" s="1" a="1"/>
  <c r="AS17" i="70" s="1"/>
  <c r="AS18" i="70" s="1" a="1"/>
  <c r="AS18" i="70" s="1"/>
  <c r="AS19" i="70" s="1" a="1"/>
  <c r="AS19" i="70" s="1"/>
  <c r="AS20" i="70" s="1" a="1"/>
  <c r="AS20" i="70" s="1"/>
  <c r="AS21" i="70" s="1" a="1"/>
  <c r="AS21" i="70" s="1"/>
  <c r="AS22" i="70" s="1" a="1"/>
  <c r="AS22" i="70" s="1"/>
  <c r="AS23" i="70" s="1" a="1"/>
  <c r="AS23" i="70" s="1"/>
  <c r="AS24" i="70" s="1" a="1"/>
  <c r="AS24" i="70" s="1"/>
  <c r="AS25" i="70" s="1" a="1"/>
  <c r="AS25" i="70" s="1"/>
  <c r="AS26" i="70" s="1" a="1"/>
  <c r="AS26" i="70" s="1"/>
  <c r="AS27" i="70" s="1" a="1"/>
  <c r="AS27" i="70" s="1"/>
  <c r="AS28" i="70" s="1" a="1"/>
  <c r="AS28" i="70" s="1"/>
  <c r="AS29" i="70" s="1" a="1"/>
  <c r="AS29" i="70" s="1"/>
  <c r="AS30" i="70" s="1" a="1"/>
  <c r="AS30" i="70" s="1"/>
  <c r="AS31" i="70" s="1" a="1"/>
  <c r="AS31" i="70" s="1"/>
  <c r="AS32" i="70" s="1" a="1"/>
  <c r="AS32" i="70" s="1"/>
  <c r="AS33" i="70" s="1" a="1"/>
  <c r="AS33" i="70" s="1"/>
  <c r="AS34" i="70" s="1" a="1"/>
  <c r="AS34" i="70" s="1"/>
  <c r="AS35" i="70" s="1" a="1"/>
  <c r="AS35" i="70" s="1"/>
  <c r="AS36" i="70" s="1" a="1"/>
  <c r="AS36" i="70" s="1"/>
  <c r="AS37" i="70" s="1" a="1"/>
  <c r="AS37" i="70" s="1"/>
  <c r="AS38" i="70" s="1" a="1"/>
  <c r="AS38" i="70" s="1"/>
  <c r="AS39" i="70" s="1" a="1"/>
  <c r="AS39" i="70" s="1"/>
  <c r="AS40" i="70" s="1" a="1"/>
  <c r="AS40" i="70" s="1"/>
  <c r="AS41" i="70" s="1" a="1"/>
  <c r="AS41" i="70" s="1"/>
  <c r="AS42" i="70" s="1" a="1"/>
  <c r="AS42" i="70" s="1"/>
  <c r="AS43" i="70" s="1" a="1"/>
  <c r="AS43" i="70" s="1"/>
  <c r="AS44" i="70" s="1" a="1"/>
  <c r="AS44" i="70" s="1"/>
  <c r="AS45" i="70" s="1" a="1"/>
  <c r="AS45" i="70" s="1"/>
  <c r="AS46" i="70" s="1" a="1"/>
  <c r="AS46" i="70" s="1"/>
  <c r="AS47" i="70" s="1" a="1"/>
  <c r="AS47" i="70" s="1"/>
  <c r="AS48" i="70" s="1" a="1"/>
  <c r="AS48" i="70" s="1"/>
  <c r="AS49" i="70" s="1" a="1"/>
  <c r="AS49" i="70" s="1"/>
  <c r="AS50" i="70" s="1" a="1"/>
  <c r="AS50" i="70" s="1"/>
  <c r="AS51" i="70" s="1" a="1"/>
  <c r="AS51" i="70" s="1"/>
  <c r="AS52" i="70" s="1" a="1"/>
  <c r="AS52" i="70" s="1"/>
  <c r="AS53" i="70" s="1" a="1"/>
  <c r="AS53" i="70" s="1"/>
  <c r="AS54" i="70" s="1" a="1"/>
  <c r="AS54" i="70" s="1"/>
  <c r="AS55" i="70" s="1" a="1"/>
  <c r="AS55" i="70" s="1"/>
  <c r="AS56" i="70" s="1" a="1"/>
  <c r="AS56" i="70" s="1"/>
  <c r="AS57" i="70" s="1" a="1"/>
  <c r="AS57" i="70" s="1"/>
  <c r="AS58" i="70" s="1" a="1"/>
  <c r="AS58" i="70" s="1"/>
  <c r="AS59" i="70" s="1" a="1"/>
  <c r="AS59" i="70" s="1"/>
  <c r="AS60" i="70" s="1" a="1"/>
  <c r="AS60" i="70" s="1"/>
  <c r="AS61" i="70" s="1" a="1"/>
  <c r="AS61" i="70" s="1"/>
  <c r="AS62" i="70" s="1" a="1"/>
  <c r="AS62" i="70" s="1"/>
  <c r="AS63" i="70" s="1" a="1"/>
  <c r="AS63" i="70" s="1"/>
  <c r="AS64" i="70" s="1" a="1"/>
  <c r="AS64" i="70" s="1"/>
  <c r="AS65" i="70" s="1" a="1"/>
  <c r="AS65" i="70" s="1"/>
  <c r="AS66" i="70" s="1" a="1"/>
  <c r="AS66" i="70" s="1"/>
  <c r="AS67" i="70" s="1" a="1"/>
  <c r="AS67" i="70" s="1"/>
  <c r="AS68" i="70" s="1" a="1"/>
  <c r="AS68" i="70" s="1"/>
  <c r="AS69" i="70" s="1" a="1"/>
  <c r="AS69" i="70" s="1"/>
  <c r="AS70" i="70" s="1" a="1"/>
  <c r="AS70" i="70" s="1"/>
  <c r="AS71" i="70" s="1" a="1"/>
  <c r="AS71" i="70" s="1"/>
  <c r="AS72" i="70" s="1" a="1"/>
  <c r="AS72" i="70" s="1"/>
  <c r="AS73" i="70" s="1" a="1"/>
  <c r="AS73" i="70" s="1"/>
  <c r="AS74" i="70" s="1" a="1"/>
  <c r="AS74" i="70" s="1"/>
  <c r="AS75" i="70" s="1" a="1"/>
  <c r="AS75" i="70" s="1"/>
  <c r="AS76" i="70" s="1" a="1"/>
  <c r="AS76" i="70" s="1"/>
  <c r="AS77" i="70" s="1" a="1"/>
  <c r="AS77" i="70" s="1"/>
  <c r="AS78" i="70" s="1" a="1"/>
  <c r="AS78" i="70" s="1"/>
  <c r="AS79" i="70" s="1" a="1"/>
  <c r="AS79" i="70" s="1"/>
  <c r="AS80" i="70" s="1" a="1"/>
  <c r="AS80" i="70" s="1"/>
  <c r="AS81" i="70" s="1" a="1"/>
  <c r="AS81" i="70" s="1"/>
  <c r="AS82" i="70" s="1" a="1"/>
  <c r="AS82" i="70" s="1"/>
  <c r="AS83" i="70" s="1" a="1"/>
  <c r="AS83" i="70" s="1"/>
  <c r="AS84" i="70" s="1" a="1"/>
  <c r="AS84" i="70" s="1"/>
  <c r="AS85" i="70" s="1" a="1"/>
  <c r="AS85" i="70" s="1"/>
  <c r="AS86" i="70" s="1" a="1"/>
  <c r="AS86" i="70" s="1"/>
  <c r="AS87" i="70" s="1" a="1"/>
  <c r="AS87" i="70" s="1"/>
  <c r="AS88" i="70" s="1" a="1"/>
  <c r="AS88" i="70" s="1"/>
  <c r="AS89" i="70" s="1" a="1"/>
  <c r="AS89" i="70" s="1"/>
  <c r="AS90" i="70" s="1" a="1"/>
  <c r="AS90" i="70" s="1"/>
  <c r="AS91" i="70" s="1" a="1"/>
  <c r="AS91" i="70" s="1"/>
  <c r="AT2" i="70"/>
  <c r="AV2" i="70" a="1"/>
  <c r="AV2" i="70" s="1"/>
  <c r="AV3" i="70" s="1" a="1"/>
  <c r="AV3" i="70" s="1"/>
  <c r="AV4" i="70" s="1" a="1"/>
  <c r="AV4" i="70" s="1"/>
  <c r="AV5" i="70" s="1" a="1"/>
  <c r="AV5" i="70" s="1"/>
  <c r="AV6" i="70" s="1" a="1"/>
  <c r="AV6" i="70" s="1"/>
  <c r="AV7" i="70" s="1" a="1"/>
  <c r="AV7" i="70" s="1"/>
  <c r="AV8" i="70" s="1" a="1"/>
  <c r="AV8" i="70" s="1"/>
  <c r="AV9" i="70" s="1" a="1"/>
  <c r="AV9" i="70" s="1"/>
  <c r="AV10" i="70" s="1" a="1"/>
  <c r="AV10" i="70" s="1"/>
  <c r="AV11" i="70" s="1" a="1"/>
  <c r="AV11" i="70" s="1"/>
  <c r="AV12" i="70" s="1" a="1"/>
  <c r="AV12" i="70" s="1"/>
  <c r="AV13" i="70" s="1" a="1"/>
  <c r="AV13" i="70" s="1"/>
  <c r="AV14" i="70" s="1" a="1"/>
  <c r="AV14" i="70" s="1"/>
  <c r="AV15" i="70" s="1" a="1"/>
  <c r="AV15" i="70" s="1"/>
  <c r="AV16" i="70" s="1" a="1"/>
  <c r="AV16" i="70" s="1"/>
  <c r="AV17" i="70" s="1" a="1"/>
  <c r="AV17" i="70" s="1"/>
  <c r="AV18" i="70" s="1" a="1"/>
  <c r="AV18" i="70" s="1"/>
  <c r="AV19" i="70" s="1" a="1"/>
  <c r="AV19" i="70" s="1"/>
  <c r="AV20" i="70" s="1" a="1"/>
  <c r="AV20" i="70" s="1"/>
  <c r="AV21" i="70" s="1" a="1"/>
  <c r="AV21" i="70" s="1"/>
  <c r="AV22" i="70" s="1" a="1"/>
  <c r="AV22" i="70" s="1"/>
  <c r="AV23" i="70" s="1" a="1"/>
  <c r="AV23" i="70" s="1"/>
  <c r="AV24" i="70" s="1" a="1"/>
  <c r="AV24" i="70" s="1"/>
  <c r="AV25" i="70" s="1" a="1"/>
  <c r="AV25" i="70" s="1"/>
  <c r="AV26" i="70" s="1" a="1"/>
  <c r="AV26" i="70" s="1"/>
  <c r="AV27" i="70" s="1" a="1"/>
  <c r="AV27" i="70" s="1"/>
  <c r="AV28" i="70" s="1" a="1"/>
  <c r="AV28" i="70" s="1"/>
  <c r="AV29" i="70" s="1" a="1"/>
  <c r="AV29" i="70" s="1"/>
  <c r="AV30" i="70" s="1" a="1"/>
  <c r="AV30" i="70" s="1"/>
  <c r="AW2" i="70"/>
  <c r="AY2" i="70" a="1"/>
  <c r="AY2" i="70" s="1"/>
  <c r="AY3" i="70" s="1" a="1"/>
  <c r="AY3" i="70" s="1"/>
  <c r="AY4" i="70" s="1" a="1"/>
  <c r="AY4" i="70" s="1"/>
  <c r="AY5" i="70" s="1" a="1"/>
  <c r="AY5" i="70" s="1"/>
  <c r="AY6" i="70" s="1" a="1"/>
  <c r="AY6" i="70" s="1"/>
  <c r="AY7" i="70" s="1" a="1"/>
  <c r="AY7" i="70" s="1"/>
  <c r="AY8" i="70" s="1" a="1"/>
  <c r="AY8" i="70" s="1"/>
  <c r="AY9" i="70" s="1" a="1"/>
  <c r="AY9" i="70" s="1"/>
  <c r="AY10" i="70" s="1" a="1"/>
  <c r="AY10" i="70" s="1"/>
  <c r="AY11" i="70" s="1" a="1"/>
  <c r="AY11" i="70" s="1"/>
  <c r="AY12" i="70" s="1" a="1"/>
  <c r="AY12" i="70" s="1"/>
  <c r="AY13" i="70" s="1" a="1"/>
  <c r="AY13" i="70" s="1"/>
  <c r="AY14" i="70" s="1" a="1"/>
  <c r="AY14" i="70" s="1"/>
  <c r="AY15" i="70" s="1" a="1"/>
  <c r="AY15" i="70" s="1"/>
  <c r="AY16" i="70" s="1" a="1"/>
  <c r="AY16" i="70" s="1"/>
  <c r="AY17" i="70" s="1" a="1"/>
  <c r="AY17" i="70" s="1"/>
  <c r="AY18" i="70" s="1" a="1"/>
  <c r="AY18" i="70" s="1"/>
  <c r="AY19" i="70" s="1" a="1"/>
  <c r="AY19" i="70" s="1"/>
  <c r="AY20" i="70" s="1" a="1"/>
  <c r="AY20" i="70" s="1"/>
  <c r="AY21" i="70" s="1" a="1"/>
  <c r="AY21" i="70" s="1"/>
  <c r="AY22" i="70" s="1" a="1"/>
  <c r="AY22" i="70" s="1"/>
  <c r="AY23" i="70" s="1" a="1"/>
  <c r="AY23" i="70" s="1"/>
  <c r="AY24" i="70" s="1" a="1"/>
  <c r="AY24" i="70" s="1"/>
  <c r="AY25" i="70" s="1" a="1"/>
  <c r="AY25" i="70" s="1"/>
  <c r="AY26" i="70" s="1" a="1"/>
  <c r="AY26" i="70" s="1"/>
  <c r="AY27" i="70" s="1" a="1"/>
  <c r="AY27" i="70" s="1"/>
  <c r="AY28" i="70" s="1" a="1"/>
  <c r="AY28" i="70" s="1"/>
  <c r="AY29" i="70" s="1" a="1"/>
  <c r="AY29" i="70" s="1"/>
  <c r="AY30" i="70" s="1" a="1"/>
  <c r="AY30" i="70" s="1"/>
  <c r="AY31" i="70" s="1" a="1"/>
  <c r="AY31" i="70" s="1"/>
  <c r="AY32" i="70" s="1" a="1"/>
  <c r="AY32" i="70" s="1"/>
  <c r="AY33" i="70" s="1" a="1"/>
  <c r="AY33" i="70" s="1"/>
  <c r="AY34" i="70" s="1" a="1"/>
  <c r="AY34" i="70" s="1"/>
  <c r="AY35" i="70" s="1" a="1"/>
  <c r="AY35" i="70" s="1"/>
  <c r="AY36" i="70" s="1" a="1"/>
  <c r="AY36" i="70" s="1"/>
  <c r="AY37" i="70" s="1" a="1"/>
  <c r="AY37" i="70" s="1"/>
  <c r="AY38" i="70" s="1" a="1"/>
  <c r="AY38" i="70" s="1"/>
  <c r="AY39" i="70" s="1" a="1"/>
  <c r="AY39" i="70" s="1"/>
  <c r="AY40" i="70" s="1" a="1"/>
  <c r="AY40" i="70" s="1"/>
  <c r="AY41" i="70" s="1" a="1"/>
  <c r="AY41" i="70" s="1"/>
  <c r="AY42" i="70" s="1" a="1"/>
  <c r="AY42" i="70" s="1"/>
  <c r="AY43" i="70" s="1" a="1"/>
  <c r="AY43" i="70" s="1"/>
  <c r="AY44" i="70" s="1" a="1"/>
  <c r="AY44" i="70" s="1"/>
  <c r="AY45" i="70" s="1" a="1"/>
  <c r="AY45" i="70" s="1"/>
  <c r="AY46" i="70" s="1" a="1"/>
  <c r="AY46" i="70" s="1"/>
  <c r="AY47" i="70" s="1" a="1"/>
  <c r="AY47" i="70" s="1"/>
  <c r="AY48" i="70" s="1" a="1"/>
  <c r="AY48" i="70" s="1"/>
  <c r="AY49" i="70" s="1" a="1"/>
  <c r="AY49" i="70" s="1"/>
  <c r="AY50" i="70" s="1" a="1"/>
  <c r="AY50" i="70" s="1"/>
  <c r="AY51" i="70" s="1" a="1"/>
  <c r="AY51" i="70" s="1"/>
  <c r="AY52" i="70" s="1" a="1"/>
  <c r="AY52" i="70" s="1"/>
  <c r="AY53" i="70" s="1" a="1"/>
  <c r="AY53" i="70" s="1"/>
  <c r="AY54" i="70" s="1" a="1"/>
  <c r="AY54" i="70" s="1"/>
  <c r="AY55" i="70" s="1" a="1"/>
  <c r="AY55" i="70" s="1"/>
  <c r="AY56" i="70" s="1" a="1"/>
  <c r="AY56" i="70" s="1"/>
  <c r="AY57" i="70" s="1" a="1"/>
  <c r="AY57" i="70" s="1"/>
  <c r="AY58" i="70" s="1" a="1"/>
  <c r="AY58" i="70" s="1"/>
  <c r="AY59" i="70" s="1" a="1"/>
  <c r="AY59" i="70" s="1"/>
  <c r="AY60" i="70" s="1" a="1"/>
  <c r="AY60" i="70" s="1"/>
  <c r="AY61" i="70" s="1" a="1"/>
  <c r="AY61" i="70" s="1"/>
  <c r="AZ2" i="70"/>
  <c r="BB2" i="70" a="1"/>
  <c r="BB2" i="70" s="1"/>
  <c r="BB3" i="70" s="1" a="1"/>
  <c r="BB3" i="70" s="1"/>
  <c r="BB4" i="70" s="1" a="1"/>
  <c r="BB4" i="70" s="1"/>
  <c r="BB5" i="70" s="1" a="1"/>
  <c r="BB5" i="70" s="1"/>
  <c r="BB6" i="70" s="1" a="1"/>
  <c r="BB6" i="70" s="1"/>
  <c r="BB7" i="70" s="1" a="1"/>
  <c r="BB7" i="70" s="1"/>
  <c r="BB8" i="70" s="1" a="1"/>
  <c r="BB8" i="70" s="1"/>
  <c r="BB9" i="70" s="1" a="1"/>
  <c r="BB9" i="70" s="1"/>
  <c r="BB10" i="70" s="1" a="1"/>
  <c r="BB10" i="70" s="1"/>
  <c r="BB11" i="70" s="1" a="1"/>
  <c r="BB11" i="70" s="1"/>
  <c r="BB12" i="70" s="1" a="1"/>
  <c r="BB12" i="70" s="1"/>
  <c r="BB13" i="70" s="1" a="1"/>
  <c r="BB13" i="70" s="1"/>
  <c r="BB14" i="70" s="1" a="1"/>
  <c r="BB14" i="70" s="1"/>
  <c r="BB15" i="70" s="1" a="1"/>
  <c r="BB15" i="70" s="1"/>
  <c r="BB16" i="70" s="1" a="1"/>
  <c r="BB16" i="70" s="1"/>
  <c r="BB17" i="70" s="1" a="1"/>
  <c r="BB17" i="70" s="1"/>
  <c r="BB18" i="70" s="1" a="1"/>
  <c r="BB18" i="70" s="1"/>
  <c r="BB19" i="70" s="1" a="1"/>
  <c r="BB19" i="70" s="1"/>
  <c r="BB20" i="70" s="1" a="1"/>
  <c r="BB20" i="70" s="1"/>
  <c r="BB21" i="70" s="1" a="1"/>
  <c r="BB21" i="70" s="1"/>
  <c r="BB22" i="70" s="1" a="1"/>
  <c r="BB22" i="70" s="1"/>
  <c r="BB23" i="70" s="1" a="1"/>
  <c r="BB23" i="70" s="1"/>
  <c r="BB24" i="70" s="1" a="1"/>
  <c r="BB24" i="70" s="1"/>
  <c r="BB25" i="70" s="1" a="1"/>
  <c r="BB25" i="70" s="1"/>
  <c r="BB26" i="70" s="1" a="1"/>
  <c r="BB26" i="70" s="1"/>
  <c r="BB27" i="70" s="1" a="1"/>
  <c r="BB27" i="70" s="1"/>
  <c r="BB28" i="70" s="1" a="1"/>
  <c r="BB28" i="70" s="1"/>
  <c r="BB29" i="70" s="1" a="1"/>
  <c r="BB29" i="70" s="1"/>
  <c r="BB30" i="70" s="1" a="1"/>
  <c r="BB30" i="70" s="1"/>
  <c r="BB31" i="70" s="1" a="1"/>
  <c r="BB31" i="70" s="1"/>
  <c r="BB32" i="70" s="1" a="1"/>
  <c r="BB32" i="70" s="1"/>
  <c r="BB33" i="70" s="1" a="1"/>
  <c r="BB33" i="70" s="1"/>
  <c r="BB34" i="70" s="1" a="1"/>
  <c r="BB34" i="70" s="1"/>
  <c r="BB35" i="70" s="1" a="1"/>
  <c r="BB35" i="70" s="1"/>
  <c r="BB36" i="70" s="1" a="1"/>
  <c r="BB36" i="70" s="1"/>
  <c r="BB37" i="70" s="1" a="1"/>
  <c r="BB37" i="70" s="1"/>
  <c r="BB38" i="70" s="1" a="1"/>
  <c r="BB38" i="70" s="1"/>
  <c r="BB39" i="70" s="1" a="1"/>
  <c r="BB39" i="70" s="1"/>
  <c r="BB40" i="70" s="1" a="1"/>
  <c r="BB40" i="70" s="1"/>
  <c r="BB41" i="70" s="1" a="1"/>
  <c r="BB41" i="70" s="1"/>
  <c r="BB42" i="70" s="1" a="1"/>
  <c r="BB42" i="70" s="1"/>
  <c r="BB43" i="70" s="1" a="1"/>
  <c r="BB43" i="70" s="1"/>
  <c r="BB44" i="70" s="1" a="1"/>
  <c r="BB44" i="70" s="1"/>
  <c r="BB45" i="70" s="1" a="1"/>
  <c r="BB45" i="70" s="1"/>
  <c r="BB46" i="70" s="1" a="1"/>
  <c r="BB46" i="70" s="1"/>
  <c r="BB47" i="70" s="1" a="1"/>
  <c r="BB47" i="70" s="1"/>
  <c r="BB48" i="70" s="1" a="1"/>
  <c r="BB48" i="70" s="1"/>
  <c r="BB49" i="70" s="1" a="1"/>
  <c r="BB49" i="70" s="1"/>
  <c r="BB50" i="70" s="1" a="1"/>
  <c r="BB50" i="70" s="1"/>
  <c r="BB51" i="70" s="1" a="1"/>
  <c r="BB51" i="70" s="1"/>
  <c r="BB52" i="70" s="1" a="1"/>
  <c r="BB52" i="70" s="1"/>
  <c r="BB53" i="70" s="1" a="1"/>
  <c r="BB53" i="70" s="1"/>
  <c r="BB54" i="70" s="1" a="1"/>
  <c r="BB54" i="70" s="1"/>
  <c r="BB55" i="70" s="1" a="1"/>
  <c r="BB55" i="70" s="1"/>
  <c r="BB56" i="70" s="1" a="1"/>
  <c r="BB56" i="70" s="1"/>
  <c r="BB57" i="70" s="1" a="1"/>
  <c r="BB57" i="70" s="1"/>
  <c r="BB58" i="70" s="1" a="1"/>
  <c r="BB58" i="70" s="1"/>
  <c r="BB59" i="70" s="1" a="1"/>
  <c r="BB59" i="70" s="1"/>
  <c r="BB60" i="70" s="1" a="1"/>
  <c r="BB60" i="70" s="1"/>
  <c r="BB61" i="70" s="1" a="1"/>
  <c r="BB61" i="70" s="1"/>
  <c r="BB62" i="70" s="1" a="1"/>
  <c r="BB62" i="70" s="1"/>
  <c r="BB63" i="70" s="1" a="1"/>
  <c r="BB63" i="70" s="1"/>
  <c r="BB64" i="70" s="1" a="1"/>
  <c r="BB64" i="70" s="1"/>
  <c r="BB65" i="70" s="1" a="1"/>
  <c r="BB65" i="70" s="1"/>
  <c r="BB66" i="70" s="1" a="1"/>
  <c r="BB66" i="70" s="1"/>
  <c r="BB67" i="70" s="1" a="1"/>
  <c r="BB67" i="70" s="1"/>
  <c r="BB68" i="70" s="1" a="1"/>
  <c r="BB68" i="70" s="1"/>
  <c r="BB69" i="70" s="1" a="1"/>
  <c r="BB69" i="70" s="1"/>
  <c r="BB70" i="70" s="1" a="1"/>
  <c r="BB70" i="70" s="1"/>
  <c r="BB71" i="70" s="1" a="1"/>
  <c r="BB71" i="70" s="1"/>
  <c r="BB72" i="70" s="1" a="1"/>
  <c r="BB72" i="70" s="1"/>
  <c r="BB73" i="70" s="1" a="1"/>
  <c r="BB73" i="70" s="1"/>
  <c r="BB74" i="70" s="1" a="1"/>
  <c r="BB74" i="70" s="1"/>
  <c r="BB75" i="70" s="1" a="1"/>
  <c r="BB75" i="70" s="1"/>
  <c r="BB76" i="70" s="1" a="1"/>
  <c r="BB76" i="70" s="1"/>
  <c r="BB77" i="70" s="1" a="1"/>
  <c r="BB77" i="70" s="1"/>
  <c r="BB78" i="70" s="1" a="1"/>
  <c r="BB78" i="70" s="1"/>
  <c r="BB79" i="70" s="1" a="1"/>
  <c r="BB79" i="70" s="1"/>
  <c r="BB80" i="70" s="1" a="1"/>
  <c r="BB80" i="70" s="1"/>
  <c r="BB81" i="70" s="1" a="1"/>
  <c r="BB81" i="70" s="1"/>
  <c r="BB82" i="70" s="1" a="1"/>
  <c r="BB82" i="70" s="1"/>
  <c r="BB83" i="70" s="1" a="1"/>
  <c r="BB83" i="70" s="1"/>
  <c r="BB84" i="70" s="1" a="1"/>
  <c r="BB84" i="70" s="1"/>
  <c r="BB85" i="70" s="1" a="1"/>
  <c r="BB85" i="70" s="1"/>
  <c r="BB86" i="70" s="1" a="1"/>
  <c r="BB86" i="70" s="1"/>
  <c r="BB87" i="70" s="1" a="1"/>
  <c r="BB87" i="70" s="1"/>
  <c r="BB88" i="70" s="1" a="1"/>
  <c r="BB88" i="70" s="1"/>
  <c r="BB89" i="70" s="1" a="1"/>
  <c r="BB89" i="70" s="1"/>
  <c r="BB90" i="70" s="1" a="1"/>
  <c r="BB90" i="70" s="1"/>
  <c r="BB91" i="70" s="1" a="1"/>
  <c r="BB91" i="70" s="1"/>
  <c r="BB92" i="70" s="1" a="1"/>
  <c r="BB92" i="70" s="1"/>
  <c r="BB93" i="70" s="1" a="1"/>
  <c r="BB93" i="70" s="1"/>
  <c r="BB94" i="70" s="1" a="1"/>
  <c r="BB94" i="70" s="1"/>
  <c r="BB95" i="70" s="1" a="1"/>
  <c r="BB95" i="70" s="1"/>
  <c r="BB96" i="70" s="1" a="1"/>
  <c r="BB96" i="70" s="1"/>
  <c r="BB97" i="70" s="1" a="1"/>
  <c r="BB97" i="70" s="1"/>
  <c r="BB98" i="70" s="1" a="1"/>
  <c r="BB98" i="70" s="1"/>
  <c r="BB99" i="70" s="1" a="1"/>
  <c r="BB99" i="70" s="1"/>
  <c r="BB100" i="70" s="1" a="1"/>
  <c r="BB100" i="70" s="1"/>
  <c r="BB101" i="70" s="1" a="1"/>
  <c r="BB101" i="70" s="1"/>
  <c r="BB102" i="70" s="1" a="1"/>
  <c r="BB102" i="70" s="1"/>
  <c r="BB103" i="70" s="1" a="1"/>
  <c r="BB103" i="70" s="1"/>
  <c r="BB104" i="70" s="1" a="1"/>
  <c r="BB104" i="70" s="1"/>
  <c r="BB105" i="70" s="1" a="1"/>
  <c r="BB105" i="70" s="1"/>
  <c r="BB106" i="70" s="1" a="1"/>
  <c r="BB106" i="70" s="1"/>
  <c r="BB107" i="70" s="1" a="1"/>
  <c r="BB107" i="70" s="1"/>
  <c r="BB108" i="70" s="1" a="1"/>
  <c r="BB108" i="70" s="1"/>
  <c r="BB109" i="70" s="1" a="1"/>
  <c r="BB109" i="70" s="1"/>
  <c r="BB110" i="70" s="1" a="1"/>
  <c r="BB110" i="70" s="1"/>
  <c r="BB111" i="70" s="1" a="1"/>
  <c r="BB111" i="70" s="1"/>
  <c r="BB112" i="70" s="1" a="1"/>
  <c r="BB112" i="70" s="1"/>
  <c r="BB113" i="70" s="1" a="1"/>
  <c r="BB113" i="70" s="1"/>
  <c r="BB114" i="70" s="1" a="1"/>
  <c r="BB114" i="70" s="1"/>
  <c r="BB115" i="70" s="1" a="1"/>
  <c r="BB115" i="70" s="1"/>
  <c r="BB116" i="70" s="1" a="1"/>
  <c r="BB116" i="70" s="1"/>
  <c r="BB117" i="70" s="1" a="1"/>
  <c r="BB117" i="70" s="1"/>
  <c r="BC2" i="70"/>
  <c r="BE2" i="70" a="1"/>
  <c r="BE2" i="70" s="1"/>
  <c r="BE3" i="70" s="1" a="1"/>
  <c r="BE3" i="70" s="1"/>
  <c r="BE4" i="70" s="1" a="1"/>
  <c r="BE4" i="70" s="1"/>
  <c r="BE5" i="70" s="1" a="1"/>
  <c r="BE5" i="70" s="1"/>
  <c r="BE6" i="70" s="1" a="1"/>
  <c r="BE6" i="70" s="1"/>
  <c r="BE7" i="70" s="1" a="1"/>
  <c r="BE7" i="70" s="1"/>
  <c r="BE8" i="70" s="1" a="1"/>
  <c r="BE8" i="70" s="1"/>
  <c r="BE9" i="70" s="1" a="1"/>
  <c r="BE9" i="70" s="1"/>
  <c r="BE10" i="70" s="1" a="1"/>
  <c r="BE10" i="70" s="1"/>
  <c r="BE11" i="70" s="1" a="1"/>
  <c r="BE11" i="70" s="1"/>
  <c r="BE12" i="70" s="1" a="1"/>
  <c r="BE12" i="70" s="1"/>
  <c r="BE13" i="70" s="1" a="1"/>
  <c r="BE13" i="70" s="1"/>
  <c r="BE14" i="70" s="1" a="1"/>
  <c r="BE14" i="70" s="1"/>
  <c r="BE15" i="70" s="1" a="1"/>
  <c r="BE15" i="70" s="1"/>
  <c r="BE16" i="70" s="1" a="1"/>
  <c r="BE16" i="70" s="1"/>
  <c r="BE17" i="70" s="1" a="1"/>
  <c r="BE17" i="70" s="1"/>
  <c r="BE18" i="70" s="1" a="1"/>
  <c r="BE18" i="70" s="1"/>
  <c r="BE19" i="70" s="1" a="1"/>
  <c r="BE19" i="70" s="1"/>
  <c r="BE20" i="70" s="1" a="1"/>
  <c r="BE20" i="70" s="1"/>
  <c r="BE21" i="70" s="1" a="1"/>
  <c r="BE21" i="70" s="1"/>
  <c r="BE22" i="70" s="1" a="1"/>
  <c r="BE22" i="70" s="1"/>
  <c r="BE23" i="70" s="1" a="1"/>
  <c r="BE23" i="70" s="1"/>
  <c r="BE24" i="70" s="1" a="1"/>
  <c r="BE24" i="70" s="1"/>
  <c r="BE25" i="70" s="1" a="1"/>
  <c r="BE25" i="70" s="1"/>
  <c r="BE26" i="70" s="1" a="1"/>
  <c r="BE26" i="70" s="1"/>
  <c r="BF2" i="70"/>
  <c r="BH2" i="70" a="1"/>
  <c r="BH2" i="70" s="1"/>
  <c r="BH3" i="70" s="1" a="1"/>
  <c r="BH3" i="70" s="1"/>
  <c r="BH4" i="70" s="1" a="1"/>
  <c r="BH4" i="70" s="1"/>
  <c r="BH5" i="70" s="1" a="1"/>
  <c r="BH5" i="70" s="1"/>
  <c r="BH6" i="70" s="1" a="1"/>
  <c r="BH6" i="70" s="1"/>
  <c r="BH7" i="70" s="1" a="1"/>
  <c r="BH7" i="70" s="1"/>
  <c r="BH8" i="70" s="1" a="1"/>
  <c r="BH8" i="70" s="1"/>
  <c r="BH9" i="70" s="1" a="1"/>
  <c r="BH9" i="70" s="1"/>
  <c r="BH10" i="70" s="1" a="1"/>
  <c r="BH10" i="70" s="1"/>
  <c r="BH11" i="70" s="1" a="1"/>
  <c r="BH11" i="70" s="1"/>
  <c r="BH12" i="70" s="1" a="1"/>
  <c r="BH12" i="70" s="1"/>
  <c r="BH13" i="70" s="1" a="1"/>
  <c r="BH13" i="70" s="1"/>
  <c r="BH14" i="70" s="1" a="1"/>
  <c r="BH14" i="70" s="1"/>
  <c r="BH15" i="70" s="1" a="1"/>
  <c r="BH15" i="70" s="1"/>
  <c r="BH16" i="70" s="1" a="1"/>
  <c r="BH16" i="70" s="1"/>
  <c r="BH17" i="70" s="1" a="1"/>
  <c r="BH17" i="70" s="1"/>
  <c r="BH18" i="70" s="1" a="1"/>
  <c r="BH18" i="70" s="1"/>
  <c r="BH19" i="70" s="1" a="1"/>
  <c r="BH19" i="70" s="1"/>
  <c r="BH20" i="70" s="1" a="1"/>
  <c r="BH20" i="70" s="1"/>
  <c r="BH21" i="70" s="1" a="1"/>
  <c r="BH21" i="70" s="1"/>
  <c r="BH22" i="70" s="1" a="1"/>
  <c r="BH22" i="70" s="1"/>
  <c r="BH23" i="70" s="1" a="1"/>
  <c r="BH23" i="70" s="1"/>
  <c r="BH24" i="70" s="1" a="1"/>
  <c r="BH24" i="70" s="1"/>
  <c r="BH25" i="70" s="1" a="1"/>
  <c r="BH25" i="70" s="1"/>
  <c r="BH26" i="70" s="1" a="1"/>
  <c r="BH26" i="70" s="1"/>
  <c r="BH27" i="70" s="1" a="1"/>
  <c r="BH27" i="70" s="1"/>
  <c r="BH28" i="70" s="1" a="1"/>
  <c r="BH28" i="70" s="1"/>
  <c r="BH29" i="70" s="1" a="1"/>
  <c r="BH29" i="70" s="1"/>
  <c r="BH30" i="70" s="1" a="1"/>
  <c r="BH30" i="70" s="1"/>
  <c r="BH31" i="70" s="1" a="1"/>
  <c r="BH31" i="70" s="1"/>
  <c r="BH32" i="70" s="1" a="1"/>
  <c r="BH32" i="70" s="1"/>
  <c r="BH33" i="70" s="1" a="1"/>
  <c r="BH33" i="70" s="1"/>
  <c r="BH34" i="70" s="1" a="1"/>
  <c r="BH34" i="70" s="1"/>
  <c r="BH35" i="70" s="1" a="1"/>
  <c r="BH35" i="70" s="1"/>
  <c r="BH36" i="70" s="1" a="1"/>
  <c r="BH36" i="70" s="1"/>
  <c r="BH37" i="70" s="1" a="1"/>
  <c r="BH37" i="70" s="1"/>
  <c r="BH38" i="70" s="1" a="1"/>
  <c r="BH38" i="70" s="1"/>
  <c r="BH39" i="70" s="1" a="1"/>
  <c r="BH39" i="70" s="1"/>
  <c r="BH40" i="70" s="1" a="1"/>
  <c r="BH40" i="70" s="1"/>
  <c r="BH41" i="70" s="1" a="1"/>
  <c r="BH41" i="70" s="1"/>
  <c r="BH42" i="70" s="1" a="1"/>
  <c r="BH42" i="70" s="1"/>
  <c r="BH43" i="70" s="1" a="1"/>
  <c r="BH43" i="70" s="1"/>
  <c r="BH44" i="70" s="1" a="1"/>
  <c r="BH44" i="70" s="1"/>
  <c r="BH45" i="70" s="1" a="1"/>
  <c r="BH45" i="70" s="1"/>
  <c r="BH46" i="70" s="1" a="1"/>
  <c r="BH46" i="70" s="1"/>
  <c r="BH47" i="70" s="1" a="1"/>
  <c r="BH47" i="70" s="1"/>
  <c r="BH48" i="70" s="1" a="1"/>
  <c r="BH48" i="70" s="1"/>
  <c r="BH49" i="70" s="1" a="1"/>
  <c r="BH49" i="70" s="1"/>
  <c r="BH50" i="70" s="1" a="1"/>
  <c r="BH50" i="70" s="1"/>
  <c r="BH51" i="70" s="1" a="1"/>
  <c r="BH51" i="70" s="1"/>
  <c r="BH52" i="70" s="1" a="1"/>
  <c r="BH52" i="70" s="1"/>
  <c r="BH53" i="70" s="1" a="1"/>
  <c r="BH53" i="70" s="1"/>
  <c r="BH54" i="70" s="1" a="1"/>
  <c r="BH54" i="70" s="1"/>
  <c r="BH55" i="70" s="1" a="1"/>
  <c r="BH55" i="70" s="1"/>
  <c r="BH56" i="70" s="1" a="1"/>
  <c r="BH56" i="70" s="1"/>
  <c r="BH57" i="70" s="1" a="1"/>
  <c r="BH57" i="70" s="1"/>
  <c r="BH58" i="70" s="1" a="1"/>
  <c r="BH58" i="70" s="1"/>
  <c r="BH59" i="70" s="1" a="1"/>
  <c r="BH59" i="70" s="1"/>
  <c r="BH60" i="70" s="1" a="1"/>
  <c r="BH60" i="70" s="1"/>
  <c r="BH61" i="70" s="1" a="1"/>
  <c r="BH61" i="70" s="1"/>
  <c r="BH62" i="70" s="1" a="1"/>
  <c r="BH62" i="70" s="1"/>
  <c r="BH63" i="70" s="1" a="1"/>
  <c r="BH63" i="70" s="1"/>
  <c r="BH64" i="70" s="1" a="1"/>
  <c r="BH64" i="70" s="1"/>
  <c r="BH65" i="70" s="1" a="1"/>
  <c r="BH65" i="70" s="1"/>
  <c r="BH66" i="70" s="1" a="1"/>
  <c r="BH66" i="70" s="1"/>
  <c r="BH67" i="70" s="1" a="1"/>
  <c r="BH67" i="70" s="1"/>
  <c r="BH68" i="70" s="1" a="1"/>
  <c r="BH68" i="70" s="1"/>
  <c r="BH69" i="70" s="1" a="1"/>
  <c r="BH69" i="70" s="1"/>
  <c r="BH70" i="70" s="1" a="1"/>
  <c r="BH70" i="70" s="1"/>
  <c r="BH71" i="70" s="1" a="1"/>
  <c r="BH71" i="70" s="1"/>
  <c r="BH72" i="70" s="1" a="1"/>
  <c r="BH72" i="70" s="1"/>
  <c r="BI2" i="70"/>
  <c r="BK2" i="70" a="1"/>
  <c r="BK2" i="70" s="1"/>
  <c r="BK3" i="70" s="1" a="1"/>
  <c r="BK3" i="70" s="1"/>
  <c r="BK4" i="70" s="1" a="1"/>
  <c r="BK4" i="70" s="1"/>
  <c r="BK5" i="70" s="1" a="1"/>
  <c r="BK5" i="70" s="1"/>
  <c r="BK6" i="70" s="1" a="1"/>
  <c r="BK6" i="70" s="1"/>
  <c r="BK7" i="70" s="1" a="1"/>
  <c r="BK7" i="70" s="1"/>
  <c r="BK8" i="70" s="1" a="1"/>
  <c r="BK8" i="70" s="1"/>
  <c r="BK9" i="70" s="1" a="1"/>
  <c r="BK9" i="70" s="1"/>
  <c r="BK10" i="70" s="1" a="1"/>
  <c r="BK10" i="70" s="1"/>
  <c r="BK11" i="70" s="1" a="1"/>
  <c r="BK11" i="70" s="1"/>
  <c r="BK12" i="70" s="1" a="1"/>
  <c r="BK12" i="70" s="1"/>
  <c r="BK13" i="70" s="1" a="1"/>
  <c r="BK13" i="70" s="1"/>
  <c r="BK14" i="70" s="1" a="1"/>
  <c r="BK14" i="70" s="1"/>
  <c r="BK15" i="70" s="1" a="1"/>
  <c r="BK15" i="70" s="1"/>
  <c r="BK16" i="70" s="1" a="1"/>
  <c r="BK16" i="70" s="1"/>
  <c r="BK17" i="70" s="1" a="1"/>
  <c r="BK17" i="70" s="1"/>
  <c r="BK18" i="70" s="1" a="1"/>
  <c r="BK18" i="70" s="1"/>
  <c r="BK19" i="70" s="1" a="1"/>
  <c r="BK19" i="70" s="1"/>
  <c r="BK20" i="70" s="1" a="1"/>
  <c r="BK20" i="70" s="1"/>
  <c r="BK21" i="70" s="1" a="1"/>
  <c r="BK21" i="70" s="1"/>
  <c r="BK22" i="70" s="1" a="1"/>
  <c r="BK22" i="70" s="1"/>
  <c r="BK23" i="70" s="1" a="1"/>
  <c r="BK23" i="70" s="1"/>
  <c r="BK24" i="70" s="1" a="1"/>
  <c r="BK24" i="70" s="1"/>
  <c r="BK25" i="70" s="1" a="1"/>
  <c r="BK25" i="70" s="1"/>
  <c r="BK26" i="70" s="1" a="1"/>
  <c r="BK26" i="70" s="1"/>
  <c r="BK27" i="70" s="1" a="1"/>
  <c r="BK27" i="70" s="1"/>
  <c r="BK28" i="70" s="1" a="1"/>
  <c r="BK28" i="70" s="1"/>
  <c r="BK29" i="70" s="1" a="1"/>
  <c r="BK29" i="70" s="1"/>
  <c r="BK30" i="70" s="1" a="1"/>
  <c r="BK30" i="70" s="1"/>
  <c r="BK31" i="70" s="1" a="1"/>
  <c r="BK31" i="70" s="1"/>
  <c r="BK32" i="70" s="1" a="1"/>
  <c r="BK32" i="70" s="1"/>
  <c r="BK33" i="70" s="1" a="1"/>
  <c r="BK33" i="70" s="1"/>
  <c r="BK34" i="70" s="1" a="1"/>
  <c r="BK34" i="70" s="1"/>
  <c r="BK35" i="70" s="1" a="1"/>
  <c r="BK35" i="70" s="1"/>
  <c r="BK36" i="70" s="1" a="1"/>
  <c r="BK36" i="70" s="1"/>
  <c r="BK37" i="70" s="1" a="1"/>
  <c r="BK37" i="70" s="1"/>
  <c r="BK38" i="70" s="1" a="1"/>
  <c r="BK38" i="70" s="1"/>
  <c r="BK39" i="70" s="1" a="1"/>
  <c r="BK39" i="70" s="1"/>
  <c r="BK40" i="70" s="1" a="1"/>
  <c r="BK40" i="70" s="1"/>
  <c r="BK41" i="70" s="1" a="1"/>
  <c r="BK41" i="70" s="1"/>
  <c r="BK42" i="70" s="1" a="1"/>
  <c r="BK42" i="70" s="1"/>
  <c r="BK43" i="70" s="1" a="1"/>
  <c r="BK43" i="70" s="1"/>
  <c r="BK44" i="70" s="1" a="1"/>
  <c r="BK44" i="70" s="1"/>
  <c r="BK45" i="70" s="1" a="1"/>
  <c r="BK45" i="70" s="1"/>
  <c r="BK46" i="70" s="1" a="1"/>
  <c r="BK46" i="70" s="1"/>
  <c r="BK47" i="70" s="1" a="1"/>
  <c r="BK47" i="70" s="1"/>
  <c r="BK48" i="70" s="1" a="1"/>
  <c r="BK48" i="70" s="1"/>
  <c r="BK49" i="70" s="1" a="1"/>
  <c r="BK49" i="70" s="1"/>
  <c r="BK50" i="70" s="1" a="1"/>
  <c r="BK50" i="70" s="1"/>
  <c r="BK51" i="70" s="1" a="1"/>
  <c r="BK51" i="70" s="1"/>
  <c r="BK52" i="70" s="1" a="1"/>
  <c r="BK52" i="70" s="1"/>
  <c r="BK53" i="70" s="1" a="1"/>
  <c r="BK53" i="70" s="1"/>
  <c r="BK54" i="70" s="1" a="1"/>
  <c r="BK54" i="70" s="1"/>
  <c r="BK55" i="70" s="1" a="1"/>
  <c r="BK55" i="70" s="1"/>
  <c r="BK56" i="70" s="1" a="1"/>
  <c r="BK56" i="70" s="1"/>
  <c r="BK57" i="70" s="1" a="1"/>
  <c r="BK57" i="70" s="1"/>
  <c r="BK58" i="70" s="1" a="1"/>
  <c r="BK58" i="70" s="1"/>
  <c r="BK59" i="70" s="1" a="1"/>
  <c r="BK59" i="70" s="1"/>
  <c r="BK60" i="70" s="1" a="1"/>
  <c r="BK60" i="70" s="1"/>
  <c r="BK61" i="70" s="1" a="1"/>
  <c r="BK61" i="70" s="1"/>
  <c r="BK62" i="70" s="1" a="1"/>
  <c r="BK62" i="70" s="1"/>
  <c r="BK63" i="70" s="1" a="1"/>
  <c r="BK63" i="70" s="1"/>
  <c r="BK64" i="70" s="1" a="1"/>
  <c r="BK64" i="70" s="1"/>
  <c r="BK65" i="70" s="1" a="1"/>
  <c r="BK65" i="70" s="1"/>
  <c r="BK66" i="70" s="1" a="1"/>
  <c r="BK66" i="70" s="1"/>
  <c r="BK67" i="70" s="1" a="1"/>
  <c r="BK67" i="70" s="1"/>
  <c r="BK68" i="70" s="1" a="1"/>
  <c r="BK68" i="70" s="1"/>
  <c r="BK69" i="70" s="1" a="1"/>
  <c r="BK69" i="70" s="1"/>
  <c r="BK70" i="70" s="1" a="1"/>
  <c r="BK70" i="70" s="1"/>
  <c r="BK71" i="70" s="1" a="1"/>
  <c r="BK71" i="70" s="1"/>
  <c r="BK72" i="70" s="1" a="1"/>
  <c r="BK72" i="70" s="1"/>
  <c r="BK73" i="70" s="1" a="1"/>
  <c r="BK73" i="70" s="1"/>
  <c r="BK74" i="70" s="1" a="1"/>
  <c r="BK74" i="70" s="1"/>
  <c r="BK75" i="70" s="1" a="1"/>
  <c r="BK75" i="70" s="1"/>
  <c r="BK76" i="70" s="1" a="1"/>
  <c r="BK76" i="70" s="1"/>
  <c r="BK77" i="70" s="1" a="1"/>
  <c r="BK77" i="70" s="1"/>
  <c r="BK78" i="70" s="1" a="1"/>
  <c r="BK78" i="70" s="1"/>
  <c r="BK79" i="70" s="1" a="1"/>
  <c r="BK79" i="70" s="1"/>
  <c r="BK80" i="70" s="1" a="1"/>
  <c r="BK80" i="70" s="1"/>
  <c r="BK81" i="70" s="1" a="1"/>
  <c r="BK81" i="70" s="1"/>
  <c r="BK82" i="70" s="1" a="1"/>
  <c r="BK82" i="70" s="1"/>
  <c r="BK83" i="70" s="1" a="1"/>
  <c r="BK83" i="70" s="1"/>
  <c r="BK84" i="70" s="1" a="1"/>
  <c r="BK84" i="70" s="1"/>
  <c r="BK85" i="70" s="1" a="1"/>
  <c r="BK85" i="70" s="1"/>
  <c r="BK86" i="70" s="1" a="1"/>
  <c r="BK86" i="70" s="1"/>
  <c r="BK87" i="70" s="1" a="1"/>
  <c r="BK87" i="70" s="1"/>
  <c r="BK88" i="70" s="1" a="1"/>
  <c r="BK88" i="70" s="1"/>
  <c r="BK89" i="70" s="1" a="1"/>
  <c r="BK89" i="70" s="1"/>
  <c r="BK90" i="70" s="1" a="1"/>
  <c r="BK90" i="70" s="1"/>
  <c r="BK91" i="70" s="1" a="1"/>
  <c r="BK91" i="70" s="1"/>
  <c r="BK92" i="70" s="1" a="1"/>
  <c r="BK92" i="70" s="1"/>
  <c r="BK93" i="70" s="1" a="1"/>
  <c r="BK93" i="70" s="1"/>
  <c r="BK94" i="70" s="1" a="1"/>
  <c r="BK94" i="70" s="1"/>
  <c r="BK95" i="70" s="1" a="1"/>
  <c r="BK95" i="70" s="1"/>
  <c r="BK96" i="70" s="1" a="1"/>
  <c r="BK96" i="70" s="1"/>
  <c r="BK97" i="70" s="1" a="1"/>
  <c r="BK97" i="70" s="1"/>
  <c r="BK98" i="70" s="1" a="1"/>
  <c r="BK98" i="70" s="1"/>
  <c r="BK99" i="70" s="1" a="1"/>
  <c r="BK99" i="70" s="1"/>
  <c r="BK100" i="70" s="1" a="1"/>
  <c r="BK100" i="70" s="1"/>
  <c r="BK101" i="70" s="1" a="1"/>
  <c r="BK101" i="70" s="1"/>
  <c r="BK102" i="70" s="1" a="1"/>
  <c r="BK102" i="70" s="1"/>
  <c r="BK103" i="70" s="1" a="1"/>
  <c r="BK103" i="70" s="1"/>
  <c r="BK104" i="70" s="1" a="1"/>
  <c r="BK104" i="70" s="1"/>
  <c r="BK105" i="70" s="1" a="1"/>
  <c r="BK105" i="70" s="1"/>
  <c r="BK106" i="70" s="1" a="1"/>
  <c r="BK106" i="70" s="1"/>
  <c r="BK107" i="70" s="1" a="1"/>
  <c r="BK107" i="70" s="1"/>
  <c r="BK108" i="70" s="1" a="1"/>
  <c r="BK108" i="70" s="1"/>
  <c r="BK109" i="70" s="1" a="1"/>
  <c r="BK109" i="70" s="1"/>
  <c r="BK110" i="70" s="1" a="1"/>
  <c r="BK110" i="70" s="1"/>
  <c r="BK111" i="70" s="1" a="1"/>
  <c r="BK111" i="70" s="1"/>
  <c r="BK112" i="70" s="1" a="1"/>
  <c r="BK112" i="70" s="1"/>
  <c r="BK113" i="70" s="1" a="1"/>
  <c r="BK113" i="70" s="1"/>
  <c r="BK114" i="70" s="1" a="1"/>
  <c r="BK114" i="70" s="1"/>
  <c r="BK115" i="70" s="1" a="1"/>
  <c r="BK115" i="70" s="1"/>
  <c r="BK116" i="70" s="1" a="1"/>
  <c r="BK116" i="70" s="1"/>
  <c r="BK117" i="70" s="1" a="1"/>
  <c r="BK117" i="70" s="1"/>
  <c r="BK118" i="70" s="1" a="1"/>
  <c r="BK118" i="70" s="1"/>
  <c r="BK119" i="70" s="1" a="1"/>
  <c r="BK119" i="70" s="1"/>
  <c r="BK120" i="70" s="1" a="1"/>
  <c r="BK120" i="70" s="1"/>
  <c r="BK121" i="70" s="1" a="1"/>
  <c r="BK121" i="70" s="1"/>
  <c r="BK122" i="70" s="1" a="1"/>
  <c r="BK122" i="70" s="1"/>
  <c r="BK123" i="70" s="1" a="1"/>
  <c r="BK123" i="70" s="1"/>
  <c r="BK124" i="70" s="1" a="1"/>
  <c r="BK124" i="70" s="1"/>
  <c r="BK125" i="70" s="1" a="1"/>
  <c r="BK125" i="70" s="1"/>
  <c r="BK126" i="70" s="1" a="1"/>
  <c r="BK126" i="70" s="1"/>
  <c r="BK127" i="70" s="1" a="1"/>
  <c r="BK127" i="70" s="1"/>
  <c r="BK128" i="70" s="1" a="1"/>
  <c r="BK128" i="70" s="1"/>
  <c r="BL2" i="70"/>
  <c r="BN2" i="70" a="1"/>
  <c r="BN2" i="70" s="1"/>
  <c r="BN3" i="70" s="1" a="1"/>
  <c r="BN3" i="70" s="1"/>
  <c r="BN4" i="70" s="1" a="1"/>
  <c r="BN4" i="70" s="1"/>
  <c r="BN5" i="70" s="1" a="1"/>
  <c r="BN5" i="70" s="1"/>
  <c r="BN6" i="70" s="1" a="1"/>
  <c r="BN6" i="70" s="1"/>
  <c r="BN7" i="70" s="1" a="1"/>
  <c r="BN7" i="70" s="1"/>
  <c r="BN8" i="70" s="1" a="1"/>
  <c r="BN8" i="70" s="1"/>
  <c r="BN9" i="70" s="1" a="1"/>
  <c r="BN9" i="70" s="1"/>
  <c r="BN10" i="70" s="1" a="1"/>
  <c r="BN10" i="70" s="1"/>
  <c r="BN11" i="70" s="1" a="1"/>
  <c r="BN11" i="70" s="1"/>
  <c r="BN12" i="70" s="1" a="1"/>
  <c r="BN12" i="70" s="1"/>
  <c r="BN13" i="70" s="1" a="1"/>
  <c r="BN13" i="70" s="1"/>
  <c r="BN14" i="70" s="1" a="1"/>
  <c r="BN14" i="70" s="1"/>
  <c r="BN15" i="70" s="1" a="1"/>
  <c r="BN15" i="70" s="1"/>
  <c r="BN16" i="70" s="1" a="1"/>
  <c r="BN16" i="70" s="1"/>
  <c r="BN17" i="70" s="1" a="1"/>
  <c r="BN17" i="70" s="1"/>
  <c r="BN18" i="70" s="1" a="1"/>
  <c r="BN18" i="70" s="1"/>
  <c r="BN19" i="70" s="1" a="1"/>
  <c r="BN19" i="70" s="1"/>
  <c r="BN20" i="70" s="1" a="1"/>
  <c r="BN20" i="70" s="1"/>
  <c r="BN21" i="70" s="1" a="1"/>
  <c r="BN21" i="70" s="1"/>
  <c r="BN22" i="70" s="1" a="1"/>
  <c r="BN22" i="70" s="1"/>
  <c r="BN23" i="70" s="1" a="1"/>
  <c r="BN23" i="70" s="1"/>
  <c r="BN24" i="70" s="1" a="1"/>
  <c r="BN24" i="70" s="1"/>
  <c r="BN25" i="70" s="1" a="1"/>
  <c r="BN25" i="70" s="1"/>
  <c r="BN26" i="70" s="1" a="1"/>
  <c r="BN26" i="70" s="1"/>
  <c r="BN27" i="70" s="1" a="1"/>
  <c r="BN27" i="70" s="1"/>
  <c r="BN28" i="70" s="1" a="1"/>
  <c r="BN28" i="70" s="1"/>
  <c r="BN29" i="70" s="1" a="1"/>
  <c r="BN29" i="70" s="1"/>
  <c r="BN30" i="70" s="1" a="1"/>
  <c r="BN30" i="70" s="1"/>
  <c r="BN31" i="70" s="1" a="1"/>
  <c r="BN31" i="70" s="1"/>
  <c r="BN32" i="70" s="1" a="1"/>
  <c r="BN32" i="70" s="1"/>
  <c r="BN33" i="70" s="1" a="1"/>
  <c r="BN33" i="70" s="1"/>
  <c r="BN34" i="70" s="1" a="1"/>
  <c r="BN34" i="70" s="1"/>
  <c r="BN35" i="70" s="1" a="1"/>
  <c r="BN35" i="70" s="1"/>
  <c r="BN36" i="70" s="1" a="1"/>
  <c r="BN36" i="70" s="1"/>
  <c r="BN37" i="70" s="1" a="1"/>
  <c r="BN37" i="70" s="1"/>
  <c r="BN38" i="70" s="1" a="1"/>
  <c r="BN38" i="70" s="1"/>
  <c r="BN39" i="70" s="1" a="1"/>
  <c r="BN39" i="70" s="1"/>
  <c r="BN40" i="70" s="1" a="1"/>
  <c r="BN40" i="70" s="1"/>
  <c r="BN41" i="70" s="1" a="1"/>
  <c r="BN41" i="70" s="1"/>
  <c r="BN42" i="70" s="1" a="1"/>
  <c r="BN42" i="70" s="1"/>
  <c r="BN43" i="70" s="1" a="1"/>
  <c r="BN43" i="70" s="1"/>
  <c r="BN44" i="70" s="1" a="1"/>
  <c r="BN44" i="70" s="1"/>
  <c r="BN45" i="70" s="1" a="1"/>
  <c r="BN45" i="70" s="1"/>
  <c r="BN46" i="70" s="1" a="1"/>
  <c r="BN46" i="70" s="1"/>
  <c r="BN47" i="70" s="1" a="1"/>
  <c r="BN47" i="70" s="1"/>
  <c r="BN48" i="70" s="1" a="1"/>
  <c r="BN48" i="70" s="1"/>
  <c r="BN49" i="70" s="1" a="1"/>
  <c r="BN49" i="70" s="1"/>
  <c r="BN50" i="70" s="1" a="1"/>
  <c r="BN50" i="70" s="1"/>
  <c r="BN51" i="70" s="1" a="1"/>
  <c r="BN51" i="70" s="1"/>
  <c r="BN52" i="70" s="1" a="1"/>
  <c r="BN52" i="70" s="1"/>
  <c r="BN53" i="70" s="1" a="1"/>
  <c r="BN53" i="70" s="1"/>
  <c r="BN54" i="70" s="1" a="1"/>
  <c r="BN54" i="70" s="1"/>
  <c r="BN55" i="70" s="1" a="1"/>
  <c r="BN55" i="70" s="1"/>
  <c r="BN56" i="70" s="1" a="1"/>
  <c r="BN56" i="70" s="1"/>
  <c r="BN57" i="70" s="1" a="1"/>
  <c r="BN57" i="70" s="1"/>
  <c r="BN58" i="70" s="1" a="1"/>
  <c r="BN58" i="70" s="1"/>
  <c r="BN59" i="70" s="1" a="1"/>
  <c r="BN59" i="70" s="1"/>
  <c r="BN60" i="70" s="1" a="1"/>
  <c r="BN60" i="70" s="1"/>
  <c r="BN61" i="70" s="1" a="1"/>
  <c r="BN61" i="70" s="1"/>
  <c r="BN62" i="70" s="1" a="1"/>
  <c r="BN62" i="70" s="1"/>
  <c r="BN63" i="70" s="1" a="1"/>
  <c r="BN63" i="70" s="1"/>
  <c r="BN64" i="70" s="1" a="1"/>
  <c r="BN64" i="70" s="1"/>
  <c r="BN65" i="70" s="1" a="1"/>
  <c r="BN65" i="70" s="1"/>
  <c r="BN66" i="70" s="1" a="1"/>
  <c r="BN66" i="70" s="1"/>
  <c r="BN67" i="70" s="1" a="1"/>
  <c r="BN67" i="70" s="1"/>
  <c r="BN68" i="70" s="1" a="1"/>
  <c r="BN68" i="70" s="1"/>
  <c r="BN69" i="70" s="1" a="1"/>
  <c r="BN69" i="70" s="1"/>
  <c r="BN70" i="70" s="1" a="1"/>
  <c r="BN70" i="70" s="1"/>
  <c r="BN71" i="70" s="1" a="1"/>
  <c r="BN71" i="70" s="1"/>
  <c r="BN72" i="70" s="1" a="1"/>
  <c r="BN72" i="70" s="1"/>
  <c r="BN73" i="70" s="1" a="1"/>
  <c r="BN73" i="70" s="1"/>
  <c r="BN74" i="70" s="1" a="1"/>
  <c r="BN74" i="70" s="1"/>
  <c r="BN75" i="70" s="1" a="1"/>
  <c r="BN75" i="70" s="1"/>
  <c r="BN76" i="70" s="1" a="1"/>
  <c r="BN76" i="70" s="1"/>
  <c r="BN77" i="70" s="1" a="1"/>
  <c r="BN77" i="70" s="1"/>
  <c r="BN78" i="70" s="1" a="1"/>
  <c r="BN78" i="70" s="1"/>
  <c r="BN79" i="70" s="1" a="1"/>
  <c r="BN79" i="70" s="1"/>
  <c r="BN80" i="70" s="1" a="1"/>
  <c r="BN80" i="70" s="1"/>
  <c r="BN81" i="70" s="1" a="1"/>
  <c r="BN81" i="70" s="1"/>
  <c r="BN82" i="70" s="1" a="1"/>
  <c r="BN82" i="70" s="1"/>
  <c r="BN83" i="70" s="1" a="1"/>
  <c r="BN83" i="70" s="1"/>
  <c r="BN84" i="70" s="1" a="1"/>
  <c r="BN84" i="70" s="1"/>
  <c r="BN85" i="70" s="1" a="1"/>
  <c r="BN85" i="70" s="1"/>
  <c r="BN86" i="70" s="1" a="1"/>
  <c r="BN86" i="70" s="1"/>
  <c r="BN87" i="70" s="1" a="1"/>
  <c r="BN87" i="70" s="1"/>
  <c r="BN88" i="70" s="1" a="1"/>
  <c r="BN88" i="70" s="1"/>
  <c r="BN89" i="70" s="1" a="1"/>
  <c r="BN89" i="70" s="1"/>
  <c r="BN90" i="70" s="1" a="1"/>
  <c r="BN90" i="70" s="1"/>
  <c r="BN91" i="70" s="1" a="1"/>
  <c r="BN91" i="70" s="1"/>
  <c r="BN92" i="70" s="1" a="1"/>
  <c r="BN92" i="70" s="1"/>
  <c r="BN93" i="70" s="1" a="1"/>
  <c r="BN93" i="70" s="1"/>
  <c r="BN94" i="70" s="1" a="1"/>
  <c r="BN94" i="70" s="1"/>
  <c r="BN95" i="70" s="1" a="1"/>
  <c r="BN95" i="70" s="1"/>
  <c r="BN96" i="70" s="1" a="1"/>
  <c r="BN96" i="70" s="1"/>
  <c r="BN97" i="70" s="1" a="1"/>
  <c r="BN97" i="70" s="1"/>
  <c r="BN98" i="70" s="1" a="1"/>
  <c r="BN98" i="70" s="1"/>
  <c r="BN99" i="70" s="1" a="1"/>
  <c r="BN99" i="70" s="1"/>
  <c r="BN100" i="70" s="1" a="1"/>
  <c r="BN100" i="70" s="1"/>
  <c r="BN101" i="70" s="1" a="1"/>
  <c r="BN101" i="70" s="1"/>
  <c r="BN102" i="70" s="1" a="1"/>
  <c r="BN102" i="70" s="1"/>
  <c r="BN103" i="70" s="1" a="1"/>
  <c r="BN103" i="70" s="1"/>
  <c r="BN104" i="70" s="1" a="1"/>
  <c r="BN104" i="70" s="1"/>
  <c r="BN105" i="70" s="1" a="1"/>
  <c r="BN105" i="70" s="1"/>
  <c r="BN106" i="70" s="1" a="1"/>
  <c r="BN106" i="70" s="1"/>
  <c r="BN107" i="70" s="1" a="1"/>
  <c r="BN107" i="70" s="1"/>
  <c r="BN108" i="70" s="1" a="1"/>
  <c r="BN108" i="70" s="1"/>
  <c r="BN109" i="70" s="1" a="1"/>
  <c r="BN109" i="70" s="1"/>
  <c r="BN110" i="70" s="1" a="1"/>
  <c r="BN110" i="70" s="1"/>
  <c r="BN111" i="70" s="1" a="1"/>
  <c r="BN111" i="70" s="1"/>
  <c r="BN112" i="70" s="1" a="1"/>
  <c r="BN112" i="70" s="1"/>
  <c r="BN113" i="70" s="1" a="1"/>
  <c r="BN113" i="70" s="1"/>
  <c r="BN114" i="70" s="1" a="1"/>
  <c r="BN114" i="70" s="1"/>
  <c r="BN115" i="70" s="1" a="1"/>
  <c r="BN115" i="70" s="1"/>
  <c r="BN116" i="70" s="1" a="1"/>
  <c r="BN116" i="70" s="1"/>
  <c r="BN117" i="70" s="1" a="1"/>
  <c r="BN117" i="70" s="1"/>
  <c r="BN118" i="70" s="1" a="1"/>
  <c r="BN118" i="70" s="1"/>
  <c r="BN119" i="70" s="1" a="1"/>
  <c r="BN119" i="70" s="1"/>
  <c r="BN120" i="70" s="1" a="1"/>
  <c r="BN120" i="70" s="1"/>
  <c r="BN121" i="70" s="1" a="1"/>
  <c r="BN121" i="70" s="1"/>
  <c r="BN122" i="70" s="1" a="1"/>
  <c r="BN122" i="70" s="1"/>
  <c r="BN123" i="70" s="1" a="1"/>
  <c r="BN123" i="70" s="1"/>
  <c r="BN124" i="70" s="1" a="1"/>
  <c r="BN124" i="70" s="1"/>
  <c r="BN125" i="70" s="1" a="1"/>
  <c r="BN125" i="70" s="1"/>
  <c r="BN126" i="70" s="1" a="1"/>
  <c r="BN126" i="70" s="1"/>
  <c r="BN127" i="70" s="1" a="1"/>
  <c r="BN127" i="70" s="1"/>
  <c r="BN128" i="70" s="1" a="1"/>
  <c r="BN128" i="70" s="1"/>
  <c r="BN129" i="70" s="1" a="1"/>
  <c r="BN129" i="70" s="1"/>
  <c r="BN130" i="70" s="1" a="1"/>
  <c r="BN130" i="70" s="1"/>
  <c r="BN131" i="70" s="1" a="1"/>
  <c r="BN131" i="70" s="1"/>
  <c r="BN132" i="70" s="1" a="1"/>
  <c r="BN132" i="70" s="1"/>
  <c r="BN133" i="70" s="1" a="1"/>
  <c r="BN133" i="70" s="1"/>
  <c r="BN134" i="70" s="1" a="1"/>
  <c r="BN134" i="70" s="1"/>
  <c r="BN135" i="70" s="1" a="1"/>
  <c r="BN135" i="70" s="1"/>
  <c r="BN136" i="70" s="1" a="1"/>
  <c r="BN136" i="70" s="1"/>
  <c r="BN137" i="70" s="1" a="1"/>
  <c r="BN137" i="70" s="1"/>
  <c r="BN138" i="70" s="1" a="1"/>
  <c r="BN138" i="70" s="1"/>
  <c r="BN139" i="70" s="1" a="1"/>
  <c r="BN139" i="70" s="1"/>
  <c r="BN140" i="70" s="1" a="1"/>
  <c r="BN140" i="70" s="1"/>
  <c r="BN141" i="70" s="1" a="1"/>
  <c r="BN141" i="70" s="1"/>
  <c r="BN142" i="70" s="1" a="1"/>
  <c r="BN142" i="70" s="1"/>
  <c r="BN143" i="70" s="1" a="1"/>
  <c r="BN143" i="70" s="1"/>
  <c r="BN144" i="70" s="1" a="1"/>
  <c r="BN144" i="70" s="1"/>
  <c r="BN145" i="70" s="1" a="1"/>
  <c r="BN145" i="70" s="1"/>
  <c r="BN146" i="70" s="1" a="1"/>
  <c r="BN146" i="70" s="1"/>
  <c r="BN147" i="70" s="1" a="1"/>
  <c r="BN147" i="70" s="1"/>
  <c r="BN148" i="70" s="1" a="1"/>
  <c r="BN148" i="70" s="1"/>
  <c r="BN149" i="70" s="1" a="1"/>
  <c r="BN149" i="70" s="1"/>
  <c r="BN150" i="70" s="1" a="1"/>
  <c r="BN150" i="70" s="1"/>
  <c r="BN151" i="70" s="1" a="1"/>
  <c r="BN151" i="70" s="1"/>
  <c r="BN152" i="70" s="1" a="1"/>
  <c r="BN152" i="70" s="1"/>
  <c r="BO2" i="70"/>
  <c r="R3" i="70" a="1"/>
  <c r="R3" i="70" s="1"/>
  <c r="R4" i="70" s="1" a="1"/>
  <c r="R4" i="70" s="1"/>
  <c r="R5" i="70" s="1" a="1"/>
  <c r="R5" i="70" s="1"/>
  <c r="R6" i="70" s="1" a="1"/>
  <c r="R6" i="70" s="1"/>
  <c r="R7" i="70" s="1" a="1"/>
  <c r="R7" i="70" s="1"/>
  <c r="R8" i="70" s="1" a="1"/>
  <c r="R8" i="70" s="1"/>
  <c r="R9" i="70" s="1" a="1"/>
  <c r="R9" i="70" s="1"/>
  <c r="R10" i="70" s="1" a="1"/>
  <c r="R10" i="70" s="1"/>
  <c r="R11" i="70" s="1" a="1"/>
  <c r="R11" i="70" s="1"/>
  <c r="R12" i="70" s="1" a="1"/>
  <c r="R12" i="70" s="1"/>
  <c r="R13" i="70" s="1" a="1"/>
  <c r="R13" i="70" s="1"/>
  <c r="R14" i="70" s="1" a="1"/>
  <c r="R14" i="70" s="1"/>
  <c r="R15" i="70" s="1" a="1"/>
  <c r="R15" i="70" s="1"/>
  <c r="R16" i="70" s="1" a="1"/>
  <c r="R16" i="70" s="1"/>
  <c r="R17" i="70" s="1" a="1"/>
  <c r="R17" i="70" s="1"/>
  <c r="R18" i="70" s="1" a="1"/>
  <c r="R18" i="70" s="1"/>
  <c r="R19" i="70" s="1" a="1"/>
  <c r="R19" i="70" s="1"/>
  <c r="R20" i="70" s="1" a="1"/>
  <c r="R20" i="70" s="1"/>
  <c r="R21" i="70" s="1" a="1"/>
  <c r="R21" i="70" s="1"/>
  <c r="R22" i="70" s="1" a="1"/>
  <c r="R22" i="70" s="1"/>
  <c r="R23" i="70" s="1" a="1"/>
  <c r="R23" i="70" s="1"/>
  <c r="S3" i="70"/>
  <c r="V3" i="70"/>
  <c r="Y3" i="70"/>
  <c r="AB3" i="70"/>
  <c r="AE3" i="70"/>
  <c r="AH3" i="70"/>
  <c r="AK3" i="70"/>
  <c r="AN3" i="70"/>
  <c r="AQ3" i="70"/>
  <c r="AT3" i="70"/>
  <c r="AW3" i="70"/>
  <c r="AZ3" i="70"/>
  <c r="BC3" i="70"/>
  <c r="BF3" i="70"/>
  <c r="BI3" i="70"/>
  <c r="BL3" i="70"/>
  <c r="BO3" i="70"/>
  <c r="C4" i="70"/>
  <c r="S4" i="70"/>
  <c r="V4" i="70"/>
  <c r="Y4" i="70"/>
  <c r="AB4" i="70"/>
  <c r="AE4" i="70"/>
  <c r="AH4" i="70"/>
  <c r="AK4" i="70"/>
  <c r="AN4" i="70"/>
  <c r="AQ4" i="70"/>
  <c r="AT4" i="70"/>
  <c r="AW4" i="70"/>
  <c r="AZ4" i="70"/>
  <c r="BC4" i="70"/>
  <c r="BF4" i="70"/>
  <c r="BI4" i="70"/>
  <c r="BL4" i="70"/>
  <c r="BO4" i="70"/>
  <c r="C5" i="70"/>
  <c r="S5" i="70"/>
  <c r="V5" i="70"/>
  <c r="AB5" i="70"/>
  <c r="AE5" i="70"/>
  <c r="AH5" i="70"/>
  <c r="AK5" i="70"/>
  <c r="AN5" i="70"/>
  <c r="AQ5" i="70"/>
  <c r="AT5" i="70"/>
  <c r="AW5" i="70"/>
  <c r="AZ5" i="70"/>
  <c r="BC5" i="70"/>
  <c r="BF5" i="70"/>
  <c r="BI5" i="70"/>
  <c r="BL5" i="70"/>
  <c r="BO5" i="70"/>
  <c r="C6" i="70"/>
  <c r="S6" i="70"/>
  <c r="V6" i="70"/>
  <c r="AB6" i="70"/>
  <c r="AE6" i="70"/>
  <c r="AH6" i="70"/>
  <c r="AK6" i="70"/>
  <c r="AN6" i="70"/>
  <c r="AQ6" i="70"/>
  <c r="AT6" i="70"/>
  <c r="AW6" i="70"/>
  <c r="AZ6" i="70"/>
  <c r="BC6" i="70"/>
  <c r="BF6" i="70"/>
  <c r="BI6" i="70"/>
  <c r="BL6" i="70"/>
  <c r="BO6" i="70"/>
  <c r="C7" i="70"/>
  <c r="S7" i="70"/>
  <c r="V7" i="70"/>
  <c r="AB7" i="70"/>
  <c r="AE7" i="70"/>
  <c r="AH7" i="70"/>
  <c r="AK7" i="70"/>
  <c r="AN7" i="70"/>
  <c r="AQ7" i="70"/>
  <c r="AT7" i="70"/>
  <c r="AW7" i="70"/>
  <c r="AZ7" i="70"/>
  <c r="BC7" i="70"/>
  <c r="BF7" i="70"/>
  <c r="BI7" i="70"/>
  <c r="BL7" i="70"/>
  <c r="BO7" i="70"/>
  <c r="C8" i="70"/>
  <c r="S8" i="70"/>
  <c r="V8" i="70"/>
  <c r="AB8" i="70"/>
  <c r="AE8" i="70"/>
  <c r="AH8" i="70"/>
  <c r="AK8" i="70"/>
  <c r="AN8" i="70"/>
  <c r="AQ8" i="70"/>
  <c r="AT8" i="70"/>
  <c r="AW8" i="70"/>
  <c r="AZ8" i="70"/>
  <c r="BC8" i="70"/>
  <c r="BF8" i="70"/>
  <c r="BI8" i="70"/>
  <c r="BL8" i="70"/>
  <c r="BO8" i="70"/>
  <c r="C9" i="70"/>
  <c r="S9" i="70"/>
  <c r="V9" i="70"/>
  <c r="AB9" i="70"/>
  <c r="AE9" i="70"/>
  <c r="AH9" i="70"/>
  <c r="AK9" i="70"/>
  <c r="AN9" i="70"/>
  <c r="AQ9" i="70"/>
  <c r="AT9" i="70"/>
  <c r="AW9" i="70"/>
  <c r="AZ9" i="70"/>
  <c r="BC9" i="70"/>
  <c r="BF9" i="70"/>
  <c r="BI9" i="70"/>
  <c r="BL9" i="70"/>
  <c r="BO9" i="70"/>
  <c r="C10" i="70"/>
  <c r="S10" i="70"/>
  <c r="V10" i="70"/>
  <c r="Y10" i="70"/>
  <c r="AB10" i="70"/>
  <c r="AE10" i="70"/>
  <c r="AH10" i="70"/>
  <c r="AK10" i="70"/>
  <c r="AN10" i="70"/>
  <c r="AQ10" i="70"/>
  <c r="AT10" i="70"/>
  <c r="AW10" i="70"/>
  <c r="AZ10" i="70"/>
  <c r="BC10" i="70"/>
  <c r="BF10" i="70"/>
  <c r="BI10" i="70"/>
  <c r="BL10" i="70"/>
  <c r="BO10" i="70"/>
  <c r="C11" i="70"/>
  <c r="S11" i="70"/>
  <c r="V11" i="70"/>
  <c r="AB11" i="70"/>
  <c r="AE11" i="70"/>
  <c r="AH11" i="70"/>
  <c r="AK11" i="70"/>
  <c r="AN11" i="70"/>
  <c r="AQ11" i="70"/>
  <c r="AT11" i="70"/>
  <c r="AW11" i="70"/>
  <c r="AZ11" i="70"/>
  <c r="BC11" i="70"/>
  <c r="BF11" i="70"/>
  <c r="BI11" i="70"/>
  <c r="BL11" i="70"/>
  <c r="BO11" i="70"/>
  <c r="C12" i="70"/>
  <c r="S12" i="70"/>
  <c r="AB12" i="70"/>
  <c r="AE12" i="70"/>
  <c r="AH12" i="70"/>
  <c r="AK12" i="70"/>
  <c r="AN12" i="70"/>
  <c r="AQ12" i="70"/>
  <c r="AT12" i="70"/>
  <c r="AW12" i="70"/>
  <c r="AZ12" i="70"/>
  <c r="BC12" i="70"/>
  <c r="BF12" i="70"/>
  <c r="BI12" i="70"/>
  <c r="BL12" i="70"/>
  <c r="BO12" i="70"/>
  <c r="C13" i="70"/>
  <c r="S13" i="70"/>
  <c r="AB13" i="70"/>
  <c r="AE13" i="70"/>
  <c r="AH13" i="70"/>
  <c r="AK13" i="70"/>
  <c r="AN13" i="70"/>
  <c r="AQ13" i="70"/>
  <c r="AT13" i="70"/>
  <c r="AW13" i="70"/>
  <c r="AZ13" i="70"/>
  <c r="BC13" i="70"/>
  <c r="BF13" i="70"/>
  <c r="BI13" i="70"/>
  <c r="BL13" i="70"/>
  <c r="BO13" i="70"/>
  <c r="C14" i="70"/>
  <c r="S14" i="70"/>
  <c r="AB14" i="70"/>
  <c r="AE14" i="70"/>
  <c r="AH14" i="70"/>
  <c r="AK14" i="70"/>
  <c r="AN14" i="70"/>
  <c r="AQ14" i="70"/>
  <c r="AT14" i="70"/>
  <c r="AW14" i="70"/>
  <c r="AZ14" i="70"/>
  <c r="BC14" i="70"/>
  <c r="BF14" i="70"/>
  <c r="BI14" i="70"/>
  <c r="BL14" i="70"/>
  <c r="BO14" i="70"/>
  <c r="C15" i="70"/>
  <c r="S15" i="70"/>
  <c r="AB15" i="70"/>
  <c r="AE15" i="70"/>
  <c r="AH15" i="70"/>
  <c r="AK15" i="70"/>
  <c r="AN15" i="70"/>
  <c r="AQ15" i="70"/>
  <c r="AT15" i="70"/>
  <c r="AW15" i="70"/>
  <c r="AZ15" i="70"/>
  <c r="BC15" i="70"/>
  <c r="BF15" i="70"/>
  <c r="BI15" i="70"/>
  <c r="BL15" i="70"/>
  <c r="BO15" i="70"/>
  <c r="C16" i="70"/>
  <c r="S16" i="70"/>
  <c r="AB16" i="70"/>
  <c r="AE16" i="70"/>
  <c r="AH16" i="70"/>
  <c r="AK16" i="70"/>
  <c r="AN16" i="70"/>
  <c r="AQ16" i="70"/>
  <c r="AT16" i="70"/>
  <c r="AW16" i="70"/>
  <c r="AZ16" i="70"/>
  <c r="BC16" i="70"/>
  <c r="BF16" i="70"/>
  <c r="BI16" i="70"/>
  <c r="BL16" i="70"/>
  <c r="BO16" i="70"/>
  <c r="C17" i="70"/>
  <c r="S17" i="70"/>
  <c r="AB17" i="70"/>
  <c r="AE17" i="70"/>
  <c r="AH17" i="70"/>
  <c r="AK17" i="70"/>
  <c r="AN17" i="70"/>
  <c r="AQ17" i="70"/>
  <c r="AT17" i="70"/>
  <c r="AW17" i="70"/>
  <c r="AZ17" i="70"/>
  <c r="BC17" i="70"/>
  <c r="BF17" i="70"/>
  <c r="BI17" i="70"/>
  <c r="BL17" i="70"/>
  <c r="BO17" i="70"/>
  <c r="C18" i="70"/>
  <c r="S18" i="70"/>
  <c r="AB18" i="70"/>
  <c r="AE18" i="70"/>
  <c r="AH18" i="70"/>
  <c r="AK18" i="70"/>
  <c r="AN18" i="70"/>
  <c r="AQ18" i="70"/>
  <c r="AT18" i="70"/>
  <c r="AW18" i="70"/>
  <c r="AZ18" i="70"/>
  <c r="BC18" i="70"/>
  <c r="BF18" i="70"/>
  <c r="BI18" i="70"/>
  <c r="BL18" i="70"/>
  <c r="BO18" i="70"/>
  <c r="C19" i="70"/>
  <c r="S19" i="70"/>
  <c r="AB19" i="70"/>
  <c r="AE19" i="70"/>
  <c r="AH19" i="70"/>
  <c r="AK19" i="70"/>
  <c r="AN19" i="70"/>
  <c r="AQ19" i="70"/>
  <c r="AT19" i="70"/>
  <c r="AW19" i="70"/>
  <c r="AZ19" i="70"/>
  <c r="BC19" i="70"/>
  <c r="BF19" i="70"/>
  <c r="BI19" i="70"/>
  <c r="BL19" i="70"/>
  <c r="BO19" i="70"/>
  <c r="C20" i="70"/>
  <c r="S20" i="70"/>
  <c r="AB20" i="70"/>
  <c r="AE20" i="70"/>
  <c r="AH20" i="70"/>
  <c r="AK20" i="70"/>
  <c r="AN20" i="70"/>
  <c r="AQ20" i="70"/>
  <c r="AT20" i="70"/>
  <c r="AW20" i="70"/>
  <c r="AZ20" i="70"/>
  <c r="BC20" i="70"/>
  <c r="BF20" i="70"/>
  <c r="BI20" i="70"/>
  <c r="BL20" i="70"/>
  <c r="BO20" i="70"/>
  <c r="C21" i="70"/>
  <c r="S21" i="70"/>
  <c r="AB21" i="70"/>
  <c r="AE21" i="70"/>
  <c r="AH21" i="70"/>
  <c r="AK21" i="70"/>
  <c r="AN21" i="70"/>
  <c r="AQ21" i="70"/>
  <c r="AT21" i="70"/>
  <c r="AW21" i="70"/>
  <c r="AZ21" i="70"/>
  <c r="BC21" i="70"/>
  <c r="BF21" i="70"/>
  <c r="BI21" i="70"/>
  <c r="BL21" i="70"/>
  <c r="BO21" i="70"/>
  <c r="C22" i="70"/>
  <c r="S22" i="70"/>
  <c r="AB22" i="70"/>
  <c r="AE22" i="70"/>
  <c r="AH22" i="70"/>
  <c r="AK22" i="70"/>
  <c r="AN22" i="70"/>
  <c r="AQ22" i="70"/>
  <c r="AT22" i="70"/>
  <c r="AW22" i="70"/>
  <c r="AZ22" i="70"/>
  <c r="BC22" i="70"/>
  <c r="BF22" i="70"/>
  <c r="BI22" i="70"/>
  <c r="BL22" i="70"/>
  <c r="BO22" i="70"/>
  <c r="C23" i="70"/>
  <c r="S23" i="70"/>
  <c r="AB23" i="70"/>
  <c r="AE23" i="70"/>
  <c r="AH23" i="70"/>
  <c r="AK23" i="70"/>
  <c r="AN23" i="70"/>
  <c r="AQ23" i="70"/>
  <c r="AT23" i="70"/>
  <c r="AW23" i="70"/>
  <c r="AZ23" i="70"/>
  <c r="BC23" i="70"/>
  <c r="BF23" i="70"/>
  <c r="BI23" i="70"/>
  <c r="BL23" i="70"/>
  <c r="BO23" i="70"/>
  <c r="C24" i="70"/>
  <c r="AB24" i="70"/>
  <c r="AE24" i="70"/>
  <c r="AH24" i="70"/>
  <c r="AK24" i="70"/>
  <c r="AN24" i="70"/>
  <c r="AQ24" i="70"/>
  <c r="AT24" i="70"/>
  <c r="AW24" i="70"/>
  <c r="AZ24" i="70"/>
  <c r="BC24" i="70"/>
  <c r="BF24" i="70"/>
  <c r="BI24" i="70"/>
  <c r="BL24" i="70"/>
  <c r="BO24" i="70"/>
  <c r="C25" i="70"/>
  <c r="AB25" i="70"/>
  <c r="AE25" i="70"/>
  <c r="AH25" i="70"/>
  <c r="AK25" i="70"/>
  <c r="AN25" i="70"/>
  <c r="AQ25" i="70"/>
  <c r="AT25" i="70"/>
  <c r="AW25" i="70"/>
  <c r="AZ25" i="70"/>
  <c r="BC25" i="70"/>
  <c r="BF25" i="70"/>
  <c r="BI25" i="70"/>
  <c r="BL25" i="70"/>
  <c r="BO25" i="70"/>
  <c r="C26" i="70"/>
  <c r="AB26" i="70"/>
  <c r="AE26" i="70"/>
  <c r="AH26" i="70"/>
  <c r="AK26" i="70"/>
  <c r="AN26" i="70"/>
  <c r="AQ26" i="70"/>
  <c r="AT26" i="70"/>
  <c r="AW26" i="70"/>
  <c r="AZ26" i="70"/>
  <c r="BC26" i="70"/>
  <c r="BF26" i="70"/>
  <c r="BI26" i="70"/>
  <c r="BL26" i="70"/>
  <c r="BO26" i="70"/>
  <c r="C27" i="70"/>
  <c r="AB27" i="70"/>
  <c r="AE27" i="70"/>
  <c r="AH27" i="70"/>
  <c r="AK27" i="70"/>
  <c r="AN27" i="70"/>
  <c r="AQ27" i="70"/>
  <c r="AT27" i="70"/>
  <c r="AW27" i="70"/>
  <c r="AZ27" i="70"/>
  <c r="BC27" i="70"/>
  <c r="BI27" i="70"/>
  <c r="BL27" i="70"/>
  <c r="BO27" i="70"/>
  <c r="C28" i="70"/>
  <c r="AB28" i="70"/>
  <c r="AE28" i="70"/>
  <c r="AH28" i="70"/>
  <c r="AK28" i="70"/>
  <c r="AN28" i="70"/>
  <c r="AQ28" i="70"/>
  <c r="AT28" i="70"/>
  <c r="AW28" i="70"/>
  <c r="AZ28" i="70"/>
  <c r="BC28" i="70"/>
  <c r="BI28" i="70"/>
  <c r="BL28" i="70"/>
  <c r="BO28" i="70"/>
  <c r="C29" i="70"/>
  <c r="AB29" i="70"/>
  <c r="AE29" i="70"/>
  <c r="AH29" i="70"/>
  <c r="AK29" i="70"/>
  <c r="AN29" i="70"/>
  <c r="AQ29" i="70"/>
  <c r="AT29" i="70"/>
  <c r="AW29" i="70"/>
  <c r="AZ29" i="70"/>
  <c r="BC29" i="70"/>
  <c r="BI29" i="70"/>
  <c r="BL29" i="70"/>
  <c r="BO29" i="70"/>
  <c r="C30" i="70"/>
  <c r="AB30" i="70"/>
  <c r="AE30" i="70"/>
  <c r="AH30" i="70"/>
  <c r="AK30" i="70"/>
  <c r="AN30" i="70"/>
  <c r="AQ30" i="70"/>
  <c r="AT30" i="70"/>
  <c r="AW30" i="70"/>
  <c r="AZ30" i="70"/>
  <c r="BC30" i="70"/>
  <c r="BI30" i="70"/>
  <c r="BL30" i="70"/>
  <c r="BO30" i="70"/>
  <c r="C31" i="70"/>
  <c r="AB31" i="70"/>
  <c r="AE31" i="70"/>
  <c r="AH31" i="70"/>
  <c r="AK31" i="70"/>
  <c r="AN31" i="70"/>
  <c r="AQ31" i="70"/>
  <c r="AT31" i="70"/>
  <c r="AZ31" i="70"/>
  <c r="BC31" i="70"/>
  <c r="BI31" i="70"/>
  <c r="BL31" i="70"/>
  <c r="BO31" i="70"/>
  <c r="C32" i="70"/>
  <c r="AB32" i="70"/>
  <c r="AE32" i="70"/>
  <c r="AH32" i="70"/>
  <c r="AK32" i="70"/>
  <c r="AN32" i="70"/>
  <c r="AQ32" i="70"/>
  <c r="AT32" i="70"/>
  <c r="AZ32" i="70"/>
  <c r="BC32" i="70"/>
  <c r="BI32" i="70"/>
  <c r="BL32" i="70"/>
  <c r="BO32" i="70"/>
  <c r="C33" i="70"/>
  <c r="AB33" i="70"/>
  <c r="AE33" i="70"/>
  <c r="AH33" i="70"/>
  <c r="AK33" i="70"/>
  <c r="AN33" i="70"/>
  <c r="AQ33" i="70"/>
  <c r="AT33" i="70"/>
  <c r="AZ33" i="70"/>
  <c r="BC33" i="70"/>
  <c r="BI33" i="70"/>
  <c r="BL33" i="70"/>
  <c r="BO33" i="70"/>
  <c r="C34" i="70"/>
  <c r="AB34" i="70"/>
  <c r="AE34" i="70"/>
  <c r="AH34" i="70"/>
  <c r="AK34" i="70"/>
  <c r="AN34" i="70"/>
  <c r="AQ34" i="70"/>
  <c r="AT34" i="70"/>
  <c r="AZ34" i="70"/>
  <c r="BC34" i="70"/>
  <c r="BI34" i="70"/>
  <c r="BL34" i="70"/>
  <c r="BO34" i="70"/>
  <c r="C35" i="70"/>
  <c r="AB35" i="70"/>
  <c r="AE35" i="70"/>
  <c r="AH35" i="70"/>
  <c r="AK35" i="70"/>
  <c r="AN35" i="70"/>
  <c r="AQ35" i="70"/>
  <c r="AT35" i="70"/>
  <c r="AZ35" i="70"/>
  <c r="BC35" i="70"/>
  <c r="BI35" i="70"/>
  <c r="BL35" i="70"/>
  <c r="BO35" i="70"/>
  <c r="C36" i="70"/>
  <c r="AB36" i="70"/>
  <c r="AE36" i="70"/>
  <c r="AH36" i="70"/>
  <c r="AK36" i="70"/>
  <c r="AN36" i="70"/>
  <c r="AQ36" i="70"/>
  <c r="AT36" i="70"/>
  <c r="AZ36" i="70"/>
  <c r="BC36" i="70"/>
  <c r="BI36" i="70"/>
  <c r="BL36" i="70"/>
  <c r="BO36" i="70"/>
  <c r="C37" i="70"/>
  <c r="AB37" i="70"/>
  <c r="AE37" i="70"/>
  <c r="AH37" i="70"/>
  <c r="AK37" i="70"/>
  <c r="AN37" i="70"/>
  <c r="AQ37" i="70"/>
  <c r="AT37" i="70"/>
  <c r="AZ37" i="70"/>
  <c r="BC37" i="70"/>
  <c r="BI37" i="70"/>
  <c r="BL37" i="70"/>
  <c r="BO37" i="70"/>
  <c r="C38" i="70"/>
  <c r="AB38" i="70"/>
  <c r="AE38" i="70"/>
  <c r="AH38" i="70"/>
  <c r="AK38" i="70"/>
  <c r="AN38" i="70"/>
  <c r="AQ38" i="70"/>
  <c r="AT38" i="70"/>
  <c r="AZ38" i="70"/>
  <c r="BC38" i="70"/>
  <c r="BI38" i="70"/>
  <c r="BL38" i="70"/>
  <c r="BO38" i="70"/>
  <c r="C39" i="70"/>
  <c r="AB39" i="70"/>
  <c r="AE39" i="70"/>
  <c r="AH39" i="70"/>
  <c r="AK39" i="70"/>
  <c r="AN39" i="70"/>
  <c r="AQ39" i="70"/>
  <c r="AT39" i="70"/>
  <c r="AZ39" i="70"/>
  <c r="BC39" i="70"/>
  <c r="BI39" i="70"/>
  <c r="BL39" i="70"/>
  <c r="BO39" i="70"/>
  <c r="C40" i="70"/>
  <c r="AB40" i="70"/>
  <c r="AE40" i="70"/>
  <c r="AH40" i="70"/>
  <c r="AK40" i="70"/>
  <c r="AN40" i="70"/>
  <c r="AQ40" i="70"/>
  <c r="AT40" i="70"/>
  <c r="AZ40" i="70"/>
  <c r="BC40" i="70"/>
  <c r="BI40" i="70"/>
  <c r="BL40" i="70"/>
  <c r="BO40" i="70"/>
  <c r="AB41" i="70"/>
  <c r="AE41" i="70"/>
  <c r="AH41" i="70"/>
  <c r="AK41" i="70"/>
  <c r="AN41" i="70"/>
  <c r="AQ41" i="70"/>
  <c r="AT41" i="70"/>
  <c r="AZ41" i="70"/>
  <c r="BC41" i="70"/>
  <c r="BI41" i="70"/>
  <c r="BL41" i="70"/>
  <c r="BO41" i="70"/>
  <c r="C42" i="70"/>
  <c r="AB42" i="70"/>
  <c r="AE42" i="70"/>
  <c r="AH42" i="70"/>
  <c r="AK42" i="70"/>
  <c r="AN42" i="70"/>
  <c r="AQ42" i="70"/>
  <c r="AT42" i="70"/>
  <c r="AZ42" i="70"/>
  <c r="BC42" i="70"/>
  <c r="BI42" i="70"/>
  <c r="BL42" i="70"/>
  <c r="BO42" i="70"/>
  <c r="C43" i="70"/>
  <c r="AB43" i="70"/>
  <c r="AE43" i="70"/>
  <c r="AH43" i="70"/>
  <c r="AK43" i="70"/>
  <c r="AN43" i="70"/>
  <c r="AQ43" i="70"/>
  <c r="AT43" i="70"/>
  <c r="AZ43" i="70"/>
  <c r="BC43" i="70"/>
  <c r="BI43" i="70"/>
  <c r="BL43" i="70"/>
  <c r="BO43" i="70"/>
  <c r="C44" i="70"/>
  <c r="AB44" i="70"/>
  <c r="AE44" i="70"/>
  <c r="AH44" i="70"/>
  <c r="AK44" i="70"/>
  <c r="AN44" i="70"/>
  <c r="AQ44" i="70"/>
  <c r="AT44" i="70"/>
  <c r="AZ44" i="70"/>
  <c r="BC44" i="70"/>
  <c r="BI44" i="70"/>
  <c r="BL44" i="70"/>
  <c r="BO44" i="70"/>
  <c r="C45" i="70"/>
  <c r="AB45" i="70"/>
  <c r="AE45" i="70"/>
  <c r="AK45" i="70"/>
  <c r="AN45" i="70"/>
  <c r="AQ45" i="70"/>
  <c r="AT45" i="70"/>
  <c r="AZ45" i="70"/>
  <c r="BC45" i="70"/>
  <c r="BI45" i="70"/>
  <c r="BL45" i="70"/>
  <c r="BO45" i="70"/>
  <c r="C46" i="70"/>
  <c r="AB46" i="70"/>
  <c r="AE46" i="70"/>
  <c r="AK46" i="70"/>
  <c r="AN46" i="70"/>
  <c r="AQ46" i="70"/>
  <c r="AT46" i="70"/>
  <c r="AZ46" i="70"/>
  <c r="BC46" i="70"/>
  <c r="BI46" i="70"/>
  <c r="BL46" i="70"/>
  <c r="BO46" i="70"/>
  <c r="C47" i="70"/>
  <c r="S47" i="70"/>
  <c r="AB47" i="70"/>
  <c r="AE47" i="70"/>
  <c r="AK47" i="70"/>
  <c r="AN47" i="70"/>
  <c r="AT47" i="70"/>
  <c r="AZ47" i="70"/>
  <c r="BC47" i="70"/>
  <c r="BI47" i="70"/>
  <c r="BL47" i="70"/>
  <c r="BO47" i="70"/>
  <c r="C48" i="70"/>
  <c r="S48" i="70"/>
  <c r="AB48" i="70"/>
  <c r="AE48" i="70"/>
  <c r="AK48" i="70"/>
  <c r="AN48" i="70"/>
  <c r="AT48" i="70"/>
  <c r="AZ48" i="70"/>
  <c r="BC48" i="70"/>
  <c r="BI48" i="70"/>
  <c r="BL48" i="70"/>
  <c r="BO48" i="70"/>
  <c r="C49" i="70"/>
  <c r="S49" i="70"/>
  <c r="AB49" i="70"/>
  <c r="AE49" i="70"/>
  <c r="AN49" i="70"/>
  <c r="AT49" i="70"/>
  <c r="AZ49" i="70"/>
  <c r="BC49" i="70"/>
  <c r="BI49" i="70"/>
  <c r="BL49" i="70"/>
  <c r="BO49" i="70"/>
  <c r="C50" i="70"/>
  <c r="S50" i="70"/>
  <c r="AB50" i="70"/>
  <c r="AE50" i="70"/>
  <c r="AH50" i="70"/>
  <c r="AN50" i="70"/>
  <c r="AT50" i="70"/>
  <c r="AZ50" i="70"/>
  <c r="BC50" i="70"/>
  <c r="BI50" i="70"/>
  <c r="BL50" i="70"/>
  <c r="BO50" i="70"/>
  <c r="C51" i="70"/>
  <c r="S51" i="70"/>
  <c r="AB51" i="70"/>
  <c r="AE51" i="70"/>
  <c r="AH51" i="70"/>
  <c r="AK51" i="70"/>
  <c r="AN51" i="70"/>
  <c r="AT51" i="70"/>
  <c r="AZ51" i="70"/>
  <c r="BC51" i="70"/>
  <c r="BI51" i="70"/>
  <c r="BL51" i="70"/>
  <c r="BO51" i="70"/>
  <c r="C52" i="70"/>
  <c r="S52" i="70"/>
  <c r="AB52" i="70"/>
  <c r="AE52" i="70"/>
  <c r="AH52" i="70"/>
  <c r="AK52" i="70"/>
  <c r="AN52" i="70"/>
  <c r="AT52" i="70"/>
  <c r="AZ52" i="70"/>
  <c r="BC52" i="70"/>
  <c r="BI52" i="70"/>
  <c r="BL52" i="70"/>
  <c r="BO52" i="70"/>
  <c r="C53" i="70"/>
  <c r="S53" i="70"/>
  <c r="AB53" i="70"/>
  <c r="AE53" i="70"/>
  <c r="AH53" i="70"/>
  <c r="AK53" i="70"/>
  <c r="AN53" i="70"/>
  <c r="AT53" i="70"/>
  <c r="AZ53" i="70"/>
  <c r="BC53" i="70"/>
  <c r="BI53" i="70"/>
  <c r="BL53" i="70"/>
  <c r="BO53" i="70"/>
  <c r="C54" i="70"/>
  <c r="S54" i="70"/>
  <c r="AB54" i="70"/>
  <c r="AE54" i="70"/>
  <c r="AH54" i="70"/>
  <c r="AK54" i="70"/>
  <c r="AN54" i="70"/>
  <c r="AT54" i="70"/>
  <c r="AZ54" i="70"/>
  <c r="BC54" i="70"/>
  <c r="BI54" i="70"/>
  <c r="BL54" i="70"/>
  <c r="BO54" i="70"/>
  <c r="C55" i="70"/>
  <c r="S55" i="70"/>
  <c r="AB55" i="70"/>
  <c r="AE55" i="70"/>
  <c r="AH55" i="70"/>
  <c r="AK55" i="70"/>
  <c r="AN55" i="70"/>
  <c r="AT55" i="70"/>
  <c r="AZ55" i="70"/>
  <c r="BC55" i="70"/>
  <c r="BI55" i="70"/>
  <c r="BL55" i="70"/>
  <c r="BO55" i="70"/>
  <c r="C56" i="70"/>
  <c r="S56" i="70"/>
  <c r="AB56" i="70"/>
  <c r="AE56" i="70"/>
  <c r="AH56" i="70"/>
  <c r="AK56" i="70"/>
  <c r="AN56" i="70"/>
  <c r="AT56" i="70"/>
  <c r="AZ56" i="70"/>
  <c r="BC56" i="70"/>
  <c r="BI56" i="70"/>
  <c r="BL56" i="70"/>
  <c r="BO56" i="70"/>
  <c r="C57" i="70"/>
  <c r="S57" i="70"/>
  <c r="AB57" i="70"/>
  <c r="AE57" i="70"/>
  <c r="AH57" i="70"/>
  <c r="AK57" i="70"/>
  <c r="AN57" i="70"/>
  <c r="AT57" i="70"/>
  <c r="AZ57" i="70"/>
  <c r="BC57" i="70"/>
  <c r="BI57" i="70"/>
  <c r="BL57" i="70"/>
  <c r="BO57" i="70"/>
  <c r="C58" i="70"/>
  <c r="S58" i="70"/>
  <c r="AB58" i="70"/>
  <c r="AE58" i="70"/>
  <c r="AH58" i="70"/>
  <c r="AK58" i="70"/>
  <c r="AN58" i="70"/>
  <c r="AT58" i="70"/>
  <c r="AZ58" i="70"/>
  <c r="BC58" i="70"/>
  <c r="BI58" i="70"/>
  <c r="BL58" i="70"/>
  <c r="BO58" i="70"/>
  <c r="C59" i="70"/>
  <c r="S59" i="70"/>
  <c r="AB59" i="70"/>
  <c r="AE59" i="70"/>
  <c r="AH59" i="70"/>
  <c r="AK59" i="70"/>
  <c r="AN59" i="70"/>
  <c r="AT59" i="70"/>
  <c r="AZ59" i="70"/>
  <c r="BC59" i="70"/>
  <c r="BI59" i="70"/>
  <c r="BL59" i="70"/>
  <c r="BO59" i="70"/>
  <c r="C60" i="70"/>
  <c r="S60" i="70"/>
  <c r="AB60" i="70"/>
  <c r="AE60" i="70"/>
  <c r="AH60" i="70"/>
  <c r="AK60" i="70"/>
  <c r="AN60" i="70"/>
  <c r="AT60" i="70"/>
  <c r="AZ60" i="70"/>
  <c r="BC60" i="70"/>
  <c r="BI60" i="70"/>
  <c r="BL60" i="70"/>
  <c r="BO60" i="70"/>
  <c r="C61" i="70"/>
  <c r="S61" i="70"/>
  <c r="AB61" i="70"/>
  <c r="AE61" i="70"/>
  <c r="AH61" i="70"/>
  <c r="AK61" i="70"/>
  <c r="AN61" i="70"/>
  <c r="AT61" i="70"/>
  <c r="AZ61" i="70"/>
  <c r="BC61" i="70"/>
  <c r="BI61" i="70"/>
  <c r="BL61" i="70"/>
  <c r="BO61" i="70"/>
  <c r="C62" i="70"/>
  <c r="S62" i="70"/>
  <c r="AB62" i="70"/>
  <c r="AE62" i="70"/>
  <c r="AH62" i="70"/>
  <c r="AK62" i="70"/>
  <c r="AN62" i="70"/>
  <c r="AT62" i="70"/>
  <c r="BC62" i="70"/>
  <c r="BI62" i="70"/>
  <c r="BL62" i="70"/>
  <c r="BO62" i="70"/>
  <c r="C63" i="70"/>
  <c r="S63" i="70"/>
  <c r="AB63" i="70"/>
  <c r="AE63" i="70"/>
  <c r="AH63" i="70"/>
  <c r="AK63" i="70"/>
  <c r="AN63" i="70"/>
  <c r="AT63" i="70"/>
  <c r="BC63" i="70"/>
  <c r="BI63" i="70"/>
  <c r="BL63" i="70"/>
  <c r="BO63" i="70"/>
  <c r="C64" i="70"/>
  <c r="S64" i="70"/>
  <c r="AB64" i="70"/>
  <c r="AE64" i="70"/>
  <c r="AH64" i="70"/>
  <c r="AK64" i="70"/>
  <c r="AN64" i="70"/>
  <c r="AT64" i="70"/>
  <c r="BC64" i="70"/>
  <c r="BI64" i="70"/>
  <c r="BL64" i="70"/>
  <c r="BO64" i="70"/>
  <c r="C65" i="70"/>
  <c r="AB65" i="70"/>
  <c r="AE65" i="70"/>
  <c r="AH65" i="70"/>
  <c r="AK65" i="70"/>
  <c r="AN65" i="70"/>
  <c r="AT65" i="70"/>
  <c r="BC65" i="70"/>
  <c r="BI65" i="70"/>
  <c r="BL65" i="70"/>
  <c r="BO65" i="70"/>
  <c r="C66" i="70"/>
  <c r="AB66" i="70"/>
  <c r="AE66" i="70"/>
  <c r="AH66" i="70"/>
  <c r="AK66" i="70"/>
  <c r="AT66" i="70"/>
  <c r="BC66" i="70"/>
  <c r="BI66" i="70"/>
  <c r="BL66" i="70"/>
  <c r="BO66" i="70"/>
  <c r="C67" i="70"/>
  <c r="AB67" i="70"/>
  <c r="AE67" i="70"/>
  <c r="AH67" i="70"/>
  <c r="AK67" i="70"/>
  <c r="AT67" i="70"/>
  <c r="BC67" i="70"/>
  <c r="BI67" i="70"/>
  <c r="BL67" i="70"/>
  <c r="BO67" i="70"/>
  <c r="C68" i="70"/>
  <c r="AB68" i="70"/>
  <c r="AE68" i="70"/>
  <c r="AH68" i="70"/>
  <c r="AK68" i="70"/>
  <c r="AT68" i="70"/>
  <c r="BC68" i="70"/>
  <c r="BI68" i="70"/>
  <c r="BL68" i="70"/>
  <c r="BO68" i="70"/>
  <c r="C69" i="70"/>
  <c r="AB69" i="70"/>
  <c r="AE69" i="70"/>
  <c r="AH69" i="70"/>
  <c r="AK69" i="70"/>
  <c r="AT69" i="70"/>
  <c r="BC69" i="70"/>
  <c r="BI69" i="70"/>
  <c r="BL69" i="70"/>
  <c r="BO69" i="70"/>
  <c r="C70" i="70"/>
  <c r="AB70" i="70"/>
  <c r="AE70" i="70"/>
  <c r="AH70" i="70"/>
  <c r="AK70" i="70"/>
  <c r="AT70" i="70"/>
  <c r="BC70" i="70"/>
  <c r="BI70" i="70"/>
  <c r="BL70" i="70"/>
  <c r="BO70" i="70"/>
  <c r="C71" i="70"/>
  <c r="AB71" i="70"/>
  <c r="AE71" i="70"/>
  <c r="AH71" i="70"/>
  <c r="AK71" i="70"/>
  <c r="AT71" i="70"/>
  <c r="BC71" i="70"/>
  <c r="BI71" i="70"/>
  <c r="BL71" i="70"/>
  <c r="BO71" i="70"/>
  <c r="C72" i="70"/>
  <c r="AB72" i="70"/>
  <c r="AE72" i="70"/>
  <c r="AH72" i="70"/>
  <c r="AK72" i="70"/>
  <c r="AT72" i="70"/>
  <c r="BC72" i="70"/>
  <c r="BI72" i="70"/>
  <c r="BL72" i="70"/>
  <c r="BO72" i="70"/>
  <c r="C73" i="70"/>
  <c r="AB73" i="70"/>
  <c r="AE73" i="70"/>
  <c r="AH73" i="70"/>
  <c r="AK73" i="70"/>
  <c r="AT73" i="70"/>
  <c r="BC73" i="70"/>
  <c r="BL73" i="70"/>
  <c r="BO73" i="70"/>
  <c r="C74" i="70"/>
  <c r="AB74" i="70"/>
  <c r="AE74" i="70"/>
  <c r="AH74" i="70"/>
  <c r="AK74" i="70"/>
  <c r="AT74" i="70"/>
  <c r="BC74" i="70"/>
  <c r="BL74" i="70"/>
  <c r="BO74" i="70"/>
  <c r="C75" i="70"/>
  <c r="AB75" i="70"/>
  <c r="AE75" i="70"/>
  <c r="AK75" i="70"/>
  <c r="AT75" i="70"/>
  <c r="BC75" i="70"/>
  <c r="BL75" i="70"/>
  <c r="BO75" i="70"/>
  <c r="C76" i="70"/>
  <c r="AB76" i="70"/>
  <c r="AE76" i="70"/>
  <c r="AK76" i="70"/>
  <c r="AT76" i="70"/>
  <c r="BC76" i="70"/>
  <c r="BL76" i="70"/>
  <c r="BO76" i="70"/>
  <c r="C77" i="70"/>
  <c r="AB77" i="70"/>
  <c r="AE77" i="70"/>
  <c r="AK77" i="70"/>
  <c r="AT77" i="70"/>
  <c r="BC77" i="70"/>
  <c r="BL77" i="70"/>
  <c r="BO77" i="70"/>
  <c r="C78" i="70"/>
  <c r="AB78" i="70"/>
  <c r="AE78" i="70"/>
  <c r="AK78" i="70"/>
  <c r="AT78" i="70"/>
  <c r="BC78" i="70"/>
  <c r="BL78" i="70"/>
  <c r="BO78" i="70"/>
  <c r="C79" i="70"/>
  <c r="AB79" i="70"/>
  <c r="AE79" i="70"/>
  <c r="AK79" i="70"/>
  <c r="AT79" i="70"/>
  <c r="BC79" i="70"/>
  <c r="BL79" i="70"/>
  <c r="BO79" i="70"/>
  <c r="C80" i="70"/>
  <c r="AB80" i="70"/>
  <c r="AE80" i="70"/>
  <c r="AK80" i="70"/>
  <c r="AT80" i="70"/>
  <c r="BC80" i="70"/>
  <c r="BL80" i="70"/>
  <c r="BO80" i="70"/>
  <c r="C81" i="70"/>
  <c r="AB81" i="70"/>
  <c r="AE81" i="70"/>
  <c r="AK81" i="70"/>
  <c r="AT81" i="70"/>
  <c r="BC81" i="70"/>
  <c r="BL81" i="70"/>
  <c r="BO81" i="70"/>
  <c r="C82" i="70"/>
  <c r="AB82" i="70"/>
  <c r="AE82" i="70"/>
  <c r="AK82" i="70"/>
  <c r="AT82" i="70"/>
  <c r="BC82" i="70"/>
  <c r="BL82" i="70"/>
  <c r="BO82" i="70"/>
  <c r="C83" i="70"/>
  <c r="AB83" i="70"/>
  <c r="AE83" i="70"/>
  <c r="AK83" i="70"/>
  <c r="AT83" i="70"/>
  <c r="BC83" i="70"/>
  <c r="BL83" i="70"/>
  <c r="BO83" i="70"/>
  <c r="C84" i="70"/>
  <c r="AB84" i="70"/>
  <c r="AE84" i="70"/>
  <c r="AK84" i="70"/>
  <c r="AT84" i="70"/>
  <c r="BC84" i="70"/>
  <c r="BL84" i="70"/>
  <c r="BO84" i="70"/>
  <c r="C85" i="70"/>
  <c r="AB85" i="70"/>
  <c r="AE85" i="70"/>
  <c r="AK85" i="70"/>
  <c r="AT85" i="70"/>
  <c r="BC85" i="70"/>
  <c r="BI85" i="70"/>
  <c r="BL85" i="70"/>
  <c r="BO85" i="70"/>
  <c r="C86" i="70"/>
  <c r="AB86" i="70"/>
  <c r="AE86" i="70"/>
  <c r="AK86" i="70"/>
  <c r="AT86" i="70"/>
  <c r="BC86" i="70"/>
  <c r="BI86" i="70"/>
  <c r="BL86" i="70"/>
  <c r="BO86" i="70"/>
  <c r="C87" i="70"/>
  <c r="AB87" i="70"/>
  <c r="AE87" i="70"/>
  <c r="AK87" i="70"/>
  <c r="AT87" i="70"/>
  <c r="BC87" i="70"/>
  <c r="BI87" i="70"/>
  <c r="BL87" i="70"/>
  <c r="BO87" i="70"/>
  <c r="C88" i="70"/>
  <c r="AB88" i="70"/>
  <c r="AE88" i="70"/>
  <c r="AK88" i="70"/>
  <c r="AT88" i="70"/>
  <c r="AW88" i="70"/>
  <c r="BC88" i="70"/>
  <c r="BI88" i="70"/>
  <c r="BL88" i="70"/>
  <c r="BO88" i="70"/>
  <c r="C89" i="70"/>
  <c r="AB89" i="70"/>
  <c r="AK89" i="70"/>
  <c r="AT89" i="70"/>
  <c r="AW89" i="70"/>
  <c r="BC89" i="70"/>
  <c r="BI89" i="70"/>
  <c r="BL89" i="70"/>
  <c r="BO89" i="70"/>
  <c r="C90" i="70"/>
  <c r="AB90" i="70"/>
  <c r="AK90" i="70"/>
  <c r="AT90" i="70"/>
  <c r="AW90" i="70"/>
  <c r="BC90" i="70"/>
  <c r="BI90" i="70"/>
  <c r="BL90" i="70"/>
  <c r="BO90" i="70"/>
  <c r="C91" i="70"/>
  <c r="AB91" i="70"/>
  <c r="AK91" i="70"/>
  <c r="AT91" i="70"/>
  <c r="AW91" i="70"/>
  <c r="BC91" i="70"/>
  <c r="BI91" i="70"/>
  <c r="BL91" i="70"/>
  <c r="BO91" i="70"/>
  <c r="C92" i="70"/>
  <c r="AB92" i="70"/>
  <c r="AK92" i="70"/>
  <c r="AW92" i="70"/>
  <c r="BC92" i="70"/>
  <c r="BI92" i="70"/>
  <c r="BL92" i="70"/>
  <c r="BO92" i="70"/>
  <c r="C93" i="70"/>
  <c r="AB93" i="70"/>
  <c r="AK93" i="70"/>
  <c r="AW93" i="70"/>
  <c r="BC93" i="70"/>
  <c r="BI93" i="70"/>
  <c r="BL93" i="70"/>
  <c r="BO93" i="70"/>
  <c r="C94" i="70"/>
  <c r="AB94" i="70"/>
  <c r="AK94" i="70"/>
  <c r="AW94" i="70"/>
  <c r="BC94" i="70"/>
  <c r="BI94" i="70"/>
  <c r="BL94" i="70"/>
  <c r="BO94" i="70"/>
  <c r="C95" i="70"/>
  <c r="AB95" i="70"/>
  <c r="AK95" i="70"/>
  <c r="AW95" i="70"/>
  <c r="BC95" i="70"/>
  <c r="BI95" i="70"/>
  <c r="BL95" i="70"/>
  <c r="BO95" i="70"/>
  <c r="C96" i="70"/>
  <c r="AB96" i="70"/>
  <c r="AK96" i="70"/>
  <c r="AW96" i="70"/>
  <c r="BC96" i="70"/>
  <c r="BI96" i="70"/>
  <c r="BL96" i="70"/>
  <c r="BO96" i="70"/>
  <c r="C97" i="70"/>
  <c r="AB97" i="70"/>
  <c r="AK97" i="70"/>
  <c r="AW97" i="70"/>
  <c r="BC97" i="70"/>
  <c r="BI97" i="70"/>
  <c r="BL97" i="70"/>
  <c r="BO97" i="70"/>
  <c r="C98" i="70"/>
  <c r="AB98" i="70"/>
  <c r="AK98" i="70"/>
  <c r="AW98" i="70"/>
  <c r="BC98" i="70"/>
  <c r="BI98" i="70"/>
  <c r="BL98" i="70"/>
  <c r="BO98" i="70"/>
  <c r="C99" i="70"/>
  <c r="AB99" i="70"/>
  <c r="AK99" i="70"/>
  <c r="AW99" i="70"/>
  <c r="BC99" i="70"/>
  <c r="BI99" i="70"/>
  <c r="BL99" i="70"/>
  <c r="BO99" i="70"/>
  <c r="C100" i="70"/>
  <c r="AB100" i="70"/>
  <c r="AK100" i="70"/>
  <c r="AW100" i="70"/>
  <c r="BC100" i="70"/>
  <c r="BI100" i="70"/>
  <c r="BL100" i="70"/>
  <c r="BO100" i="70"/>
  <c r="C101" i="70"/>
  <c r="AB101" i="70"/>
  <c r="AK101" i="70"/>
  <c r="AW101" i="70"/>
  <c r="BC101" i="70"/>
  <c r="BI101" i="70"/>
  <c r="BL101" i="70"/>
  <c r="BO101" i="70"/>
  <c r="C102" i="70"/>
  <c r="AB102" i="70"/>
  <c r="AK102" i="70"/>
  <c r="AW102" i="70"/>
  <c r="BC102" i="70"/>
  <c r="BI102" i="70"/>
  <c r="BL102" i="70"/>
  <c r="BO102" i="70"/>
  <c r="C103" i="70"/>
  <c r="AB103" i="70"/>
  <c r="AK103" i="70"/>
  <c r="AW103" i="70"/>
  <c r="BC103" i="70"/>
  <c r="BI103" i="70"/>
  <c r="BL103" i="70"/>
  <c r="BO103" i="70"/>
  <c r="C104" i="70"/>
  <c r="AB104" i="70"/>
  <c r="AK104" i="70"/>
  <c r="AW104" i="70"/>
  <c r="BC104" i="70"/>
  <c r="BI104" i="70"/>
  <c r="BL104" i="70"/>
  <c r="BO104" i="70"/>
  <c r="C105" i="70"/>
  <c r="AK105" i="70"/>
  <c r="AW105" i="70"/>
  <c r="BC105" i="70"/>
  <c r="BI105" i="70"/>
  <c r="BL105" i="70"/>
  <c r="BO105" i="70"/>
  <c r="C106" i="70"/>
  <c r="AK106" i="70"/>
  <c r="AW106" i="70"/>
  <c r="BC106" i="70"/>
  <c r="BI106" i="70"/>
  <c r="BL106" i="70"/>
  <c r="BO106" i="70"/>
  <c r="C107" i="70"/>
  <c r="AK107" i="70"/>
  <c r="AW107" i="70"/>
  <c r="BC107" i="70"/>
  <c r="BI107" i="70"/>
  <c r="BL107" i="70"/>
  <c r="BO107" i="70"/>
  <c r="C108" i="70"/>
  <c r="AK108" i="70"/>
  <c r="AW108" i="70"/>
  <c r="BC108" i="70"/>
  <c r="BI108" i="70"/>
  <c r="BL108" i="70"/>
  <c r="BO108" i="70"/>
  <c r="C109" i="70"/>
  <c r="AK109" i="70"/>
  <c r="AW109" i="70"/>
  <c r="BC109" i="70"/>
  <c r="BI109" i="70"/>
  <c r="BL109" i="70"/>
  <c r="BO109" i="70"/>
  <c r="C110" i="70"/>
  <c r="AK110" i="70"/>
  <c r="AW110" i="70"/>
  <c r="BC110" i="70"/>
  <c r="BI110" i="70"/>
  <c r="BL110" i="70"/>
  <c r="BO110" i="70"/>
  <c r="C111" i="70"/>
  <c r="AK111" i="70"/>
  <c r="AW111" i="70"/>
  <c r="BC111" i="70"/>
  <c r="BI111" i="70"/>
  <c r="BL111" i="70"/>
  <c r="BO111" i="70"/>
  <c r="C112" i="70"/>
  <c r="AK112" i="70"/>
  <c r="AW112" i="70"/>
  <c r="BC112" i="70"/>
  <c r="BI112" i="70"/>
  <c r="BL112" i="70"/>
  <c r="BO112" i="70"/>
  <c r="C113" i="70"/>
  <c r="AK113" i="70"/>
  <c r="AW113" i="70"/>
  <c r="BC113" i="70"/>
  <c r="BI113" i="70"/>
  <c r="BL113" i="70"/>
  <c r="BO113" i="70"/>
  <c r="C114" i="70"/>
  <c r="AK114" i="70"/>
  <c r="AW114" i="70"/>
  <c r="BC114" i="70"/>
  <c r="BI114" i="70"/>
  <c r="BL114" i="70"/>
  <c r="BO114" i="70"/>
  <c r="C115" i="70"/>
  <c r="AK115" i="70"/>
  <c r="AW115" i="70"/>
  <c r="BC115" i="70"/>
  <c r="BI115" i="70"/>
  <c r="BL115" i="70"/>
  <c r="BO115" i="70"/>
  <c r="AK116" i="70"/>
  <c r="AW116" i="70"/>
  <c r="BC116" i="70"/>
  <c r="BI116" i="70"/>
  <c r="BL116" i="70"/>
  <c r="BO116" i="70"/>
  <c r="C117" i="70"/>
  <c r="AK117" i="70"/>
  <c r="AW117" i="70"/>
  <c r="BC117" i="70"/>
  <c r="BI117" i="70"/>
  <c r="BL117" i="70"/>
  <c r="BO117" i="70"/>
  <c r="C118" i="70"/>
  <c r="AK118" i="70"/>
  <c r="AW118" i="70"/>
  <c r="BI118" i="70"/>
  <c r="BL118" i="70"/>
  <c r="BO118" i="70"/>
  <c r="C119" i="70"/>
  <c r="AK119" i="70"/>
  <c r="AW119" i="70"/>
  <c r="BI119" i="70"/>
  <c r="BL119" i="70"/>
  <c r="BO119" i="70"/>
  <c r="C120" i="70"/>
  <c r="AK120" i="70"/>
  <c r="AW120" i="70"/>
  <c r="BI120" i="70"/>
  <c r="BL120" i="70"/>
  <c r="BO120" i="70"/>
  <c r="C121" i="70"/>
  <c r="AK121" i="70"/>
  <c r="AW121" i="70"/>
  <c r="BI121" i="70"/>
  <c r="BL121" i="70"/>
  <c r="BO121" i="70"/>
  <c r="C122" i="70"/>
  <c r="AK122" i="70"/>
  <c r="AW122" i="70"/>
  <c r="BI122" i="70"/>
  <c r="BL122" i="70"/>
  <c r="BO122" i="70"/>
  <c r="C123" i="70"/>
  <c r="S123" i="70"/>
  <c r="AK123" i="70"/>
  <c r="AW123" i="70"/>
  <c r="BI123" i="70"/>
  <c r="BL123" i="70"/>
  <c r="BO123" i="70"/>
  <c r="C124" i="70"/>
  <c r="S124" i="70"/>
  <c r="AK124" i="70"/>
  <c r="AW124" i="70"/>
  <c r="BF124" i="70"/>
  <c r="BI124" i="70"/>
  <c r="BL124" i="70"/>
  <c r="BO124" i="70"/>
  <c r="C125" i="70"/>
  <c r="S125" i="70"/>
  <c r="AE125" i="70"/>
  <c r="AK125" i="70"/>
  <c r="AW125" i="70"/>
  <c r="BF125" i="70"/>
  <c r="BI125" i="70"/>
  <c r="BL125" i="70"/>
  <c r="BO125" i="70"/>
  <c r="C126" i="70"/>
  <c r="S126" i="70"/>
  <c r="AE126" i="70"/>
  <c r="AK126" i="70"/>
  <c r="AN126" i="70"/>
  <c r="AW126" i="70"/>
  <c r="BF126" i="70"/>
  <c r="BI126" i="70"/>
  <c r="BL126" i="70"/>
  <c r="BO126" i="70"/>
  <c r="C127" i="70"/>
  <c r="S127" i="70"/>
  <c r="AE127" i="70"/>
  <c r="AH127" i="70"/>
  <c r="AK127" i="70"/>
  <c r="AN127" i="70"/>
  <c r="AW127" i="70"/>
  <c r="BF127" i="70"/>
  <c r="BI127" i="70"/>
  <c r="BL127" i="70"/>
  <c r="BO127" i="70"/>
  <c r="C128" i="70"/>
  <c r="S128" i="70"/>
  <c r="AE128" i="70"/>
  <c r="AH128" i="70"/>
  <c r="AK128" i="70"/>
  <c r="AN128" i="70"/>
  <c r="AW128" i="70"/>
  <c r="BF128" i="70"/>
  <c r="BI128" i="70"/>
  <c r="BO128" i="70"/>
  <c r="C129" i="70"/>
  <c r="S129" i="70"/>
  <c r="AE129" i="70"/>
  <c r="AH129" i="70"/>
  <c r="AK129" i="70"/>
  <c r="AN129" i="70"/>
  <c r="AW129" i="70"/>
  <c r="BF129" i="70"/>
  <c r="BI129" i="70"/>
  <c r="BO129" i="70"/>
  <c r="C130" i="70"/>
  <c r="S130" i="70"/>
  <c r="AE130" i="70"/>
  <c r="AH130" i="70"/>
  <c r="AK130" i="70"/>
  <c r="AN130" i="70"/>
  <c r="AW130" i="70"/>
  <c r="BF130" i="70"/>
  <c r="BI130" i="70"/>
  <c r="BO130" i="70"/>
  <c r="C131" i="70"/>
  <c r="S131" i="70"/>
  <c r="AE131" i="70"/>
  <c r="AH131" i="70"/>
  <c r="AK131" i="70"/>
  <c r="AN131" i="70"/>
  <c r="AW131" i="70"/>
  <c r="BF131" i="70"/>
  <c r="BI131" i="70"/>
  <c r="BO131" i="70"/>
  <c r="C132" i="70"/>
  <c r="S132" i="70"/>
  <c r="AE132" i="70"/>
  <c r="AH132" i="70"/>
  <c r="AK132" i="70"/>
  <c r="AN132" i="70"/>
  <c r="AW132" i="70"/>
  <c r="BF132" i="70"/>
  <c r="BI132" i="70"/>
  <c r="BO132" i="70"/>
  <c r="C133" i="70"/>
  <c r="S133" i="70"/>
  <c r="AB133" i="70"/>
  <c r="AE133" i="70"/>
  <c r="AH133" i="70"/>
  <c r="AK133" i="70"/>
  <c r="AN133" i="70"/>
  <c r="AW133" i="70"/>
  <c r="BF133" i="70"/>
  <c r="BI133" i="70"/>
  <c r="BO133" i="70"/>
  <c r="C134" i="70"/>
  <c r="S134" i="70"/>
  <c r="AB134" i="70"/>
  <c r="AE134" i="70"/>
  <c r="AH134" i="70"/>
  <c r="AK134" i="70"/>
  <c r="AN134" i="70"/>
  <c r="AW134" i="70"/>
  <c r="BF134" i="70"/>
  <c r="BI134" i="70"/>
  <c r="BO134" i="70"/>
  <c r="C135" i="70"/>
  <c r="S135" i="70"/>
  <c r="AB135" i="70"/>
  <c r="AE135" i="70"/>
  <c r="AH135" i="70"/>
  <c r="AK135" i="70"/>
  <c r="AN135" i="70"/>
  <c r="AW135" i="70"/>
  <c r="BF135" i="70"/>
  <c r="BI135" i="70"/>
  <c r="BO135" i="70"/>
  <c r="C136" i="70"/>
  <c r="S136" i="70"/>
  <c r="AB136" i="70"/>
  <c r="AE136" i="70"/>
  <c r="AH136" i="70"/>
  <c r="AK136" i="70"/>
  <c r="AN136" i="70"/>
  <c r="AW136" i="70"/>
  <c r="BF136" i="70"/>
  <c r="BI136" i="70"/>
  <c r="BO136" i="70"/>
  <c r="C137" i="70"/>
  <c r="S137" i="70"/>
  <c r="AB137" i="70"/>
  <c r="AE137" i="70"/>
  <c r="AH137" i="70"/>
  <c r="AK137" i="70"/>
  <c r="AN137" i="70"/>
  <c r="AW137" i="70"/>
  <c r="BF137" i="70"/>
  <c r="BI137" i="70"/>
  <c r="BO137" i="70"/>
  <c r="S138" i="70"/>
  <c r="AB138" i="70"/>
  <c r="AE138" i="70"/>
  <c r="AH138" i="70"/>
  <c r="AK138" i="70"/>
  <c r="AN138" i="70"/>
  <c r="AW138" i="70"/>
  <c r="BF138" i="70"/>
  <c r="BI138" i="70"/>
  <c r="BO138" i="70"/>
  <c r="C139" i="70"/>
  <c r="AB139" i="70"/>
  <c r="AE139" i="70"/>
  <c r="AH139" i="70"/>
  <c r="AK139" i="70"/>
  <c r="AN139" i="70"/>
  <c r="AW139" i="70"/>
  <c r="BF139" i="70"/>
  <c r="BI139" i="70"/>
  <c r="BO139" i="70"/>
  <c r="C140" i="70"/>
  <c r="AB140" i="70"/>
  <c r="AE140" i="70"/>
  <c r="AH140" i="70"/>
  <c r="AK140" i="70"/>
  <c r="AN140" i="70"/>
  <c r="AT140" i="70"/>
  <c r="AW140" i="70"/>
  <c r="BF140" i="70"/>
  <c r="BI140" i="70"/>
  <c r="BO140" i="70"/>
  <c r="C141" i="70"/>
  <c r="AB141" i="70"/>
  <c r="AE141" i="70"/>
  <c r="AH141" i="70"/>
  <c r="AK141" i="70"/>
  <c r="AN141" i="70"/>
  <c r="AT141" i="70"/>
  <c r="AW141" i="70"/>
  <c r="BF141" i="70"/>
  <c r="BI141" i="70"/>
  <c r="BO141" i="70"/>
  <c r="C142" i="70"/>
  <c r="AB142" i="70"/>
  <c r="AE142" i="70"/>
  <c r="AH142" i="70"/>
  <c r="AK142" i="70"/>
  <c r="AN142" i="70"/>
  <c r="AT142" i="70"/>
  <c r="AW142" i="70"/>
  <c r="BF142" i="70"/>
  <c r="BI142" i="70"/>
  <c r="BO142" i="70"/>
  <c r="C143" i="70"/>
  <c r="S143" i="70"/>
  <c r="AB143" i="70"/>
  <c r="AE143" i="70"/>
  <c r="AH143" i="70"/>
  <c r="AK143" i="70"/>
  <c r="AN143" i="70"/>
  <c r="AT143" i="70"/>
  <c r="AW143" i="70"/>
  <c r="BF143" i="70"/>
  <c r="BI143" i="70"/>
  <c r="BO143" i="70"/>
  <c r="S144" i="70"/>
  <c r="AB144" i="70"/>
  <c r="AE144" i="70"/>
  <c r="AH144" i="70"/>
  <c r="AK144" i="70"/>
  <c r="AN144" i="70"/>
  <c r="AT144" i="70"/>
  <c r="AW144" i="70"/>
  <c r="BF144" i="70"/>
  <c r="BI144" i="70"/>
  <c r="BO144" i="70"/>
  <c r="C145" i="70"/>
  <c r="AB145" i="70"/>
  <c r="AE145" i="70"/>
  <c r="AH145" i="70"/>
  <c r="AK145" i="70"/>
  <c r="AN145" i="70"/>
  <c r="AT145" i="70"/>
  <c r="AW145" i="70"/>
  <c r="BF145" i="70"/>
  <c r="BI145" i="70"/>
  <c r="BO145" i="70"/>
  <c r="C146" i="70"/>
  <c r="AB146" i="70"/>
  <c r="AE146" i="70"/>
  <c r="AH146" i="70"/>
  <c r="AK146" i="70"/>
  <c r="AN146" i="70"/>
  <c r="AT146" i="70"/>
  <c r="AW146" i="70"/>
  <c r="BF146" i="70"/>
  <c r="BI146" i="70"/>
  <c r="BO146" i="70"/>
  <c r="C147" i="70"/>
  <c r="AB147" i="70"/>
  <c r="AE147" i="70"/>
  <c r="AH147" i="70"/>
  <c r="AK147" i="70"/>
  <c r="AN147" i="70"/>
  <c r="AT147" i="70"/>
  <c r="AW147" i="70"/>
  <c r="BF147" i="70"/>
  <c r="BI147" i="70"/>
  <c r="BO147" i="70"/>
  <c r="C148" i="70"/>
  <c r="AB148" i="70"/>
  <c r="AE148" i="70"/>
  <c r="AH148" i="70"/>
  <c r="AK148" i="70"/>
  <c r="AN148" i="70"/>
  <c r="AT148" i="70"/>
  <c r="AW148" i="70"/>
  <c r="BC148" i="70"/>
  <c r="BF148" i="70"/>
  <c r="BI148" i="70"/>
  <c r="BO148" i="70"/>
  <c r="C149" i="70"/>
  <c r="AB149" i="70"/>
  <c r="AE149" i="70"/>
  <c r="AH149" i="70"/>
  <c r="AK149" i="70"/>
  <c r="AN149" i="70"/>
  <c r="AT149" i="70"/>
  <c r="AW149" i="70"/>
  <c r="BC149" i="70"/>
  <c r="BF149" i="70"/>
  <c r="BI149" i="70"/>
  <c r="BO149" i="70"/>
  <c r="C150" i="70"/>
  <c r="AB150" i="70"/>
  <c r="AE150" i="70"/>
  <c r="AH150" i="70"/>
  <c r="AK150" i="70"/>
  <c r="AN150" i="70"/>
  <c r="AT150" i="70"/>
  <c r="AW150" i="70"/>
  <c r="BC150" i="70"/>
  <c r="BF150" i="70"/>
  <c r="BI150" i="70"/>
  <c r="BO150" i="70"/>
  <c r="C151" i="70"/>
  <c r="AB151" i="70"/>
  <c r="AE151" i="70"/>
  <c r="AH151" i="70"/>
  <c r="AK151" i="70"/>
  <c r="AN151" i="70"/>
  <c r="AT151" i="70"/>
  <c r="AW151" i="70"/>
  <c r="AZ151" i="70"/>
  <c r="BC151" i="70"/>
  <c r="BF151" i="70"/>
  <c r="BI151" i="70"/>
  <c r="BO151" i="70"/>
  <c r="C152" i="70"/>
  <c r="AB152" i="70"/>
  <c r="AE152" i="70"/>
  <c r="AH152" i="70"/>
  <c r="AK152" i="70"/>
  <c r="AN152" i="70"/>
  <c r="AT152" i="70"/>
  <c r="AW152" i="70"/>
  <c r="AZ152" i="70"/>
  <c r="BC152" i="70"/>
  <c r="BF152" i="70"/>
  <c r="BI152" i="70"/>
  <c r="C153" i="70"/>
  <c r="AB153" i="70"/>
  <c r="AE153" i="70"/>
  <c r="AH153" i="70"/>
  <c r="AK153" i="70"/>
  <c r="AN153" i="70"/>
  <c r="AT153" i="70"/>
  <c r="AW153" i="70"/>
  <c r="AZ153" i="70"/>
  <c r="BC153" i="70"/>
  <c r="BF153" i="70"/>
  <c r="BI153" i="70"/>
  <c r="C154" i="70"/>
  <c r="AB154" i="70"/>
  <c r="AE154" i="70"/>
  <c r="AH154" i="70"/>
  <c r="AK154" i="70"/>
  <c r="AN154" i="70"/>
  <c r="AT154" i="70"/>
  <c r="AW154" i="70"/>
  <c r="AZ154" i="70"/>
  <c r="BC154" i="70"/>
  <c r="BF154" i="70"/>
  <c r="BI154" i="70"/>
  <c r="BL154" i="70"/>
  <c r="C155" i="70"/>
  <c r="AB155" i="70"/>
  <c r="AE155" i="70"/>
  <c r="AH155" i="70"/>
  <c r="AK155" i="70"/>
  <c r="AN155" i="70"/>
  <c r="AT155" i="70"/>
  <c r="AW155" i="70"/>
  <c r="AZ155" i="70"/>
  <c r="BC155" i="70"/>
  <c r="BF155" i="70"/>
  <c r="BI155" i="70"/>
  <c r="BL155" i="70"/>
  <c r="C156" i="70"/>
  <c r="AB156" i="70"/>
  <c r="AE156" i="70"/>
  <c r="AH156" i="70"/>
  <c r="AK156" i="70"/>
  <c r="AN156" i="70"/>
  <c r="AT156" i="70"/>
  <c r="AZ156" i="70"/>
  <c r="BC156" i="70"/>
  <c r="BF156" i="70"/>
  <c r="BI156" i="70"/>
  <c r="BL156" i="70"/>
  <c r="C157" i="70"/>
  <c r="AB157" i="70"/>
  <c r="AE157" i="70"/>
  <c r="AH157" i="70"/>
  <c r="AK157" i="70"/>
  <c r="AN157" i="70"/>
  <c r="AT157" i="70"/>
  <c r="BC157" i="70"/>
  <c r="BF157" i="70"/>
  <c r="BI157" i="70"/>
  <c r="BL157" i="70"/>
  <c r="C158" i="70"/>
  <c r="AB158" i="70"/>
  <c r="AE158" i="70"/>
  <c r="AH158" i="70"/>
  <c r="AK158" i="70"/>
  <c r="AN158" i="70"/>
  <c r="AT158" i="70"/>
  <c r="BC158" i="70"/>
  <c r="BF158" i="70"/>
  <c r="BI158" i="70"/>
  <c r="BL158" i="70"/>
  <c r="C159" i="70"/>
  <c r="AB159" i="70"/>
  <c r="AE159" i="70"/>
  <c r="AH159" i="70"/>
  <c r="AK159" i="70"/>
  <c r="AN159" i="70"/>
  <c r="AT159" i="70"/>
  <c r="BC159" i="70"/>
  <c r="BF159" i="70"/>
  <c r="BI159" i="70"/>
  <c r="BL159" i="70"/>
  <c r="C160" i="70"/>
  <c r="AB160" i="70"/>
  <c r="AE160" i="70"/>
  <c r="AH160" i="70"/>
  <c r="AK160" i="70"/>
  <c r="AN160" i="70"/>
  <c r="AT160" i="70"/>
  <c r="BC160" i="70"/>
  <c r="BF160" i="70"/>
  <c r="BI160" i="70"/>
  <c r="BL160" i="70"/>
  <c r="C161" i="70"/>
  <c r="AB161" i="70"/>
  <c r="AE161" i="70"/>
  <c r="AH161" i="70"/>
  <c r="AK161" i="70"/>
  <c r="AN161" i="70"/>
  <c r="AT161" i="70"/>
  <c r="BC161" i="70"/>
  <c r="BF161" i="70"/>
  <c r="BI161" i="70"/>
  <c r="BL161" i="70"/>
  <c r="C162" i="70"/>
  <c r="S162" i="70"/>
  <c r="AB162" i="70"/>
  <c r="AE162" i="70"/>
  <c r="AH162" i="70"/>
  <c r="AK162" i="70"/>
  <c r="AN162" i="70"/>
  <c r="AT162" i="70"/>
  <c r="BC162" i="70"/>
  <c r="BF162" i="70"/>
  <c r="BI162" i="70"/>
  <c r="BL162" i="70"/>
  <c r="C163" i="70"/>
  <c r="S163" i="70"/>
  <c r="AB163" i="70"/>
  <c r="AE163" i="70"/>
  <c r="AH163" i="70"/>
  <c r="AK163" i="70"/>
  <c r="AN163" i="70"/>
  <c r="AT163" i="70"/>
  <c r="BC163" i="70"/>
  <c r="BF163" i="70"/>
  <c r="BI163" i="70"/>
  <c r="BL163" i="70"/>
  <c r="C164" i="70"/>
  <c r="S164" i="70"/>
  <c r="AB164" i="70"/>
  <c r="AE164" i="70"/>
  <c r="AH164" i="70"/>
  <c r="AK164" i="70"/>
  <c r="AN164" i="70"/>
  <c r="AT164" i="70"/>
  <c r="BC164" i="70"/>
  <c r="BF164" i="70"/>
  <c r="BI164" i="70"/>
  <c r="BL164" i="70"/>
  <c r="C165" i="70"/>
  <c r="S165" i="70"/>
  <c r="AB165" i="70"/>
  <c r="AE165" i="70"/>
  <c r="AH165" i="70"/>
  <c r="AK165" i="70"/>
  <c r="AN165" i="70"/>
  <c r="AT165" i="70"/>
  <c r="BC165" i="70"/>
  <c r="BF165" i="70"/>
  <c r="BI165" i="70"/>
  <c r="BL165" i="70"/>
  <c r="C166" i="70"/>
  <c r="S166" i="70"/>
  <c r="AB166" i="70"/>
  <c r="AE166" i="70"/>
  <c r="AH166" i="70"/>
  <c r="AK166" i="70"/>
  <c r="AN166" i="70"/>
  <c r="AT166" i="70"/>
  <c r="BC166" i="70"/>
  <c r="BF166" i="70"/>
  <c r="BI166" i="70"/>
  <c r="BL166" i="70"/>
  <c r="C167" i="70"/>
  <c r="AB167" i="70"/>
  <c r="AE167" i="70"/>
  <c r="AH167" i="70"/>
  <c r="AK167" i="70"/>
  <c r="AN167" i="70"/>
  <c r="AT167" i="70"/>
  <c r="BC167" i="70"/>
  <c r="BF167" i="70"/>
  <c r="BI167" i="70"/>
  <c r="BL167" i="70"/>
  <c r="C168" i="70"/>
  <c r="AB168" i="70"/>
  <c r="AE168" i="70"/>
  <c r="AH168" i="70"/>
  <c r="AK168" i="70"/>
  <c r="AN168" i="70"/>
  <c r="AT168" i="70"/>
  <c r="BC168" i="70"/>
  <c r="BF168" i="70"/>
  <c r="BI168" i="70"/>
  <c r="BL168" i="70"/>
  <c r="BO168" i="70"/>
  <c r="C169" i="70"/>
  <c r="AB169" i="70"/>
  <c r="AE169" i="70"/>
  <c r="AH169" i="70"/>
  <c r="AK169" i="70"/>
  <c r="AN169" i="70"/>
  <c r="AT169" i="70"/>
  <c r="BC169" i="70"/>
  <c r="BF169" i="70"/>
  <c r="BI169" i="70"/>
  <c r="BL169" i="70"/>
  <c r="BO169" i="70"/>
  <c r="C170" i="70"/>
  <c r="AB170" i="70"/>
  <c r="AE170" i="70"/>
  <c r="AH170" i="70"/>
  <c r="AK170" i="70"/>
  <c r="AN170" i="70"/>
  <c r="AT170" i="70"/>
  <c r="BC170" i="70"/>
  <c r="BF170" i="70"/>
  <c r="BI170" i="70"/>
  <c r="BL170" i="70"/>
  <c r="BO170" i="70"/>
  <c r="C171" i="70"/>
  <c r="AB171" i="70"/>
  <c r="AE171" i="70"/>
  <c r="AH171" i="70"/>
  <c r="AK171" i="70"/>
  <c r="AN171" i="70"/>
  <c r="AT171" i="70"/>
  <c r="BC171" i="70"/>
  <c r="BF171" i="70"/>
  <c r="BI171" i="70"/>
  <c r="BL171" i="70"/>
  <c r="BO171" i="70"/>
  <c r="C172" i="70"/>
  <c r="AB172" i="70"/>
  <c r="AE172" i="70"/>
  <c r="AH172" i="70"/>
  <c r="AK172" i="70"/>
  <c r="AN172" i="70"/>
  <c r="AT172" i="70"/>
  <c r="BC172" i="70"/>
  <c r="BF172" i="70"/>
  <c r="BI172" i="70"/>
  <c r="BL172" i="70"/>
  <c r="BO172" i="70"/>
  <c r="C173" i="70"/>
  <c r="AB173" i="70"/>
  <c r="AE173" i="70"/>
  <c r="AH173" i="70"/>
  <c r="AK173" i="70"/>
  <c r="AN173" i="70"/>
  <c r="AT173" i="70"/>
  <c r="BC173" i="70"/>
  <c r="BF173" i="70"/>
  <c r="BI173" i="70"/>
  <c r="BL173" i="70"/>
  <c r="BO173" i="70"/>
  <c r="C174" i="70"/>
  <c r="AB174" i="70"/>
  <c r="AE174" i="70"/>
  <c r="AH174" i="70"/>
  <c r="AK174" i="70"/>
  <c r="AN174" i="70"/>
  <c r="AT174" i="70"/>
  <c r="BC174" i="70"/>
  <c r="BF174" i="70"/>
  <c r="BI174" i="70"/>
  <c r="BL174" i="70"/>
  <c r="BO174" i="70"/>
  <c r="C175" i="70"/>
  <c r="AB175" i="70"/>
  <c r="AE175" i="70"/>
  <c r="AH175" i="70"/>
  <c r="AK175" i="70"/>
  <c r="AN175" i="70"/>
  <c r="AT175" i="70"/>
  <c r="BC175" i="70"/>
  <c r="BF175" i="70"/>
  <c r="BI175" i="70"/>
  <c r="BL175" i="70"/>
  <c r="BO175" i="70"/>
  <c r="C176" i="70"/>
  <c r="AB176" i="70"/>
  <c r="AE176" i="70"/>
  <c r="AH176" i="70"/>
  <c r="AK176" i="70"/>
  <c r="AN176" i="70"/>
  <c r="AT176" i="70"/>
  <c r="BC176" i="70"/>
  <c r="BF176" i="70"/>
  <c r="BI176" i="70"/>
  <c r="BL176" i="70"/>
  <c r="BO176" i="70"/>
  <c r="C177" i="70"/>
  <c r="AB177" i="70"/>
  <c r="AE177" i="70"/>
  <c r="AH177" i="70"/>
  <c r="AK177" i="70"/>
  <c r="AN177" i="70"/>
  <c r="AT177" i="70"/>
  <c r="BC177" i="70"/>
  <c r="BF177" i="70"/>
  <c r="BI177" i="70"/>
  <c r="BL177" i="70"/>
  <c r="BO177" i="70"/>
  <c r="C178" i="70"/>
  <c r="AB178" i="70"/>
  <c r="AE178" i="70"/>
  <c r="AH178" i="70"/>
  <c r="AK178" i="70"/>
  <c r="AN178" i="70"/>
  <c r="AT178" i="70"/>
  <c r="BC178" i="70"/>
  <c r="BF178" i="70"/>
  <c r="BI178" i="70"/>
  <c r="BL178" i="70"/>
  <c r="BO178" i="70"/>
  <c r="C179" i="70"/>
  <c r="AB179" i="70"/>
  <c r="AE179" i="70"/>
  <c r="AH179" i="70"/>
  <c r="AK179" i="70"/>
  <c r="AN179" i="70"/>
  <c r="AT179" i="70"/>
  <c r="BC179" i="70"/>
  <c r="BF179" i="70"/>
  <c r="BI179" i="70"/>
  <c r="BL179" i="70"/>
  <c r="BO179" i="70"/>
  <c r="C180" i="70"/>
  <c r="AB180" i="70"/>
  <c r="AE180" i="70"/>
  <c r="AH180" i="70"/>
  <c r="AK180" i="70"/>
  <c r="AN180" i="70"/>
  <c r="AT180" i="70"/>
  <c r="BC180" i="70"/>
  <c r="BF180" i="70"/>
  <c r="BI180" i="70"/>
  <c r="BL180" i="70"/>
  <c r="BO180" i="70"/>
  <c r="C181" i="70"/>
  <c r="AB181" i="70"/>
  <c r="AE181" i="70"/>
  <c r="AH181" i="70"/>
  <c r="AK181" i="70"/>
  <c r="AN181" i="70"/>
  <c r="AT181" i="70"/>
  <c r="BC181" i="70"/>
  <c r="BF181" i="70"/>
  <c r="BI181" i="70"/>
  <c r="BL181" i="70"/>
  <c r="BO181" i="70"/>
  <c r="C182" i="70"/>
  <c r="AB182" i="70"/>
  <c r="AE182" i="70"/>
  <c r="AH182" i="70"/>
  <c r="AK182" i="70"/>
  <c r="AN182" i="70"/>
  <c r="AT182" i="70"/>
  <c r="BC182" i="70"/>
  <c r="BF182" i="70"/>
  <c r="BI182" i="70"/>
  <c r="BL182" i="70"/>
  <c r="BO182" i="70"/>
  <c r="C183" i="70"/>
  <c r="AB183" i="70"/>
  <c r="AE183" i="70"/>
  <c r="AH183" i="70"/>
  <c r="AK183" i="70"/>
  <c r="AN183" i="70"/>
  <c r="AT183" i="70"/>
  <c r="BC183" i="70"/>
  <c r="BF183" i="70"/>
  <c r="BI183" i="70"/>
  <c r="BL183" i="70"/>
  <c r="BO183" i="70"/>
  <c r="C184" i="70"/>
  <c r="AB184" i="70"/>
  <c r="AE184" i="70"/>
  <c r="AH184" i="70"/>
  <c r="AK184" i="70"/>
  <c r="AN184" i="70"/>
  <c r="AT184" i="70"/>
  <c r="BC184" i="70"/>
  <c r="BF184" i="70"/>
  <c r="BI184" i="70"/>
  <c r="BL184" i="70"/>
  <c r="BO184" i="70"/>
  <c r="C185" i="70"/>
  <c r="AB185" i="70"/>
  <c r="AE185" i="70"/>
  <c r="AH185" i="70"/>
  <c r="AK185" i="70"/>
  <c r="AN185" i="70"/>
  <c r="AT185" i="70"/>
  <c r="BC185" i="70"/>
  <c r="BF185" i="70"/>
  <c r="BI185" i="70"/>
  <c r="BL185" i="70"/>
  <c r="BO185" i="70"/>
  <c r="C186" i="70"/>
  <c r="AB186" i="70"/>
  <c r="AE186" i="70"/>
  <c r="AH186" i="70"/>
  <c r="AK186" i="70"/>
  <c r="AN186" i="70"/>
  <c r="AT186" i="70"/>
  <c r="BC186" i="70"/>
  <c r="BF186" i="70"/>
  <c r="BI186" i="70"/>
  <c r="BL186" i="70"/>
  <c r="BO186" i="70"/>
  <c r="C187" i="70"/>
  <c r="AB187" i="70"/>
  <c r="AE187" i="70"/>
  <c r="AH187" i="70"/>
  <c r="AK187" i="70"/>
  <c r="AN187" i="70"/>
  <c r="AT187" i="70"/>
  <c r="BC187" i="70"/>
  <c r="BF187" i="70"/>
  <c r="BI187" i="70"/>
  <c r="BL187" i="70"/>
  <c r="BO187" i="70"/>
  <c r="C188" i="70"/>
  <c r="AB188" i="70"/>
  <c r="AE188" i="70"/>
  <c r="AH188" i="70"/>
  <c r="AK188" i="70"/>
  <c r="AN188" i="70"/>
  <c r="AT188" i="70"/>
  <c r="BC188" i="70"/>
  <c r="BF188" i="70"/>
  <c r="BI188" i="70"/>
  <c r="BL188" i="70"/>
  <c r="BO188" i="70"/>
  <c r="C189" i="70"/>
  <c r="AB189" i="70"/>
  <c r="AE189" i="70"/>
  <c r="AH189" i="70"/>
  <c r="AK189" i="70"/>
  <c r="AN189" i="70"/>
  <c r="AT189" i="70"/>
  <c r="BC189" i="70"/>
  <c r="BF189" i="70"/>
  <c r="BI189" i="70"/>
  <c r="BL189" i="70"/>
  <c r="BO189" i="70"/>
  <c r="C190" i="70"/>
  <c r="AB190" i="70"/>
  <c r="AE190" i="70"/>
  <c r="AH190" i="70"/>
  <c r="AK190" i="70"/>
  <c r="AN190" i="70"/>
  <c r="AT190" i="70"/>
  <c r="BC190" i="70"/>
  <c r="BF190" i="70"/>
  <c r="BI190" i="70"/>
  <c r="BL190" i="70"/>
  <c r="BO190" i="70"/>
  <c r="C191" i="70"/>
  <c r="AB191" i="70"/>
  <c r="AE191" i="70"/>
  <c r="AH191" i="70"/>
  <c r="AK191" i="70"/>
  <c r="AN191" i="70"/>
  <c r="AT191" i="70"/>
  <c r="BC191" i="70"/>
  <c r="BF191" i="70"/>
  <c r="BI191" i="70"/>
  <c r="BL191" i="70"/>
  <c r="BO191" i="70"/>
  <c r="C192" i="70"/>
  <c r="AB192" i="70"/>
  <c r="AE192" i="70"/>
  <c r="AH192" i="70"/>
  <c r="AK192" i="70"/>
  <c r="AN192" i="70"/>
  <c r="AT192" i="70"/>
  <c r="BC192" i="70"/>
  <c r="BF192" i="70"/>
  <c r="BI192" i="70"/>
  <c r="BL192" i="70"/>
  <c r="BO192" i="70"/>
  <c r="C193" i="70"/>
  <c r="AB193" i="70"/>
  <c r="AE193" i="70"/>
  <c r="AH193" i="70"/>
  <c r="AK193" i="70"/>
  <c r="AN193" i="70"/>
  <c r="AT193" i="70"/>
  <c r="BC193" i="70"/>
  <c r="BF193" i="70"/>
  <c r="BI193" i="70"/>
  <c r="BL193" i="70"/>
  <c r="BO193" i="70"/>
  <c r="C194" i="70"/>
  <c r="AB194" i="70"/>
  <c r="AE194" i="70"/>
  <c r="AH194" i="70"/>
  <c r="AK194" i="70"/>
  <c r="AN194" i="70"/>
  <c r="AT194" i="70"/>
  <c r="BC194" i="70"/>
  <c r="BF194" i="70"/>
  <c r="BI194" i="70"/>
  <c r="BL194" i="70"/>
  <c r="BO194" i="70"/>
  <c r="C195" i="70"/>
  <c r="AB195" i="70"/>
  <c r="AE195" i="70"/>
  <c r="AH195" i="70"/>
  <c r="AK195" i="70"/>
  <c r="AN195" i="70"/>
  <c r="AT195" i="70"/>
  <c r="BC195" i="70"/>
  <c r="BF195" i="70"/>
  <c r="BI195" i="70"/>
  <c r="BL195" i="70"/>
  <c r="BO195" i="70"/>
  <c r="C196" i="70"/>
  <c r="AB196" i="70"/>
  <c r="AE196" i="70"/>
  <c r="AH196" i="70"/>
  <c r="AK196" i="70"/>
  <c r="AN196" i="70"/>
  <c r="AT196" i="70"/>
  <c r="BC196" i="70"/>
  <c r="BF196" i="70"/>
  <c r="BI196" i="70"/>
  <c r="BL196" i="70"/>
  <c r="BO196" i="70"/>
  <c r="C197" i="70"/>
  <c r="AB197" i="70"/>
  <c r="AE197" i="70"/>
  <c r="AH197" i="70"/>
  <c r="AK197" i="70"/>
  <c r="AN197" i="70"/>
  <c r="AT197" i="70"/>
  <c r="BC197" i="70"/>
  <c r="BF197" i="70"/>
  <c r="BI197" i="70"/>
  <c r="BL197" i="70"/>
  <c r="BO197" i="70"/>
  <c r="AB198" i="70"/>
  <c r="AE198" i="70"/>
  <c r="AH198" i="70"/>
  <c r="AK198" i="70"/>
  <c r="AN198" i="70"/>
  <c r="AT198" i="70"/>
  <c r="BC198" i="70"/>
  <c r="BF198" i="70"/>
  <c r="BI198" i="70"/>
  <c r="BL198" i="70"/>
  <c r="BO198" i="70"/>
  <c r="C199" i="70"/>
  <c r="AB199" i="70"/>
  <c r="AE199" i="70"/>
  <c r="AH199" i="70"/>
  <c r="AK199" i="70"/>
  <c r="AN199" i="70"/>
  <c r="AT199" i="70"/>
  <c r="BC199" i="70"/>
  <c r="BF199" i="70"/>
  <c r="BI199" i="70"/>
  <c r="BL199" i="70"/>
  <c r="BO199" i="70"/>
  <c r="C200" i="70"/>
  <c r="AB200" i="70"/>
  <c r="AE200" i="70"/>
  <c r="AH200" i="70"/>
  <c r="AK200" i="70"/>
  <c r="AN200" i="70"/>
  <c r="AT200" i="70"/>
  <c r="BC200" i="70"/>
  <c r="BF200" i="70"/>
  <c r="BI200" i="70"/>
  <c r="BL200" i="70"/>
  <c r="BO200" i="70"/>
  <c r="C201" i="70"/>
  <c r="AB201" i="70"/>
  <c r="AE201" i="70"/>
  <c r="AH201" i="70"/>
  <c r="AK201" i="70"/>
  <c r="AN201" i="70"/>
  <c r="AT201" i="70"/>
  <c r="BC201" i="70"/>
  <c r="BF201" i="70"/>
  <c r="BI201" i="70"/>
  <c r="BL201" i="70"/>
  <c r="BO201" i="70"/>
  <c r="C202" i="70"/>
  <c r="AB202" i="70"/>
  <c r="AE202" i="70"/>
  <c r="AH202" i="70"/>
  <c r="AK202" i="70"/>
  <c r="AN202" i="70"/>
  <c r="AT202" i="70"/>
  <c r="BC202" i="70"/>
  <c r="BF202" i="70"/>
  <c r="BI202" i="70"/>
  <c r="BL202" i="70"/>
  <c r="BO202" i="70"/>
  <c r="C203" i="70"/>
  <c r="AB203" i="70"/>
  <c r="AE203" i="70"/>
  <c r="AH203" i="70"/>
  <c r="AK203" i="70"/>
  <c r="AN203" i="70"/>
  <c r="AT203" i="70"/>
  <c r="BC203" i="70"/>
  <c r="BF203" i="70"/>
  <c r="BI203" i="70"/>
  <c r="BL203" i="70"/>
  <c r="BO203" i="70"/>
  <c r="C204" i="70"/>
  <c r="AB204" i="70"/>
  <c r="AE204" i="70"/>
  <c r="AH204" i="70"/>
  <c r="AK204" i="70"/>
  <c r="AN204" i="70"/>
  <c r="AT204" i="70"/>
  <c r="BC204" i="70"/>
  <c r="BF204" i="70"/>
  <c r="BI204" i="70"/>
  <c r="BL204" i="70"/>
  <c r="BO204" i="70"/>
  <c r="C205" i="70"/>
  <c r="AB205" i="70"/>
  <c r="AE205" i="70"/>
  <c r="AH205" i="70"/>
  <c r="AK205" i="70"/>
  <c r="AN205" i="70"/>
  <c r="AT205" i="70"/>
  <c r="BC205" i="70"/>
  <c r="BF205" i="70"/>
  <c r="BI205" i="70"/>
  <c r="BL205" i="70"/>
  <c r="BO205" i="70"/>
  <c r="C206" i="70"/>
  <c r="AB206" i="70"/>
  <c r="AE206" i="70"/>
  <c r="AH206" i="70"/>
  <c r="AK206" i="70"/>
  <c r="AN206" i="70"/>
  <c r="AT206" i="70"/>
  <c r="BC206" i="70"/>
  <c r="BF206" i="70"/>
  <c r="BI206" i="70"/>
  <c r="BL206" i="70"/>
  <c r="BO206" i="70"/>
  <c r="C207" i="70"/>
  <c r="AB207" i="70"/>
  <c r="AE207" i="70"/>
  <c r="AH207" i="70"/>
  <c r="AK207" i="70"/>
  <c r="AN207" i="70"/>
  <c r="AT207" i="70"/>
  <c r="BC207" i="70"/>
  <c r="BF207" i="70"/>
  <c r="BI207" i="70"/>
  <c r="BL207" i="70"/>
  <c r="BO207" i="70"/>
  <c r="C208" i="70"/>
  <c r="AB208" i="70"/>
  <c r="AE208" i="70"/>
  <c r="AH208" i="70"/>
  <c r="AK208" i="70"/>
  <c r="AN208" i="70"/>
  <c r="AT208" i="70"/>
  <c r="BC208" i="70"/>
  <c r="BF208" i="70"/>
  <c r="BI208" i="70"/>
  <c r="BL208" i="70"/>
  <c r="BO208" i="70"/>
  <c r="C209" i="70"/>
  <c r="AB209" i="70"/>
  <c r="AE209" i="70"/>
  <c r="AH209" i="70"/>
  <c r="AK209" i="70"/>
  <c r="AN209" i="70"/>
  <c r="AT209" i="70"/>
  <c r="BC209" i="70"/>
  <c r="BF209" i="70"/>
  <c r="BI209" i="70"/>
  <c r="BL209" i="70"/>
  <c r="BO209" i="70"/>
  <c r="C210" i="70"/>
  <c r="AB210" i="70"/>
  <c r="AE210" i="70"/>
  <c r="AH210" i="70"/>
  <c r="AK210" i="70"/>
  <c r="AN210" i="70"/>
  <c r="AT210" i="70"/>
  <c r="BC210" i="70"/>
  <c r="BF210" i="70"/>
  <c r="BI210" i="70"/>
  <c r="BL210" i="70"/>
  <c r="BO210" i="70"/>
  <c r="C211" i="70"/>
  <c r="AB211" i="70"/>
  <c r="AE211" i="70"/>
  <c r="AH211" i="70"/>
  <c r="AK211" i="70"/>
  <c r="AN211" i="70"/>
  <c r="AT211" i="70"/>
  <c r="BC211" i="70"/>
  <c r="BF211" i="70"/>
  <c r="BI211" i="70"/>
  <c r="BL211" i="70"/>
  <c r="BO211" i="70"/>
  <c r="C212" i="70"/>
  <c r="AB212" i="70"/>
  <c r="AE212" i="70"/>
  <c r="AH212" i="70"/>
  <c r="AK212" i="70"/>
  <c r="AN212" i="70"/>
  <c r="AT212" i="70"/>
  <c r="BC212" i="70"/>
  <c r="BF212" i="70"/>
  <c r="BI212" i="70"/>
  <c r="BL212" i="70"/>
  <c r="BO212" i="70"/>
  <c r="C213" i="70"/>
  <c r="AB213" i="70"/>
  <c r="AE213" i="70"/>
  <c r="AH213" i="70"/>
  <c r="AK213" i="70"/>
  <c r="AN213" i="70"/>
  <c r="AT213" i="70"/>
  <c r="BC213" i="70"/>
  <c r="BF213" i="70"/>
  <c r="BI213" i="70"/>
  <c r="BL213" i="70"/>
  <c r="BO213" i="70"/>
  <c r="C214" i="70"/>
  <c r="AB214" i="70"/>
  <c r="AE214" i="70"/>
  <c r="AH214" i="70"/>
  <c r="AK214" i="70"/>
  <c r="AN214" i="70"/>
  <c r="AT214" i="70"/>
  <c r="BC214" i="70"/>
  <c r="BF214" i="70"/>
  <c r="BI214" i="70"/>
  <c r="BL214" i="70"/>
  <c r="BO214" i="70"/>
  <c r="C215" i="70"/>
  <c r="AB215" i="70"/>
  <c r="AE215" i="70"/>
  <c r="AH215" i="70"/>
  <c r="AK215" i="70"/>
  <c r="AN215" i="70"/>
  <c r="AT215" i="70"/>
  <c r="BC215" i="70"/>
  <c r="BF215" i="70"/>
  <c r="BI215" i="70"/>
  <c r="BL215" i="70"/>
  <c r="BO215" i="70"/>
  <c r="C216" i="70"/>
  <c r="AB216" i="70"/>
  <c r="AE216" i="70"/>
  <c r="AH216" i="70"/>
  <c r="AK216" i="70"/>
  <c r="AN216" i="70"/>
  <c r="AT216" i="70"/>
  <c r="BC216" i="70"/>
  <c r="BF216" i="70"/>
  <c r="BI216" i="70"/>
  <c r="BL216" i="70"/>
  <c r="BO216" i="70"/>
  <c r="C217" i="70"/>
  <c r="AB217" i="70"/>
  <c r="AE217" i="70"/>
  <c r="AH217" i="70"/>
  <c r="AK217" i="70"/>
  <c r="AN217" i="70"/>
  <c r="AT217" i="70"/>
  <c r="BC217" i="70"/>
  <c r="BF217" i="70"/>
  <c r="BI217" i="70"/>
  <c r="BL217" i="70"/>
  <c r="BO217" i="70"/>
  <c r="C218" i="70"/>
  <c r="AB218" i="70"/>
  <c r="AE218" i="70"/>
  <c r="AH218" i="70"/>
  <c r="AK218" i="70"/>
  <c r="AN218" i="70"/>
  <c r="AT218" i="70"/>
  <c r="BC218" i="70"/>
  <c r="BF218" i="70"/>
  <c r="BI218" i="70"/>
  <c r="BL218" i="70"/>
  <c r="BO218" i="70"/>
  <c r="C219" i="70"/>
  <c r="AB219" i="70"/>
  <c r="AE219" i="70"/>
  <c r="AH219" i="70"/>
  <c r="AK219" i="70"/>
  <c r="AN219" i="70"/>
  <c r="AT219" i="70"/>
  <c r="BC219" i="70"/>
  <c r="BF219" i="70"/>
  <c r="BI219" i="70"/>
  <c r="BL219" i="70"/>
  <c r="BO219" i="70"/>
  <c r="C220" i="70"/>
  <c r="AB220" i="70"/>
  <c r="AE220" i="70"/>
  <c r="AH220" i="70"/>
  <c r="AK220" i="70"/>
  <c r="AN220" i="70"/>
  <c r="AT220" i="70"/>
  <c r="BC220" i="70"/>
  <c r="BF220" i="70"/>
  <c r="BI220" i="70"/>
  <c r="BL220" i="70"/>
  <c r="BO220" i="70"/>
  <c r="C221" i="70"/>
  <c r="AB221" i="70"/>
  <c r="AE221" i="70"/>
  <c r="AH221" i="70"/>
  <c r="AK221" i="70"/>
  <c r="AN221" i="70"/>
  <c r="AT221" i="70"/>
  <c r="BC221" i="70"/>
  <c r="BF221" i="70"/>
  <c r="BI221" i="70"/>
  <c r="BL221" i="70"/>
  <c r="BO221" i="70"/>
  <c r="C222" i="70"/>
  <c r="AB222" i="70"/>
  <c r="AE222" i="70"/>
  <c r="AH222" i="70"/>
  <c r="AK222" i="70"/>
  <c r="AN222" i="70"/>
  <c r="AT222" i="70"/>
  <c r="BC222" i="70"/>
  <c r="BF222" i="70"/>
  <c r="BI222" i="70"/>
  <c r="BL222" i="70"/>
  <c r="BO222" i="70"/>
  <c r="AB223" i="70"/>
  <c r="AE223" i="70"/>
  <c r="AH223" i="70"/>
  <c r="AK223" i="70"/>
  <c r="AN223" i="70"/>
  <c r="AT223" i="70"/>
  <c r="BC223" i="70"/>
  <c r="BF223" i="70"/>
  <c r="BI223" i="70"/>
  <c r="BL223" i="70"/>
  <c r="BO223" i="70"/>
  <c r="C224" i="70"/>
  <c r="AB224" i="70"/>
  <c r="AE224" i="70"/>
  <c r="AH224" i="70"/>
  <c r="AK224" i="70"/>
  <c r="AN224" i="70"/>
  <c r="AT224" i="70"/>
  <c r="BC224" i="70"/>
  <c r="BF224" i="70"/>
  <c r="BI224" i="70"/>
  <c r="BL224" i="70"/>
  <c r="BO224" i="70"/>
  <c r="AB225" i="70"/>
  <c r="AE225" i="70"/>
  <c r="AH225" i="70"/>
  <c r="AK225" i="70"/>
  <c r="AN225" i="70"/>
  <c r="AT225" i="70"/>
  <c r="BC225" i="70"/>
  <c r="BF225" i="70"/>
  <c r="BI225" i="70"/>
  <c r="BL225" i="70"/>
  <c r="BO225" i="70"/>
  <c r="C226" i="70"/>
  <c r="AB226" i="70"/>
  <c r="AE226" i="70"/>
  <c r="AH226" i="70"/>
  <c r="AK226" i="70"/>
  <c r="AN226" i="70"/>
  <c r="AT226" i="70"/>
  <c r="BC226" i="70"/>
  <c r="BF226" i="70"/>
  <c r="BI226" i="70"/>
  <c r="BL226" i="70"/>
  <c r="BO226" i="70"/>
  <c r="AB227" i="70"/>
  <c r="AE227" i="70"/>
  <c r="AH227" i="70"/>
  <c r="AK227" i="70"/>
  <c r="AN227" i="70"/>
  <c r="AT227" i="70"/>
  <c r="BC227" i="70"/>
  <c r="BF227" i="70"/>
  <c r="BI227" i="70"/>
  <c r="BL227" i="70"/>
  <c r="BO227" i="70"/>
  <c r="C228" i="70"/>
  <c r="AB228" i="70"/>
  <c r="AE228" i="70"/>
  <c r="AH228" i="70"/>
  <c r="AK228" i="70"/>
  <c r="AN228" i="70"/>
  <c r="AT228" i="70"/>
  <c r="BC228" i="70"/>
  <c r="BF228" i="70"/>
  <c r="BI228" i="70"/>
  <c r="BL228" i="70"/>
  <c r="BO228" i="70"/>
  <c r="C229" i="70"/>
  <c r="AK229" i="70"/>
  <c r="AN229" i="70"/>
  <c r="AT229" i="70"/>
  <c r="BC229" i="70"/>
  <c r="BF229" i="70"/>
  <c r="BI229" i="70"/>
  <c r="BO229" i="70"/>
  <c r="AE230" i="70" l="1"/>
  <c r="AC231" i="70"/>
  <c r="AE231" i="70" s="1"/>
  <c r="AT230" i="70"/>
  <c r="AR231" i="70"/>
  <c r="AT231" i="70" s="1"/>
  <c r="BC230" i="70"/>
  <c r="BA231" i="70"/>
  <c r="BC231" i="70" s="1"/>
  <c r="BI230" i="70"/>
  <c r="BG231" i="70"/>
  <c r="BI231" i="70" s="1"/>
  <c r="AK230" i="70"/>
  <c r="AI231" i="70"/>
  <c r="AK231" i="70" s="1"/>
  <c r="BO230" i="70"/>
  <c r="BM231" i="70"/>
  <c r="BO231" i="70" s="1"/>
  <c r="AN230" i="70"/>
  <c r="AL231" i="70"/>
  <c r="AN231" i="70" s="1"/>
  <c r="BL229" i="70"/>
  <c r="BJ230" i="70"/>
  <c r="AB229" i="70"/>
  <c r="Z230" i="70"/>
  <c r="AH229" i="70"/>
  <c r="AF230" i="70"/>
  <c r="AE229" i="70"/>
  <c r="BO152" i="70"/>
  <c r="BN153" i="70" a="1"/>
  <c r="BN153" i="70" s="1"/>
  <c r="BL128" i="70"/>
  <c r="BK129" i="70" a="1"/>
  <c r="BK129" i="70" s="1"/>
  <c r="X5" i="70" a="1"/>
  <c r="X5" i="70" s="1"/>
  <c r="O4" i="70" a="1"/>
  <c r="O4" i="70" s="1"/>
  <c r="P3" i="70"/>
  <c r="AH230" i="70" l="1"/>
  <c r="AF231" i="70"/>
  <c r="AH231" i="70" s="1"/>
  <c r="AB230" i="70"/>
  <c r="Z231" i="70"/>
  <c r="AB231" i="70" s="1"/>
  <c r="BL230" i="70"/>
  <c r="BJ231" i="70"/>
  <c r="BL231" i="70" s="1"/>
  <c r="P4" i="70"/>
  <c r="O5" i="70" a="1"/>
  <c r="O5" i="70" s="1"/>
  <c r="BK130" i="70" a="1"/>
  <c r="BK130" i="70" s="1"/>
  <c r="BL129" i="70"/>
  <c r="X6" i="70" a="1"/>
  <c r="X6" i="70" s="1"/>
  <c r="Y5" i="70"/>
  <c r="BO153" i="70"/>
  <c r="BN154" i="70" a="1"/>
  <c r="BN154" i="70" s="1"/>
  <c r="BO154" i="70" l="1"/>
  <c r="BN155" i="70" a="1"/>
  <c r="BN155" i="70" s="1"/>
  <c r="BL130" i="70"/>
  <c r="BK131" i="70" a="1"/>
  <c r="BK131" i="70" s="1"/>
  <c r="Y6" i="70"/>
  <c r="O6" i="70" a="1"/>
  <c r="O6" i="70" s="1"/>
  <c r="X7" i="70" s="1" a="1"/>
  <c r="X7" i="70" s="1"/>
  <c r="P5" i="70"/>
  <c r="Y7" i="70" l="1"/>
  <c r="P6" i="70"/>
  <c r="O7" i="70" a="1"/>
  <c r="O7" i="70" s="1"/>
  <c r="X8" i="70" s="1" a="1"/>
  <c r="X8" i="70" s="1"/>
  <c r="BO155" i="70"/>
  <c r="BN156" i="70" a="1"/>
  <c r="BN156" i="70" s="1"/>
  <c r="BL131" i="70"/>
  <c r="BK132" i="70" a="1"/>
  <c r="BK132" i="70" s="1"/>
  <c r="BN157" i="70" l="1" a="1"/>
  <c r="BN157" i="70" s="1"/>
  <c r="BO156" i="70"/>
  <c r="BK133" i="70" a="1"/>
  <c r="BK133" i="70" s="1"/>
  <c r="BL132" i="70"/>
  <c r="P7" i="70"/>
  <c r="O8" i="70" a="1"/>
  <c r="O8" i="70" s="1"/>
  <c r="Y8" i="70"/>
  <c r="X9" i="70" a="1"/>
  <c r="X9" i="70" s="1"/>
  <c r="X10" i="70" l="1" a="1"/>
  <c r="X10" i="70" s="1"/>
  <c r="Y9" i="70"/>
  <c r="BK134" i="70" a="1"/>
  <c r="BK134" i="70" s="1"/>
  <c r="BL133" i="70"/>
  <c r="O9" i="70" a="1"/>
  <c r="O9" i="70" s="1"/>
  <c r="P8" i="70"/>
  <c r="BN158" i="70" a="1"/>
  <c r="BN158" i="70" s="1"/>
  <c r="BO157" i="70"/>
  <c r="BO158" i="70" l="1"/>
  <c r="BN159" i="70" a="1"/>
  <c r="BN159" i="70" s="1"/>
  <c r="BL134" i="70"/>
  <c r="BK135" i="70" a="1"/>
  <c r="BK135" i="70" s="1"/>
  <c r="P9" i="70"/>
  <c r="O10" i="70" a="1"/>
  <c r="O10" i="70" s="1"/>
  <c r="O11" i="70" l="1" a="1"/>
  <c r="O11" i="70" s="1"/>
  <c r="P10" i="70"/>
  <c r="X11" i="70" a="1"/>
  <c r="X11" i="70" s="1"/>
  <c r="BO159" i="70"/>
  <c r="BN160" i="70" a="1"/>
  <c r="BN160" i="70" s="1"/>
  <c r="BK136" i="70" a="1"/>
  <c r="BK136" i="70" s="1"/>
  <c r="BL135" i="70"/>
  <c r="BK137" i="70" l="1" a="1"/>
  <c r="BK137" i="70" s="1"/>
  <c r="BL136" i="70"/>
  <c r="Y11" i="70"/>
  <c r="X12" i="70" a="1"/>
  <c r="X12" i="70" s="1"/>
  <c r="U12" i="70" a="1"/>
  <c r="U12" i="70" s="1"/>
  <c r="BN161" i="70" a="1"/>
  <c r="BN161" i="70" s="1"/>
  <c r="BO160" i="70"/>
  <c r="P11" i="70"/>
  <c r="O12" i="70" a="1"/>
  <c r="O12" i="70" s="1"/>
  <c r="O13" i="70" l="1" a="1"/>
  <c r="O13" i="70" s="1"/>
  <c r="P12" i="70"/>
  <c r="BO161" i="70"/>
  <c r="BN162" i="70" a="1"/>
  <c r="BN162" i="70" s="1"/>
  <c r="V12" i="70"/>
  <c r="U13" i="70" a="1"/>
  <c r="U13" i="70" s="1"/>
  <c r="X13" i="70" a="1"/>
  <c r="X13" i="70" s="1"/>
  <c r="Y12" i="70"/>
  <c r="BL137" i="70"/>
  <c r="BK138" i="70" a="1"/>
  <c r="BK138" i="70" s="1"/>
  <c r="BO162" i="70" l="1"/>
  <c r="BN163" i="70" a="1"/>
  <c r="BN163" i="70" s="1"/>
  <c r="V13" i="70"/>
  <c r="U14" i="70" a="1"/>
  <c r="U14" i="70" s="1"/>
  <c r="Y13" i="70"/>
  <c r="X14" i="70" a="1"/>
  <c r="X14" i="70" s="1"/>
  <c r="BL138" i="70"/>
  <c r="BK139" i="70" a="1"/>
  <c r="BK139" i="70" s="1"/>
  <c r="P13" i="70"/>
  <c r="O14" i="70" a="1"/>
  <c r="O14" i="70" s="1"/>
  <c r="P14" i="70" l="1"/>
  <c r="O15" i="70" a="1"/>
  <c r="O15" i="70" s="1"/>
  <c r="BK140" i="70" a="1"/>
  <c r="BK140" i="70" s="1"/>
  <c r="BL139" i="70"/>
  <c r="X15" i="70" a="1"/>
  <c r="X15" i="70" s="1"/>
  <c r="Y14" i="70"/>
  <c r="U15" i="70" a="1"/>
  <c r="U15" i="70" s="1"/>
  <c r="V14" i="70"/>
  <c r="BN164" i="70" a="1"/>
  <c r="BN164" i="70" s="1"/>
  <c r="BO163" i="70"/>
  <c r="BO164" i="70" l="1"/>
  <c r="BN165" i="70" a="1"/>
  <c r="BN165" i="70" s="1"/>
  <c r="V15" i="70"/>
  <c r="U16" i="70" a="1"/>
  <c r="U16" i="70" s="1"/>
  <c r="BL140" i="70"/>
  <c r="BK141" i="70" a="1"/>
  <c r="BK141" i="70" s="1"/>
  <c r="Y15" i="70"/>
  <c r="X16" i="70" a="1"/>
  <c r="X16" i="70" s="1"/>
  <c r="O16" i="70" a="1"/>
  <c r="O16" i="70" s="1"/>
  <c r="P15" i="70"/>
  <c r="Y16" i="70" l="1"/>
  <c r="X17" i="70" a="1"/>
  <c r="X17" i="70" s="1"/>
  <c r="U17" i="70" a="1"/>
  <c r="U17" i="70" s="1"/>
  <c r="V16" i="70"/>
  <c r="P16" i="70"/>
  <c r="O17" i="70" a="1"/>
  <c r="O17" i="70" s="1"/>
  <c r="BN166" i="70" a="1"/>
  <c r="BN166" i="70" s="1"/>
  <c r="BO165" i="70"/>
  <c r="BK142" i="70" a="1"/>
  <c r="BK142" i="70" s="1"/>
  <c r="BL141" i="70"/>
  <c r="BL142" i="70" l="1"/>
  <c r="BK143" i="70" a="1"/>
  <c r="BK143" i="70" s="1"/>
  <c r="BO166" i="70"/>
  <c r="BN167" i="70" a="1"/>
  <c r="BN167" i="70" s="1"/>
  <c r="V17" i="70"/>
  <c r="U18" i="70" a="1"/>
  <c r="U18" i="70" s="1"/>
  <c r="X18" i="70" a="1"/>
  <c r="X18" i="70" s="1"/>
  <c r="Y17" i="70"/>
  <c r="O18" i="70" a="1"/>
  <c r="O18" i="70" s="1"/>
  <c r="P17" i="70"/>
  <c r="P18" i="70" l="1"/>
  <c r="O19" i="70" a="1"/>
  <c r="O19" i="70" s="1"/>
  <c r="Y18" i="70"/>
  <c r="X19" i="70" a="1"/>
  <c r="X19" i="70" s="1"/>
  <c r="U19" i="70" a="1"/>
  <c r="U19" i="70" s="1"/>
  <c r="V18" i="70"/>
  <c r="BK144" i="70" a="1"/>
  <c r="BK144" i="70" s="1"/>
  <c r="BL143" i="70"/>
  <c r="BN168" i="70" a="1"/>
  <c r="BN168" i="70" s="1"/>
  <c r="BN169" i="70" s="1" a="1"/>
  <c r="BN169" i="70" s="1"/>
  <c r="BN170" i="70" s="1" a="1"/>
  <c r="BN170" i="70" s="1"/>
  <c r="BN171" i="70" s="1" a="1"/>
  <c r="BN171" i="70" s="1"/>
  <c r="BN172" i="70" s="1" a="1"/>
  <c r="BN172" i="70" s="1"/>
  <c r="BN173" i="70" s="1" a="1"/>
  <c r="BN173" i="70" s="1"/>
  <c r="BN174" i="70" s="1" a="1"/>
  <c r="BN174" i="70" s="1"/>
  <c r="BN175" i="70" s="1" a="1"/>
  <c r="BN175" i="70" s="1"/>
  <c r="BN176" i="70" s="1" a="1"/>
  <c r="BN176" i="70" s="1"/>
  <c r="BN177" i="70" s="1" a="1"/>
  <c r="BN177" i="70" s="1"/>
  <c r="BN178" i="70" s="1" a="1"/>
  <c r="BN178" i="70" s="1"/>
  <c r="BN179" i="70" s="1" a="1"/>
  <c r="BN179" i="70" s="1"/>
  <c r="BN180" i="70" s="1" a="1"/>
  <c r="BN180" i="70" s="1"/>
  <c r="BN181" i="70" s="1" a="1"/>
  <c r="BN181" i="70" s="1"/>
  <c r="BN182" i="70" s="1" a="1"/>
  <c r="BN182" i="70" s="1"/>
  <c r="BN183" i="70" s="1" a="1"/>
  <c r="BN183" i="70" s="1"/>
  <c r="BN184" i="70" s="1" a="1"/>
  <c r="BN184" i="70" s="1"/>
  <c r="BN185" i="70" s="1" a="1"/>
  <c r="BN185" i="70" s="1"/>
  <c r="BN186" i="70" s="1" a="1"/>
  <c r="BN186" i="70" s="1"/>
  <c r="BN187" i="70" s="1" a="1"/>
  <c r="BN187" i="70" s="1"/>
  <c r="BN188" i="70" s="1" a="1"/>
  <c r="BN188" i="70" s="1"/>
  <c r="BN189" i="70" s="1" a="1"/>
  <c r="BN189" i="70" s="1"/>
  <c r="BN190" i="70" s="1" a="1"/>
  <c r="BN190" i="70" s="1"/>
  <c r="BN191" i="70" s="1" a="1"/>
  <c r="BN191" i="70" s="1"/>
  <c r="BN192" i="70" s="1" a="1"/>
  <c r="BN192" i="70" s="1"/>
  <c r="BN193" i="70" s="1" a="1"/>
  <c r="BN193" i="70" s="1"/>
  <c r="BN194" i="70" s="1" a="1"/>
  <c r="BN194" i="70" s="1"/>
  <c r="BN195" i="70" s="1" a="1"/>
  <c r="BN195" i="70" s="1"/>
  <c r="BN196" i="70" s="1" a="1"/>
  <c r="BN196" i="70" s="1"/>
  <c r="BN197" i="70" s="1" a="1"/>
  <c r="BN197" i="70" s="1"/>
  <c r="BN198" i="70" s="1" a="1"/>
  <c r="BN198" i="70" s="1"/>
  <c r="BN199" i="70" s="1" a="1"/>
  <c r="BN199" i="70" s="1"/>
  <c r="BN200" i="70" s="1" a="1"/>
  <c r="BN200" i="70" s="1"/>
  <c r="BN201" i="70" s="1" a="1"/>
  <c r="BN201" i="70" s="1"/>
  <c r="BN202" i="70" s="1" a="1"/>
  <c r="BN202" i="70" s="1"/>
  <c r="BN203" i="70" s="1" a="1"/>
  <c r="BN203" i="70" s="1"/>
  <c r="BN204" i="70" s="1" a="1"/>
  <c r="BN204" i="70" s="1"/>
  <c r="BN205" i="70" s="1" a="1"/>
  <c r="BN205" i="70" s="1"/>
  <c r="BN206" i="70" s="1" a="1"/>
  <c r="BN206" i="70" s="1"/>
  <c r="BN207" i="70" s="1" a="1"/>
  <c r="BN207" i="70" s="1"/>
  <c r="BN208" i="70" s="1" a="1"/>
  <c r="BN208" i="70" s="1"/>
  <c r="BN209" i="70" s="1" a="1"/>
  <c r="BN209" i="70" s="1"/>
  <c r="BN210" i="70" s="1" a="1"/>
  <c r="BN210" i="70" s="1"/>
  <c r="BN211" i="70" s="1" a="1"/>
  <c r="BN211" i="70" s="1"/>
  <c r="BN212" i="70" s="1" a="1"/>
  <c r="BN212" i="70" s="1"/>
  <c r="BN213" i="70" s="1" a="1"/>
  <c r="BN213" i="70" s="1"/>
  <c r="BN214" i="70" s="1" a="1"/>
  <c r="BN214" i="70" s="1"/>
  <c r="BN215" i="70" s="1" a="1"/>
  <c r="BN215" i="70" s="1"/>
  <c r="BN216" i="70" s="1" a="1"/>
  <c r="BN216" i="70" s="1"/>
  <c r="BN217" i="70" s="1" a="1"/>
  <c r="BN217" i="70" s="1"/>
  <c r="BN218" i="70" s="1" a="1"/>
  <c r="BN218" i="70" s="1"/>
  <c r="BN219" i="70" s="1" a="1"/>
  <c r="BN219" i="70" s="1"/>
  <c r="BN220" i="70" s="1" a="1"/>
  <c r="BN220" i="70" s="1"/>
  <c r="BN221" i="70" s="1" a="1"/>
  <c r="BN221" i="70" s="1"/>
  <c r="BN222" i="70" s="1" a="1"/>
  <c r="BN222" i="70" s="1"/>
  <c r="BN223" i="70" s="1" a="1"/>
  <c r="BN223" i="70" s="1"/>
  <c r="BN224" i="70" s="1" a="1"/>
  <c r="BN224" i="70" s="1"/>
  <c r="BN225" i="70" s="1" a="1"/>
  <c r="BN225" i="70" s="1"/>
  <c r="BN226" i="70" s="1" a="1"/>
  <c r="BN226" i="70" s="1"/>
  <c r="BN227" i="70" s="1" a="1"/>
  <c r="BN227" i="70" s="1"/>
  <c r="BN228" i="70" s="1" a="1"/>
  <c r="BN228" i="70" s="1"/>
  <c r="BN229" i="70" s="1" a="1"/>
  <c r="BN229" i="70" s="1"/>
  <c r="BN230" i="70" s="1" a="1"/>
  <c r="BN230" i="70" s="1"/>
  <c r="BN231" i="70" s="1" a="1"/>
  <c r="BN231" i="70" s="1"/>
  <c r="BO167" i="70"/>
  <c r="BL144" i="70" l="1"/>
  <c r="BK145" i="70" a="1"/>
  <c r="BK145" i="70" s="1"/>
  <c r="V19" i="70"/>
  <c r="U20" i="70" a="1"/>
  <c r="U20" i="70" s="1"/>
  <c r="X20" i="70" a="1"/>
  <c r="X20" i="70" s="1"/>
  <c r="Y19" i="70"/>
  <c r="P19" i="70"/>
  <c r="O20" i="70" a="1"/>
  <c r="O20" i="70" s="1"/>
  <c r="O21" i="70" l="1" a="1"/>
  <c r="O21" i="70" s="1"/>
  <c r="P20" i="70"/>
  <c r="Y20" i="70"/>
  <c r="X21" i="70" a="1"/>
  <c r="X21" i="70" s="1"/>
  <c r="BK146" i="70" a="1"/>
  <c r="BK146" i="70" s="1"/>
  <c r="BL145" i="70"/>
  <c r="V20" i="70"/>
  <c r="U21" i="70" a="1"/>
  <c r="U21" i="70" s="1"/>
  <c r="U22" i="70" l="1" a="1"/>
  <c r="U22" i="70" s="1"/>
  <c r="V21" i="70"/>
  <c r="BL146" i="70"/>
  <c r="BK147" i="70" a="1"/>
  <c r="BK147" i="70" s="1"/>
  <c r="X22" i="70" a="1"/>
  <c r="X22" i="70" s="1"/>
  <c r="Y21" i="70"/>
  <c r="P21" i="70"/>
  <c r="O22" i="70" a="1"/>
  <c r="O22" i="70" s="1"/>
  <c r="BL147" i="70" l="1"/>
  <c r="BK148" i="70" a="1"/>
  <c r="BK148" i="70" s="1"/>
  <c r="O23" i="70" a="1"/>
  <c r="O23" i="70" s="1"/>
  <c r="P22" i="70"/>
  <c r="Y22" i="70"/>
  <c r="X23" i="70" a="1"/>
  <c r="X23" i="70" s="1"/>
  <c r="V22" i="70"/>
  <c r="U23" i="70" a="1"/>
  <c r="U23" i="70" s="1"/>
  <c r="Y23" i="70" l="1"/>
  <c r="X24" i="70" a="1"/>
  <c r="X24" i="70" s="1"/>
  <c r="P23" i="70"/>
  <c r="O24" i="70" a="1"/>
  <c r="O24" i="70" s="1"/>
  <c r="R24" i="70" a="1"/>
  <c r="R24" i="70" s="1"/>
  <c r="BK149" i="70" a="1"/>
  <c r="BK149" i="70" s="1"/>
  <c r="BL148" i="70"/>
  <c r="U24" i="70" a="1"/>
  <c r="U24" i="70" s="1"/>
  <c r="V23" i="70"/>
  <c r="V24" i="70" l="1"/>
  <c r="U25" i="70" a="1"/>
  <c r="U25" i="70" s="1"/>
  <c r="O25" i="70" a="1"/>
  <c r="O25" i="70" s="1"/>
  <c r="P24" i="70"/>
  <c r="BK150" i="70" a="1"/>
  <c r="BK150" i="70" s="1"/>
  <c r="BL149" i="70"/>
  <c r="X25" i="70" a="1"/>
  <c r="X25" i="70" s="1"/>
  <c r="Y24" i="70"/>
  <c r="R25" i="70" a="1"/>
  <c r="R25" i="70" s="1"/>
  <c r="S24" i="70"/>
  <c r="S25" i="70" l="1"/>
  <c r="R26" i="70" a="1"/>
  <c r="R26" i="70" s="1"/>
  <c r="Y25" i="70"/>
  <c r="X26" i="70" a="1"/>
  <c r="X26" i="70" s="1"/>
  <c r="P25" i="70"/>
  <c r="O26" i="70" a="1"/>
  <c r="O26" i="70" s="1"/>
  <c r="V25" i="70"/>
  <c r="U26" i="70" a="1"/>
  <c r="U26" i="70" s="1"/>
  <c r="BL150" i="70"/>
  <c r="BK151" i="70" a="1"/>
  <c r="BK151" i="70" s="1"/>
  <c r="U27" i="70" l="1" a="1"/>
  <c r="U27" i="70" s="1"/>
  <c r="V26" i="70"/>
  <c r="BL151" i="70"/>
  <c r="BK152" i="70" a="1"/>
  <c r="BK152" i="70" s="1"/>
  <c r="X27" i="70" a="1"/>
  <c r="X27" i="70" s="1"/>
  <c r="Y26" i="70"/>
  <c r="P26" i="70"/>
  <c r="O27" i="70" a="1"/>
  <c r="O27" i="70" s="1"/>
  <c r="S26" i="70"/>
  <c r="R27" i="70" a="1"/>
  <c r="R27" i="70" s="1"/>
  <c r="BE27" i="70" a="1"/>
  <c r="BE27" i="70" s="1"/>
  <c r="BE28" i="70" l="1" a="1"/>
  <c r="BE28" i="70" s="1"/>
  <c r="BF27" i="70"/>
  <c r="S27" i="70"/>
  <c r="R28" i="70" a="1"/>
  <c r="R28" i="70" s="1"/>
  <c r="BL152" i="70"/>
  <c r="BK153" i="70" a="1"/>
  <c r="BK153" i="70" s="1"/>
  <c r="P27" i="70"/>
  <c r="O28" i="70" a="1"/>
  <c r="O28" i="70" s="1"/>
  <c r="X28" i="70" a="1"/>
  <c r="X28" i="70" s="1"/>
  <c r="Y27" i="70"/>
  <c r="U28" i="70" a="1"/>
  <c r="U28" i="70" s="1"/>
  <c r="V27" i="70"/>
  <c r="V28" i="70" l="1"/>
  <c r="U29" i="70" a="1"/>
  <c r="U29" i="70" s="1"/>
  <c r="BK154" i="70" a="1"/>
  <c r="BK154" i="70" s="1"/>
  <c r="BK155" i="70" s="1" a="1"/>
  <c r="BK155" i="70" s="1"/>
  <c r="BK156" i="70" s="1" a="1"/>
  <c r="BK156" i="70" s="1"/>
  <c r="BK157" i="70" s="1" a="1"/>
  <c r="BK157" i="70" s="1"/>
  <c r="BK158" i="70" s="1" a="1"/>
  <c r="BK158" i="70" s="1"/>
  <c r="BK159" i="70" s="1" a="1"/>
  <c r="BK159" i="70" s="1"/>
  <c r="BK160" i="70" s="1" a="1"/>
  <c r="BK160" i="70" s="1"/>
  <c r="BK161" i="70" s="1" a="1"/>
  <c r="BK161" i="70" s="1"/>
  <c r="BK162" i="70" s="1" a="1"/>
  <c r="BK162" i="70" s="1"/>
  <c r="BK163" i="70" s="1" a="1"/>
  <c r="BK163" i="70" s="1"/>
  <c r="BK164" i="70" s="1" a="1"/>
  <c r="BK164" i="70" s="1"/>
  <c r="BK165" i="70" s="1" a="1"/>
  <c r="BK165" i="70" s="1"/>
  <c r="BK166" i="70" s="1" a="1"/>
  <c r="BK166" i="70" s="1"/>
  <c r="BK167" i="70" s="1" a="1"/>
  <c r="BK167" i="70" s="1"/>
  <c r="BK168" i="70" s="1" a="1"/>
  <c r="BK168" i="70" s="1"/>
  <c r="BK169" i="70" s="1" a="1"/>
  <c r="BK169" i="70" s="1"/>
  <c r="BK170" i="70" s="1" a="1"/>
  <c r="BK170" i="70" s="1"/>
  <c r="BK171" i="70" s="1" a="1"/>
  <c r="BK171" i="70" s="1"/>
  <c r="BK172" i="70" s="1" a="1"/>
  <c r="BK172" i="70" s="1"/>
  <c r="BK173" i="70" s="1" a="1"/>
  <c r="BK173" i="70" s="1"/>
  <c r="BK174" i="70" s="1" a="1"/>
  <c r="BK174" i="70" s="1"/>
  <c r="BK175" i="70" s="1" a="1"/>
  <c r="BK175" i="70" s="1"/>
  <c r="BK176" i="70" s="1" a="1"/>
  <c r="BK176" i="70" s="1"/>
  <c r="BK177" i="70" s="1" a="1"/>
  <c r="BK177" i="70" s="1"/>
  <c r="BK178" i="70" s="1" a="1"/>
  <c r="BK178" i="70" s="1"/>
  <c r="BK179" i="70" s="1" a="1"/>
  <c r="BK179" i="70" s="1"/>
  <c r="BK180" i="70" s="1" a="1"/>
  <c r="BK180" i="70" s="1"/>
  <c r="BK181" i="70" s="1" a="1"/>
  <c r="BK181" i="70" s="1"/>
  <c r="BK182" i="70" s="1" a="1"/>
  <c r="BK182" i="70" s="1"/>
  <c r="BK183" i="70" s="1" a="1"/>
  <c r="BK183" i="70" s="1"/>
  <c r="BK184" i="70" s="1" a="1"/>
  <c r="BK184" i="70" s="1"/>
  <c r="BK185" i="70" s="1" a="1"/>
  <c r="BK185" i="70" s="1"/>
  <c r="BK186" i="70" s="1" a="1"/>
  <c r="BK186" i="70" s="1"/>
  <c r="BK187" i="70" s="1" a="1"/>
  <c r="BK187" i="70" s="1"/>
  <c r="BK188" i="70" s="1" a="1"/>
  <c r="BK188" i="70" s="1"/>
  <c r="BK189" i="70" s="1" a="1"/>
  <c r="BK189" i="70" s="1"/>
  <c r="BK190" i="70" s="1" a="1"/>
  <c r="BK190" i="70" s="1"/>
  <c r="BK191" i="70" s="1" a="1"/>
  <c r="BK191" i="70" s="1"/>
  <c r="BK192" i="70" s="1" a="1"/>
  <c r="BK192" i="70" s="1"/>
  <c r="BK193" i="70" s="1" a="1"/>
  <c r="BK193" i="70" s="1"/>
  <c r="BK194" i="70" s="1" a="1"/>
  <c r="BK194" i="70" s="1"/>
  <c r="BK195" i="70" s="1" a="1"/>
  <c r="BK195" i="70" s="1"/>
  <c r="BK196" i="70" s="1" a="1"/>
  <c r="BK196" i="70" s="1"/>
  <c r="BK197" i="70" s="1" a="1"/>
  <c r="BK197" i="70" s="1"/>
  <c r="BK198" i="70" s="1" a="1"/>
  <c r="BK198" i="70" s="1"/>
  <c r="BK199" i="70" s="1" a="1"/>
  <c r="BK199" i="70" s="1"/>
  <c r="BK200" i="70" s="1" a="1"/>
  <c r="BK200" i="70" s="1"/>
  <c r="BK201" i="70" s="1" a="1"/>
  <c r="BK201" i="70" s="1"/>
  <c r="BK202" i="70" s="1" a="1"/>
  <c r="BK202" i="70" s="1"/>
  <c r="BK203" i="70" s="1" a="1"/>
  <c r="BK203" i="70" s="1"/>
  <c r="BK204" i="70" s="1" a="1"/>
  <c r="BK204" i="70" s="1"/>
  <c r="BK205" i="70" s="1" a="1"/>
  <c r="BK205" i="70" s="1"/>
  <c r="BK206" i="70" s="1" a="1"/>
  <c r="BK206" i="70" s="1"/>
  <c r="BK207" i="70" s="1" a="1"/>
  <c r="BK207" i="70" s="1"/>
  <c r="BK208" i="70" s="1" a="1"/>
  <c r="BK208" i="70" s="1"/>
  <c r="BK209" i="70" s="1" a="1"/>
  <c r="BK209" i="70" s="1"/>
  <c r="BK210" i="70" s="1" a="1"/>
  <c r="BK210" i="70" s="1"/>
  <c r="BK211" i="70" s="1" a="1"/>
  <c r="BK211" i="70" s="1"/>
  <c r="BK212" i="70" s="1" a="1"/>
  <c r="BK212" i="70" s="1"/>
  <c r="BK213" i="70" s="1" a="1"/>
  <c r="BK213" i="70" s="1"/>
  <c r="BK214" i="70" s="1" a="1"/>
  <c r="BK214" i="70" s="1"/>
  <c r="BK215" i="70" s="1" a="1"/>
  <c r="BK215" i="70" s="1"/>
  <c r="BK216" i="70" s="1" a="1"/>
  <c r="BK216" i="70" s="1"/>
  <c r="BK217" i="70" s="1" a="1"/>
  <c r="BK217" i="70" s="1"/>
  <c r="BK218" i="70" s="1" a="1"/>
  <c r="BK218" i="70" s="1"/>
  <c r="BK219" i="70" s="1" a="1"/>
  <c r="BK219" i="70" s="1"/>
  <c r="BK220" i="70" s="1" a="1"/>
  <c r="BK220" i="70" s="1"/>
  <c r="BK221" i="70" s="1" a="1"/>
  <c r="BK221" i="70" s="1"/>
  <c r="BK222" i="70" s="1" a="1"/>
  <c r="BK222" i="70" s="1"/>
  <c r="BK223" i="70" s="1" a="1"/>
  <c r="BK223" i="70" s="1"/>
  <c r="BK224" i="70" s="1" a="1"/>
  <c r="BK224" i="70" s="1"/>
  <c r="BK225" i="70" s="1" a="1"/>
  <c r="BK225" i="70" s="1"/>
  <c r="BK226" i="70" s="1" a="1"/>
  <c r="BK226" i="70" s="1"/>
  <c r="BK227" i="70" s="1" a="1"/>
  <c r="BK227" i="70" s="1"/>
  <c r="BK228" i="70" s="1" a="1"/>
  <c r="BK228" i="70" s="1"/>
  <c r="BK229" i="70" s="1" a="1"/>
  <c r="BK229" i="70" s="1"/>
  <c r="BK230" i="70" s="1" a="1"/>
  <c r="BK230" i="70" s="1"/>
  <c r="BK231" i="70" s="1" a="1"/>
  <c r="BK231" i="70" s="1"/>
  <c r="BL153" i="70"/>
  <c r="Y28" i="70"/>
  <c r="X29" i="70" a="1"/>
  <c r="X29" i="70" s="1"/>
  <c r="O29" i="70" a="1"/>
  <c r="O29" i="70" s="1"/>
  <c r="P28" i="70"/>
  <c r="R29" i="70" a="1"/>
  <c r="R29" i="70" s="1"/>
  <c r="S28" i="70"/>
  <c r="BF28" i="70"/>
  <c r="BE29" i="70" a="1"/>
  <c r="BE29" i="70" s="1"/>
  <c r="S29" i="70" l="1"/>
  <c r="R30" i="70" a="1"/>
  <c r="R30" i="70" s="1"/>
  <c r="BE30" i="70" a="1"/>
  <c r="BE30" i="70" s="1"/>
  <c r="BF29" i="70"/>
  <c r="P29" i="70"/>
  <c r="O30" i="70" a="1"/>
  <c r="O30" i="70" s="1"/>
  <c r="U30" i="70" a="1"/>
  <c r="U30" i="70" s="1"/>
  <c r="V29" i="70"/>
  <c r="Y29" i="70"/>
  <c r="X30" i="70" a="1"/>
  <c r="X30" i="70" s="1"/>
  <c r="O31" i="70" l="1" a="1"/>
  <c r="O31" i="70" s="1"/>
  <c r="P30" i="70"/>
  <c r="V30" i="70"/>
  <c r="U31" i="70" a="1"/>
  <c r="U31" i="70" s="1"/>
  <c r="X31" i="70" a="1"/>
  <c r="X31" i="70" s="1"/>
  <c r="Y30" i="70"/>
  <c r="AV31" i="70" a="1"/>
  <c r="AV31" i="70" s="1"/>
  <c r="S30" i="70"/>
  <c r="R31" i="70" a="1"/>
  <c r="R31" i="70" s="1"/>
  <c r="BF30" i="70"/>
  <c r="BE31" i="70" a="1"/>
  <c r="BE31" i="70" s="1"/>
  <c r="R32" i="70" l="1" a="1"/>
  <c r="R32" i="70" s="1"/>
  <c r="S31" i="70"/>
  <c r="U32" i="70" a="1"/>
  <c r="U32" i="70" s="1"/>
  <c r="V31" i="70"/>
  <c r="AW31" i="70"/>
  <c r="AV32" i="70" a="1"/>
  <c r="AV32" i="70" s="1"/>
  <c r="Y31" i="70"/>
  <c r="X32" i="70" a="1"/>
  <c r="X32" i="70" s="1"/>
  <c r="BE32" i="70" a="1"/>
  <c r="BE32" i="70" s="1"/>
  <c r="BF31" i="70"/>
  <c r="P31" i="70"/>
  <c r="O32" i="70" a="1"/>
  <c r="O32" i="70" s="1"/>
  <c r="X33" i="70" l="1" a="1"/>
  <c r="X33" i="70" s="1"/>
  <c r="Y32" i="70"/>
  <c r="BF32" i="70"/>
  <c r="BE33" i="70" a="1"/>
  <c r="BE33" i="70" s="1"/>
  <c r="V32" i="70"/>
  <c r="U33" i="70" a="1"/>
  <c r="U33" i="70" s="1"/>
  <c r="AV33" i="70" a="1"/>
  <c r="AV33" i="70" s="1"/>
  <c r="AW32" i="70"/>
  <c r="P32" i="70"/>
  <c r="O33" i="70" a="1"/>
  <c r="O33" i="70" s="1"/>
  <c r="S32" i="70"/>
  <c r="R33" i="70" a="1"/>
  <c r="R33" i="70" s="1"/>
  <c r="O34" i="70" l="1" a="1"/>
  <c r="O34" i="70" s="1"/>
  <c r="P33" i="70"/>
  <c r="R34" i="70" a="1"/>
  <c r="R34" i="70" s="1"/>
  <c r="S33" i="70"/>
  <c r="BF33" i="70"/>
  <c r="BE34" i="70" a="1"/>
  <c r="BE34" i="70" s="1"/>
  <c r="V33" i="70"/>
  <c r="U34" i="70" a="1"/>
  <c r="U34" i="70" s="1"/>
  <c r="AV34" i="70" a="1"/>
  <c r="AV34" i="70" s="1"/>
  <c r="AW33" i="70"/>
  <c r="Y33" i="70"/>
  <c r="X34" i="70" a="1"/>
  <c r="X34" i="70" s="1"/>
  <c r="Y34" i="70" l="1"/>
  <c r="X35" i="70" a="1"/>
  <c r="X35" i="70" s="1"/>
  <c r="U35" i="70" a="1"/>
  <c r="U35" i="70" s="1"/>
  <c r="V34" i="70"/>
  <c r="AW34" i="70"/>
  <c r="AV35" i="70" a="1"/>
  <c r="AV35" i="70" s="1"/>
  <c r="S34" i="70"/>
  <c r="R35" i="70" a="1"/>
  <c r="R35" i="70" s="1"/>
  <c r="BE35" i="70" a="1"/>
  <c r="BE35" i="70" s="1"/>
  <c r="BF34" i="70"/>
  <c r="P34" i="70"/>
  <c r="O35" i="70" a="1"/>
  <c r="O35" i="70" s="1"/>
  <c r="BF35" i="70" l="1"/>
  <c r="BE36" i="70" a="1"/>
  <c r="BE36" i="70" s="1"/>
  <c r="O36" i="70" a="1"/>
  <c r="O36" i="70" s="1"/>
  <c r="P35" i="70"/>
  <c r="S35" i="70"/>
  <c r="R36" i="70" a="1"/>
  <c r="R36" i="70" s="1"/>
  <c r="AW35" i="70"/>
  <c r="AV36" i="70" a="1"/>
  <c r="AV36" i="70" s="1"/>
  <c r="Y35" i="70"/>
  <c r="X36" i="70" a="1"/>
  <c r="X36" i="70" s="1"/>
  <c r="V35" i="70"/>
  <c r="U36" i="70" a="1"/>
  <c r="U36" i="70" s="1"/>
  <c r="Y36" i="70" l="1"/>
  <c r="X37" i="70" a="1"/>
  <c r="X37" i="70" s="1"/>
  <c r="U37" i="70" a="1"/>
  <c r="U37" i="70" s="1"/>
  <c r="V36" i="70"/>
  <c r="AW36" i="70"/>
  <c r="AV37" i="70" a="1"/>
  <c r="AV37" i="70" s="1"/>
  <c r="O37" i="70" a="1"/>
  <c r="O37" i="70" s="1"/>
  <c r="P36" i="70"/>
  <c r="BE37" i="70" a="1"/>
  <c r="BE37" i="70" s="1"/>
  <c r="BF36" i="70"/>
  <c r="R37" i="70" a="1"/>
  <c r="R37" i="70" s="1"/>
  <c r="S36" i="70"/>
  <c r="S37" i="70" l="1"/>
  <c r="R38" i="70" a="1"/>
  <c r="R38" i="70" s="1"/>
  <c r="BF37" i="70"/>
  <c r="BE38" i="70" a="1"/>
  <c r="BE38" i="70" s="1"/>
  <c r="O38" i="70" a="1"/>
  <c r="O38" i="70" s="1"/>
  <c r="P37" i="70"/>
  <c r="AV38" i="70" a="1"/>
  <c r="AV38" i="70" s="1"/>
  <c r="AW37" i="70"/>
  <c r="X38" i="70" a="1"/>
  <c r="X38" i="70" s="1"/>
  <c r="Y37" i="70"/>
  <c r="V37" i="70"/>
  <c r="U38" i="70" a="1"/>
  <c r="U38" i="70" s="1"/>
  <c r="V38" i="70" l="1"/>
  <c r="U39" i="70" a="1"/>
  <c r="U39" i="70" s="1"/>
  <c r="Y38" i="70"/>
  <c r="X39" i="70" a="1"/>
  <c r="X39" i="70" s="1"/>
  <c r="AW38" i="70"/>
  <c r="AV39" i="70" a="1"/>
  <c r="AV39" i="70" s="1"/>
  <c r="P38" i="70"/>
  <c r="O39" i="70" a="1"/>
  <c r="O39" i="70" s="1"/>
  <c r="R39" i="70" a="1"/>
  <c r="R39" i="70" s="1"/>
  <c r="S38" i="70"/>
  <c r="BF38" i="70"/>
  <c r="BE39" i="70" a="1"/>
  <c r="BE39" i="70" s="1"/>
  <c r="BF39" i="70" l="1"/>
  <c r="BE40" i="70" a="1"/>
  <c r="BE40" i="70" s="1"/>
  <c r="AV40" i="70" a="1"/>
  <c r="AV40" i="70" s="1"/>
  <c r="AW39" i="70"/>
  <c r="P39" i="70"/>
  <c r="C41" i="70" s="1"/>
  <c r="O40" i="70" a="1"/>
  <c r="O40" i="70" s="1"/>
  <c r="R40" i="70" a="1"/>
  <c r="R40" i="70" s="1"/>
  <c r="S39" i="70"/>
  <c r="U40" i="70" a="1"/>
  <c r="U40" i="70" s="1"/>
  <c r="V39" i="70"/>
  <c r="X40" i="70" a="1"/>
  <c r="X40" i="70" s="1"/>
  <c r="Y39" i="70"/>
  <c r="Y40" i="70" l="1"/>
  <c r="X41" i="70" a="1"/>
  <c r="X41" i="70" s="1"/>
  <c r="V40" i="70"/>
  <c r="U41" i="70" a="1"/>
  <c r="U41" i="70" s="1"/>
  <c r="O41" i="70" a="1"/>
  <c r="O41" i="70" s="1"/>
  <c r="P40" i="70"/>
  <c r="S40" i="70"/>
  <c r="R41" i="70" a="1"/>
  <c r="R41" i="70" s="1"/>
  <c r="AW40" i="70"/>
  <c r="AV41" i="70" a="1"/>
  <c r="AV41" i="70" s="1"/>
  <c r="BF40" i="70"/>
  <c r="BE41" i="70" a="1"/>
  <c r="BE41" i="70" s="1"/>
  <c r="R42" i="70" l="1" a="1"/>
  <c r="R42" i="70" s="1"/>
  <c r="S41" i="70"/>
  <c r="U42" i="70" a="1"/>
  <c r="U42" i="70" s="1"/>
  <c r="V41" i="70"/>
  <c r="P41" i="70"/>
  <c r="O42" i="70" a="1"/>
  <c r="O42" i="70" s="1"/>
  <c r="AW41" i="70"/>
  <c r="AV42" i="70" a="1"/>
  <c r="AV42" i="70" s="1"/>
  <c r="X42" i="70" a="1"/>
  <c r="X42" i="70" s="1"/>
  <c r="Y41" i="70"/>
  <c r="BE42" i="70" a="1"/>
  <c r="BE42" i="70" s="1"/>
  <c r="BF41" i="70"/>
  <c r="BF42" i="70" l="1"/>
  <c r="BE43" i="70" a="1"/>
  <c r="BE43" i="70" s="1"/>
  <c r="O43" i="70" a="1"/>
  <c r="O43" i="70" s="1"/>
  <c r="P42" i="70"/>
  <c r="Y42" i="70"/>
  <c r="X43" i="70" a="1"/>
  <c r="X43" i="70" s="1"/>
  <c r="U43" i="70" a="1"/>
  <c r="U43" i="70" s="1"/>
  <c r="V42" i="70"/>
  <c r="AW42" i="70"/>
  <c r="AV43" i="70" a="1"/>
  <c r="AV43" i="70" s="1"/>
  <c r="S42" i="70"/>
  <c r="R43" i="70" a="1"/>
  <c r="R43" i="70" s="1"/>
  <c r="R44" i="70" l="1" a="1"/>
  <c r="R44" i="70" s="1"/>
  <c r="S43" i="70"/>
  <c r="AW43" i="70"/>
  <c r="AV44" i="70" a="1"/>
  <c r="AV44" i="70" s="1"/>
  <c r="V43" i="70"/>
  <c r="U44" i="70" a="1"/>
  <c r="U44" i="70" s="1"/>
  <c r="Y43" i="70"/>
  <c r="X44" i="70" a="1"/>
  <c r="X44" i="70" s="1"/>
  <c r="O44" i="70" a="1"/>
  <c r="O44" i="70" s="1"/>
  <c r="P43" i="70"/>
  <c r="BE44" i="70" a="1"/>
  <c r="BE44" i="70" s="1"/>
  <c r="BF43" i="70"/>
  <c r="U45" i="70" l="1" a="1"/>
  <c r="U45" i="70" s="1"/>
  <c r="V44" i="70"/>
  <c r="BF44" i="70"/>
  <c r="BE45" i="70" a="1"/>
  <c r="BE45" i="70" s="1"/>
  <c r="X45" i="70" a="1"/>
  <c r="X45" i="70" s="1"/>
  <c r="Y44" i="70"/>
  <c r="AG45" i="70" a="1"/>
  <c r="AG45" i="70" s="1"/>
  <c r="P44" i="70"/>
  <c r="O45" i="70" a="1"/>
  <c r="O45" i="70" s="1"/>
  <c r="AV45" i="70" a="1"/>
  <c r="AV45" i="70" s="1"/>
  <c r="AW44" i="70"/>
  <c r="S44" i="70"/>
  <c r="R45" i="70" a="1"/>
  <c r="R45" i="70" s="1"/>
  <c r="R46" i="70" l="1" a="1"/>
  <c r="R46" i="70" s="1"/>
  <c r="S45" i="70"/>
  <c r="P45" i="70"/>
  <c r="O46" i="70" a="1"/>
  <c r="O46" i="70" s="1"/>
  <c r="X46" i="70" a="1"/>
  <c r="X46" i="70" s="1"/>
  <c r="Y45" i="70"/>
  <c r="AH45" i="70"/>
  <c r="AG46" i="70" a="1"/>
  <c r="AG46" i="70" s="1"/>
  <c r="AV46" i="70" a="1"/>
  <c r="AV46" i="70" s="1"/>
  <c r="AW45" i="70"/>
  <c r="BF45" i="70"/>
  <c r="BE46" i="70" a="1"/>
  <c r="BE46" i="70" s="1"/>
  <c r="V45" i="70"/>
  <c r="U46" i="70" a="1"/>
  <c r="U46" i="70" s="1"/>
  <c r="BF46" i="70" l="1"/>
  <c r="BE47" i="70" a="1"/>
  <c r="BE47" i="70" s="1"/>
  <c r="AV47" i="70" a="1"/>
  <c r="AV47" i="70" s="1"/>
  <c r="AW46" i="70"/>
  <c r="X47" i="70" a="1"/>
  <c r="X47" i="70" s="1"/>
  <c r="Y46" i="70"/>
  <c r="P46" i="70"/>
  <c r="O47" i="70" a="1"/>
  <c r="O47" i="70" s="1"/>
  <c r="AG47" i="70" a="1"/>
  <c r="AG47" i="70" s="1"/>
  <c r="AH46" i="70"/>
  <c r="U47" i="70" a="1"/>
  <c r="U47" i="70" s="1"/>
  <c r="V46" i="70"/>
  <c r="R47" i="70" a="1"/>
  <c r="R47" i="70" s="1"/>
  <c r="R48" i="70" s="1" a="1"/>
  <c r="R48" i="70" s="1"/>
  <c r="R49" i="70" s="1" a="1"/>
  <c r="R49" i="70" s="1"/>
  <c r="R50" i="70" s="1" a="1"/>
  <c r="R50" i="70" s="1"/>
  <c r="R51" i="70" s="1" a="1"/>
  <c r="R51" i="70" s="1"/>
  <c r="R52" i="70" s="1" a="1"/>
  <c r="R52" i="70" s="1"/>
  <c r="R53" i="70" s="1" a="1"/>
  <c r="R53" i="70" s="1"/>
  <c r="R54" i="70" s="1" a="1"/>
  <c r="R54" i="70" s="1"/>
  <c r="R55" i="70" s="1" a="1"/>
  <c r="R55" i="70" s="1"/>
  <c r="R56" i="70" s="1" a="1"/>
  <c r="R56" i="70" s="1"/>
  <c r="R57" i="70" s="1" a="1"/>
  <c r="R57" i="70" s="1"/>
  <c r="R58" i="70" s="1" a="1"/>
  <c r="R58" i="70" s="1"/>
  <c r="R59" i="70" s="1" a="1"/>
  <c r="R59" i="70" s="1"/>
  <c r="R60" i="70" s="1" a="1"/>
  <c r="R60" i="70" s="1"/>
  <c r="R61" i="70" s="1" a="1"/>
  <c r="R61" i="70" s="1"/>
  <c r="R62" i="70" s="1" a="1"/>
  <c r="R62" i="70" s="1"/>
  <c r="R63" i="70" s="1" a="1"/>
  <c r="R63" i="70" s="1"/>
  <c r="R64" i="70" s="1" a="1"/>
  <c r="R64" i="70" s="1"/>
  <c r="S46" i="70"/>
  <c r="AP47" i="70" a="1"/>
  <c r="AP47" i="70" s="1"/>
  <c r="V47" i="70" l="1"/>
  <c r="U48" i="70" a="1"/>
  <c r="U48" i="70" s="1"/>
  <c r="AG48" i="70" a="1"/>
  <c r="AG48" i="70" s="1"/>
  <c r="AH47" i="70"/>
  <c r="AQ47" i="70"/>
  <c r="AP48" i="70" a="1"/>
  <c r="AP48" i="70" s="1"/>
  <c r="Y47" i="70"/>
  <c r="X48" i="70" a="1"/>
  <c r="X48" i="70" s="1"/>
  <c r="O48" i="70" a="1"/>
  <c r="O48" i="70" s="1"/>
  <c r="P47" i="70"/>
  <c r="AV48" i="70" a="1"/>
  <c r="AV48" i="70" s="1"/>
  <c r="AW47" i="70"/>
  <c r="BF47" i="70"/>
  <c r="BE48" i="70" a="1"/>
  <c r="BE48" i="70" s="1"/>
  <c r="AV49" i="70" l="1" a="1"/>
  <c r="AV49" i="70" s="1"/>
  <c r="AW48" i="70"/>
  <c r="O49" i="70" a="1"/>
  <c r="O49" i="70" s="1"/>
  <c r="P48" i="70"/>
  <c r="X49" i="70" a="1"/>
  <c r="X49" i="70" s="1"/>
  <c r="Y48" i="70"/>
  <c r="AJ49" i="70" a="1"/>
  <c r="AJ49" i="70" s="1"/>
  <c r="AP49" i="70" a="1"/>
  <c r="AP49" i="70" s="1"/>
  <c r="AQ48" i="70"/>
  <c r="AH48" i="70"/>
  <c r="AG49" i="70" a="1"/>
  <c r="AG49" i="70" s="1"/>
  <c r="U49" i="70" a="1"/>
  <c r="U49" i="70" s="1"/>
  <c r="V48" i="70"/>
  <c r="BF48" i="70"/>
  <c r="BE49" i="70" a="1"/>
  <c r="BE49" i="70" s="1"/>
  <c r="V49" i="70" l="1"/>
  <c r="U50" i="70" a="1"/>
  <c r="U50" i="70" s="1"/>
  <c r="AG50" i="70" a="1"/>
  <c r="AG50" i="70" s="1"/>
  <c r="AG51" i="70" s="1" a="1"/>
  <c r="AG51" i="70" s="1"/>
  <c r="AG52" i="70" s="1" a="1"/>
  <c r="AG52" i="70" s="1"/>
  <c r="AG53" i="70" s="1" a="1"/>
  <c r="AG53" i="70" s="1"/>
  <c r="AG54" i="70" s="1" a="1"/>
  <c r="AG54" i="70" s="1"/>
  <c r="AG55" i="70" s="1" a="1"/>
  <c r="AG55" i="70" s="1"/>
  <c r="AG56" i="70" s="1" a="1"/>
  <c r="AG56" i="70" s="1"/>
  <c r="AG57" i="70" s="1" a="1"/>
  <c r="AG57" i="70" s="1"/>
  <c r="AG58" i="70" s="1" a="1"/>
  <c r="AG58" i="70" s="1"/>
  <c r="AG59" i="70" s="1" a="1"/>
  <c r="AG59" i="70" s="1"/>
  <c r="AG60" i="70" s="1" a="1"/>
  <c r="AG60" i="70" s="1"/>
  <c r="AG61" i="70" s="1" a="1"/>
  <c r="AG61" i="70" s="1"/>
  <c r="AG62" i="70" s="1" a="1"/>
  <c r="AG62" i="70" s="1"/>
  <c r="AG63" i="70" s="1" a="1"/>
  <c r="AG63" i="70" s="1"/>
  <c r="AG64" i="70" s="1" a="1"/>
  <c r="AG64" i="70" s="1"/>
  <c r="AG65" i="70" s="1" a="1"/>
  <c r="AG65" i="70" s="1"/>
  <c r="AG66" i="70" s="1" a="1"/>
  <c r="AG66" i="70" s="1"/>
  <c r="AG67" i="70" s="1" a="1"/>
  <c r="AG67" i="70" s="1"/>
  <c r="AG68" i="70" s="1" a="1"/>
  <c r="AG68" i="70" s="1"/>
  <c r="AG69" i="70" s="1" a="1"/>
  <c r="AG69" i="70" s="1"/>
  <c r="AG70" i="70" s="1" a="1"/>
  <c r="AG70" i="70" s="1"/>
  <c r="AG71" i="70" s="1" a="1"/>
  <c r="AG71" i="70" s="1"/>
  <c r="AG72" i="70" s="1" a="1"/>
  <c r="AG72" i="70" s="1"/>
  <c r="AG73" i="70" s="1" a="1"/>
  <c r="AG73" i="70" s="1"/>
  <c r="AG74" i="70" s="1" a="1"/>
  <c r="AG74" i="70" s="1"/>
  <c r="AH49" i="70"/>
  <c r="AQ49" i="70"/>
  <c r="AP50" i="70" a="1"/>
  <c r="AP50" i="70" s="1"/>
  <c r="Y49" i="70"/>
  <c r="X50" i="70" a="1"/>
  <c r="X50" i="70" s="1"/>
  <c r="AJ50" i="70" a="1"/>
  <c r="AJ50" i="70" s="1"/>
  <c r="AK49" i="70"/>
  <c r="P49" i="70"/>
  <c r="O50" i="70" a="1"/>
  <c r="O50" i="70" s="1"/>
  <c r="BE50" i="70" a="1"/>
  <c r="BE50" i="70" s="1"/>
  <c r="BF49" i="70"/>
  <c r="AW49" i="70"/>
  <c r="AV50" i="70" a="1"/>
  <c r="AV50" i="70" s="1"/>
  <c r="Y50" i="70" l="1"/>
  <c r="X51" i="70" a="1"/>
  <c r="X51" i="70" s="1"/>
  <c r="AJ51" i="70" a="1"/>
  <c r="AJ51" i="70" s="1"/>
  <c r="AJ52" i="70" s="1" a="1"/>
  <c r="AJ52" i="70" s="1"/>
  <c r="AJ53" i="70" s="1" a="1"/>
  <c r="AJ53" i="70" s="1"/>
  <c r="AJ54" i="70" s="1" a="1"/>
  <c r="AJ54" i="70" s="1"/>
  <c r="AJ55" i="70" s="1" a="1"/>
  <c r="AJ55" i="70" s="1"/>
  <c r="AJ56" i="70" s="1" a="1"/>
  <c r="AJ56" i="70" s="1"/>
  <c r="AJ57" i="70" s="1" a="1"/>
  <c r="AJ57" i="70" s="1"/>
  <c r="AJ58" i="70" s="1" a="1"/>
  <c r="AJ58" i="70" s="1"/>
  <c r="AJ59" i="70" s="1" a="1"/>
  <c r="AJ59" i="70" s="1"/>
  <c r="AJ60" i="70" s="1" a="1"/>
  <c r="AJ60" i="70" s="1"/>
  <c r="AJ61" i="70" s="1" a="1"/>
  <c r="AJ61" i="70" s="1"/>
  <c r="AJ62" i="70" s="1" a="1"/>
  <c r="AJ62" i="70" s="1"/>
  <c r="AJ63" i="70" s="1" a="1"/>
  <c r="AJ63" i="70" s="1"/>
  <c r="AJ64" i="70" s="1" a="1"/>
  <c r="AJ64" i="70" s="1"/>
  <c r="AJ65" i="70" s="1" a="1"/>
  <c r="AJ65" i="70" s="1"/>
  <c r="AJ66" i="70" s="1" a="1"/>
  <c r="AJ66" i="70" s="1"/>
  <c r="AJ67" i="70" s="1" a="1"/>
  <c r="AJ67" i="70" s="1"/>
  <c r="AJ68" i="70" s="1" a="1"/>
  <c r="AJ68" i="70" s="1"/>
  <c r="AJ69" i="70" s="1" a="1"/>
  <c r="AJ69" i="70" s="1"/>
  <c r="AJ70" i="70" s="1" a="1"/>
  <c r="AJ70" i="70" s="1"/>
  <c r="AJ71" i="70" s="1" a="1"/>
  <c r="AJ71" i="70" s="1"/>
  <c r="AJ72" i="70" s="1" a="1"/>
  <c r="AJ72" i="70" s="1"/>
  <c r="AJ73" i="70" s="1" a="1"/>
  <c r="AJ73" i="70" s="1"/>
  <c r="AJ74" i="70" s="1" a="1"/>
  <c r="AJ74" i="70" s="1"/>
  <c r="AJ75" i="70" s="1" a="1"/>
  <c r="AJ75" i="70" s="1"/>
  <c r="AJ76" i="70" s="1" a="1"/>
  <c r="AJ76" i="70" s="1"/>
  <c r="AJ77" i="70" s="1" a="1"/>
  <c r="AJ77" i="70" s="1"/>
  <c r="AJ78" i="70" s="1" a="1"/>
  <c r="AJ78" i="70" s="1"/>
  <c r="AJ79" i="70" s="1" a="1"/>
  <c r="AJ79" i="70" s="1"/>
  <c r="AJ80" i="70" s="1" a="1"/>
  <c r="AJ80" i="70" s="1"/>
  <c r="AJ81" i="70" s="1" a="1"/>
  <c r="AJ81" i="70" s="1"/>
  <c r="AJ82" i="70" s="1" a="1"/>
  <c r="AJ82" i="70" s="1"/>
  <c r="AJ83" i="70" s="1" a="1"/>
  <c r="AJ83" i="70" s="1"/>
  <c r="AJ84" i="70" s="1" a="1"/>
  <c r="AJ84" i="70" s="1"/>
  <c r="AJ85" i="70" s="1" a="1"/>
  <c r="AJ85" i="70" s="1"/>
  <c r="AJ86" i="70" s="1" a="1"/>
  <c r="AJ86" i="70" s="1"/>
  <c r="AJ87" i="70" s="1" a="1"/>
  <c r="AJ87" i="70" s="1"/>
  <c r="AJ88" i="70" s="1" a="1"/>
  <c r="AJ88" i="70" s="1"/>
  <c r="AJ89" i="70" s="1" a="1"/>
  <c r="AJ89" i="70" s="1"/>
  <c r="AJ90" i="70" s="1" a="1"/>
  <c r="AJ90" i="70" s="1"/>
  <c r="AJ91" i="70" s="1" a="1"/>
  <c r="AJ91" i="70" s="1"/>
  <c r="AJ92" i="70" s="1" a="1"/>
  <c r="AJ92" i="70" s="1"/>
  <c r="AJ93" i="70" s="1" a="1"/>
  <c r="AJ93" i="70" s="1"/>
  <c r="AJ94" i="70" s="1" a="1"/>
  <c r="AJ94" i="70" s="1"/>
  <c r="AJ95" i="70" s="1" a="1"/>
  <c r="AJ95" i="70" s="1"/>
  <c r="AJ96" i="70" s="1" a="1"/>
  <c r="AJ96" i="70" s="1"/>
  <c r="AJ97" i="70" s="1" a="1"/>
  <c r="AJ97" i="70" s="1"/>
  <c r="AJ98" i="70" s="1" a="1"/>
  <c r="AJ98" i="70" s="1"/>
  <c r="AJ99" i="70" s="1" a="1"/>
  <c r="AJ99" i="70" s="1"/>
  <c r="AJ100" i="70" s="1" a="1"/>
  <c r="AJ100" i="70" s="1"/>
  <c r="AJ101" i="70" s="1" a="1"/>
  <c r="AJ101" i="70" s="1"/>
  <c r="AJ102" i="70" s="1" a="1"/>
  <c r="AJ102" i="70" s="1"/>
  <c r="AJ103" i="70" s="1" a="1"/>
  <c r="AJ103" i="70" s="1"/>
  <c r="AJ104" i="70" s="1" a="1"/>
  <c r="AJ104" i="70" s="1"/>
  <c r="AJ105" i="70" s="1" a="1"/>
  <c r="AJ105" i="70" s="1"/>
  <c r="AJ106" i="70" s="1" a="1"/>
  <c r="AJ106" i="70" s="1"/>
  <c r="AJ107" i="70" s="1" a="1"/>
  <c r="AJ107" i="70" s="1"/>
  <c r="AJ108" i="70" s="1" a="1"/>
  <c r="AJ108" i="70" s="1"/>
  <c r="AJ109" i="70" s="1" a="1"/>
  <c r="AJ109" i="70" s="1"/>
  <c r="AJ110" i="70" s="1" a="1"/>
  <c r="AJ110" i="70" s="1"/>
  <c r="AJ111" i="70" s="1" a="1"/>
  <c r="AJ111" i="70" s="1"/>
  <c r="AJ112" i="70" s="1" a="1"/>
  <c r="AJ112" i="70" s="1"/>
  <c r="AJ113" i="70" s="1" a="1"/>
  <c r="AJ113" i="70" s="1"/>
  <c r="AJ114" i="70" s="1" a="1"/>
  <c r="AJ114" i="70" s="1"/>
  <c r="AJ115" i="70" s="1" a="1"/>
  <c r="AJ115" i="70" s="1"/>
  <c r="AJ116" i="70" s="1" a="1"/>
  <c r="AJ116" i="70" s="1"/>
  <c r="AJ117" i="70" s="1" a="1"/>
  <c r="AJ117" i="70" s="1"/>
  <c r="AJ118" i="70" s="1" a="1"/>
  <c r="AJ118" i="70" s="1"/>
  <c r="AJ119" i="70" s="1" a="1"/>
  <c r="AJ119" i="70" s="1"/>
  <c r="AJ120" i="70" s="1" a="1"/>
  <c r="AJ120" i="70" s="1"/>
  <c r="AJ121" i="70" s="1" a="1"/>
  <c r="AJ121" i="70" s="1"/>
  <c r="AJ122" i="70" s="1" a="1"/>
  <c r="AJ122" i="70" s="1"/>
  <c r="AJ123" i="70" s="1" a="1"/>
  <c r="AJ123" i="70" s="1"/>
  <c r="AJ124" i="70" s="1" a="1"/>
  <c r="AJ124" i="70" s="1"/>
  <c r="AJ125" i="70" s="1" a="1"/>
  <c r="AJ125" i="70" s="1"/>
  <c r="AJ126" i="70" s="1" a="1"/>
  <c r="AJ126" i="70" s="1"/>
  <c r="AJ127" i="70" s="1" a="1"/>
  <c r="AJ127" i="70" s="1"/>
  <c r="AJ128" i="70" s="1" a="1"/>
  <c r="AJ128" i="70" s="1"/>
  <c r="AJ129" i="70" s="1" a="1"/>
  <c r="AJ129" i="70" s="1"/>
  <c r="AJ130" i="70" s="1" a="1"/>
  <c r="AJ130" i="70" s="1"/>
  <c r="AJ131" i="70" s="1" a="1"/>
  <c r="AJ131" i="70" s="1"/>
  <c r="AJ132" i="70" s="1" a="1"/>
  <c r="AJ132" i="70" s="1"/>
  <c r="AJ133" i="70" s="1" a="1"/>
  <c r="AJ133" i="70" s="1"/>
  <c r="AJ134" i="70" s="1" a="1"/>
  <c r="AJ134" i="70" s="1"/>
  <c r="AJ135" i="70" s="1" a="1"/>
  <c r="AJ135" i="70" s="1"/>
  <c r="AJ136" i="70" s="1" a="1"/>
  <c r="AJ136" i="70" s="1"/>
  <c r="AJ137" i="70" s="1" a="1"/>
  <c r="AJ137" i="70" s="1"/>
  <c r="AJ138" i="70" s="1" a="1"/>
  <c r="AJ138" i="70" s="1"/>
  <c r="AJ139" i="70" s="1" a="1"/>
  <c r="AJ139" i="70" s="1"/>
  <c r="AJ140" i="70" s="1" a="1"/>
  <c r="AJ140" i="70" s="1"/>
  <c r="AJ141" i="70" s="1" a="1"/>
  <c r="AJ141" i="70" s="1"/>
  <c r="AJ142" i="70" s="1" a="1"/>
  <c r="AJ142" i="70" s="1"/>
  <c r="AJ143" i="70" s="1" a="1"/>
  <c r="AJ143" i="70" s="1"/>
  <c r="AJ144" i="70" s="1" a="1"/>
  <c r="AJ144" i="70" s="1"/>
  <c r="AJ145" i="70" s="1" a="1"/>
  <c r="AJ145" i="70" s="1"/>
  <c r="AJ146" i="70" s="1" a="1"/>
  <c r="AJ146" i="70" s="1"/>
  <c r="AJ147" i="70" s="1" a="1"/>
  <c r="AJ147" i="70" s="1"/>
  <c r="AJ148" i="70" s="1" a="1"/>
  <c r="AJ148" i="70" s="1"/>
  <c r="AJ149" i="70" s="1" a="1"/>
  <c r="AJ149" i="70" s="1"/>
  <c r="AJ150" i="70" s="1" a="1"/>
  <c r="AJ150" i="70" s="1"/>
  <c r="AJ151" i="70" s="1" a="1"/>
  <c r="AJ151" i="70" s="1"/>
  <c r="AJ152" i="70" s="1" a="1"/>
  <c r="AJ152" i="70" s="1"/>
  <c r="AJ153" i="70" s="1" a="1"/>
  <c r="AJ153" i="70" s="1"/>
  <c r="AJ154" i="70" s="1" a="1"/>
  <c r="AJ154" i="70" s="1"/>
  <c r="AJ155" i="70" s="1" a="1"/>
  <c r="AJ155" i="70" s="1"/>
  <c r="AJ156" i="70" s="1" a="1"/>
  <c r="AJ156" i="70" s="1"/>
  <c r="AJ157" i="70" s="1" a="1"/>
  <c r="AJ157" i="70" s="1"/>
  <c r="AJ158" i="70" s="1" a="1"/>
  <c r="AJ158" i="70" s="1"/>
  <c r="AJ159" i="70" s="1" a="1"/>
  <c r="AJ159" i="70" s="1"/>
  <c r="AJ160" i="70" s="1" a="1"/>
  <c r="AJ160" i="70" s="1"/>
  <c r="AJ161" i="70" s="1" a="1"/>
  <c r="AJ161" i="70" s="1"/>
  <c r="AJ162" i="70" s="1" a="1"/>
  <c r="AJ162" i="70" s="1"/>
  <c r="AJ163" i="70" s="1" a="1"/>
  <c r="AJ163" i="70" s="1"/>
  <c r="AJ164" i="70" s="1" a="1"/>
  <c r="AJ164" i="70" s="1"/>
  <c r="AJ165" i="70" s="1" a="1"/>
  <c r="AJ165" i="70" s="1"/>
  <c r="AJ166" i="70" s="1" a="1"/>
  <c r="AJ166" i="70" s="1"/>
  <c r="AJ167" i="70" s="1" a="1"/>
  <c r="AJ167" i="70" s="1"/>
  <c r="AJ168" i="70" s="1" a="1"/>
  <c r="AJ168" i="70" s="1"/>
  <c r="AJ169" i="70" s="1" a="1"/>
  <c r="AJ169" i="70" s="1"/>
  <c r="AJ170" i="70" s="1" a="1"/>
  <c r="AJ170" i="70" s="1"/>
  <c r="AJ171" i="70" s="1" a="1"/>
  <c r="AJ171" i="70" s="1"/>
  <c r="AJ172" i="70" s="1" a="1"/>
  <c r="AJ172" i="70" s="1"/>
  <c r="AJ173" i="70" s="1" a="1"/>
  <c r="AJ173" i="70" s="1"/>
  <c r="AJ174" i="70" s="1" a="1"/>
  <c r="AJ174" i="70" s="1"/>
  <c r="AJ175" i="70" s="1" a="1"/>
  <c r="AJ175" i="70" s="1"/>
  <c r="AJ176" i="70" s="1" a="1"/>
  <c r="AJ176" i="70" s="1"/>
  <c r="AJ177" i="70" s="1" a="1"/>
  <c r="AJ177" i="70" s="1"/>
  <c r="AJ178" i="70" s="1" a="1"/>
  <c r="AJ178" i="70" s="1"/>
  <c r="AJ179" i="70" s="1" a="1"/>
  <c r="AJ179" i="70" s="1"/>
  <c r="AJ180" i="70" s="1" a="1"/>
  <c r="AJ180" i="70" s="1"/>
  <c r="AJ181" i="70" s="1" a="1"/>
  <c r="AJ181" i="70" s="1"/>
  <c r="AJ182" i="70" s="1" a="1"/>
  <c r="AJ182" i="70" s="1"/>
  <c r="AJ183" i="70" s="1" a="1"/>
  <c r="AJ183" i="70" s="1"/>
  <c r="AJ184" i="70" s="1" a="1"/>
  <c r="AJ184" i="70" s="1"/>
  <c r="AJ185" i="70" s="1" a="1"/>
  <c r="AJ185" i="70" s="1"/>
  <c r="AJ186" i="70" s="1" a="1"/>
  <c r="AJ186" i="70" s="1"/>
  <c r="AJ187" i="70" s="1" a="1"/>
  <c r="AJ187" i="70" s="1"/>
  <c r="AJ188" i="70" s="1" a="1"/>
  <c r="AJ188" i="70" s="1"/>
  <c r="AJ189" i="70" s="1" a="1"/>
  <c r="AJ189" i="70" s="1"/>
  <c r="AJ190" i="70" s="1" a="1"/>
  <c r="AJ190" i="70" s="1"/>
  <c r="AJ191" i="70" s="1" a="1"/>
  <c r="AJ191" i="70" s="1"/>
  <c r="AJ192" i="70" s="1" a="1"/>
  <c r="AJ192" i="70" s="1"/>
  <c r="AJ193" i="70" s="1" a="1"/>
  <c r="AJ193" i="70" s="1"/>
  <c r="AJ194" i="70" s="1" a="1"/>
  <c r="AJ194" i="70" s="1"/>
  <c r="AJ195" i="70" s="1" a="1"/>
  <c r="AJ195" i="70" s="1"/>
  <c r="AJ196" i="70" s="1" a="1"/>
  <c r="AJ196" i="70" s="1"/>
  <c r="AJ197" i="70" s="1" a="1"/>
  <c r="AJ197" i="70" s="1"/>
  <c r="AJ198" i="70" s="1" a="1"/>
  <c r="AJ198" i="70" s="1"/>
  <c r="AJ199" i="70" s="1" a="1"/>
  <c r="AJ199" i="70" s="1"/>
  <c r="AJ200" i="70" s="1" a="1"/>
  <c r="AJ200" i="70" s="1"/>
  <c r="AJ201" i="70" s="1" a="1"/>
  <c r="AJ201" i="70" s="1"/>
  <c r="AJ202" i="70" s="1" a="1"/>
  <c r="AJ202" i="70" s="1"/>
  <c r="AJ203" i="70" s="1" a="1"/>
  <c r="AJ203" i="70" s="1"/>
  <c r="AJ204" i="70" s="1" a="1"/>
  <c r="AJ204" i="70" s="1"/>
  <c r="AJ205" i="70" s="1" a="1"/>
  <c r="AJ205" i="70" s="1"/>
  <c r="AJ206" i="70" s="1" a="1"/>
  <c r="AJ206" i="70" s="1"/>
  <c r="AJ207" i="70" s="1" a="1"/>
  <c r="AJ207" i="70" s="1"/>
  <c r="AJ208" i="70" s="1" a="1"/>
  <c r="AJ208" i="70" s="1"/>
  <c r="AJ209" i="70" s="1" a="1"/>
  <c r="AJ209" i="70" s="1"/>
  <c r="AJ210" i="70" s="1" a="1"/>
  <c r="AJ210" i="70" s="1"/>
  <c r="AJ211" i="70" s="1" a="1"/>
  <c r="AJ211" i="70" s="1"/>
  <c r="AJ212" i="70" s="1" a="1"/>
  <c r="AJ212" i="70" s="1"/>
  <c r="AJ213" i="70" s="1" a="1"/>
  <c r="AJ213" i="70" s="1"/>
  <c r="AJ214" i="70" s="1" a="1"/>
  <c r="AJ214" i="70" s="1"/>
  <c r="AJ215" i="70" s="1" a="1"/>
  <c r="AJ215" i="70" s="1"/>
  <c r="AJ216" i="70" s="1" a="1"/>
  <c r="AJ216" i="70" s="1"/>
  <c r="AJ217" i="70" s="1" a="1"/>
  <c r="AJ217" i="70" s="1"/>
  <c r="AJ218" i="70" s="1" a="1"/>
  <c r="AJ218" i="70" s="1"/>
  <c r="AJ219" i="70" s="1" a="1"/>
  <c r="AJ219" i="70" s="1"/>
  <c r="AJ220" i="70" s="1" a="1"/>
  <c r="AJ220" i="70" s="1"/>
  <c r="AJ221" i="70" s="1" a="1"/>
  <c r="AJ221" i="70" s="1"/>
  <c r="AJ222" i="70" s="1" a="1"/>
  <c r="AJ222" i="70" s="1"/>
  <c r="AJ223" i="70" s="1" a="1"/>
  <c r="AJ223" i="70" s="1"/>
  <c r="AJ224" i="70" s="1" a="1"/>
  <c r="AJ224" i="70" s="1"/>
  <c r="AJ225" i="70" s="1" a="1"/>
  <c r="AJ225" i="70" s="1"/>
  <c r="AJ226" i="70" s="1" a="1"/>
  <c r="AJ226" i="70" s="1"/>
  <c r="AJ227" i="70" s="1" a="1"/>
  <c r="AJ227" i="70" s="1"/>
  <c r="AJ228" i="70" s="1" a="1"/>
  <c r="AJ228" i="70" s="1"/>
  <c r="AJ229" i="70" s="1" a="1"/>
  <c r="AJ229" i="70" s="1"/>
  <c r="AJ230" i="70" s="1" a="1"/>
  <c r="AJ230" i="70" s="1"/>
  <c r="AJ231" i="70" s="1" a="1"/>
  <c r="AJ231" i="70" s="1"/>
  <c r="AK50" i="70"/>
  <c r="AP51" i="70" a="1"/>
  <c r="AP51" i="70" s="1"/>
  <c r="AQ50" i="70"/>
  <c r="AV51" i="70" a="1"/>
  <c r="AV51" i="70" s="1"/>
  <c r="AW50" i="70"/>
  <c r="O51" i="70" a="1"/>
  <c r="O51" i="70" s="1"/>
  <c r="P50" i="70"/>
  <c r="V50" i="70"/>
  <c r="U51" i="70" a="1"/>
  <c r="U51" i="70" s="1"/>
  <c r="BF50" i="70"/>
  <c r="BE51" i="70" a="1"/>
  <c r="BE51" i="70" s="1"/>
  <c r="O52" i="70" l="1" a="1"/>
  <c r="O52" i="70" s="1"/>
  <c r="P51" i="70"/>
  <c r="AP52" i="70" a="1"/>
  <c r="AP52" i="70" s="1"/>
  <c r="AQ51" i="70"/>
  <c r="AW51" i="70"/>
  <c r="AV52" i="70" a="1"/>
  <c r="AV52" i="70" s="1"/>
  <c r="BE52" i="70" a="1"/>
  <c r="BE52" i="70" s="1"/>
  <c r="BF51" i="70"/>
  <c r="X52" i="70" a="1"/>
  <c r="X52" i="70" s="1"/>
  <c r="Y51" i="70"/>
  <c r="U52" i="70" a="1"/>
  <c r="U52" i="70" s="1"/>
  <c r="V51" i="70"/>
  <c r="V52" i="70" l="1"/>
  <c r="U53" i="70" a="1"/>
  <c r="U53" i="70" s="1"/>
  <c r="Y52" i="70"/>
  <c r="X53" i="70" a="1"/>
  <c r="X53" i="70" s="1"/>
  <c r="AV53" i="70" a="1"/>
  <c r="AV53" i="70" s="1"/>
  <c r="AW52" i="70"/>
  <c r="AP53" i="70" a="1"/>
  <c r="AP53" i="70" s="1"/>
  <c r="AQ52" i="70"/>
  <c r="BF52" i="70"/>
  <c r="BE53" i="70" a="1"/>
  <c r="BE53" i="70" s="1"/>
  <c r="O53" i="70" a="1"/>
  <c r="O53" i="70" s="1"/>
  <c r="P52" i="70"/>
  <c r="BE54" i="70" l="1" a="1"/>
  <c r="BE54" i="70" s="1"/>
  <c r="BF53" i="70"/>
  <c r="O54" i="70" a="1"/>
  <c r="O54" i="70" s="1"/>
  <c r="P53" i="70"/>
  <c r="AP54" i="70" a="1"/>
  <c r="AP54" i="70" s="1"/>
  <c r="AQ53" i="70"/>
  <c r="AW53" i="70"/>
  <c r="AV54" i="70" a="1"/>
  <c r="AV54" i="70" s="1"/>
  <c r="U54" i="70" a="1"/>
  <c r="U54" i="70" s="1"/>
  <c r="V53" i="70"/>
  <c r="Y53" i="70"/>
  <c r="X54" i="70" a="1"/>
  <c r="X54" i="70" s="1"/>
  <c r="V54" i="70" l="1"/>
  <c r="U55" i="70" a="1"/>
  <c r="U55" i="70" s="1"/>
  <c r="X55" i="70" a="1"/>
  <c r="X55" i="70" s="1"/>
  <c r="Y54" i="70"/>
  <c r="AV55" i="70" a="1"/>
  <c r="AV55" i="70" s="1"/>
  <c r="AW54" i="70"/>
  <c r="O55" i="70" a="1"/>
  <c r="O55" i="70" s="1"/>
  <c r="P54" i="70"/>
  <c r="AP55" i="70" a="1"/>
  <c r="AP55" i="70" s="1"/>
  <c r="AQ54" i="70"/>
  <c r="BE55" i="70" a="1"/>
  <c r="BE55" i="70" s="1"/>
  <c r="BF54" i="70"/>
  <c r="BE56" i="70" l="1" a="1"/>
  <c r="BE56" i="70" s="1"/>
  <c r="BF55" i="70"/>
  <c r="AP56" i="70" a="1"/>
  <c r="AP56" i="70" s="1"/>
  <c r="AQ55" i="70"/>
  <c r="O56" i="70" a="1"/>
  <c r="O56" i="70" s="1"/>
  <c r="P55" i="70"/>
  <c r="AW55" i="70"/>
  <c r="AV56" i="70" a="1"/>
  <c r="AV56" i="70" s="1"/>
  <c r="V55" i="70"/>
  <c r="U56" i="70" a="1"/>
  <c r="U56" i="70" s="1"/>
  <c r="Y55" i="70"/>
  <c r="X56" i="70" a="1"/>
  <c r="X56" i="70" s="1"/>
  <c r="X57" i="70" l="1" a="1"/>
  <c r="X57" i="70" s="1"/>
  <c r="Y56" i="70"/>
  <c r="AV57" i="70" a="1"/>
  <c r="AV57" i="70" s="1"/>
  <c r="AW56" i="70"/>
  <c r="V56" i="70"/>
  <c r="U57" i="70" a="1"/>
  <c r="U57" i="70" s="1"/>
  <c r="AP57" i="70" a="1"/>
  <c r="AP57" i="70" s="1"/>
  <c r="AQ56" i="70"/>
  <c r="P56" i="70"/>
  <c r="O57" i="70" a="1"/>
  <c r="O57" i="70" s="1"/>
  <c r="BE57" i="70" a="1"/>
  <c r="BE57" i="70" s="1"/>
  <c r="BF56" i="70"/>
  <c r="O58" i="70" l="1" a="1"/>
  <c r="O58" i="70" s="1"/>
  <c r="P57" i="70"/>
  <c r="BE58" i="70" a="1"/>
  <c r="BE58" i="70" s="1"/>
  <c r="BF57" i="70"/>
  <c r="AP58" i="70" a="1"/>
  <c r="AP58" i="70" s="1"/>
  <c r="AQ57" i="70"/>
  <c r="AW57" i="70"/>
  <c r="AV58" i="70" a="1"/>
  <c r="AV58" i="70" s="1"/>
  <c r="V57" i="70"/>
  <c r="U58" i="70" a="1"/>
  <c r="U58" i="70" s="1"/>
  <c r="X58" i="70" a="1"/>
  <c r="X58" i="70" s="1"/>
  <c r="Y57" i="70"/>
  <c r="Y58" i="70" l="1"/>
  <c r="X59" i="70" a="1"/>
  <c r="X59" i="70" s="1"/>
  <c r="AV59" i="70" a="1"/>
  <c r="AV59" i="70" s="1"/>
  <c r="AW58" i="70"/>
  <c r="V58" i="70"/>
  <c r="U59" i="70" a="1"/>
  <c r="U59" i="70" s="1"/>
  <c r="AQ58" i="70"/>
  <c r="AP59" i="70" a="1"/>
  <c r="AP59" i="70" s="1"/>
  <c r="BE59" i="70" a="1"/>
  <c r="BE59" i="70" s="1"/>
  <c r="BF58" i="70"/>
  <c r="P58" i="70"/>
  <c r="O59" i="70" a="1"/>
  <c r="O59" i="70" s="1"/>
  <c r="BE60" i="70" l="1" a="1"/>
  <c r="BE60" i="70" s="1"/>
  <c r="BF59" i="70"/>
  <c r="O60" i="70" a="1"/>
  <c r="O60" i="70" s="1"/>
  <c r="P59" i="70"/>
  <c r="AQ59" i="70"/>
  <c r="AP60" i="70" a="1"/>
  <c r="AP60" i="70" s="1"/>
  <c r="AW59" i="70"/>
  <c r="AV60" i="70" a="1"/>
  <c r="AV60" i="70" s="1"/>
  <c r="Y59" i="70"/>
  <c r="X60" i="70" a="1"/>
  <c r="X60" i="70" s="1"/>
  <c r="V59" i="70"/>
  <c r="U60" i="70" a="1"/>
  <c r="U60" i="70" s="1"/>
  <c r="V60" i="70" l="1"/>
  <c r="U61" i="70" a="1"/>
  <c r="U61" i="70" s="1"/>
  <c r="Y60" i="70"/>
  <c r="X61" i="70" a="1"/>
  <c r="X61" i="70" s="1"/>
  <c r="AW60" i="70"/>
  <c r="AV61" i="70" a="1"/>
  <c r="AV61" i="70" s="1"/>
  <c r="P60" i="70"/>
  <c r="O61" i="70" a="1"/>
  <c r="O61" i="70" s="1"/>
  <c r="AQ60" i="70"/>
  <c r="AP61" i="70" a="1"/>
  <c r="AP61" i="70" s="1"/>
  <c r="BF60" i="70"/>
  <c r="BE61" i="70" a="1"/>
  <c r="BE61" i="70" s="1"/>
  <c r="BF61" i="70" l="1"/>
  <c r="BE62" i="70" a="1"/>
  <c r="BE62" i="70" s="1"/>
  <c r="AQ61" i="70"/>
  <c r="AP62" i="70" a="1"/>
  <c r="AP62" i="70" s="1"/>
  <c r="O62" i="70" a="1"/>
  <c r="O62" i="70" s="1"/>
  <c r="P61" i="70"/>
  <c r="AY62" i="70" a="1"/>
  <c r="AY62" i="70" s="1"/>
  <c r="AW61" i="70"/>
  <c r="AV62" i="70" a="1"/>
  <c r="AV62" i="70" s="1"/>
  <c r="V61" i="70"/>
  <c r="U62" i="70" a="1"/>
  <c r="U62" i="70" s="1"/>
  <c r="Y61" i="70"/>
  <c r="X62" i="70" a="1"/>
  <c r="X62" i="70" s="1"/>
  <c r="AV63" i="70" l="1" a="1"/>
  <c r="AV63" i="70" s="1"/>
  <c r="AW62" i="70"/>
  <c r="V62" i="70"/>
  <c r="U63" i="70" a="1"/>
  <c r="U63" i="70" s="1"/>
  <c r="AZ62" i="70"/>
  <c r="AY63" i="70" a="1"/>
  <c r="AY63" i="70" s="1"/>
  <c r="AP63" i="70" a="1"/>
  <c r="AP63" i="70" s="1"/>
  <c r="AQ62" i="70"/>
  <c r="O63" i="70" a="1"/>
  <c r="O63" i="70" s="1"/>
  <c r="P62" i="70"/>
  <c r="BF62" i="70"/>
  <c r="BE63" i="70" a="1"/>
  <c r="BE63" i="70" s="1"/>
  <c r="X63" i="70" a="1"/>
  <c r="X63" i="70" s="1"/>
  <c r="Y62" i="70"/>
  <c r="BF63" i="70" l="1"/>
  <c r="BE64" i="70" a="1"/>
  <c r="BE64" i="70" s="1"/>
  <c r="X64" i="70" a="1"/>
  <c r="X64" i="70" s="1"/>
  <c r="Y63" i="70"/>
  <c r="P63" i="70"/>
  <c r="O64" i="70" a="1"/>
  <c r="O64" i="70" s="1"/>
  <c r="AZ63" i="70"/>
  <c r="AY64" i="70" a="1"/>
  <c r="AY64" i="70" s="1"/>
  <c r="AQ63" i="70"/>
  <c r="AP64" i="70" a="1"/>
  <c r="AP64" i="70" s="1"/>
  <c r="V63" i="70"/>
  <c r="U64" i="70" a="1"/>
  <c r="U64" i="70" s="1"/>
  <c r="AW63" i="70"/>
  <c r="AV64" i="70" a="1"/>
  <c r="AV64" i="70" s="1"/>
  <c r="O65" i="70" l="1" a="1"/>
  <c r="O65" i="70" s="1"/>
  <c r="P64" i="70"/>
  <c r="V64" i="70"/>
  <c r="U65" i="70" a="1"/>
  <c r="U65" i="70" s="1"/>
  <c r="AQ64" i="70"/>
  <c r="AP65" i="70" a="1"/>
  <c r="AP65" i="70" s="1"/>
  <c r="AZ64" i="70"/>
  <c r="AY65" i="70" a="1"/>
  <c r="AY65" i="70" s="1"/>
  <c r="Y64" i="70"/>
  <c r="X65" i="70" a="1"/>
  <c r="X65" i="70" s="1"/>
  <c r="R65" i="70" a="1"/>
  <c r="R65" i="70" s="1"/>
  <c r="BF64" i="70"/>
  <c r="BE65" i="70" a="1"/>
  <c r="BE65" i="70" s="1"/>
  <c r="AW64" i="70"/>
  <c r="AV65" i="70" a="1"/>
  <c r="AV65" i="70" s="1"/>
  <c r="O66" i="70" l="1" a="1"/>
  <c r="O66" i="70" s="1"/>
  <c r="P65" i="70"/>
  <c r="S65" i="70"/>
  <c r="R66" i="70" a="1"/>
  <c r="R66" i="70" s="1"/>
  <c r="AM66" i="70" a="1"/>
  <c r="AM66" i="70" s="1"/>
  <c r="Y65" i="70"/>
  <c r="X66" i="70" a="1"/>
  <c r="X66" i="70" s="1"/>
  <c r="AY66" i="70" a="1"/>
  <c r="AY66" i="70" s="1"/>
  <c r="AZ65" i="70"/>
  <c r="AQ65" i="70"/>
  <c r="AP66" i="70" a="1"/>
  <c r="AP66" i="70" s="1"/>
  <c r="AW65" i="70"/>
  <c r="AV66" i="70" a="1"/>
  <c r="AV66" i="70" s="1"/>
  <c r="U66" i="70" a="1"/>
  <c r="U66" i="70" s="1"/>
  <c r="V65" i="70"/>
  <c r="BE66" i="70" a="1"/>
  <c r="BE66" i="70" s="1"/>
  <c r="BF65" i="70"/>
  <c r="O67" i="70" l="1" a="1"/>
  <c r="O67" i="70" s="1"/>
  <c r="P66" i="70"/>
  <c r="AP67" i="70" a="1"/>
  <c r="AP67" i="70" s="1"/>
  <c r="AQ66" i="70"/>
  <c r="AZ66" i="70"/>
  <c r="AY67" i="70" a="1"/>
  <c r="AY67" i="70" s="1"/>
  <c r="Y66" i="70"/>
  <c r="X67" i="70" a="1"/>
  <c r="X67" i="70" s="1"/>
  <c r="BF66" i="70"/>
  <c r="BE67" i="70" a="1"/>
  <c r="BE67" i="70" s="1"/>
  <c r="AN66" i="70"/>
  <c r="AM67" i="70" a="1"/>
  <c r="AM67" i="70" s="1"/>
  <c r="R67" i="70" a="1"/>
  <c r="R67" i="70" s="1"/>
  <c r="S66" i="70"/>
  <c r="U67" i="70" a="1"/>
  <c r="U67" i="70" s="1"/>
  <c r="V66" i="70"/>
  <c r="AW66" i="70"/>
  <c r="AV67" i="70" a="1"/>
  <c r="AV67" i="70" s="1"/>
  <c r="P67" i="70" l="1"/>
  <c r="O68" i="70" a="1"/>
  <c r="O68" i="70" s="1"/>
  <c r="AM68" i="70" a="1"/>
  <c r="AM68" i="70" s="1"/>
  <c r="AN67" i="70"/>
  <c r="BF67" i="70"/>
  <c r="BE68" i="70" a="1"/>
  <c r="BE68" i="70" s="1"/>
  <c r="AW67" i="70"/>
  <c r="AV68" i="70" a="1"/>
  <c r="AV68" i="70" s="1"/>
  <c r="Y67" i="70"/>
  <c r="X68" i="70" a="1"/>
  <c r="X68" i="70" s="1"/>
  <c r="AZ67" i="70"/>
  <c r="AY68" i="70" a="1"/>
  <c r="AY68" i="70" s="1"/>
  <c r="AQ67" i="70"/>
  <c r="AP68" i="70" a="1"/>
  <c r="AP68" i="70" s="1"/>
  <c r="V67" i="70"/>
  <c r="U68" i="70" a="1"/>
  <c r="U68" i="70" s="1"/>
  <c r="S67" i="70"/>
  <c r="R68" i="70" a="1"/>
  <c r="R68" i="70" s="1"/>
  <c r="P68" i="70" l="1"/>
  <c r="O69" i="70" a="1"/>
  <c r="O69" i="70" s="1"/>
  <c r="X69" i="70" a="1"/>
  <c r="X69" i="70" s="1"/>
  <c r="Y68" i="70"/>
  <c r="AQ68" i="70"/>
  <c r="AP69" i="70" a="1"/>
  <c r="AP69" i="70" s="1"/>
  <c r="AV69" i="70" a="1"/>
  <c r="AV69" i="70" s="1"/>
  <c r="AW68" i="70"/>
  <c r="BF68" i="70"/>
  <c r="BE69" i="70" a="1"/>
  <c r="BE69" i="70" s="1"/>
  <c r="S68" i="70"/>
  <c r="R69" i="70" a="1"/>
  <c r="R69" i="70" s="1"/>
  <c r="V68" i="70"/>
  <c r="U69" i="70" a="1"/>
  <c r="U69" i="70" s="1"/>
  <c r="AZ68" i="70"/>
  <c r="AY69" i="70" a="1"/>
  <c r="AY69" i="70" s="1"/>
  <c r="AN68" i="70"/>
  <c r="AM69" i="70" a="1"/>
  <c r="AM69" i="70" s="1"/>
  <c r="O70" i="70" l="1" a="1"/>
  <c r="O70" i="70" s="1"/>
  <c r="P69" i="70"/>
  <c r="BE70" i="70" a="1"/>
  <c r="BE70" i="70" s="1"/>
  <c r="BF69" i="70"/>
  <c r="AM70" i="70" a="1"/>
  <c r="AM70" i="70" s="1"/>
  <c r="AN69" i="70"/>
  <c r="AV70" i="70" a="1"/>
  <c r="AV70" i="70" s="1"/>
  <c r="AW69" i="70"/>
  <c r="R70" i="70" a="1"/>
  <c r="R70" i="70" s="1"/>
  <c r="S69" i="70"/>
  <c r="AP70" i="70" a="1"/>
  <c r="AP70" i="70" s="1"/>
  <c r="AQ69" i="70"/>
  <c r="AY70" i="70" a="1"/>
  <c r="AY70" i="70" s="1"/>
  <c r="AZ69" i="70"/>
  <c r="U70" i="70" a="1"/>
  <c r="U70" i="70" s="1"/>
  <c r="V69" i="70"/>
  <c r="X70" i="70" a="1"/>
  <c r="X70" i="70" s="1"/>
  <c r="Y69" i="70"/>
  <c r="P70" i="70" l="1"/>
  <c r="O71" i="70" a="1"/>
  <c r="O71" i="70" s="1"/>
  <c r="AQ70" i="70"/>
  <c r="AP71" i="70" a="1"/>
  <c r="AP71" i="70" s="1"/>
  <c r="AV71" i="70" a="1"/>
  <c r="AV71" i="70" s="1"/>
  <c r="AW70" i="70"/>
  <c r="S70" i="70"/>
  <c r="R71" i="70" a="1"/>
  <c r="R71" i="70" s="1"/>
  <c r="AN70" i="70"/>
  <c r="AM71" i="70" a="1"/>
  <c r="AM71" i="70" s="1"/>
  <c r="Y70" i="70"/>
  <c r="X71" i="70" a="1"/>
  <c r="X71" i="70" s="1"/>
  <c r="U71" i="70" a="1"/>
  <c r="U71" i="70" s="1"/>
  <c r="V70" i="70"/>
  <c r="AZ70" i="70"/>
  <c r="AY71" i="70" a="1"/>
  <c r="AY71" i="70" s="1"/>
  <c r="BF70" i="70"/>
  <c r="BE71" i="70" a="1"/>
  <c r="BE71" i="70" s="1"/>
  <c r="O72" i="70" l="1" a="1"/>
  <c r="O72" i="70" s="1"/>
  <c r="P71" i="70"/>
  <c r="AM72" i="70" a="1"/>
  <c r="AM72" i="70" s="1"/>
  <c r="AN71" i="70"/>
  <c r="S71" i="70"/>
  <c r="R72" i="70" a="1"/>
  <c r="R72" i="70" s="1"/>
  <c r="BF71" i="70"/>
  <c r="BE72" i="70" a="1"/>
  <c r="BE72" i="70" s="1"/>
  <c r="AY72" i="70" a="1"/>
  <c r="AY72" i="70" s="1"/>
  <c r="AZ71" i="70"/>
  <c r="AW71" i="70"/>
  <c r="AV72" i="70" a="1"/>
  <c r="AV72" i="70" s="1"/>
  <c r="AQ71" i="70"/>
  <c r="AP72" i="70" a="1"/>
  <c r="AP72" i="70" s="1"/>
  <c r="Y71" i="70"/>
  <c r="X72" i="70" a="1"/>
  <c r="X72" i="70" s="1"/>
  <c r="V71" i="70"/>
  <c r="U72" i="70" a="1"/>
  <c r="U72" i="70" s="1"/>
  <c r="O73" i="70" l="1" a="1"/>
  <c r="O73" i="70" s="1"/>
  <c r="P72" i="70"/>
  <c r="BE73" i="70" a="1"/>
  <c r="BE73" i="70" s="1"/>
  <c r="BF72" i="70"/>
  <c r="AY73" i="70" a="1"/>
  <c r="AY73" i="70" s="1"/>
  <c r="AZ72" i="70"/>
  <c r="R73" i="70" a="1"/>
  <c r="R73" i="70" s="1"/>
  <c r="S72" i="70"/>
  <c r="BH73" i="70" a="1"/>
  <c r="BH73" i="70" s="1"/>
  <c r="U73" i="70" a="1"/>
  <c r="U73" i="70" s="1"/>
  <c r="V72" i="70"/>
  <c r="X73" i="70" a="1"/>
  <c r="X73" i="70" s="1"/>
  <c r="Y72" i="70"/>
  <c r="AM73" i="70" a="1"/>
  <c r="AM73" i="70" s="1"/>
  <c r="AN72" i="70"/>
  <c r="AV73" i="70" a="1"/>
  <c r="AV73" i="70" s="1"/>
  <c r="AW72" i="70"/>
  <c r="AP73" i="70" a="1"/>
  <c r="AP73" i="70" s="1"/>
  <c r="AQ72" i="70"/>
  <c r="O74" i="70" l="1" a="1"/>
  <c r="O74" i="70" s="1"/>
  <c r="P73" i="70"/>
  <c r="V73" i="70"/>
  <c r="U74" i="70" a="1"/>
  <c r="U74" i="70" s="1"/>
  <c r="BH74" i="70" a="1"/>
  <c r="BH74" i="70" s="1"/>
  <c r="BI73" i="70"/>
  <c r="AQ73" i="70"/>
  <c r="AP74" i="70" a="1"/>
  <c r="AP74" i="70" s="1"/>
  <c r="S73" i="70"/>
  <c r="R74" i="70" a="1"/>
  <c r="R74" i="70" s="1"/>
  <c r="AW73" i="70"/>
  <c r="AV74" i="70" a="1"/>
  <c r="AV74" i="70" s="1"/>
  <c r="AM74" i="70" a="1"/>
  <c r="AM74" i="70" s="1"/>
  <c r="AN73" i="70"/>
  <c r="AZ73" i="70"/>
  <c r="AY74" i="70" a="1"/>
  <c r="AY74" i="70" s="1"/>
  <c r="Y73" i="70"/>
  <c r="X74" i="70" a="1"/>
  <c r="X74" i="70" s="1"/>
  <c r="BF73" i="70"/>
  <c r="BE74" i="70" a="1"/>
  <c r="BE74" i="70" s="1"/>
  <c r="P74" i="70" l="1"/>
  <c r="O75" i="70" a="1"/>
  <c r="O75" i="70" s="1"/>
  <c r="R75" i="70" a="1"/>
  <c r="R75" i="70" s="1"/>
  <c r="S74" i="70"/>
  <c r="AG75" i="70" a="1"/>
  <c r="AG75" i="70" s="1"/>
  <c r="BF74" i="70"/>
  <c r="BE75" i="70" a="1"/>
  <c r="BE75" i="70" s="1"/>
  <c r="AP75" i="70" a="1"/>
  <c r="AP75" i="70" s="1"/>
  <c r="AQ74" i="70"/>
  <c r="X75" i="70" a="1"/>
  <c r="X75" i="70" s="1"/>
  <c r="Y74" i="70"/>
  <c r="BH75" i="70" a="1"/>
  <c r="BH75" i="70" s="1"/>
  <c r="BI74" i="70"/>
  <c r="AV75" i="70" a="1"/>
  <c r="AV75" i="70" s="1"/>
  <c r="AW74" i="70"/>
  <c r="V74" i="70"/>
  <c r="U75" i="70" a="1"/>
  <c r="U75" i="70" s="1"/>
  <c r="AN74" i="70"/>
  <c r="AM75" i="70" a="1"/>
  <c r="AM75" i="70" s="1"/>
  <c r="AZ74" i="70"/>
  <c r="AY75" i="70" a="1"/>
  <c r="AY75" i="70" s="1"/>
  <c r="O76" i="70" l="1" a="1"/>
  <c r="O76" i="70" s="1"/>
  <c r="P75" i="70"/>
  <c r="BH76" i="70" a="1"/>
  <c r="BH76" i="70" s="1"/>
  <c r="BI75" i="70"/>
  <c r="X76" i="70" a="1"/>
  <c r="X76" i="70" s="1"/>
  <c r="Y75" i="70"/>
  <c r="AY76" i="70" a="1"/>
  <c r="AY76" i="70" s="1"/>
  <c r="AZ75" i="70"/>
  <c r="AP76" i="70" a="1"/>
  <c r="AP76" i="70" s="1"/>
  <c r="AQ75" i="70"/>
  <c r="BE76" i="70" a="1"/>
  <c r="BE76" i="70" s="1"/>
  <c r="BF75" i="70"/>
  <c r="AM76" i="70" a="1"/>
  <c r="AM76" i="70" s="1"/>
  <c r="AN75" i="70"/>
  <c r="AG76" i="70" a="1"/>
  <c r="AG76" i="70" s="1"/>
  <c r="AH75" i="70"/>
  <c r="U76" i="70" a="1"/>
  <c r="U76" i="70" s="1"/>
  <c r="V75" i="70"/>
  <c r="AV76" i="70" a="1"/>
  <c r="AV76" i="70" s="1"/>
  <c r="AW75" i="70"/>
  <c r="R76" i="70" a="1"/>
  <c r="R76" i="70" s="1"/>
  <c r="S75" i="70"/>
  <c r="P76" i="70" l="1"/>
  <c r="O77" i="70" a="1"/>
  <c r="O77" i="70" s="1"/>
  <c r="P77" i="70" s="1"/>
  <c r="BF76" i="70"/>
  <c r="BE77" i="70" a="1"/>
  <c r="BE77" i="70" s="1"/>
  <c r="AN76" i="70"/>
  <c r="AM77" i="70" a="1"/>
  <c r="AM77" i="70" s="1"/>
  <c r="AQ76" i="70"/>
  <c r="AP77" i="70" a="1"/>
  <c r="AP77" i="70" s="1"/>
  <c r="S76" i="70"/>
  <c r="R77" i="70" a="1"/>
  <c r="R77" i="70" s="1"/>
  <c r="AZ76" i="70"/>
  <c r="AY77" i="70" a="1"/>
  <c r="AY77" i="70" s="1"/>
  <c r="AW76" i="70"/>
  <c r="AV77" i="70" a="1"/>
  <c r="AV77" i="70" s="1"/>
  <c r="Y76" i="70"/>
  <c r="X77" i="70" a="1"/>
  <c r="X77" i="70" s="1"/>
  <c r="V76" i="70"/>
  <c r="U77" i="70" a="1"/>
  <c r="U77" i="70" s="1"/>
  <c r="AH76" i="70"/>
  <c r="AG77" i="70" a="1"/>
  <c r="AG77" i="70" s="1"/>
  <c r="BI76" i="70"/>
  <c r="BH77" i="70" a="1"/>
  <c r="BH77" i="70" s="1"/>
  <c r="AW77" i="70" l="1"/>
  <c r="AV78" i="70" a="1"/>
  <c r="AV78" i="70" s="1"/>
  <c r="S77" i="70"/>
  <c r="R78" i="70" a="1"/>
  <c r="R78" i="70" s="1"/>
  <c r="BI77" i="70"/>
  <c r="BH78" i="70" a="1"/>
  <c r="BH78" i="70" s="1"/>
  <c r="AQ77" i="70"/>
  <c r="AP78" i="70" a="1"/>
  <c r="AP78" i="70" s="1"/>
  <c r="AH77" i="70"/>
  <c r="AG78" i="70" a="1"/>
  <c r="AG78" i="70" s="1"/>
  <c r="AN77" i="70"/>
  <c r="AM78" i="70" a="1"/>
  <c r="AM78" i="70" s="1"/>
  <c r="V77" i="70"/>
  <c r="U78" i="70" a="1"/>
  <c r="U78" i="70" s="1"/>
  <c r="AY78" i="70" a="1"/>
  <c r="AY78" i="70" s="1"/>
  <c r="AZ77" i="70"/>
  <c r="BF77" i="70"/>
  <c r="BE78" i="70" a="1"/>
  <c r="BE78" i="70" s="1"/>
  <c r="Y77" i="70"/>
  <c r="X78" i="70" a="1"/>
  <c r="X78" i="70" s="1"/>
  <c r="O78" i="70" a="1"/>
  <c r="O78" i="70" s="1"/>
  <c r="AN78" i="70" l="1"/>
  <c r="AM79" i="70" a="1"/>
  <c r="AM79" i="70" s="1"/>
  <c r="AP79" i="70" a="1"/>
  <c r="AP79" i="70" s="1"/>
  <c r="AQ78" i="70"/>
  <c r="R79" i="70" a="1"/>
  <c r="R79" i="70" s="1"/>
  <c r="S78" i="70"/>
  <c r="X79" i="70" a="1"/>
  <c r="X79" i="70" s="1"/>
  <c r="Y78" i="70"/>
  <c r="AZ78" i="70"/>
  <c r="AY79" i="70" a="1"/>
  <c r="AY79" i="70" s="1"/>
  <c r="O79" i="70" a="1"/>
  <c r="O79" i="70" s="1"/>
  <c r="P79" i="70" s="1"/>
  <c r="P78" i="70"/>
  <c r="BE79" i="70" a="1"/>
  <c r="BE79" i="70" s="1"/>
  <c r="BF78" i="70"/>
  <c r="AV79" i="70" a="1"/>
  <c r="AV79" i="70" s="1"/>
  <c r="AW78" i="70"/>
  <c r="AH78" i="70"/>
  <c r="AG79" i="70" a="1"/>
  <c r="AG79" i="70" s="1"/>
  <c r="BH79" i="70" a="1"/>
  <c r="BH79" i="70" s="1"/>
  <c r="BI78" i="70"/>
  <c r="V78" i="70"/>
  <c r="U79" i="70" a="1"/>
  <c r="U79" i="70" s="1"/>
  <c r="O80" i="70" l="1" a="1"/>
  <c r="O80" i="70" s="1"/>
  <c r="P80" i="70" s="1"/>
  <c r="V79" i="70"/>
  <c r="U80" i="70" a="1"/>
  <c r="U80" i="70" s="1"/>
  <c r="BH80" i="70" a="1"/>
  <c r="BH80" i="70" s="1"/>
  <c r="BI79" i="70"/>
  <c r="Y79" i="70"/>
  <c r="X80" i="70" a="1"/>
  <c r="X80" i="70" s="1"/>
  <c r="R80" i="70" a="1"/>
  <c r="R80" i="70" s="1"/>
  <c r="S79" i="70"/>
  <c r="AH79" i="70"/>
  <c r="AG80" i="70" a="1"/>
  <c r="AG80" i="70" s="1"/>
  <c r="AW79" i="70"/>
  <c r="AV80" i="70" a="1"/>
  <c r="AV80" i="70" s="1"/>
  <c r="AQ79" i="70"/>
  <c r="AP80" i="70" a="1"/>
  <c r="AP80" i="70" s="1"/>
  <c r="AZ79" i="70"/>
  <c r="AY80" i="70" a="1"/>
  <c r="AY80" i="70" s="1"/>
  <c r="AN79" i="70"/>
  <c r="AM80" i="70" a="1"/>
  <c r="AM80" i="70" s="1"/>
  <c r="BF79" i="70"/>
  <c r="BE80" i="70" a="1"/>
  <c r="BE80" i="70" s="1"/>
  <c r="O81" i="70" l="1" a="1"/>
  <c r="O81" i="70" s="1"/>
  <c r="P81" i="70" s="1"/>
  <c r="S80" i="70"/>
  <c r="R81" i="70" a="1"/>
  <c r="R81" i="70" s="1"/>
  <c r="Y80" i="70"/>
  <c r="X81" i="70" a="1"/>
  <c r="X81" i="70" s="1"/>
  <c r="AN80" i="70"/>
  <c r="AM81" i="70" a="1"/>
  <c r="AM81" i="70" s="1"/>
  <c r="AZ80" i="70"/>
  <c r="AY81" i="70" a="1"/>
  <c r="AY81" i="70" s="1"/>
  <c r="BE81" i="70" a="1"/>
  <c r="BE81" i="70" s="1"/>
  <c r="BF80" i="70"/>
  <c r="BI80" i="70"/>
  <c r="BH81" i="70" a="1"/>
  <c r="BH81" i="70" s="1"/>
  <c r="AW80" i="70"/>
  <c r="AV81" i="70" a="1"/>
  <c r="AV81" i="70" s="1"/>
  <c r="V80" i="70"/>
  <c r="U81" i="70" a="1"/>
  <c r="U81" i="70" s="1"/>
  <c r="AH80" i="70"/>
  <c r="AG81" i="70" a="1"/>
  <c r="AG81" i="70" s="1"/>
  <c r="AQ80" i="70"/>
  <c r="AP81" i="70" a="1"/>
  <c r="AP81" i="70" s="1"/>
  <c r="O82" i="70" l="1" a="1"/>
  <c r="O82" i="70" s="1"/>
  <c r="O83" i="70" s="1" a="1"/>
  <c r="O83" i="70" s="1"/>
  <c r="AZ81" i="70"/>
  <c r="AY82" i="70" a="1"/>
  <c r="AY82" i="70" s="1"/>
  <c r="AQ81" i="70"/>
  <c r="AP82" i="70" a="1"/>
  <c r="AP82" i="70" s="1"/>
  <c r="AN81" i="70"/>
  <c r="AM82" i="70" a="1"/>
  <c r="AM82" i="70" s="1"/>
  <c r="AH81" i="70"/>
  <c r="AG82" i="70" a="1"/>
  <c r="AG82" i="70" s="1"/>
  <c r="Y81" i="70"/>
  <c r="X82" i="70" a="1"/>
  <c r="X82" i="70" s="1"/>
  <c r="V81" i="70"/>
  <c r="U82" i="70" a="1"/>
  <c r="U82" i="70" s="1"/>
  <c r="S81" i="70"/>
  <c r="R82" i="70" a="1"/>
  <c r="R82" i="70" s="1"/>
  <c r="AW81" i="70"/>
  <c r="AV82" i="70" a="1"/>
  <c r="AV82" i="70" s="1"/>
  <c r="BF81" i="70"/>
  <c r="BE82" i="70" a="1"/>
  <c r="BE82" i="70" s="1"/>
  <c r="BI81" i="70"/>
  <c r="BH82" i="70" a="1"/>
  <c r="BH82" i="70" s="1"/>
  <c r="P82" i="70" l="1"/>
  <c r="U83" i="70" a="1"/>
  <c r="U83" i="70" s="1"/>
  <c r="V82" i="70"/>
  <c r="X83" i="70" a="1"/>
  <c r="X83" i="70" s="1"/>
  <c r="O84" i="70" s="1" a="1"/>
  <c r="O84" i="70" s="1"/>
  <c r="Y82" i="70"/>
  <c r="AG83" i="70" a="1"/>
  <c r="AG83" i="70" s="1"/>
  <c r="AH82" i="70"/>
  <c r="P83" i="70"/>
  <c r="AM83" i="70" a="1"/>
  <c r="AM83" i="70" s="1"/>
  <c r="AN82" i="70"/>
  <c r="BE83" i="70" a="1"/>
  <c r="BE83" i="70" s="1"/>
  <c r="BF82" i="70"/>
  <c r="AP83" i="70" a="1"/>
  <c r="AP83" i="70" s="1"/>
  <c r="AQ82" i="70"/>
  <c r="AV83" i="70" a="1"/>
  <c r="AV83" i="70" s="1"/>
  <c r="AW82" i="70"/>
  <c r="BH83" i="70" a="1"/>
  <c r="BH83" i="70" s="1"/>
  <c r="BI82" i="70"/>
  <c r="AY83" i="70" a="1"/>
  <c r="AY83" i="70" s="1"/>
  <c r="AZ82" i="70"/>
  <c r="R83" i="70" a="1"/>
  <c r="R83" i="70" s="1"/>
  <c r="S82" i="70"/>
  <c r="AN83" i="70" l="1"/>
  <c r="AM84" i="70" a="1"/>
  <c r="AM84" i="70" s="1"/>
  <c r="P84" i="70"/>
  <c r="O85" i="70" a="1"/>
  <c r="O85" i="70" s="1"/>
  <c r="R84" i="70" a="1"/>
  <c r="R84" i="70" s="1"/>
  <c r="S83" i="70"/>
  <c r="AZ83" i="70"/>
  <c r="AY84" i="70" a="1"/>
  <c r="AY84" i="70" s="1"/>
  <c r="AH83" i="70"/>
  <c r="AG84" i="70" a="1"/>
  <c r="AG84" i="70" s="1"/>
  <c r="BI83" i="70"/>
  <c r="BH84" i="70" a="1"/>
  <c r="BH84" i="70" s="1"/>
  <c r="X84" i="70" a="1"/>
  <c r="X84" i="70" s="1"/>
  <c r="Y83" i="70"/>
  <c r="BF83" i="70"/>
  <c r="BE84" i="70" a="1"/>
  <c r="BE84" i="70" s="1"/>
  <c r="AV84" i="70" a="1"/>
  <c r="AV84" i="70" s="1"/>
  <c r="AW83" i="70"/>
  <c r="AQ83" i="70"/>
  <c r="AP84" i="70" a="1"/>
  <c r="AP84" i="70" s="1"/>
  <c r="U84" i="70" a="1"/>
  <c r="U84" i="70" s="1"/>
  <c r="V83" i="70"/>
  <c r="V84" i="70" l="1"/>
  <c r="U85" i="70" a="1"/>
  <c r="U85" i="70" s="1"/>
  <c r="AH84" i="70"/>
  <c r="AG85" i="70" a="1"/>
  <c r="AG85" i="70" s="1"/>
  <c r="AQ84" i="70"/>
  <c r="AP85" i="70" a="1"/>
  <c r="AP85" i="70" s="1"/>
  <c r="AZ84" i="70"/>
  <c r="AY85" i="70" a="1"/>
  <c r="AY85" i="70" s="1"/>
  <c r="S84" i="70"/>
  <c r="R85" i="70" a="1"/>
  <c r="R85" i="70" s="1"/>
  <c r="BI84" i="70"/>
  <c r="BH85" i="70" a="1"/>
  <c r="BH85" i="70" s="1"/>
  <c r="BH86" i="70" s="1" a="1"/>
  <c r="BH86" i="70" s="1"/>
  <c r="BH87" i="70" s="1" a="1"/>
  <c r="BH87" i="70" s="1"/>
  <c r="BH88" i="70" s="1" a="1"/>
  <c r="BH88" i="70" s="1"/>
  <c r="BH89" i="70" s="1" a="1"/>
  <c r="BH89" i="70" s="1"/>
  <c r="BH90" i="70" s="1" a="1"/>
  <c r="BH90" i="70" s="1"/>
  <c r="BH91" i="70" s="1" a="1"/>
  <c r="BH91" i="70" s="1"/>
  <c r="BH92" i="70" s="1" a="1"/>
  <c r="BH92" i="70" s="1"/>
  <c r="BH93" i="70" s="1" a="1"/>
  <c r="BH93" i="70" s="1"/>
  <c r="BH94" i="70" s="1" a="1"/>
  <c r="BH94" i="70" s="1"/>
  <c r="BH95" i="70" s="1" a="1"/>
  <c r="BH95" i="70" s="1"/>
  <c r="BH96" i="70" s="1" a="1"/>
  <c r="BH96" i="70" s="1"/>
  <c r="BH97" i="70" s="1" a="1"/>
  <c r="BH97" i="70" s="1"/>
  <c r="BH98" i="70" s="1" a="1"/>
  <c r="BH98" i="70" s="1"/>
  <c r="BH99" i="70" s="1" a="1"/>
  <c r="BH99" i="70" s="1"/>
  <c r="BH100" i="70" s="1" a="1"/>
  <c r="BH100" i="70" s="1"/>
  <c r="BH101" i="70" s="1" a="1"/>
  <c r="BH101" i="70" s="1"/>
  <c r="BH102" i="70" s="1" a="1"/>
  <c r="BH102" i="70" s="1"/>
  <c r="BH103" i="70" s="1" a="1"/>
  <c r="BH103" i="70" s="1"/>
  <c r="BH104" i="70" s="1" a="1"/>
  <c r="BH104" i="70" s="1"/>
  <c r="BH105" i="70" s="1" a="1"/>
  <c r="BH105" i="70" s="1"/>
  <c r="BH106" i="70" s="1" a="1"/>
  <c r="BH106" i="70" s="1"/>
  <c r="BH107" i="70" s="1" a="1"/>
  <c r="BH107" i="70" s="1"/>
  <c r="BH108" i="70" s="1" a="1"/>
  <c r="BH108" i="70" s="1"/>
  <c r="BH109" i="70" s="1" a="1"/>
  <c r="BH109" i="70" s="1"/>
  <c r="BH110" i="70" s="1" a="1"/>
  <c r="BH110" i="70" s="1"/>
  <c r="BH111" i="70" s="1" a="1"/>
  <c r="BH111" i="70" s="1"/>
  <c r="BH112" i="70" s="1" a="1"/>
  <c r="BH112" i="70" s="1"/>
  <c r="BH113" i="70" s="1" a="1"/>
  <c r="BH113" i="70" s="1"/>
  <c r="BH114" i="70" s="1" a="1"/>
  <c r="BH114" i="70" s="1"/>
  <c r="BH115" i="70" s="1" a="1"/>
  <c r="BH115" i="70" s="1"/>
  <c r="BH116" i="70" s="1" a="1"/>
  <c r="BH116" i="70" s="1"/>
  <c r="BH117" i="70" s="1" a="1"/>
  <c r="BH117" i="70" s="1"/>
  <c r="BH118" i="70" s="1" a="1"/>
  <c r="BH118" i="70" s="1"/>
  <c r="BH119" i="70" s="1" a="1"/>
  <c r="BH119" i="70" s="1"/>
  <c r="BH120" i="70" s="1" a="1"/>
  <c r="BH120" i="70" s="1"/>
  <c r="BH121" i="70" s="1" a="1"/>
  <c r="BH121" i="70" s="1"/>
  <c r="BH122" i="70" s="1" a="1"/>
  <c r="BH122" i="70" s="1"/>
  <c r="BH123" i="70" s="1" a="1"/>
  <c r="BH123" i="70" s="1"/>
  <c r="BH124" i="70" s="1" a="1"/>
  <c r="BH124" i="70" s="1"/>
  <c r="BH125" i="70" s="1" a="1"/>
  <c r="BH125" i="70" s="1"/>
  <c r="BH126" i="70" s="1" a="1"/>
  <c r="BH126" i="70" s="1"/>
  <c r="BH127" i="70" s="1" a="1"/>
  <c r="BH127" i="70" s="1"/>
  <c r="BH128" i="70" s="1" a="1"/>
  <c r="BH128" i="70" s="1"/>
  <c r="BH129" i="70" s="1" a="1"/>
  <c r="BH129" i="70" s="1"/>
  <c r="BH130" i="70" s="1" a="1"/>
  <c r="BH130" i="70" s="1"/>
  <c r="BH131" i="70" s="1" a="1"/>
  <c r="BH131" i="70" s="1"/>
  <c r="BH132" i="70" s="1" a="1"/>
  <c r="BH132" i="70" s="1"/>
  <c r="BH133" i="70" s="1" a="1"/>
  <c r="BH133" i="70" s="1"/>
  <c r="BH134" i="70" s="1" a="1"/>
  <c r="BH134" i="70" s="1"/>
  <c r="BH135" i="70" s="1" a="1"/>
  <c r="BH135" i="70" s="1"/>
  <c r="BH136" i="70" s="1" a="1"/>
  <c r="BH136" i="70" s="1"/>
  <c r="BH137" i="70" s="1" a="1"/>
  <c r="BH137" i="70" s="1"/>
  <c r="BH138" i="70" s="1" a="1"/>
  <c r="BH138" i="70" s="1"/>
  <c r="BH139" i="70" s="1" a="1"/>
  <c r="BH139" i="70" s="1"/>
  <c r="BH140" i="70" s="1" a="1"/>
  <c r="BH140" i="70" s="1"/>
  <c r="BH141" i="70" s="1" a="1"/>
  <c r="BH141" i="70" s="1"/>
  <c r="BH142" i="70" s="1" a="1"/>
  <c r="BH142" i="70" s="1"/>
  <c r="BH143" i="70" s="1" a="1"/>
  <c r="BH143" i="70" s="1"/>
  <c r="BH144" i="70" s="1" a="1"/>
  <c r="BH144" i="70" s="1"/>
  <c r="BH145" i="70" s="1" a="1"/>
  <c r="BH145" i="70" s="1"/>
  <c r="BH146" i="70" s="1" a="1"/>
  <c r="BH146" i="70" s="1"/>
  <c r="BH147" i="70" s="1" a="1"/>
  <c r="BH147" i="70" s="1"/>
  <c r="BH148" i="70" s="1" a="1"/>
  <c r="BH148" i="70" s="1"/>
  <c r="BH149" i="70" s="1" a="1"/>
  <c r="BH149" i="70" s="1"/>
  <c r="BH150" i="70" s="1" a="1"/>
  <c r="BH150" i="70" s="1"/>
  <c r="BH151" i="70" s="1" a="1"/>
  <c r="BH151" i="70" s="1"/>
  <c r="BH152" i="70" s="1" a="1"/>
  <c r="BH152" i="70" s="1"/>
  <c r="BH153" i="70" s="1" a="1"/>
  <c r="BH153" i="70" s="1"/>
  <c r="BH154" i="70" s="1" a="1"/>
  <c r="BH154" i="70" s="1"/>
  <c r="BH155" i="70" s="1" a="1"/>
  <c r="BH155" i="70" s="1"/>
  <c r="BH156" i="70" s="1" a="1"/>
  <c r="BH156" i="70" s="1"/>
  <c r="BH157" i="70" s="1" a="1"/>
  <c r="BH157" i="70" s="1"/>
  <c r="BH158" i="70" s="1" a="1"/>
  <c r="BH158" i="70" s="1"/>
  <c r="BH159" i="70" s="1" a="1"/>
  <c r="BH159" i="70" s="1"/>
  <c r="BH160" i="70" s="1" a="1"/>
  <c r="BH160" i="70" s="1"/>
  <c r="BH161" i="70" s="1" a="1"/>
  <c r="BH161" i="70" s="1"/>
  <c r="BH162" i="70" s="1" a="1"/>
  <c r="BH162" i="70" s="1"/>
  <c r="BH163" i="70" s="1" a="1"/>
  <c r="BH163" i="70" s="1"/>
  <c r="BH164" i="70" s="1" a="1"/>
  <c r="BH164" i="70" s="1"/>
  <c r="BH165" i="70" s="1" a="1"/>
  <c r="BH165" i="70" s="1"/>
  <c r="BH166" i="70" s="1" a="1"/>
  <c r="BH166" i="70" s="1"/>
  <c r="BH167" i="70" s="1" a="1"/>
  <c r="BH167" i="70" s="1"/>
  <c r="BH168" i="70" s="1" a="1"/>
  <c r="BH168" i="70" s="1"/>
  <c r="BH169" i="70" s="1" a="1"/>
  <c r="BH169" i="70" s="1"/>
  <c r="BH170" i="70" s="1" a="1"/>
  <c r="BH170" i="70" s="1"/>
  <c r="BH171" i="70" s="1" a="1"/>
  <c r="BH171" i="70" s="1"/>
  <c r="BH172" i="70" s="1" a="1"/>
  <c r="BH172" i="70" s="1"/>
  <c r="BH173" i="70" s="1" a="1"/>
  <c r="BH173" i="70" s="1"/>
  <c r="BH174" i="70" s="1" a="1"/>
  <c r="BH174" i="70" s="1"/>
  <c r="BH175" i="70" s="1" a="1"/>
  <c r="BH175" i="70" s="1"/>
  <c r="BH176" i="70" s="1" a="1"/>
  <c r="BH176" i="70" s="1"/>
  <c r="BH177" i="70" s="1" a="1"/>
  <c r="BH177" i="70" s="1"/>
  <c r="BH178" i="70" s="1" a="1"/>
  <c r="BH178" i="70" s="1"/>
  <c r="BH179" i="70" s="1" a="1"/>
  <c r="BH179" i="70" s="1"/>
  <c r="BH180" i="70" s="1" a="1"/>
  <c r="BH180" i="70" s="1"/>
  <c r="BH181" i="70" s="1" a="1"/>
  <c r="BH181" i="70" s="1"/>
  <c r="BH182" i="70" s="1" a="1"/>
  <c r="BH182" i="70" s="1"/>
  <c r="BH183" i="70" s="1" a="1"/>
  <c r="BH183" i="70" s="1"/>
  <c r="BH184" i="70" s="1" a="1"/>
  <c r="BH184" i="70" s="1"/>
  <c r="BH185" i="70" s="1" a="1"/>
  <c r="BH185" i="70" s="1"/>
  <c r="BH186" i="70" s="1" a="1"/>
  <c r="BH186" i="70" s="1"/>
  <c r="BH187" i="70" s="1" a="1"/>
  <c r="BH187" i="70" s="1"/>
  <c r="BH188" i="70" s="1" a="1"/>
  <c r="BH188" i="70" s="1"/>
  <c r="BH189" i="70" s="1" a="1"/>
  <c r="BH189" i="70" s="1"/>
  <c r="BH190" i="70" s="1" a="1"/>
  <c r="BH190" i="70" s="1"/>
  <c r="BH191" i="70" s="1" a="1"/>
  <c r="BH191" i="70" s="1"/>
  <c r="BH192" i="70" s="1" a="1"/>
  <c r="BH192" i="70" s="1"/>
  <c r="BH193" i="70" s="1" a="1"/>
  <c r="BH193" i="70" s="1"/>
  <c r="BH194" i="70" s="1" a="1"/>
  <c r="BH194" i="70" s="1"/>
  <c r="BH195" i="70" s="1" a="1"/>
  <c r="BH195" i="70" s="1"/>
  <c r="BH196" i="70" s="1" a="1"/>
  <c r="BH196" i="70" s="1"/>
  <c r="BH197" i="70" s="1" a="1"/>
  <c r="BH197" i="70" s="1"/>
  <c r="BH198" i="70" s="1" a="1"/>
  <c r="BH198" i="70" s="1"/>
  <c r="BH199" i="70" s="1" a="1"/>
  <c r="BH199" i="70" s="1"/>
  <c r="BH200" i="70" s="1" a="1"/>
  <c r="BH200" i="70" s="1"/>
  <c r="BH201" i="70" s="1" a="1"/>
  <c r="BH201" i="70" s="1"/>
  <c r="BH202" i="70" s="1" a="1"/>
  <c r="BH202" i="70" s="1"/>
  <c r="BH203" i="70" s="1" a="1"/>
  <c r="BH203" i="70" s="1"/>
  <c r="BH204" i="70" s="1" a="1"/>
  <c r="BH204" i="70" s="1"/>
  <c r="BH205" i="70" s="1" a="1"/>
  <c r="BH205" i="70" s="1"/>
  <c r="BH206" i="70" s="1" a="1"/>
  <c r="BH206" i="70" s="1"/>
  <c r="BH207" i="70" s="1" a="1"/>
  <c r="BH207" i="70" s="1"/>
  <c r="BH208" i="70" s="1" a="1"/>
  <c r="BH208" i="70" s="1"/>
  <c r="BH209" i="70" s="1" a="1"/>
  <c r="BH209" i="70" s="1"/>
  <c r="BH210" i="70" s="1" a="1"/>
  <c r="BH210" i="70" s="1"/>
  <c r="BH211" i="70" s="1" a="1"/>
  <c r="BH211" i="70" s="1"/>
  <c r="BH212" i="70" s="1" a="1"/>
  <c r="BH212" i="70" s="1"/>
  <c r="BH213" i="70" s="1" a="1"/>
  <c r="BH213" i="70" s="1"/>
  <c r="BH214" i="70" s="1" a="1"/>
  <c r="BH214" i="70" s="1"/>
  <c r="BH215" i="70" s="1" a="1"/>
  <c r="BH215" i="70" s="1"/>
  <c r="BH216" i="70" s="1" a="1"/>
  <c r="BH216" i="70" s="1"/>
  <c r="BH217" i="70" s="1" a="1"/>
  <c r="BH217" i="70" s="1"/>
  <c r="BH218" i="70" s="1" a="1"/>
  <c r="BH218" i="70" s="1"/>
  <c r="BH219" i="70" s="1" a="1"/>
  <c r="BH219" i="70" s="1"/>
  <c r="BH220" i="70" s="1" a="1"/>
  <c r="BH220" i="70" s="1"/>
  <c r="BH221" i="70" s="1" a="1"/>
  <c r="BH221" i="70" s="1"/>
  <c r="BH222" i="70" s="1" a="1"/>
  <c r="BH222" i="70" s="1"/>
  <c r="BH223" i="70" s="1" a="1"/>
  <c r="BH223" i="70" s="1"/>
  <c r="BH224" i="70" s="1" a="1"/>
  <c r="BH224" i="70" s="1"/>
  <c r="BH225" i="70" s="1" a="1"/>
  <c r="BH225" i="70" s="1"/>
  <c r="BH226" i="70" s="1" a="1"/>
  <c r="BH226" i="70" s="1"/>
  <c r="BH227" i="70" s="1" a="1"/>
  <c r="BH227" i="70" s="1"/>
  <c r="BH228" i="70" s="1" a="1"/>
  <c r="BH228" i="70" s="1"/>
  <c r="BH229" i="70" s="1" a="1"/>
  <c r="BH229" i="70" s="1"/>
  <c r="BH230" i="70" s="1" a="1"/>
  <c r="BH230" i="70" s="1"/>
  <c r="BH231" i="70" s="1" a="1"/>
  <c r="BH231" i="70" s="1"/>
  <c r="O86" i="70" a="1"/>
  <c r="O86" i="70" s="1"/>
  <c r="P85" i="70"/>
  <c r="BF84" i="70"/>
  <c r="BE85" i="70" a="1"/>
  <c r="BE85" i="70" s="1"/>
  <c r="AW84" i="70"/>
  <c r="AV85" i="70" a="1"/>
  <c r="AV85" i="70" s="1"/>
  <c r="AN84" i="70"/>
  <c r="AM85" i="70" a="1"/>
  <c r="AM85" i="70" s="1"/>
  <c r="Y84" i="70"/>
  <c r="X85" i="70" a="1"/>
  <c r="X85" i="70" s="1"/>
  <c r="AY86" i="70" l="1" a="1"/>
  <c r="AY86" i="70" s="1"/>
  <c r="AZ85" i="70"/>
  <c r="AM86" i="70" a="1"/>
  <c r="AM86" i="70" s="1"/>
  <c r="AN85" i="70"/>
  <c r="AP86" i="70" a="1"/>
  <c r="AP86" i="70" s="1"/>
  <c r="AQ85" i="70"/>
  <c r="AV86" i="70" a="1"/>
  <c r="AV86" i="70" s="1"/>
  <c r="AW85" i="70"/>
  <c r="AG86" i="70" a="1"/>
  <c r="AG86" i="70" s="1"/>
  <c r="AH85" i="70"/>
  <c r="BE86" i="70" a="1"/>
  <c r="BE86" i="70" s="1"/>
  <c r="BF85" i="70"/>
  <c r="X86" i="70" a="1"/>
  <c r="X86" i="70" s="1"/>
  <c r="Y85" i="70"/>
  <c r="U86" i="70" a="1"/>
  <c r="U86" i="70" s="1"/>
  <c r="V85" i="70"/>
  <c r="R86" i="70" a="1"/>
  <c r="R86" i="70" s="1"/>
  <c r="S85" i="70"/>
  <c r="P86" i="70"/>
  <c r="O87" i="70" a="1"/>
  <c r="O87" i="70" s="1"/>
  <c r="AH86" i="70" l="1"/>
  <c r="AG87" i="70" a="1"/>
  <c r="AG87" i="70" s="1"/>
  <c r="AW86" i="70"/>
  <c r="AV87" i="70" a="1"/>
  <c r="AV87" i="70" s="1"/>
  <c r="P87" i="70"/>
  <c r="O88" i="70" a="1"/>
  <c r="O88" i="70" s="1"/>
  <c r="AQ86" i="70"/>
  <c r="AP87" i="70" a="1"/>
  <c r="AP87" i="70" s="1"/>
  <c r="S86" i="70"/>
  <c r="R87" i="70" a="1"/>
  <c r="R87" i="70" s="1"/>
  <c r="AN86" i="70"/>
  <c r="AM87" i="70" a="1"/>
  <c r="AM87" i="70" s="1"/>
  <c r="BE87" i="70" a="1"/>
  <c r="BE87" i="70" s="1"/>
  <c r="BF86" i="70"/>
  <c r="V86" i="70"/>
  <c r="U87" i="70" a="1"/>
  <c r="U87" i="70" s="1"/>
  <c r="X87" i="70" a="1"/>
  <c r="X87" i="70" s="1"/>
  <c r="Y86" i="70"/>
  <c r="AY87" i="70" a="1"/>
  <c r="AY87" i="70" s="1"/>
  <c r="AZ86" i="70"/>
  <c r="AN87" i="70" l="1"/>
  <c r="AM88" i="70" a="1"/>
  <c r="AM88" i="70" s="1"/>
  <c r="AQ87" i="70"/>
  <c r="AP88" i="70" a="1"/>
  <c r="AP88" i="70" s="1"/>
  <c r="AZ87" i="70"/>
  <c r="AY88" i="70" a="1"/>
  <c r="AY88" i="70" s="1"/>
  <c r="O89" i="70" a="1"/>
  <c r="O89" i="70" s="1"/>
  <c r="P88" i="70"/>
  <c r="Y87" i="70"/>
  <c r="X88" i="70" a="1"/>
  <c r="X88" i="70" s="1"/>
  <c r="AW87" i="70"/>
  <c r="AV88" i="70" a="1"/>
  <c r="AV88" i="70" s="1"/>
  <c r="AV89" i="70" s="1" a="1"/>
  <c r="AV89" i="70" s="1"/>
  <c r="AV90" i="70" s="1" a="1"/>
  <c r="AV90" i="70" s="1"/>
  <c r="AV91" i="70" s="1" a="1"/>
  <c r="AV91" i="70" s="1"/>
  <c r="AV92" i="70" s="1" a="1"/>
  <c r="AV92" i="70" s="1"/>
  <c r="AV93" i="70" s="1" a="1"/>
  <c r="AV93" i="70" s="1"/>
  <c r="AV94" i="70" s="1" a="1"/>
  <c r="AV94" i="70" s="1"/>
  <c r="AV95" i="70" s="1" a="1"/>
  <c r="AV95" i="70" s="1"/>
  <c r="AV96" i="70" s="1" a="1"/>
  <c r="AV96" i="70" s="1"/>
  <c r="AV97" i="70" s="1" a="1"/>
  <c r="AV97" i="70" s="1"/>
  <c r="AV98" i="70" s="1" a="1"/>
  <c r="AV98" i="70" s="1"/>
  <c r="AV99" i="70" s="1" a="1"/>
  <c r="AV99" i="70" s="1"/>
  <c r="AV100" i="70" s="1" a="1"/>
  <c r="AV100" i="70" s="1"/>
  <c r="AV101" i="70" s="1" a="1"/>
  <c r="AV101" i="70" s="1"/>
  <c r="AV102" i="70" s="1" a="1"/>
  <c r="AV102" i="70" s="1"/>
  <c r="AV103" i="70" s="1" a="1"/>
  <c r="AV103" i="70" s="1"/>
  <c r="AV104" i="70" s="1" a="1"/>
  <c r="AV104" i="70" s="1"/>
  <c r="AV105" i="70" s="1" a="1"/>
  <c r="AV105" i="70" s="1"/>
  <c r="AV106" i="70" s="1" a="1"/>
  <c r="AV106" i="70" s="1"/>
  <c r="AV107" i="70" s="1" a="1"/>
  <c r="AV107" i="70" s="1"/>
  <c r="AV108" i="70" s="1" a="1"/>
  <c r="AV108" i="70" s="1"/>
  <c r="AV109" i="70" s="1" a="1"/>
  <c r="AV109" i="70" s="1"/>
  <c r="AV110" i="70" s="1" a="1"/>
  <c r="AV110" i="70" s="1"/>
  <c r="AV111" i="70" s="1" a="1"/>
  <c r="AV111" i="70" s="1"/>
  <c r="AV112" i="70" s="1" a="1"/>
  <c r="AV112" i="70" s="1"/>
  <c r="AV113" i="70" s="1" a="1"/>
  <c r="AV113" i="70" s="1"/>
  <c r="AV114" i="70" s="1" a="1"/>
  <c r="AV114" i="70" s="1"/>
  <c r="AV115" i="70" s="1" a="1"/>
  <c r="AV115" i="70" s="1"/>
  <c r="AV116" i="70" s="1" a="1"/>
  <c r="AV116" i="70" s="1"/>
  <c r="AV117" i="70" s="1" a="1"/>
  <c r="AV117" i="70" s="1"/>
  <c r="AV118" i="70" s="1" a="1"/>
  <c r="AV118" i="70" s="1"/>
  <c r="AV119" i="70" s="1" a="1"/>
  <c r="AV119" i="70" s="1"/>
  <c r="AV120" i="70" s="1" a="1"/>
  <c r="AV120" i="70" s="1"/>
  <c r="AV121" i="70" s="1" a="1"/>
  <c r="AV121" i="70" s="1"/>
  <c r="AV122" i="70" s="1" a="1"/>
  <c r="AV122" i="70" s="1"/>
  <c r="AV123" i="70" s="1" a="1"/>
  <c r="AV123" i="70" s="1"/>
  <c r="AV124" i="70" s="1" a="1"/>
  <c r="AV124" i="70" s="1"/>
  <c r="AV125" i="70" s="1" a="1"/>
  <c r="AV125" i="70" s="1"/>
  <c r="AV126" i="70" s="1" a="1"/>
  <c r="AV126" i="70" s="1"/>
  <c r="AV127" i="70" s="1" a="1"/>
  <c r="AV127" i="70" s="1"/>
  <c r="AV128" i="70" s="1" a="1"/>
  <c r="AV128" i="70" s="1"/>
  <c r="AV129" i="70" s="1" a="1"/>
  <c r="AV129" i="70" s="1"/>
  <c r="AV130" i="70" s="1" a="1"/>
  <c r="AV130" i="70" s="1"/>
  <c r="AV131" i="70" s="1" a="1"/>
  <c r="AV131" i="70" s="1"/>
  <c r="AV132" i="70" s="1" a="1"/>
  <c r="AV132" i="70" s="1"/>
  <c r="AV133" i="70" s="1" a="1"/>
  <c r="AV133" i="70" s="1"/>
  <c r="AV134" i="70" s="1" a="1"/>
  <c r="AV134" i="70" s="1"/>
  <c r="AV135" i="70" s="1" a="1"/>
  <c r="AV135" i="70" s="1"/>
  <c r="AV136" i="70" s="1" a="1"/>
  <c r="AV136" i="70" s="1"/>
  <c r="AV137" i="70" s="1" a="1"/>
  <c r="AV137" i="70" s="1"/>
  <c r="AV138" i="70" s="1" a="1"/>
  <c r="AV138" i="70" s="1"/>
  <c r="AV139" i="70" s="1" a="1"/>
  <c r="AV139" i="70" s="1"/>
  <c r="AV140" i="70" s="1" a="1"/>
  <c r="AV140" i="70" s="1"/>
  <c r="AV141" i="70" s="1" a="1"/>
  <c r="AV141" i="70" s="1"/>
  <c r="AV142" i="70" s="1" a="1"/>
  <c r="AV142" i="70" s="1"/>
  <c r="AV143" i="70" s="1" a="1"/>
  <c r="AV143" i="70" s="1"/>
  <c r="AV144" i="70" s="1" a="1"/>
  <c r="AV144" i="70" s="1"/>
  <c r="AV145" i="70" s="1" a="1"/>
  <c r="AV145" i="70" s="1"/>
  <c r="AV146" i="70" s="1" a="1"/>
  <c r="AV146" i="70" s="1"/>
  <c r="AV147" i="70" s="1" a="1"/>
  <c r="AV147" i="70" s="1"/>
  <c r="AV148" i="70" s="1" a="1"/>
  <c r="AV148" i="70" s="1"/>
  <c r="AV149" i="70" s="1" a="1"/>
  <c r="AV149" i="70" s="1"/>
  <c r="AV150" i="70" s="1" a="1"/>
  <c r="AV150" i="70" s="1"/>
  <c r="AV151" i="70" s="1" a="1"/>
  <c r="AV151" i="70" s="1"/>
  <c r="AV152" i="70" s="1" a="1"/>
  <c r="AV152" i="70" s="1"/>
  <c r="AV153" i="70" s="1" a="1"/>
  <c r="AV153" i="70" s="1"/>
  <c r="AV154" i="70" s="1" a="1"/>
  <c r="AV154" i="70" s="1"/>
  <c r="AV155" i="70" s="1" a="1"/>
  <c r="AV155" i="70" s="1"/>
  <c r="V87" i="70"/>
  <c r="U88" i="70" a="1"/>
  <c r="U88" i="70" s="1"/>
  <c r="AH87" i="70"/>
  <c r="AG88" i="70" a="1"/>
  <c r="AG88" i="70" s="1"/>
  <c r="S87" i="70"/>
  <c r="R88" i="70" a="1"/>
  <c r="R88" i="70" s="1"/>
  <c r="BF87" i="70"/>
  <c r="BE88" i="70" a="1"/>
  <c r="BE88" i="70" s="1"/>
  <c r="BE89" i="70" l="1" a="1"/>
  <c r="BE89" i="70" s="1"/>
  <c r="BF88" i="70"/>
  <c r="O90" i="70" a="1"/>
  <c r="O90" i="70" s="1"/>
  <c r="P89" i="70"/>
  <c r="AZ88" i="70"/>
  <c r="AY89" i="70" a="1"/>
  <c r="AY89" i="70" s="1"/>
  <c r="R89" i="70" a="1"/>
  <c r="R89" i="70" s="1"/>
  <c r="S88" i="70"/>
  <c r="AD89" i="70" a="1"/>
  <c r="AD89" i="70" s="1"/>
  <c r="AP89" i="70" a="1"/>
  <c r="AP89" i="70" s="1"/>
  <c r="AQ88" i="70"/>
  <c r="AG89" i="70" a="1"/>
  <c r="AG89" i="70" s="1"/>
  <c r="AH88" i="70"/>
  <c r="X89" i="70" a="1"/>
  <c r="X89" i="70" s="1"/>
  <c r="Y88" i="70"/>
  <c r="AN88" i="70"/>
  <c r="AM89" i="70" a="1"/>
  <c r="AM89" i="70" s="1"/>
  <c r="U89" i="70" a="1"/>
  <c r="U89" i="70" s="1"/>
  <c r="V88" i="70"/>
  <c r="AH89" i="70" l="1"/>
  <c r="AG90" i="70" a="1"/>
  <c r="AG90" i="70" s="1"/>
  <c r="AQ89" i="70"/>
  <c r="AP90" i="70" a="1"/>
  <c r="AP90" i="70" s="1"/>
  <c r="S89" i="70"/>
  <c r="R90" i="70" a="1"/>
  <c r="R90" i="70" s="1"/>
  <c r="AY90" i="70" a="1"/>
  <c r="AY90" i="70" s="1"/>
  <c r="AZ89" i="70"/>
  <c r="V89" i="70"/>
  <c r="U90" i="70" a="1"/>
  <c r="U90" i="70" s="1"/>
  <c r="AM90" i="70" a="1"/>
  <c r="AM90" i="70" s="1"/>
  <c r="AN89" i="70"/>
  <c r="P90" i="70"/>
  <c r="O91" i="70" a="1"/>
  <c r="O91" i="70" s="1"/>
  <c r="Y89" i="70"/>
  <c r="X90" i="70" a="1"/>
  <c r="X90" i="70" s="1"/>
  <c r="AE89" i="70"/>
  <c r="AD90" i="70" a="1"/>
  <c r="AD90" i="70" s="1"/>
  <c r="BF89" i="70"/>
  <c r="BE90" i="70" a="1"/>
  <c r="BE90" i="70" s="1"/>
  <c r="BF90" i="70" l="1"/>
  <c r="BE91" i="70" a="1"/>
  <c r="BE91" i="70" s="1"/>
  <c r="AZ90" i="70"/>
  <c r="AY91" i="70" a="1"/>
  <c r="AY91" i="70" s="1"/>
  <c r="R91" i="70" a="1"/>
  <c r="R91" i="70" s="1"/>
  <c r="S90" i="70"/>
  <c r="AE90" i="70"/>
  <c r="AD91" i="70" a="1"/>
  <c r="AD91" i="70" s="1"/>
  <c r="AQ90" i="70"/>
  <c r="AP91" i="70" a="1"/>
  <c r="AP91" i="70" s="1"/>
  <c r="Y90" i="70"/>
  <c r="X91" i="70" a="1"/>
  <c r="X91" i="70" s="1"/>
  <c r="V90" i="70"/>
  <c r="U91" i="70" a="1"/>
  <c r="U91" i="70" s="1"/>
  <c r="AH90" i="70"/>
  <c r="AG91" i="70" a="1"/>
  <c r="AG91" i="70" s="1"/>
  <c r="AN90" i="70"/>
  <c r="AM91" i="70" a="1"/>
  <c r="AM91" i="70" s="1"/>
  <c r="O92" i="70" a="1"/>
  <c r="O92" i="70" s="1"/>
  <c r="P91" i="70"/>
  <c r="AS92" i="70" a="1"/>
  <c r="AS92" i="70" s="1"/>
  <c r="X92" i="70" l="1" a="1"/>
  <c r="X92" i="70" s="1"/>
  <c r="Y91" i="70"/>
  <c r="AQ91" i="70"/>
  <c r="AP92" i="70" a="1"/>
  <c r="AP92" i="70" s="1"/>
  <c r="AT92" i="70"/>
  <c r="AS93" i="70" a="1"/>
  <c r="AS93" i="70" s="1"/>
  <c r="AE91" i="70"/>
  <c r="AD92" i="70" a="1"/>
  <c r="AD92" i="70" s="1"/>
  <c r="P92" i="70"/>
  <c r="O93" i="70" a="1"/>
  <c r="O93" i="70" s="1"/>
  <c r="AM92" i="70" a="1"/>
  <c r="AM92" i="70" s="1"/>
  <c r="AN91" i="70"/>
  <c r="R92" i="70" a="1"/>
  <c r="R92" i="70" s="1"/>
  <c r="S91" i="70"/>
  <c r="AY92" i="70" a="1"/>
  <c r="AY92" i="70" s="1"/>
  <c r="AZ91" i="70"/>
  <c r="AG92" i="70" a="1"/>
  <c r="AG92" i="70" s="1"/>
  <c r="AH91" i="70"/>
  <c r="BF91" i="70"/>
  <c r="BE92" i="70" a="1"/>
  <c r="BE92" i="70" s="1"/>
  <c r="U92" i="70" a="1"/>
  <c r="U92" i="70" s="1"/>
  <c r="V91" i="70"/>
  <c r="P93" i="70" l="1"/>
  <c r="O94" i="70" a="1"/>
  <c r="O94" i="70" s="1"/>
  <c r="BF92" i="70"/>
  <c r="BE93" i="70" a="1"/>
  <c r="BE93" i="70" s="1"/>
  <c r="V92" i="70"/>
  <c r="U93" i="70" a="1"/>
  <c r="U93" i="70" s="1"/>
  <c r="AS94" i="70" a="1"/>
  <c r="AS94" i="70" s="1"/>
  <c r="AT93" i="70"/>
  <c r="AD93" i="70" a="1"/>
  <c r="AD93" i="70" s="1"/>
  <c r="AE92" i="70"/>
  <c r="AN92" i="70"/>
  <c r="AM93" i="70" a="1"/>
  <c r="AM93" i="70" s="1"/>
  <c r="AP93" i="70" a="1"/>
  <c r="AP93" i="70" s="1"/>
  <c r="AQ92" i="70"/>
  <c r="AH92" i="70"/>
  <c r="AG93" i="70" a="1"/>
  <c r="AG93" i="70" s="1"/>
  <c r="AZ92" i="70"/>
  <c r="AY93" i="70" a="1"/>
  <c r="AY93" i="70" s="1"/>
  <c r="S92" i="70"/>
  <c r="R93" i="70" a="1"/>
  <c r="R93" i="70" s="1"/>
  <c r="X93" i="70" a="1"/>
  <c r="X93" i="70" s="1"/>
  <c r="Y92" i="70"/>
  <c r="AN93" i="70" l="1"/>
  <c r="AM94" i="70" a="1"/>
  <c r="AM94" i="70" s="1"/>
  <c r="AE93" i="70"/>
  <c r="AD94" i="70" a="1"/>
  <c r="AD94" i="70" s="1"/>
  <c r="S93" i="70"/>
  <c r="R94" i="70" a="1"/>
  <c r="R94" i="70" s="1"/>
  <c r="AT94" i="70"/>
  <c r="AS95" i="70" a="1"/>
  <c r="AS95" i="70" s="1"/>
  <c r="U94" i="70" a="1"/>
  <c r="U94" i="70" s="1"/>
  <c r="V93" i="70"/>
  <c r="AZ93" i="70"/>
  <c r="AY94" i="70" a="1"/>
  <c r="AY94" i="70" s="1"/>
  <c r="Y93" i="70"/>
  <c r="X94" i="70" a="1"/>
  <c r="X94" i="70" s="1"/>
  <c r="BE94" i="70" a="1"/>
  <c r="BE94" i="70" s="1"/>
  <c r="BF93" i="70"/>
  <c r="AG94" i="70" a="1"/>
  <c r="AG94" i="70" s="1"/>
  <c r="AH93" i="70"/>
  <c r="P94" i="70"/>
  <c r="O95" i="70" a="1"/>
  <c r="O95" i="70" s="1"/>
  <c r="AQ93" i="70"/>
  <c r="AP94" i="70" a="1"/>
  <c r="AP94" i="70" s="1"/>
  <c r="AZ94" i="70" l="1"/>
  <c r="AY95" i="70" a="1"/>
  <c r="AY95" i="70" s="1"/>
  <c r="V94" i="70"/>
  <c r="U95" i="70" a="1"/>
  <c r="U95" i="70" s="1"/>
  <c r="AS96" i="70" a="1"/>
  <c r="AS96" i="70" s="1"/>
  <c r="AT95" i="70"/>
  <c r="O96" i="70" a="1"/>
  <c r="O96" i="70" s="1"/>
  <c r="P95" i="70"/>
  <c r="R95" i="70" a="1"/>
  <c r="R95" i="70" s="1"/>
  <c r="S94" i="70"/>
  <c r="AH94" i="70"/>
  <c r="AG95" i="70" a="1"/>
  <c r="AG95" i="70" s="1"/>
  <c r="AP95" i="70" a="1"/>
  <c r="AP95" i="70" s="1"/>
  <c r="AQ94" i="70"/>
  <c r="AD95" i="70" a="1"/>
  <c r="AD95" i="70" s="1"/>
  <c r="AE94" i="70"/>
  <c r="BF94" i="70"/>
  <c r="BE95" i="70" a="1"/>
  <c r="BE95" i="70" s="1"/>
  <c r="AN94" i="70"/>
  <c r="AM95" i="70" a="1"/>
  <c r="AM95" i="70" s="1"/>
  <c r="X95" i="70" a="1"/>
  <c r="X95" i="70" s="1"/>
  <c r="Y94" i="70"/>
  <c r="AG96" i="70" l="1" a="1"/>
  <c r="AG96" i="70" s="1"/>
  <c r="AH95" i="70"/>
  <c r="S95" i="70"/>
  <c r="R96" i="70" a="1"/>
  <c r="R96" i="70" s="1"/>
  <c r="AM96" i="70" a="1"/>
  <c r="AM96" i="70" s="1"/>
  <c r="AN95" i="70"/>
  <c r="P96" i="70"/>
  <c r="O97" i="70" a="1"/>
  <c r="O97" i="70" s="1"/>
  <c r="BE96" i="70" a="1"/>
  <c r="BE96" i="70" s="1"/>
  <c r="BF95" i="70"/>
  <c r="AT96" i="70"/>
  <c r="AS97" i="70" a="1"/>
  <c r="AS97" i="70" s="1"/>
  <c r="U96" i="70" a="1"/>
  <c r="U96" i="70" s="1"/>
  <c r="V95" i="70"/>
  <c r="Y95" i="70"/>
  <c r="X96" i="70" a="1"/>
  <c r="X96" i="70" s="1"/>
  <c r="AD96" i="70" a="1"/>
  <c r="AD96" i="70" s="1"/>
  <c r="AE95" i="70"/>
  <c r="AY96" i="70" a="1"/>
  <c r="AY96" i="70" s="1"/>
  <c r="AZ95" i="70"/>
  <c r="AQ95" i="70"/>
  <c r="AP96" i="70" a="1"/>
  <c r="AP96" i="70" s="1"/>
  <c r="AS98" i="70" l="1" a="1"/>
  <c r="AS98" i="70" s="1"/>
  <c r="AT97" i="70"/>
  <c r="BF96" i="70"/>
  <c r="BE97" i="70" a="1"/>
  <c r="BE97" i="70" s="1"/>
  <c r="O98" i="70" a="1"/>
  <c r="O98" i="70" s="1"/>
  <c r="P97" i="70"/>
  <c r="AZ96" i="70"/>
  <c r="AY97" i="70" a="1"/>
  <c r="AY97" i="70" s="1"/>
  <c r="AQ96" i="70"/>
  <c r="AP97" i="70" a="1"/>
  <c r="AP97" i="70" s="1"/>
  <c r="AE96" i="70"/>
  <c r="AD97" i="70" a="1"/>
  <c r="AD97" i="70" s="1"/>
  <c r="S96" i="70"/>
  <c r="R97" i="70" a="1"/>
  <c r="R97" i="70" s="1"/>
  <c r="AN96" i="70"/>
  <c r="AM97" i="70" a="1"/>
  <c r="AM97" i="70" s="1"/>
  <c r="X97" i="70" a="1"/>
  <c r="X97" i="70" s="1"/>
  <c r="Y96" i="70"/>
  <c r="V96" i="70"/>
  <c r="U97" i="70" a="1"/>
  <c r="U97" i="70" s="1"/>
  <c r="AH96" i="70"/>
  <c r="AG97" i="70" a="1"/>
  <c r="AG97" i="70" s="1"/>
  <c r="AE97" i="70" l="1"/>
  <c r="AD98" i="70" a="1"/>
  <c r="AD98" i="70" s="1"/>
  <c r="AH97" i="70"/>
  <c r="AG98" i="70" a="1"/>
  <c r="AG98" i="70" s="1"/>
  <c r="AY98" i="70" a="1"/>
  <c r="AY98" i="70" s="1"/>
  <c r="AZ97" i="70"/>
  <c r="AQ97" i="70"/>
  <c r="AP98" i="70" a="1"/>
  <c r="AP98" i="70" s="1"/>
  <c r="U98" i="70" a="1"/>
  <c r="U98" i="70" s="1"/>
  <c r="V97" i="70"/>
  <c r="P98" i="70"/>
  <c r="O99" i="70" a="1"/>
  <c r="O99" i="70" s="1"/>
  <c r="BF97" i="70"/>
  <c r="BE98" i="70" a="1"/>
  <c r="BE98" i="70" s="1"/>
  <c r="AM98" i="70" a="1"/>
  <c r="AM98" i="70" s="1"/>
  <c r="AN97" i="70"/>
  <c r="S97" i="70"/>
  <c r="R98" i="70" a="1"/>
  <c r="R98" i="70" s="1"/>
  <c r="AS99" i="70" s="1" a="1"/>
  <c r="AS99" i="70" s="1"/>
  <c r="Y97" i="70"/>
  <c r="X98" i="70" a="1"/>
  <c r="X98" i="70" s="1"/>
  <c r="AT98" i="70"/>
  <c r="O100" i="70" l="1" a="1"/>
  <c r="O100" i="70" s="1"/>
  <c r="P99" i="70"/>
  <c r="V98" i="70"/>
  <c r="U99" i="70" a="1"/>
  <c r="U99" i="70" s="1"/>
  <c r="AP99" i="70" a="1"/>
  <c r="AP99" i="70" s="1"/>
  <c r="AQ98" i="70"/>
  <c r="X99" i="70" a="1"/>
  <c r="X99" i="70" s="1"/>
  <c r="Y98" i="70"/>
  <c r="R99" i="70" a="1"/>
  <c r="R99" i="70" s="1"/>
  <c r="S98" i="70"/>
  <c r="AZ98" i="70"/>
  <c r="AY99" i="70" a="1"/>
  <c r="AY99" i="70" s="1"/>
  <c r="AG99" i="70" a="1"/>
  <c r="AG99" i="70" s="1"/>
  <c r="AH98" i="70"/>
  <c r="AN98" i="70"/>
  <c r="AM99" i="70" a="1"/>
  <c r="AM99" i="70" s="1"/>
  <c r="AD99" i="70" a="1"/>
  <c r="AD99" i="70" s="1"/>
  <c r="AE98" i="70"/>
  <c r="AT99" i="70"/>
  <c r="AS100" i="70" a="1"/>
  <c r="AS100" i="70" s="1"/>
  <c r="BF98" i="70"/>
  <c r="BE99" i="70" a="1"/>
  <c r="BE99" i="70" s="1"/>
  <c r="AY100" i="70" l="1" a="1"/>
  <c r="AY100" i="70" s="1"/>
  <c r="AZ99" i="70"/>
  <c r="S99" i="70"/>
  <c r="R100" i="70" a="1"/>
  <c r="R100" i="70" s="1"/>
  <c r="BE100" i="70" a="1"/>
  <c r="BE100" i="70" s="1"/>
  <c r="BF99" i="70"/>
  <c r="Y99" i="70"/>
  <c r="X100" i="70" a="1"/>
  <c r="X100" i="70" s="1"/>
  <c r="AT100" i="70"/>
  <c r="AS101" i="70" a="1"/>
  <c r="AS101" i="70" s="1"/>
  <c r="AE99" i="70"/>
  <c r="AD100" i="70" a="1"/>
  <c r="AD100" i="70" s="1"/>
  <c r="V99" i="70"/>
  <c r="U100" i="70" a="1"/>
  <c r="U100" i="70" s="1"/>
  <c r="AQ99" i="70"/>
  <c r="AP100" i="70" a="1"/>
  <c r="AP100" i="70" s="1"/>
  <c r="AM100" i="70" a="1"/>
  <c r="AM100" i="70" s="1"/>
  <c r="AN99" i="70"/>
  <c r="AH99" i="70"/>
  <c r="AG100" i="70" a="1"/>
  <c r="AG100" i="70" s="1"/>
  <c r="P100" i="70"/>
  <c r="O101" i="70" a="1"/>
  <c r="O101" i="70" s="1"/>
  <c r="O102" i="70" l="1" a="1"/>
  <c r="O102" i="70" s="1"/>
  <c r="P101" i="70"/>
  <c r="X101" i="70" a="1"/>
  <c r="X101" i="70" s="1"/>
  <c r="Y100" i="70"/>
  <c r="AS102" i="70" a="1"/>
  <c r="AS102" i="70" s="1"/>
  <c r="AT101" i="70"/>
  <c r="AH100" i="70"/>
  <c r="AG101" i="70" a="1"/>
  <c r="AG101" i="70" s="1"/>
  <c r="BF100" i="70"/>
  <c r="BE101" i="70" a="1"/>
  <c r="BE101" i="70" s="1"/>
  <c r="R101" i="70" a="1"/>
  <c r="R101" i="70" s="1"/>
  <c r="S100" i="70"/>
  <c r="AP101" i="70" a="1"/>
  <c r="AP101" i="70" s="1"/>
  <c r="AQ100" i="70"/>
  <c r="AD101" i="70" a="1"/>
  <c r="AD101" i="70" s="1"/>
  <c r="AE100" i="70"/>
  <c r="V100" i="70"/>
  <c r="U101" i="70" a="1"/>
  <c r="U101" i="70" s="1"/>
  <c r="AN100" i="70"/>
  <c r="AM101" i="70" a="1"/>
  <c r="AM101" i="70" s="1"/>
  <c r="AZ100" i="70"/>
  <c r="AY101" i="70" a="1"/>
  <c r="AY101" i="70" s="1"/>
  <c r="AY102" i="70" l="1" a="1"/>
  <c r="AY102" i="70" s="1"/>
  <c r="AZ101" i="70"/>
  <c r="AM102" i="70" a="1"/>
  <c r="AM102" i="70" s="1"/>
  <c r="AN101" i="70"/>
  <c r="BE102" i="70" a="1"/>
  <c r="BE102" i="70" s="1"/>
  <c r="BF101" i="70"/>
  <c r="AG102" i="70" a="1"/>
  <c r="AG102" i="70" s="1"/>
  <c r="AH101" i="70"/>
  <c r="AT102" i="70"/>
  <c r="AS103" i="70" a="1"/>
  <c r="AS103" i="70" s="1"/>
  <c r="U102" i="70" a="1"/>
  <c r="U102" i="70" s="1"/>
  <c r="V101" i="70"/>
  <c r="Y101" i="70"/>
  <c r="X102" i="70" a="1"/>
  <c r="X102" i="70" s="1"/>
  <c r="S101" i="70"/>
  <c r="R102" i="70" a="1"/>
  <c r="R102" i="70" s="1"/>
  <c r="AE101" i="70"/>
  <c r="AD102" i="70" a="1"/>
  <c r="AD102" i="70" s="1"/>
  <c r="AQ101" i="70"/>
  <c r="AP102" i="70" a="1"/>
  <c r="AP102" i="70" s="1"/>
  <c r="P102" i="70"/>
  <c r="O103" i="70" a="1"/>
  <c r="O103" i="70" s="1"/>
  <c r="P103" i="70" l="1"/>
  <c r="O104" i="70" a="1"/>
  <c r="O104" i="70" s="1"/>
  <c r="AP103" i="70" a="1"/>
  <c r="AP103" i="70" s="1"/>
  <c r="AQ102" i="70"/>
  <c r="AH102" i="70"/>
  <c r="AG103" i="70" a="1"/>
  <c r="AG103" i="70" s="1"/>
  <c r="AD103" i="70" a="1"/>
  <c r="AD103" i="70" s="1"/>
  <c r="AE102" i="70"/>
  <c r="BF102" i="70"/>
  <c r="BE103" i="70" a="1"/>
  <c r="BE103" i="70" s="1"/>
  <c r="R103" i="70" a="1"/>
  <c r="R103" i="70" s="1"/>
  <c r="S102" i="70"/>
  <c r="V102" i="70"/>
  <c r="U103" i="70" a="1"/>
  <c r="U103" i="70" s="1"/>
  <c r="AM103" i="70" a="1"/>
  <c r="AM103" i="70" s="1"/>
  <c r="AN102" i="70"/>
  <c r="Y102" i="70"/>
  <c r="X103" i="70" a="1"/>
  <c r="X103" i="70" s="1"/>
  <c r="AS104" i="70" a="1"/>
  <c r="AS104" i="70" s="1"/>
  <c r="AT103" i="70"/>
  <c r="AZ102" i="70"/>
  <c r="AY103" i="70" a="1"/>
  <c r="AY103" i="70" s="1"/>
  <c r="BE104" i="70" l="1" a="1"/>
  <c r="BE104" i="70" s="1"/>
  <c r="BF103" i="70"/>
  <c r="AT104" i="70"/>
  <c r="AS105" i="70" a="1"/>
  <c r="AS105" i="70" s="1"/>
  <c r="AG104" i="70" a="1"/>
  <c r="AG104" i="70" s="1"/>
  <c r="AH103" i="70"/>
  <c r="AE103" i="70"/>
  <c r="AD104" i="70" a="1"/>
  <c r="AD104" i="70" s="1"/>
  <c r="Y103" i="70"/>
  <c r="X104" i="70" a="1"/>
  <c r="X104" i="70" s="1"/>
  <c r="S103" i="70"/>
  <c r="R104" i="70" a="1"/>
  <c r="R104" i="70" s="1"/>
  <c r="AQ103" i="70"/>
  <c r="AP104" i="70" a="1"/>
  <c r="AP104" i="70" s="1"/>
  <c r="AN103" i="70"/>
  <c r="AM104" i="70" a="1"/>
  <c r="AM104" i="70" s="1"/>
  <c r="P104" i="70"/>
  <c r="O105" i="70" a="1"/>
  <c r="O105" i="70" s="1"/>
  <c r="AY104" i="70" a="1"/>
  <c r="AY104" i="70" s="1"/>
  <c r="AZ103" i="70"/>
  <c r="U104" i="70" a="1"/>
  <c r="U104" i="70" s="1"/>
  <c r="V103" i="70"/>
  <c r="R105" i="70" l="1" a="1"/>
  <c r="R105" i="70" s="1"/>
  <c r="S104" i="70"/>
  <c r="AA105" i="70" a="1"/>
  <c r="AA105" i="70" s="1"/>
  <c r="AD105" i="70" a="1"/>
  <c r="AD105" i="70" s="1"/>
  <c r="AE104" i="70"/>
  <c r="AZ104" i="70"/>
  <c r="AY105" i="70" a="1"/>
  <c r="AY105" i="70" s="1"/>
  <c r="O106" i="70" a="1"/>
  <c r="O106" i="70" s="1"/>
  <c r="P105" i="70"/>
  <c r="AH104" i="70"/>
  <c r="AG105" i="70" a="1"/>
  <c r="AG105" i="70" s="1"/>
  <c r="AS106" i="70" a="1"/>
  <c r="AS106" i="70" s="1"/>
  <c r="AT105" i="70"/>
  <c r="AN104" i="70"/>
  <c r="AM105" i="70" a="1"/>
  <c r="AM105" i="70" s="1"/>
  <c r="X105" i="70" a="1"/>
  <c r="X105" i="70" s="1"/>
  <c r="Y104" i="70"/>
  <c r="AP105" i="70" a="1"/>
  <c r="AP105" i="70" s="1"/>
  <c r="AQ104" i="70"/>
  <c r="V104" i="70"/>
  <c r="U105" i="70" a="1"/>
  <c r="U105" i="70" s="1"/>
  <c r="BF104" i="70"/>
  <c r="BE105" i="70" a="1"/>
  <c r="BE105" i="70" s="1"/>
  <c r="AT106" i="70" l="1"/>
  <c r="AS107" i="70" a="1"/>
  <c r="AS107" i="70" s="1"/>
  <c r="AG106" i="70" a="1"/>
  <c r="AG106" i="70" s="1"/>
  <c r="AH105" i="70"/>
  <c r="P106" i="70"/>
  <c r="O107" i="70" a="1"/>
  <c r="O107" i="70" s="1"/>
  <c r="AZ105" i="70"/>
  <c r="AY106" i="70" a="1"/>
  <c r="AY106" i="70" s="1"/>
  <c r="AP106" i="70" a="1"/>
  <c r="AP106" i="70" s="1"/>
  <c r="AQ105" i="70"/>
  <c r="U106" i="70" a="1"/>
  <c r="U106" i="70" s="1"/>
  <c r="V105" i="70"/>
  <c r="Y105" i="70"/>
  <c r="X106" i="70" a="1"/>
  <c r="X106" i="70" s="1"/>
  <c r="AD106" i="70" a="1"/>
  <c r="AD106" i="70" s="1"/>
  <c r="AE105" i="70"/>
  <c r="AA106" i="70" a="1"/>
  <c r="AA106" i="70" s="1"/>
  <c r="AB105" i="70"/>
  <c r="BE106" i="70" a="1"/>
  <c r="BE106" i="70" s="1"/>
  <c r="BF105" i="70"/>
  <c r="AN105" i="70"/>
  <c r="AM106" i="70" a="1"/>
  <c r="AM106" i="70" s="1"/>
  <c r="S105" i="70"/>
  <c r="R106" i="70" a="1"/>
  <c r="R106" i="70" s="1"/>
  <c r="S106" i="70" l="1"/>
  <c r="R107" i="70" a="1"/>
  <c r="R107" i="70" s="1"/>
  <c r="AP107" i="70" a="1"/>
  <c r="AP107" i="70" s="1"/>
  <c r="AQ106" i="70"/>
  <c r="BF106" i="70"/>
  <c r="BE107" i="70" a="1"/>
  <c r="BE107" i="70" s="1"/>
  <c r="O108" i="70" a="1"/>
  <c r="O108" i="70" s="1"/>
  <c r="P107" i="70"/>
  <c r="AZ106" i="70"/>
  <c r="AY107" i="70" a="1"/>
  <c r="AY107" i="70" s="1"/>
  <c r="AB106" i="70"/>
  <c r="AA107" i="70" a="1"/>
  <c r="AA107" i="70" s="1"/>
  <c r="V106" i="70"/>
  <c r="U107" i="70" a="1"/>
  <c r="U107" i="70" s="1"/>
  <c r="AH106" i="70"/>
  <c r="AG107" i="70" a="1"/>
  <c r="AG107" i="70" s="1"/>
  <c r="AE106" i="70"/>
  <c r="AD107" i="70" a="1"/>
  <c r="AD107" i="70" s="1"/>
  <c r="AS108" i="70" a="1"/>
  <c r="AS108" i="70" s="1"/>
  <c r="AT107" i="70"/>
  <c r="AN106" i="70"/>
  <c r="AM107" i="70" a="1"/>
  <c r="AM107" i="70" s="1"/>
  <c r="X107" i="70" a="1"/>
  <c r="X107" i="70" s="1"/>
  <c r="Y106" i="70"/>
  <c r="AA108" i="70" l="1" a="1"/>
  <c r="AA108" i="70" s="1"/>
  <c r="AB107" i="70"/>
  <c r="AM108" i="70" a="1"/>
  <c r="AM108" i="70" s="1"/>
  <c r="AN107" i="70"/>
  <c r="Y107" i="70"/>
  <c r="X108" i="70" a="1"/>
  <c r="X108" i="70" s="1"/>
  <c r="AY108" i="70" a="1"/>
  <c r="AY108" i="70" s="1"/>
  <c r="AZ107" i="70"/>
  <c r="P108" i="70"/>
  <c r="O109" i="70" a="1"/>
  <c r="O109" i="70" s="1"/>
  <c r="BE108" i="70" a="1"/>
  <c r="BE108" i="70" s="1"/>
  <c r="BF107" i="70"/>
  <c r="AE107" i="70"/>
  <c r="AD108" i="70" a="1"/>
  <c r="AD108" i="70" s="1"/>
  <c r="AG108" i="70" a="1"/>
  <c r="AG108" i="70" s="1"/>
  <c r="AH107" i="70"/>
  <c r="AQ107" i="70"/>
  <c r="AP108" i="70" a="1"/>
  <c r="AP108" i="70" s="1"/>
  <c r="S107" i="70"/>
  <c r="R108" i="70" a="1"/>
  <c r="R108" i="70" s="1"/>
  <c r="AT108" i="70"/>
  <c r="AS109" i="70" a="1"/>
  <c r="AS109" i="70" s="1"/>
  <c r="U108" i="70" a="1"/>
  <c r="U108" i="70" s="1"/>
  <c r="V107" i="70"/>
  <c r="V108" i="70" l="1"/>
  <c r="U109" i="70" a="1"/>
  <c r="U109" i="70" s="1"/>
  <c r="AT109" i="70"/>
  <c r="AS110" i="70" a="1"/>
  <c r="AS110" i="70" s="1"/>
  <c r="R109" i="70" a="1"/>
  <c r="R109" i="70" s="1"/>
  <c r="S108" i="70"/>
  <c r="X109" i="70" a="1"/>
  <c r="X109" i="70" s="1"/>
  <c r="Y108" i="70"/>
  <c r="AZ108" i="70"/>
  <c r="AY109" i="70" a="1"/>
  <c r="AY109" i="70" s="1"/>
  <c r="AQ108" i="70"/>
  <c r="AP109" i="70" a="1"/>
  <c r="AP109" i="70" s="1"/>
  <c r="BF108" i="70"/>
  <c r="BE109" i="70" a="1"/>
  <c r="BE109" i="70" s="1"/>
  <c r="AN108" i="70"/>
  <c r="AM109" i="70" a="1"/>
  <c r="AM109" i="70" s="1"/>
  <c r="O110" i="70" a="1"/>
  <c r="O110" i="70" s="1"/>
  <c r="P109" i="70"/>
  <c r="AE108" i="70"/>
  <c r="AD109" i="70" a="1"/>
  <c r="AD109" i="70" s="1"/>
  <c r="AG109" i="70" a="1"/>
  <c r="AG109" i="70" s="1"/>
  <c r="AH108" i="70"/>
  <c r="AB108" i="70"/>
  <c r="AA109" i="70" a="1"/>
  <c r="AA109" i="70" s="1"/>
  <c r="AQ109" i="70" l="1"/>
  <c r="AP110" i="70" a="1"/>
  <c r="AP110" i="70" s="1"/>
  <c r="AA110" i="70" a="1"/>
  <c r="AA110" i="70" s="1"/>
  <c r="AB109" i="70"/>
  <c r="AY110" i="70" a="1"/>
  <c r="AY110" i="70" s="1"/>
  <c r="AZ109" i="70"/>
  <c r="AH109" i="70"/>
  <c r="AG110" i="70" a="1"/>
  <c r="AG110" i="70" s="1"/>
  <c r="Y109" i="70"/>
  <c r="X110" i="70" a="1"/>
  <c r="X110" i="70" s="1"/>
  <c r="AE109" i="70"/>
  <c r="AD110" i="70" a="1"/>
  <c r="AD110" i="70" s="1"/>
  <c r="S109" i="70"/>
  <c r="R110" i="70" a="1"/>
  <c r="R110" i="70" s="1"/>
  <c r="AS111" i="70" a="1"/>
  <c r="AS111" i="70" s="1"/>
  <c r="AT110" i="70"/>
  <c r="AM110" i="70" a="1"/>
  <c r="AM110" i="70" s="1"/>
  <c r="AN109" i="70"/>
  <c r="P110" i="70"/>
  <c r="O111" i="70" a="1"/>
  <c r="O111" i="70" s="1"/>
  <c r="V109" i="70"/>
  <c r="U110" i="70" a="1"/>
  <c r="U110" i="70" s="1"/>
  <c r="BE110" i="70" a="1"/>
  <c r="BE110" i="70" s="1"/>
  <c r="BF109" i="70"/>
  <c r="AD111" i="70" l="1" a="1"/>
  <c r="AD111" i="70" s="1"/>
  <c r="AE110" i="70"/>
  <c r="V110" i="70"/>
  <c r="U111" i="70" a="1"/>
  <c r="U111" i="70" s="1"/>
  <c r="AG111" i="70" a="1"/>
  <c r="AG111" i="70" s="1"/>
  <c r="AH110" i="70"/>
  <c r="O112" i="70" a="1"/>
  <c r="O112" i="70" s="1"/>
  <c r="P111" i="70"/>
  <c r="X111" i="70" a="1"/>
  <c r="X111" i="70" s="1"/>
  <c r="Y110" i="70"/>
  <c r="AZ110" i="70"/>
  <c r="AY111" i="70" a="1"/>
  <c r="AY111" i="70" s="1"/>
  <c r="AN110" i="70"/>
  <c r="AM111" i="70" a="1"/>
  <c r="AM111" i="70" s="1"/>
  <c r="AS112" i="70" a="1"/>
  <c r="AS112" i="70" s="1"/>
  <c r="AT111" i="70"/>
  <c r="AB110" i="70"/>
  <c r="AA111" i="70" a="1"/>
  <c r="AA111" i="70" s="1"/>
  <c r="BE111" i="70" a="1"/>
  <c r="BE111" i="70" s="1"/>
  <c r="BF110" i="70"/>
  <c r="AP111" i="70" a="1"/>
  <c r="AP111" i="70" s="1"/>
  <c r="AQ110" i="70"/>
  <c r="R111" i="70" a="1"/>
  <c r="R111" i="70" s="1"/>
  <c r="S110" i="70"/>
  <c r="AY112" i="70" l="1" a="1"/>
  <c r="AY112" i="70" s="1"/>
  <c r="AZ111" i="70"/>
  <c r="S111" i="70"/>
  <c r="R112" i="70" a="1"/>
  <c r="R112" i="70" s="1"/>
  <c r="O113" i="70" s="1" a="1"/>
  <c r="O113" i="70" s="1"/>
  <c r="Y111" i="70"/>
  <c r="X112" i="70" a="1"/>
  <c r="X112" i="70" s="1"/>
  <c r="AQ111" i="70"/>
  <c r="AP112" i="70" a="1"/>
  <c r="AP112" i="70" s="1"/>
  <c r="P112" i="70"/>
  <c r="AA112" i="70" a="1"/>
  <c r="AA112" i="70" s="1"/>
  <c r="AB111" i="70"/>
  <c r="AG112" i="70" a="1"/>
  <c r="AG112" i="70" s="1"/>
  <c r="AH111" i="70"/>
  <c r="U112" i="70" a="1"/>
  <c r="U112" i="70" s="1"/>
  <c r="V111" i="70"/>
  <c r="AT112" i="70"/>
  <c r="AS113" i="70" a="1"/>
  <c r="AS113" i="70" s="1"/>
  <c r="AM112" i="70" a="1"/>
  <c r="AM112" i="70" s="1"/>
  <c r="AN111" i="70"/>
  <c r="BE112" i="70" a="1"/>
  <c r="BE112" i="70" s="1"/>
  <c r="BF111" i="70"/>
  <c r="AE111" i="70"/>
  <c r="AD112" i="70" a="1"/>
  <c r="AD112" i="70" s="1"/>
  <c r="AD113" i="70" l="1" a="1"/>
  <c r="AD113" i="70" s="1"/>
  <c r="AE112" i="70"/>
  <c r="BF112" i="70"/>
  <c r="BE113" i="70" a="1"/>
  <c r="BE113" i="70" s="1"/>
  <c r="AP113" i="70" a="1"/>
  <c r="AP113" i="70" s="1"/>
  <c r="AQ112" i="70"/>
  <c r="O114" i="70" a="1"/>
  <c r="O114" i="70" s="1"/>
  <c r="P113" i="70"/>
  <c r="Y112" i="70"/>
  <c r="X113" i="70" a="1"/>
  <c r="X113" i="70" s="1"/>
  <c r="AN112" i="70"/>
  <c r="AM113" i="70" a="1"/>
  <c r="AM113" i="70" s="1"/>
  <c r="R113" i="70" a="1"/>
  <c r="R113" i="70" s="1"/>
  <c r="S112" i="70"/>
  <c r="AS114" i="70" a="1"/>
  <c r="AS114" i="70" s="1"/>
  <c r="AT113" i="70"/>
  <c r="AB112" i="70"/>
  <c r="AA113" i="70" a="1"/>
  <c r="AA113" i="70" s="1"/>
  <c r="V112" i="70"/>
  <c r="U113" i="70" a="1"/>
  <c r="U113" i="70" s="1"/>
  <c r="AH112" i="70"/>
  <c r="AG113" i="70" a="1"/>
  <c r="AG113" i="70" s="1"/>
  <c r="AZ112" i="70"/>
  <c r="AY113" i="70" a="1"/>
  <c r="AY113" i="70" s="1"/>
  <c r="AM114" i="70" l="1" a="1"/>
  <c r="AM114" i="70" s="1"/>
  <c r="AN113" i="70"/>
  <c r="AG114" i="70" a="1"/>
  <c r="AG114" i="70" s="1"/>
  <c r="AH113" i="70"/>
  <c r="U114" i="70" a="1"/>
  <c r="U114" i="70" s="1"/>
  <c r="V113" i="70"/>
  <c r="P114" i="70"/>
  <c r="C116" i="70" s="1"/>
  <c r="AY114" i="70" a="1"/>
  <c r="AY114" i="70" s="1"/>
  <c r="AZ113" i="70"/>
  <c r="AQ113" i="70"/>
  <c r="AP114" i="70" a="1"/>
  <c r="AP114" i="70" s="1"/>
  <c r="BE114" i="70" a="1"/>
  <c r="BE114" i="70" s="1"/>
  <c r="BF113" i="70"/>
  <c r="AA114" i="70" a="1"/>
  <c r="AA114" i="70" s="1"/>
  <c r="AB113" i="70"/>
  <c r="X114" i="70" a="1"/>
  <c r="X114" i="70" s="1"/>
  <c r="Y113" i="70"/>
  <c r="AT114" i="70"/>
  <c r="AS115" i="70" a="1"/>
  <c r="AS115" i="70" s="1"/>
  <c r="S113" i="70"/>
  <c r="R114" i="70" a="1"/>
  <c r="R114" i="70" s="1"/>
  <c r="O115" i="70" s="1" a="1"/>
  <c r="O115" i="70" s="1"/>
  <c r="AE113" i="70"/>
  <c r="AD114" i="70" a="1"/>
  <c r="AD114" i="70" s="1"/>
  <c r="AP115" i="70" l="1" a="1"/>
  <c r="AP115" i="70" s="1"/>
  <c r="AQ114" i="70"/>
  <c r="AZ114" i="70"/>
  <c r="AY115" i="70" a="1"/>
  <c r="AY115" i="70" s="1"/>
  <c r="O116" i="70" a="1"/>
  <c r="O116" i="70" s="1"/>
  <c r="P115" i="70"/>
  <c r="AT115" i="70"/>
  <c r="AS116" i="70" a="1"/>
  <c r="AS116" i="70" s="1"/>
  <c r="X115" i="70" a="1"/>
  <c r="X115" i="70" s="1"/>
  <c r="Y114" i="70"/>
  <c r="V114" i="70"/>
  <c r="U115" i="70" a="1"/>
  <c r="U115" i="70" s="1"/>
  <c r="R115" i="70" a="1"/>
  <c r="R115" i="70" s="1"/>
  <c r="S114" i="70"/>
  <c r="AH114" i="70"/>
  <c r="AG115" i="70" a="1"/>
  <c r="AG115" i="70" s="1"/>
  <c r="AD115" i="70" a="1"/>
  <c r="AD115" i="70" s="1"/>
  <c r="AE114" i="70"/>
  <c r="AA115" i="70" a="1"/>
  <c r="AA115" i="70" s="1"/>
  <c r="AB114" i="70"/>
  <c r="BF114" i="70"/>
  <c r="BE115" i="70" a="1"/>
  <c r="BE115" i="70" s="1"/>
  <c r="AN114" i="70"/>
  <c r="AM115" i="70" a="1"/>
  <c r="AM115" i="70" s="1"/>
  <c r="Y115" i="70" l="1"/>
  <c r="X116" i="70" a="1"/>
  <c r="X116" i="70" s="1"/>
  <c r="AS117" i="70" a="1"/>
  <c r="AS117" i="70" s="1"/>
  <c r="AT116" i="70"/>
  <c r="AB115" i="70"/>
  <c r="AA116" i="70" a="1"/>
  <c r="AA116" i="70" s="1"/>
  <c r="AD116" i="70" a="1"/>
  <c r="AD116" i="70" s="1"/>
  <c r="AE115" i="70"/>
  <c r="P116" i="70"/>
  <c r="O117" i="70" a="1"/>
  <c r="O117" i="70" s="1"/>
  <c r="BE116" i="70" a="1"/>
  <c r="BE116" i="70" s="1"/>
  <c r="BF115" i="70"/>
  <c r="AZ115" i="70"/>
  <c r="AY116" i="70" a="1"/>
  <c r="AY116" i="70" s="1"/>
  <c r="AN115" i="70"/>
  <c r="AM116" i="70" a="1"/>
  <c r="AM116" i="70" s="1"/>
  <c r="AH115" i="70"/>
  <c r="AG116" i="70" a="1"/>
  <c r="AG116" i="70" s="1"/>
  <c r="S115" i="70"/>
  <c r="R116" i="70" a="1"/>
  <c r="R116" i="70" s="1"/>
  <c r="V115" i="70"/>
  <c r="U116" i="70" a="1"/>
  <c r="U116" i="70" s="1"/>
  <c r="AQ115" i="70"/>
  <c r="AP116" i="70" a="1"/>
  <c r="AP116" i="70" s="1"/>
  <c r="AQ116" i="70" l="1"/>
  <c r="AP117" i="70" a="1"/>
  <c r="AP117" i="70" s="1"/>
  <c r="BE117" i="70" a="1"/>
  <c r="BE117" i="70" s="1"/>
  <c r="BF116" i="70"/>
  <c r="S116" i="70"/>
  <c r="R117" i="70" a="1"/>
  <c r="R117" i="70" s="1"/>
  <c r="AE116" i="70"/>
  <c r="AD117" i="70" a="1"/>
  <c r="AD117" i="70" s="1"/>
  <c r="AB116" i="70"/>
  <c r="AA117" i="70" a="1"/>
  <c r="AA117" i="70" s="1"/>
  <c r="AG117" i="70" a="1"/>
  <c r="AG117" i="70" s="1"/>
  <c r="AH116" i="70"/>
  <c r="AM117" i="70" a="1"/>
  <c r="AM117" i="70" s="1"/>
  <c r="AN116" i="70"/>
  <c r="AS118" i="70" a="1"/>
  <c r="AS118" i="70" s="1"/>
  <c r="AT117" i="70"/>
  <c r="U117" i="70" a="1"/>
  <c r="U117" i="70" s="1"/>
  <c r="V116" i="70"/>
  <c r="Y116" i="70"/>
  <c r="X117" i="70" a="1"/>
  <c r="X117" i="70" s="1"/>
  <c r="O118" i="70" a="1"/>
  <c r="O118" i="70" s="1"/>
  <c r="P117" i="70"/>
  <c r="AY117" i="70" a="1"/>
  <c r="AY117" i="70" s="1"/>
  <c r="AZ116" i="70"/>
  <c r="AA118" i="70" l="1" a="1"/>
  <c r="AA118" i="70" s="1"/>
  <c r="AB117" i="70"/>
  <c r="X118" i="70" a="1"/>
  <c r="X118" i="70" s="1"/>
  <c r="Y117" i="70"/>
  <c r="P118" i="70"/>
  <c r="O119" i="70" a="1"/>
  <c r="O119" i="70" s="1"/>
  <c r="S117" i="70"/>
  <c r="R118" i="70" a="1"/>
  <c r="R118" i="70" s="1"/>
  <c r="BB118" i="70" a="1"/>
  <c r="BB118" i="70" s="1"/>
  <c r="U118" i="70" a="1"/>
  <c r="U118" i="70" s="1"/>
  <c r="V117" i="70"/>
  <c r="AE117" i="70"/>
  <c r="AD118" i="70" a="1"/>
  <c r="AD118" i="70" s="1"/>
  <c r="AS119" i="70" a="1"/>
  <c r="AS119" i="70" s="1"/>
  <c r="AT118" i="70"/>
  <c r="BE118" i="70" a="1"/>
  <c r="BE118" i="70" s="1"/>
  <c r="BF117" i="70"/>
  <c r="AG118" i="70" a="1"/>
  <c r="AG118" i="70" s="1"/>
  <c r="AH117" i="70"/>
  <c r="AQ117" i="70"/>
  <c r="AP118" i="70" a="1"/>
  <c r="AP118" i="70" s="1"/>
  <c r="AY118" i="70" a="1"/>
  <c r="AY118" i="70" s="1"/>
  <c r="AZ117" i="70"/>
  <c r="AN117" i="70"/>
  <c r="AM118" i="70" a="1"/>
  <c r="AM118" i="70" s="1"/>
  <c r="U119" i="70" l="1" a="1"/>
  <c r="U119" i="70" s="1"/>
  <c r="V118" i="70"/>
  <c r="BB119" i="70" a="1"/>
  <c r="BB119" i="70" s="1"/>
  <c r="BC118" i="70"/>
  <c r="R119" i="70" a="1"/>
  <c r="R119" i="70" s="1"/>
  <c r="S118" i="70"/>
  <c r="AP119" i="70" a="1"/>
  <c r="AP119" i="70" s="1"/>
  <c r="AQ118" i="70"/>
  <c r="P119" i="70"/>
  <c r="O120" i="70" a="1"/>
  <c r="O120" i="70" s="1"/>
  <c r="AH118" i="70"/>
  <c r="AG119" i="70" a="1"/>
  <c r="AG119" i="70" s="1"/>
  <c r="BF118" i="70"/>
  <c r="BE119" i="70" a="1"/>
  <c r="BE119" i="70" s="1"/>
  <c r="AZ118" i="70"/>
  <c r="AY119" i="70" a="1"/>
  <c r="AY119" i="70" s="1"/>
  <c r="Y118" i="70"/>
  <c r="X119" i="70" a="1"/>
  <c r="X119" i="70" s="1"/>
  <c r="AN118" i="70"/>
  <c r="AM119" i="70" a="1"/>
  <c r="AM119" i="70" s="1"/>
  <c r="AT119" i="70"/>
  <c r="AS120" i="70" a="1"/>
  <c r="AS120" i="70" s="1"/>
  <c r="AD119" i="70" a="1"/>
  <c r="AD119" i="70" s="1"/>
  <c r="AE118" i="70"/>
  <c r="AB118" i="70"/>
  <c r="AA119" i="70" a="1"/>
  <c r="AA119" i="70" s="1"/>
  <c r="AH119" i="70" l="1"/>
  <c r="AG120" i="70" a="1"/>
  <c r="AG120" i="70" s="1"/>
  <c r="P120" i="70"/>
  <c r="AE119" i="70"/>
  <c r="AD120" i="70" a="1"/>
  <c r="AD120" i="70" s="1"/>
  <c r="AN119" i="70"/>
  <c r="AM120" i="70" a="1"/>
  <c r="AM120" i="70" s="1"/>
  <c r="AQ119" i="70"/>
  <c r="AP120" i="70" a="1"/>
  <c r="AP120" i="70" s="1"/>
  <c r="X120" i="70" a="1"/>
  <c r="X120" i="70" s="1"/>
  <c r="Y119" i="70"/>
  <c r="S119" i="70"/>
  <c r="R120" i="70" a="1"/>
  <c r="R120" i="70" s="1"/>
  <c r="AZ119" i="70"/>
  <c r="AY120" i="70" a="1"/>
  <c r="AY120" i="70" s="1"/>
  <c r="BC119" i="70"/>
  <c r="BB120" i="70" a="1"/>
  <c r="BB120" i="70" s="1"/>
  <c r="AT120" i="70"/>
  <c r="AS121" i="70" a="1"/>
  <c r="AS121" i="70" s="1"/>
  <c r="BF119" i="70"/>
  <c r="BE120" i="70" a="1"/>
  <c r="BE120" i="70" s="1"/>
  <c r="AB119" i="70"/>
  <c r="AA120" i="70" a="1"/>
  <c r="AA120" i="70" s="1"/>
  <c r="O121" i="70" s="1" a="1"/>
  <c r="O121" i="70" s="1"/>
  <c r="V119" i="70"/>
  <c r="U120" i="70" a="1"/>
  <c r="U120" i="70" s="1"/>
  <c r="AA121" i="70" l="1" a="1"/>
  <c r="AA121" i="70" s="1"/>
  <c r="AB120" i="70"/>
  <c r="AQ120" i="70"/>
  <c r="AP121" i="70" a="1"/>
  <c r="AP121" i="70" s="1"/>
  <c r="X121" i="70" a="1"/>
  <c r="X121" i="70" s="1"/>
  <c r="Y120" i="70"/>
  <c r="AM121" i="70" a="1"/>
  <c r="AM121" i="70" s="1"/>
  <c r="AN120" i="70"/>
  <c r="AS122" i="70" a="1"/>
  <c r="AS122" i="70" s="1"/>
  <c r="AT121" i="70"/>
  <c r="AE120" i="70"/>
  <c r="AD121" i="70" a="1"/>
  <c r="AD121" i="70" s="1"/>
  <c r="BC120" i="70"/>
  <c r="BB121" i="70" a="1"/>
  <c r="BB121" i="70" s="1"/>
  <c r="BF120" i="70"/>
  <c r="BE121" i="70" a="1"/>
  <c r="BE121" i="70" s="1"/>
  <c r="AY121" i="70" a="1"/>
  <c r="AY121" i="70" s="1"/>
  <c r="AZ120" i="70"/>
  <c r="O122" i="70" a="1"/>
  <c r="O122" i="70" s="1"/>
  <c r="P121" i="70"/>
  <c r="V120" i="70"/>
  <c r="U121" i="70" a="1"/>
  <c r="U121" i="70" s="1"/>
  <c r="AH120" i="70"/>
  <c r="AG121" i="70" a="1"/>
  <c r="AG121" i="70" s="1"/>
  <c r="S120" i="70"/>
  <c r="R121" i="70" a="1"/>
  <c r="R121" i="70" s="1"/>
  <c r="AE121" i="70" l="1"/>
  <c r="AD122" i="70" a="1"/>
  <c r="AD122" i="70" s="1"/>
  <c r="U122" i="70" a="1"/>
  <c r="U122" i="70" s="1"/>
  <c r="V121" i="70"/>
  <c r="AT122" i="70"/>
  <c r="AS123" i="70" a="1"/>
  <c r="AS123" i="70" s="1"/>
  <c r="AG122" i="70" a="1"/>
  <c r="AG122" i="70" s="1"/>
  <c r="AH121" i="70"/>
  <c r="AM122" i="70" a="1"/>
  <c r="AM122" i="70" s="1"/>
  <c r="AN121" i="70"/>
  <c r="P122" i="70"/>
  <c r="O123" i="70" a="1"/>
  <c r="O123" i="70" s="1"/>
  <c r="X122" i="70" a="1"/>
  <c r="X122" i="70" s="1"/>
  <c r="Y121" i="70"/>
  <c r="AQ121" i="70"/>
  <c r="AP122" i="70" a="1"/>
  <c r="AP122" i="70" s="1"/>
  <c r="BE122" i="70" a="1"/>
  <c r="BE122" i="70" s="1"/>
  <c r="BF121" i="70"/>
  <c r="S121" i="70"/>
  <c r="R122" i="70" a="1"/>
  <c r="R122" i="70" s="1"/>
  <c r="BC121" i="70"/>
  <c r="BB122" i="70" a="1"/>
  <c r="BB122" i="70" s="1"/>
  <c r="AY122" i="70" a="1"/>
  <c r="AY122" i="70" s="1"/>
  <c r="AZ121" i="70"/>
  <c r="AA122" i="70" a="1"/>
  <c r="AA122" i="70" s="1"/>
  <c r="AB121" i="70"/>
  <c r="O124" i="70" l="1" a="1"/>
  <c r="O124" i="70" s="1"/>
  <c r="P123" i="70"/>
  <c r="BC122" i="70"/>
  <c r="BB123" i="70" a="1"/>
  <c r="BB123" i="70" s="1"/>
  <c r="AN122" i="70"/>
  <c r="AM123" i="70" a="1"/>
  <c r="AM123" i="70" s="1"/>
  <c r="S122" i="70"/>
  <c r="R123" i="70" a="1"/>
  <c r="R123" i="70" s="1"/>
  <c r="R124" i="70" s="1" a="1"/>
  <c r="R124" i="70" s="1"/>
  <c r="R125" i="70" s="1" a="1"/>
  <c r="R125" i="70" s="1"/>
  <c r="R126" i="70" s="1" a="1"/>
  <c r="R126" i="70" s="1"/>
  <c r="R127" i="70" s="1" a="1"/>
  <c r="R127" i="70" s="1"/>
  <c r="R128" i="70" s="1" a="1"/>
  <c r="R128" i="70" s="1"/>
  <c r="R129" i="70" s="1" a="1"/>
  <c r="R129" i="70" s="1"/>
  <c r="R130" i="70" s="1" a="1"/>
  <c r="R130" i="70" s="1"/>
  <c r="R131" i="70" s="1" a="1"/>
  <c r="R131" i="70" s="1"/>
  <c r="R132" i="70" s="1" a="1"/>
  <c r="R132" i="70" s="1"/>
  <c r="R133" i="70" s="1" a="1"/>
  <c r="R133" i="70" s="1"/>
  <c r="R134" i="70" s="1" a="1"/>
  <c r="R134" i="70" s="1"/>
  <c r="R135" i="70" s="1" a="1"/>
  <c r="R135" i="70" s="1"/>
  <c r="R136" i="70" s="1" a="1"/>
  <c r="R136" i="70" s="1"/>
  <c r="R137" i="70" s="1" a="1"/>
  <c r="R137" i="70" s="1"/>
  <c r="R138" i="70" s="1" a="1"/>
  <c r="R138" i="70" s="1"/>
  <c r="AH122" i="70"/>
  <c r="AG123" i="70" a="1"/>
  <c r="AG123" i="70" s="1"/>
  <c r="AS124" i="70" a="1"/>
  <c r="AS124" i="70" s="1"/>
  <c r="AT123" i="70"/>
  <c r="BE123" i="70" a="1"/>
  <c r="BE123" i="70" s="1"/>
  <c r="BF122" i="70"/>
  <c r="AQ122" i="70"/>
  <c r="AP123" i="70" a="1"/>
  <c r="AP123" i="70" s="1"/>
  <c r="AZ122" i="70"/>
  <c r="AY123" i="70" a="1"/>
  <c r="AY123" i="70" s="1"/>
  <c r="V122" i="70"/>
  <c r="U123" i="70" a="1"/>
  <c r="U123" i="70" s="1"/>
  <c r="AE122" i="70"/>
  <c r="AD123" i="70" a="1"/>
  <c r="AD123" i="70" s="1"/>
  <c r="AB122" i="70"/>
  <c r="AA123" i="70" a="1"/>
  <c r="AA123" i="70" s="1"/>
  <c r="Y122" i="70"/>
  <c r="X123" i="70" a="1"/>
  <c r="X123" i="70" s="1"/>
  <c r="AA124" i="70" l="1" a="1"/>
  <c r="AA124" i="70" s="1"/>
  <c r="AB123" i="70"/>
  <c r="U124" i="70" a="1"/>
  <c r="U124" i="70" s="1"/>
  <c r="V123" i="70"/>
  <c r="AM124" i="70" a="1"/>
  <c r="AM124" i="70" s="1"/>
  <c r="AN123" i="70"/>
  <c r="AT124" i="70"/>
  <c r="AS125" i="70" a="1"/>
  <c r="AS125" i="70" s="1"/>
  <c r="AY124" i="70" a="1"/>
  <c r="AY124" i="70" s="1"/>
  <c r="AZ123" i="70"/>
  <c r="AH123" i="70"/>
  <c r="AG124" i="70" a="1"/>
  <c r="AG124" i="70" s="1"/>
  <c r="BB124" i="70" a="1"/>
  <c r="BB124" i="70" s="1"/>
  <c r="BC123" i="70"/>
  <c r="AP124" i="70" a="1"/>
  <c r="AP124" i="70" s="1"/>
  <c r="AQ123" i="70"/>
  <c r="AD124" i="70" a="1"/>
  <c r="AD124" i="70" s="1"/>
  <c r="AE123" i="70"/>
  <c r="Y123" i="70"/>
  <c r="X124" i="70" a="1"/>
  <c r="X124" i="70" s="1"/>
  <c r="BF123" i="70"/>
  <c r="BE124" i="70" a="1"/>
  <c r="BE124" i="70" s="1"/>
  <c r="BE125" i="70" s="1" a="1"/>
  <c r="BE125" i="70" s="1"/>
  <c r="BE126" i="70" s="1" a="1"/>
  <c r="BE126" i="70" s="1"/>
  <c r="BE127" i="70" s="1" a="1"/>
  <c r="BE127" i="70" s="1"/>
  <c r="BE128" i="70" s="1" a="1"/>
  <c r="BE128" i="70" s="1"/>
  <c r="BE129" i="70" s="1" a="1"/>
  <c r="BE129" i="70" s="1"/>
  <c r="BE130" i="70" s="1" a="1"/>
  <c r="BE130" i="70" s="1"/>
  <c r="BE131" i="70" s="1" a="1"/>
  <c r="BE131" i="70" s="1"/>
  <c r="BE132" i="70" s="1" a="1"/>
  <c r="BE132" i="70" s="1"/>
  <c r="BE133" i="70" s="1" a="1"/>
  <c r="BE133" i="70" s="1"/>
  <c r="BE134" i="70" s="1" a="1"/>
  <c r="BE134" i="70" s="1"/>
  <c r="BE135" i="70" s="1" a="1"/>
  <c r="BE135" i="70" s="1"/>
  <c r="BE136" i="70" s="1" a="1"/>
  <c r="BE136" i="70" s="1"/>
  <c r="BE137" i="70" s="1" a="1"/>
  <c r="BE137" i="70" s="1"/>
  <c r="BE138" i="70" s="1" a="1"/>
  <c r="BE138" i="70" s="1"/>
  <c r="BE139" i="70" s="1" a="1"/>
  <c r="BE139" i="70" s="1"/>
  <c r="BE140" i="70" s="1" a="1"/>
  <c r="BE140" i="70" s="1"/>
  <c r="BE141" i="70" s="1" a="1"/>
  <c r="BE141" i="70" s="1"/>
  <c r="BE142" i="70" s="1" a="1"/>
  <c r="BE142" i="70" s="1"/>
  <c r="BE143" i="70" s="1" a="1"/>
  <c r="BE143" i="70" s="1"/>
  <c r="BE144" i="70" s="1" a="1"/>
  <c r="BE144" i="70" s="1"/>
  <c r="BE145" i="70" s="1" a="1"/>
  <c r="BE145" i="70" s="1"/>
  <c r="BE146" i="70" s="1" a="1"/>
  <c r="BE146" i="70" s="1"/>
  <c r="BE147" i="70" s="1" a="1"/>
  <c r="BE147" i="70" s="1"/>
  <c r="BE148" i="70" s="1" a="1"/>
  <c r="BE148" i="70" s="1"/>
  <c r="BE149" i="70" s="1" a="1"/>
  <c r="BE149" i="70" s="1"/>
  <c r="BE150" i="70" s="1" a="1"/>
  <c r="BE150" i="70" s="1"/>
  <c r="BE151" i="70" s="1" a="1"/>
  <c r="BE151" i="70" s="1"/>
  <c r="BE152" i="70" s="1" a="1"/>
  <c r="BE152" i="70" s="1"/>
  <c r="BE153" i="70" s="1" a="1"/>
  <c r="BE153" i="70" s="1"/>
  <c r="BE154" i="70" s="1" a="1"/>
  <c r="BE154" i="70" s="1"/>
  <c r="BE155" i="70" s="1" a="1"/>
  <c r="BE155" i="70" s="1"/>
  <c r="BE156" i="70" s="1" a="1"/>
  <c r="BE156" i="70" s="1"/>
  <c r="BE157" i="70" s="1" a="1"/>
  <c r="BE157" i="70" s="1"/>
  <c r="BE158" i="70" s="1" a="1"/>
  <c r="BE158" i="70" s="1"/>
  <c r="BE159" i="70" s="1" a="1"/>
  <c r="BE159" i="70" s="1"/>
  <c r="BE160" i="70" s="1" a="1"/>
  <c r="BE160" i="70" s="1"/>
  <c r="BE161" i="70" s="1" a="1"/>
  <c r="BE161" i="70" s="1"/>
  <c r="BE162" i="70" s="1" a="1"/>
  <c r="BE162" i="70" s="1"/>
  <c r="BE163" i="70" s="1" a="1"/>
  <c r="BE163" i="70" s="1"/>
  <c r="BE164" i="70" s="1" a="1"/>
  <c r="BE164" i="70" s="1"/>
  <c r="BE165" i="70" s="1" a="1"/>
  <c r="BE165" i="70" s="1"/>
  <c r="BE166" i="70" s="1" a="1"/>
  <c r="BE166" i="70" s="1"/>
  <c r="BE167" i="70" s="1" a="1"/>
  <c r="BE167" i="70" s="1"/>
  <c r="BE168" i="70" s="1" a="1"/>
  <c r="BE168" i="70" s="1"/>
  <c r="BE169" i="70" s="1" a="1"/>
  <c r="BE169" i="70" s="1"/>
  <c r="BE170" i="70" s="1" a="1"/>
  <c r="BE170" i="70" s="1"/>
  <c r="BE171" i="70" s="1" a="1"/>
  <c r="BE171" i="70" s="1"/>
  <c r="BE172" i="70" s="1" a="1"/>
  <c r="BE172" i="70" s="1"/>
  <c r="BE173" i="70" s="1" a="1"/>
  <c r="BE173" i="70" s="1"/>
  <c r="BE174" i="70" s="1" a="1"/>
  <c r="BE174" i="70" s="1"/>
  <c r="BE175" i="70" s="1" a="1"/>
  <c r="BE175" i="70" s="1"/>
  <c r="BE176" i="70" s="1" a="1"/>
  <c r="BE176" i="70" s="1"/>
  <c r="BE177" i="70" s="1" a="1"/>
  <c r="BE177" i="70" s="1"/>
  <c r="BE178" i="70" s="1" a="1"/>
  <c r="BE178" i="70" s="1"/>
  <c r="BE179" i="70" s="1" a="1"/>
  <c r="BE179" i="70" s="1"/>
  <c r="BE180" i="70" s="1" a="1"/>
  <c r="BE180" i="70" s="1"/>
  <c r="BE181" i="70" s="1" a="1"/>
  <c r="BE181" i="70" s="1"/>
  <c r="BE182" i="70" s="1" a="1"/>
  <c r="BE182" i="70" s="1"/>
  <c r="BE183" i="70" s="1" a="1"/>
  <c r="BE183" i="70" s="1"/>
  <c r="BE184" i="70" s="1" a="1"/>
  <c r="BE184" i="70" s="1"/>
  <c r="BE185" i="70" s="1" a="1"/>
  <c r="BE185" i="70" s="1"/>
  <c r="BE186" i="70" s="1" a="1"/>
  <c r="BE186" i="70" s="1"/>
  <c r="BE187" i="70" s="1" a="1"/>
  <c r="BE187" i="70" s="1"/>
  <c r="BE188" i="70" s="1" a="1"/>
  <c r="BE188" i="70" s="1"/>
  <c r="BE189" i="70" s="1" a="1"/>
  <c r="BE189" i="70" s="1"/>
  <c r="BE190" i="70" s="1" a="1"/>
  <c r="BE190" i="70" s="1"/>
  <c r="BE191" i="70" s="1" a="1"/>
  <c r="BE191" i="70" s="1"/>
  <c r="BE192" i="70" s="1" a="1"/>
  <c r="BE192" i="70" s="1"/>
  <c r="BE193" i="70" s="1" a="1"/>
  <c r="BE193" i="70" s="1"/>
  <c r="BE194" i="70" s="1" a="1"/>
  <c r="BE194" i="70" s="1"/>
  <c r="BE195" i="70" s="1" a="1"/>
  <c r="BE195" i="70" s="1"/>
  <c r="BE196" i="70" s="1" a="1"/>
  <c r="BE196" i="70" s="1"/>
  <c r="BE197" i="70" s="1" a="1"/>
  <c r="BE197" i="70" s="1"/>
  <c r="BE198" i="70" s="1" a="1"/>
  <c r="BE198" i="70" s="1"/>
  <c r="BE199" i="70" s="1" a="1"/>
  <c r="BE199" i="70" s="1"/>
  <c r="BE200" i="70" s="1" a="1"/>
  <c r="BE200" i="70" s="1"/>
  <c r="BE201" i="70" s="1" a="1"/>
  <c r="BE201" i="70" s="1"/>
  <c r="BE202" i="70" s="1" a="1"/>
  <c r="BE202" i="70" s="1"/>
  <c r="BE203" i="70" s="1" a="1"/>
  <c r="BE203" i="70" s="1"/>
  <c r="BE204" i="70" s="1" a="1"/>
  <c r="BE204" i="70" s="1"/>
  <c r="BE205" i="70" s="1" a="1"/>
  <c r="BE205" i="70" s="1"/>
  <c r="BE206" i="70" s="1" a="1"/>
  <c r="BE206" i="70" s="1"/>
  <c r="BE207" i="70" s="1" a="1"/>
  <c r="BE207" i="70" s="1"/>
  <c r="BE208" i="70" s="1" a="1"/>
  <c r="BE208" i="70" s="1"/>
  <c r="BE209" i="70" s="1" a="1"/>
  <c r="BE209" i="70" s="1"/>
  <c r="BE210" i="70" s="1" a="1"/>
  <c r="BE210" i="70" s="1"/>
  <c r="BE211" i="70" s="1" a="1"/>
  <c r="BE211" i="70" s="1"/>
  <c r="BE212" i="70" s="1" a="1"/>
  <c r="BE212" i="70" s="1"/>
  <c r="BE213" i="70" s="1" a="1"/>
  <c r="BE213" i="70" s="1"/>
  <c r="BE214" i="70" s="1" a="1"/>
  <c r="BE214" i="70" s="1"/>
  <c r="BE215" i="70" s="1" a="1"/>
  <c r="BE215" i="70" s="1"/>
  <c r="BE216" i="70" s="1" a="1"/>
  <c r="BE216" i="70" s="1"/>
  <c r="BE217" i="70" s="1" a="1"/>
  <c r="BE217" i="70" s="1"/>
  <c r="BE218" i="70" s="1" a="1"/>
  <c r="BE218" i="70" s="1"/>
  <c r="BE219" i="70" s="1" a="1"/>
  <c r="BE219" i="70" s="1"/>
  <c r="BE220" i="70" s="1" a="1"/>
  <c r="BE220" i="70" s="1"/>
  <c r="BE221" i="70" s="1" a="1"/>
  <c r="BE221" i="70" s="1"/>
  <c r="BE222" i="70" s="1" a="1"/>
  <c r="BE222" i="70" s="1"/>
  <c r="BE223" i="70" s="1" a="1"/>
  <c r="BE223" i="70" s="1"/>
  <c r="BE224" i="70" s="1" a="1"/>
  <c r="BE224" i="70" s="1"/>
  <c r="BE225" i="70" s="1" a="1"/>
  <c r="BE225" i="70" s="1"/>
  <c r="BE226" i="70" s="1" a="1"/>
  <c r="BE226" i="70" s="1"/>
  <c r="BE227" i="70" s="1" a="1"/>
  <c r="BE227" i="70" s="1"/>
  <c r="BE228" i="70" s="1" a="1"/>
  <c r="BE228" i="70" s="1"/>
  <c r="BE229" i="70" s="1" a="1"/>
  <c r="BE229" i="70" s="1"/>
  <c r="BE230" i="70" s="1" a="1"/>
  <c r="BE230" i="70" s="1"/>
  <c r="BE231" i="70" s="1" a="1"/>
  <c r="BE231" i="70" s="1"/>
  <c r="P124" i="70"/>
  <c r="O125" i="70" a="1"/>
  <c r="O125" i="70" s="1"/>
  <c r="P125" i="70" l="1"/>
  <c r="O126" i="70" a="1"/>
  <c r="O126" i="70" s="1"/>
  <c r="X125" i="70" a="1"/>
  <c r="X125" i="70" s="1"/>
  <c r="Y124" i="70"/>
  <c r="AY125" i="70" a="1"/>
  <c r="AY125" i="70" s="1"/>
  <c r="AZ124" i="70"/>
  <c r="AT125" i="70"/>
  <c r="AS126" i="70" a="1"/>
  <c r="AS126" i="70" s="1"/>
  <c r="AN124" i="70"/>
  <c r="AM125" i="70" a="1"/>
  <c r="AM125" i="70" s="1"/>
  <c r="AD125" i="70" a="1"/>
  <c r="AD125" i="70" s="1"/>
  <c r="AD126" i="70" s="1" a="1"/>
  <c r="AD126" i="70" s="1"/>
  <c r="AD127" i="70" s="1" a="1"/>
  <c r="AD127" i="70" s="1"/>
  <c r="AD128" i="70" s="1" a="1"/>
  <c r="AD128" i="70" s="1"/>
  <c r="AD129" i="70" s="1" a="1"/>
  <c r="AD129" i="70" s="1"/>
  <c r="AD130" i="70" s="1" a="1"/>
  <c r="AD130" i="70" s="1"/>
  <c r="AD131" i="70" s="1" a="1"/>
  <c r="AD131" i="70" s="1"/>
  <c r="AD132" i="70" s="1" a="1"/>
  <c r="AD132" i="70" s="1"/>
  <c r="AD133" i="70" s="1" a="1"/>
  <c r="AD133" i="70" s="1"/>
  <c r="AD134" i="70" s="1" a="1"/>
  <c r="AD134" i="70" s="1"/>
  <c r="AD135" i="70" s="1" a="1"/>
  <c r="AD135" i="70" s="1"/>
  <c r="AD136" i="70" s="1" a="1"/>
  <c r="AD136" i="70" s="1"/>
  <c r="AD137" i="70" s="1" a="1"/>
  <c r="AD137" i="70" s="1"/>
  <c r="AD138" i="70" s="1" a="1"/>
  <c r="AD138" i="70" s="1"/>
  <c r="AD139" i="70" s="1" a="1"/>
  <c r="AD139" i="70" s="1"/>
  <c r="AD140" i="70" s="1" a="1"/>
  <c r="AD140" i="70" s="1"/>
  <c r="AD141" i="70" s="1" a="1"/>
  <c r="AD141" i="70" s="1"/>
  <c r="AD142" i="70" s="1" a="1"/>
  <c r="AD142" i="70" s="1"/>
  <c r="AD143" i="70" s="1" a="1"/>
  <c r="AD143" i="70" s="1"/>
  <c r="AD144" i="70" s="1" a="1"/>
  <c r="AD144" i="70" s="1"/>
  <c r="AD145" i="70" s="1" a="1"/>
  <c r="AD145" i="70" s="1"/>
  <c r="AD146" i="70" s="1" a="1"/>
  <c r="AD146" i="70" s="1"/>
  <c r="AD147" i="70" s="1" a="1"/>
  <c r="AD147" i="70" s="1"/>
  <c r="AD148" i="70" s="1" a="1"/>
  <c r="AD148" i="70" s="1"/>
  <c r="AD149" i="70" s="1" a="1"/>
  <c r="AD149" i="70" s="1"/>
  <c r="AD150" i="70" s="1" a="1"/>
  <c r="AD150" i="70" s="1"/>
  <c r="AD151" i="70" s="1" a="1"/>
  <c r="AD151" i="70" s="1"/>
  <c r="AD152" i="70" s="1" a="1"/>
  <c r="AD152" i="70" s="1"/>
  <c r="AD153" i="70" s="1" a="1"/>
  <c r="AD153" i="70" s="1"/>
  <c r="AD154" i="70" s="1" a="1"/>
  <c r="AD154" i="70" s="1"/>
  <c r="AD155" i="70" s="1" a="1"/>
  <c r="AD155" i="70" s="1"/>
  <c r="AD156" i="70" s="1" a="1"/>
  <c r="AD156" i="70" s="1"/>
  <c r="AD157" i="70" s="1" a="1"/>
  <c r="AD157" i="70" s="1"/>
  <c r="AD158" i="70" s="1" a="1"/>
  <c r="AD158" i="70" s="1"/>
  <c r="AD159" i="70" s="1" a="1"/>
  <c r="AD159" i="70" s="1"/>
  <c r="AD160" i="70" s="1" a="1"/>
  <c r="AD160" i="70" s="1"/>
  <c r="AD161" i="70" s="1" a="1"/>
  <c r="AD161" i="70" s="1"/>
  <c r="AD162" i="70" s="1" a="1"/>
  <c r="AD162" i="70" s="1"/>
  <c r="AD163" i="70" s="1" a="1"/>
  <c r="AD163" i="70" s="1"/>
  <c r="AD164" i="70" s="1" a="1"/>
  <c r="AD164" i="70" s="1"/>
  <c r="AD165" i="70" s="1" a="1"/>
  <c r="AD165" i="70" s="1"/>
  <c r="AD166" i="70" s="1" a="1"/>
  <c r="AD166" i="70" s="1"/>
  <c r="AD167" i="70" s="1" a="1"/>
  <c r="AD167" i="70" s="1"/>
  <c r="AD168" i="70" s="1" a="1"/>
  <c r="AD168" i="70" s="1"/>
  <c r="AD169" i="70" s="1" a="1"/>
  <c r="AD169" i="70" s="1"/>
  <c r="AD170" i="70" s="1" a="1"/>
  <c r="AD170" i="70" s="1"/>
  <c r="AD171" i="70" s="1" a="1"/>
  <c r="AD171" i="70" s="1"/>
  <c r="AD172" i="70" s="1" a="1"/>
  <c r="AD172" i="70" s="1"/>
  <c r="AD173" i="70" s="1" a="1"/>
  <c r="AD173" i="70" s="1"/>
  <c r="AD174" i="70" s="1" a="1"/>
  <c r="AD174" i="70" s="1"/>
  <c r="AD175" i="70" s="1" a="1"/>
  <c r="AD175" i="70" s="1"/>
  <c r="AD176" i="70" s="1" a="1"/>
  <c r="AD176" i="70" s="1"/>
  <c r="AD177" i="70" s="1" a="1"/>
  <c r="AD177" i="70" s="1"/>
  <c r="AD178" i="70" s="1" a="1"/>
  <c r="AD178" i="70" s="1"/>
  <c r="AD179" i="70" s="1" a="1"/>
  <c r="AD179" i="70" s="1"/>
  <c r="AD180" i="70" s="1" a="1"/>
  <c r="AD180" i="70" s="1"/>
  <c r="AD181" i="70" s="1" a="1"/>
  <c r="AD181" i="70" s="1"/>
  <c r="AD182" i="70" s="1" a="1"/>
  <c r="AD182" i="70" s="1"/>
  <c r="AD183" i="70" s="1" a="1"/>
  <c r="AD183" i="70" s="1"/>
  <c r="AD184" i="70" s="1" a="1"/>
  <c r="AD184" i="70" s="1"/>
  <c r="AD185" i="70" s="1" a="1"/>
  <c r="AD185" i="70" s="1"/>
  <c r="AD186" i="70" s="1" a="1"/>
  <c r="AD186" i="70" s="1"/>
  <c r="AD187" i="70" s="1" a="1"/>
  <c r="AD187" i="70" s="1"/>
  <c r="AD188" i="70" s="1" a="1"/>
  <c r="AD188" i="70" s="1"/>
  <c r="AD189" i="70" s="1" a="1"/>
  <c r="AD189" i="70" s="1"/>
  <c r="AD190" i="70" s="1" a="1"/>
  <c r="AD190" i="70" s="1"/>
  <c r="AD191" i="70" s="1" a="1"/>
  <c r="AD191" i="70" s="1"/>
  <c r="AD192" i="70" s="1" a="1"/>
  <c r="AD192" i="70" s="1"/>
  <c r="AD193" i="70" s="1" a="1"/>
  <c r="AD193" i="70" s="1"/>
  <c r="AD194" i="70" s="1" a="1"/>
  <c r="AD194" i="70" s="1"/>
  <c r="AD195" i="70" s="1" a="1"/>
  <c r="AD195" i="70" s="1"/>
  <c r="AD196" i="70" s="1" a="1"/>
  <c r="AD196" i="70" s="1"/>
  <c r="AD197" i="70" s="1" a="1"/>
  <c r="AD197" i="70" s="1"/>
  <c r="AD198" i="70" s="1" a="1"/>
  <c r="AD198" i="70" s="1"/>
  <c r="AD199" i="70" s="1" a="1"/>
  <c r="AD199" i="70" s="1"/>
  <c r="AD200" i="70" s="1" a="1"/>
  <c r="AD200" i="70" s="1"/>
  <c r="AD201" i="70" s="1" a="1"/>
  <c r="AD201" i="70" s="1"/>
  <c r="AD202" i="70" s="1" a="1"/>
  <c r="AD202" i="70" s="1"/>
  <c r="AD203" i="70" s="1" a="1"/>
  <c r="AD203" i="70" s="1"/>
  <c r="AD204" i="70" s="1" a="1"/>
  <c r="AD204" i="70" s="1"/>
  <c r="AD205" i="70" s="1" a="1"/>
  <c r="AD205" i="70" s="1"/>
  <c r="AD206" i="70" s="1" a="1"/>
  <c r="AD206" i="70" s="1"/>
  <c r="AD207" i="70" s="1" a="1"/>
  <c r="AD207" i="70" s="1"/>
  <c r="AD208" i="70" s="1" a="1"/>
  <c r="AD208" i="70" s="1"/>
  <c r="AD209" i="70" s="1" a="1"/>
  <c r="AD209" i="70" s="1"/>
  <c r="AD210" i="70" s="1" a="1"/>
  <c r="AD210" i="70" s="1"/>
  <c r="AD211" i="70" s="1" a="1"/>
  <c r="AD211" i="70" s="1"/>
  <c r="AD212" i="70" s="1" a="1"/>
  <c r="AD212" i="70" s="1"/>
  <c r="AD213" i="70" s="1" a="1"/>
  <c r="AD213" i="70" s="1"/>
  <c r="AD214" i="70" s="1" a="1"/>
  <c r="AD214" i="70" s="1"/>
  <c r="AD215" i="70" s="1" a="1"/>
  <c r="AD215" i="70" s="1"/>
  <c r="AD216" i="70" s="1" a="1"/>
  <c r="AD216" i="70" s="1"/>
  <c r="AD217" i="70" s="1" a="1"/>
  <c r="AD217" i="70" s="1"/>
  <c r="AD218" i="70" s="1" a="1"/>
  <c r="AD218" i="70" s="1"/>
  <c r="AD219" i="70" s="1" a="1"/>
  <c r="AD219" i="70" s="1"/>
  <c r="AD220" i="70" s="1" a="1"/>
  <c r="AD220" i="70" s="1"/>
  <c r="AD221" i="70" s="1" a="1"/>
  <c r="AD221" i="70" s="1"/>
  <c r="AD222" i="70" s="1" a="1"/>
  <c r="AD222" i="70" s="1"/>
  <c r="AD223" i="70" s="1" a="1"/>
  <c r="AD223" i="70" s="1"/>
  <c r="AD224" i="70" s="1" a="1"/>
  <c r="AD224" i="70" s="1"/>
  <c r="AD225" i="70" s="1" a="1"/>
  <c r="AD225" i="70" s="1"/>
  <c r="AD226" i="70" s="1" a="1"/>
  <c r="AD226" i="70" s="1"/>
  <c r="AD227" i="70" s="1" a="1"/>
  <c r="AD227" i="70" s="1"/>
  <c r="AD228" i="70" s="1" a="1"/>
  <c r="AD228" i="70" s="1"/>
  <c r="AD229" i="70" s="1" a="1"/>
  <c r="AD229" i="70" s="1"/>
  <c r="AD230" i="70" s="1" a="1"/>
  <c r="AD230" i="70" s="1"/>
  <c r="AD231" i="70" s="1" a="1"/>
  <c r="AD231" i="70" s="1"/>
  <c r="AE124" i="70"/>
  <c r="AP125" i="70" a="1"/>
  <c r="AP125" i="70" s="1"/>
  <c r="AQ124" i="70"/>
  <c r="V124" i="70"/>
  <c r="U125" i="70" a="1"/>
  <c r="U125" i="70" s="1"/>
  <c r="BB125" i="70" a="1"/>
  <c r="BB125" i="70" s="1"/>
  <c r="BC124" i="70"/>
  <c r="AH124" i="70"/>
  <c r="AG125" i="70" a="1"/>
  <c r="AG125" i="70" s="1"/>
  <c r="AB124" i="70"/>
  <c r="AA125" i="70" a="1"/>
  <c r="AA125" i="70" s="1"/>
  <c r="AB125" i="70" l="1"/>
  <c r="AA126" i="70" a="1"/>
  <c r="AA126" i="70" s="1"/>
  <c r="AS127" i="70" a="1"/>
  <c r="AS127" i="70" s="1"/>
  <c r="AT126" i="70"/>
  <c r="AN125" i="70"/>
  <c r="AM126" i="70" a="1"/>
  <c r="AM126" i="70" s="1"/>
  <c r="AM127" i="70" s="1" a="1"/>
  <c r="AM127" i="70" s="1"/>
  <c r="AM128" i="70" s="1" a="1"/>
  <c r="AM128" i="70" s="1"/>
  <c r="AM129" i="70" s="1" a="1"/>
  <c r="AM129" i="70" s="1"/>
  <c r="AM130" i="70" s="1" a="1"/>
  <c r="AM130" i="70" s="1"/>
  <c r="AM131" i="70" s="1" a="1"/>
  <c r="AM131" i="70" s="1"/>
  <c r="AM132" i="70" s="1" a="1"/>
  <c r="AM132" i="70" s="1"/>
  <c r="AM133" i="70" s="1" a="1"/>
  <c r="AM133" i="70" s="1"/>
  <c r="AM134" i="70" s="1" a="1"/>
  <c r="AM134" i="70" s="1"/>
  <c r="AM135" i="70" s="1" a="1"/>
  <c r="AM135" i="70" s="1"/>
  <c r="AM136" i="70" s="1" a="1"/>
  <c r="AM136" i="70" s="1"/>
  <c r="AM137" i="70" s="1" a="1"/>
  <c r="AM137" i="70" s="1"/>
  <c r="AM138" i="70" s="1" a="1"/>
  <c r="AM138" i="70" s="1"/>
  <c r="AM139" i="70" s="1" a="1"/>
  <c r="AM139" i="70" s="1"/>
  <c r="AM140" i="70" s="1" a="1"/>
  <c r="AM140" i="70" s="1"/>
  <c r="AM141" i="70" s="1" a="1"/>
  <c r="AM141" i="70" s="1"/>
  <c r="AM142" i="70" s="1" a="1"/>
  <c r="AM142" i="70" s="1"/>
  <c r="AM143" i="70" s="1" a="1"/>
  <c r="AM143" i="70" s="1"/>
  <c r="AM144" i="70" s="1" a="1"/>
  <c r="AM144" i="70" s="1"/>
  <c r="AM145" i="70" s="1" a="1"/>
  <c r="AM145" i="70" s="1"/>
  <c r="AM146" i="70" s="1" a="1"/>
  <c r="AM146" i="70" s="1"/>
  <c r="AM147" i="70" s="1" a="1"/>
  <c r="AM147" i="70" s="1"/>
  <c r="AM148" i="70" s="1" a="1"/>
  <c r="AM148" i="70" s="1"/>
  <c r="AM149" i="70" s="1" a="1"/>
  <c r="AM149" i="70" s="1"/>
  <c r="AM150" i="70" s="1" a="1"/>
  <c r="AM150" i="70" s="1"/>
  <c r="AM151" i="70" s="1" a="1"/>
  <c r="AM151" i="70" s="1"/>
  <c r="AM152" i="70" s="1" a="1"/>
  <c r="AM152" i="70" s="1"/>
  <c r="AM153" i="70" s="1" a="1"/>
  <c r="AM153" i="70" s="1"/>
  <c r="AM154" i="70" s="1" a="1"/>
  <c r="AM154" i="70" s="1"/>
  <c r="AM155" i="70" s="1" a="1"/>
  <c r="AM155" i="70" s="1"/>
  <c r="AM156" i="70" s="1" a="1"/>
  <c r="AM156" i="70" s="1"/>
  <c r="AM157" i="70" s="1" a="1"/>
  <c r="AM157" i="70" s="1"/>
  <c r="AM158" i="70" s="1" a="1"/>
  <c r="AM158" i="70" s="1"/>
  <c r="AM159" i="70" s="1" a="1"/>
  <c r="AM159" i="70" s="1"/>
  <c r="AM160" i="70" s="1" a="1"/>
  <c r="AM160" i="70" s="1"/>
  <c r="AM161" i="70" s="1" a="1"/>
  <c r="AM161" i="70" s="1"/>
  <c r="AM162" i="70" s="1" a="1"/>
  <c r="AM162" i="70" s="1"/>
  <c r="AM163" i="70" s="1" a="1"/>
  <c r="AM163" i="70" s="1"/>
  <c r="AM164" i="70" s="1" a="1"/>
  <c r="AM164" i="70" s="1"/>
  <c r="AM165" i="70" s="1" a="1"/>
  <c r="AM165" i="70" s="1"/>
  <c r="AM166" i="70" s="1" a="1"/>
  <c r="AM166" i="70" s="1"/>
  <c r="AM167" i="70" s="1" a="1"/>
  <c r="AM167" i="70" s="1"/>
  <c r="AM168" i="70" s="1" a="1"/>
  <c r="AM168" i="70" s="1"/>
  <c r="AM169" i="70" s="1" a="1"/>
  <c r="AM169" i="70" s="1"/>
  <c r="AM170" i="70" s="1" a="1"/>
  <c r="AM170" i="70" s="1"/>
  <c r="AM171" i="70" s="1" a="1"/>
  <c r="AM171" i="70" s="1"/>
  <c r="AM172" i="70" s="1" a="1"/>
  <c r="AM172" i="70" s="1"/>
  <c r="AM173" i="70" s="1" a="1"/>
  <c r="AM173" i="70" s="1"/>
  <c r="AM174" i="70" s="1" a="1"/>
  <c r="AM174" i="70" s="1"/>
  <c r="AM175" i="70" s="1" a="1"/>
  <c r="AM175" i="70" s="1"/>
  <c r="AM176" i="70" s="1" a="1"/>
  <c r="AM176" i="70" s="1"/>
  <c r="AM177" i="70" s="1" a="1"/>
  <c r="AM177" i="70" s="1"/>
  <c r="AM178" i="70" s="1" a="1"/>
  <c r="AM178" i="70" s="1"/>
  <c r="AM179" i="70" s="1" a="1"/>
  <c r="AM179" i="70" s="1"/>
  <c r="AM180" i="70" s="1" a="1"/>
  <c r="AM180" i="70" s="1"/>
  <c r="AM181" i="70" s="1" a="1"/>
  <c r="AM181" i="70" s="1"/>
  <c r="AM182" i="70" s="1" a="1"/>
  <c r="AM182" i="70" s="1"/>
  <c r="AM183" i="70" s="1" a="1"/>
  <c r="AM183" i="70" s="1"/>
  <c r="AM184" i="70" s="1" a="1"/>
  <c r="AM184" i="70" s="1"/>
  <c r="AM185" i="70" s="1" a="1"/>
  <c r="AM185" i="70" s="1"/>
  <c r="AM186" i="70" s="1" a="1"/>
  <c r="AM186" i="70" s="1"/>
  <c r="AM187" i="70" s="1" a="1"/>
  <c r="AM187" i="70" s="1"/>
  <c r="AM188" i="70" s="1" a="1"/>
  <c r="AM188" i="70" s="1"/>
  <c r="AM189" i="70" s="1" a="1"/>
  <c r="AM189" i="70" s="1"/>
  <c r="AM190" i="70" s="1" a="1"/>
  <c r="AM190" i="70" s="1"/>
  <c r="AM191" i="70" s="1" a="1"/>
  <c r="AM191" i="70" s="1"/>
  <c r="AM192" i="70" s="1" a="1"/>
  <c r="AM192" i="70" s="1"/>
  <c r="AM193" i="70" s="1" a="1"/>
  <c r="AM193" i="70" s="1"/>
  <c r="AM194" i="70" s="1" a="1"/>
  <c r="AM194" i="70" s="1"/>
  <c r="AM195" i="70" s="1" a="1"/>
  <c r="AM195" i="70" s="1"/>
  <c r="AM196" i="70" s="1" a="1"/>
  <c r="AM196" i="70" s="1"/>
  <c r="AM197" i="70" s="1" a="1"/>
  <c r="AM197" i="70" s="1"/>
  <c r="AM198" i="70" s="1" a="1"/>
  <c r="AM198" i="70" s="1"/>
  <c r="AM199" i="70" s="1" a="1"/>
  <c r="AM199" i="70" s="1"/>
  <c r="AM200" i="70" s="1" a="1"/>
  <c r="AM200" i="70" s="1"/>
  <c r="AM201" i="70" s="1" a="1"/>
  <c r="AM201" i="70" s="1"/>
  <c r="AM202" i="70" s="1" a="1"/>
  <c r="AM202" i="70" s="1"/>
  <c r="AM203" i="70" s="1" a="1"/>
  <c r="AM203" i="70" s="1"/>
  <c r="AM204" i="70" s="1" a="1"/>
  <c r="AM204" i="70" s="1"/>
  <c r="AM205" i="70" s="1" a="1"/>
  <c r="AM205" i="70" s="1"/>
  <c r="AM206" i="70" s="1" a="1"/>
  <c r="AM206" i="70" s="1"/>
  <c r="AM207" i="70" s="1" a="1"/>
  <c r="AM207" i="70" s="1"/>
  <c r="AM208" i="70" s="1" a="1"/>
  <c r="AM208" i="70" s="1"/>
  <c r="AM209" i="70" s="1" a="1"/>
  <c r="AM209" i="70" s="1"/>
  <c r="AM210" i="70" s="1" a="1"/>
  <c r="AM210" i="70" s="1"/>
  <c r="AM211" i="70" s="1" a="1"/>
  <c r="AM211" i="70" s="1"/>
  <c r="AM212" i="70" s="1" a="1"/>
  <c r="AM212" i="70" s="1"/>
  <c r="AM213" i="70" s="1" a="1"/>
  <c r="AM213" i="70" s="1"/>
  <c r="AM214" i="70" s="1" a="1"/>
  <c r="AM214" i="70" s="1"/>
  <c r="AM215" i="70" s="1" a="1"/>
  <c r="AM215" i="70" s="1"/>
  <c r="AM216" i="70" s="1" a="1"/>
  <c r="AM216" i="70" s="1"/>
  <c r="AM217" i="70" s="1" a="1"/>
  <c r="AM217" i="70" s="1"/>
  <c r="AM218" i="70" s="1" a="1"/>
  <c r="AM218" i="70" s="1"/>
  <c r="AM219" i="70" s="1" a="1"/>
  <c r="AM219" i="70" s="1"/>
  <c r="AM220" i="70" s="1" a="1"/>
  <c r="AM220" i="70" s="1"/>
  <c r="AM221" i="70" s="1" a="1"/>
  <c r="AM221" i="70" s="1"/>
  <c r="AM222" i="70" s="1" a="1"/>
  <c r="AM222" i="70" s="1"/>
  <c r="AM223" i="70" s="1" a="1"/>
  <c r="AM223" i="70" s="1"/>
  <c r="AM224" i="70" s="1" a="1"/>
  <c r="AM224" i="70" s="1"/>
  <c r="AM225" i="70" s="1" a="1"/>
  <c r="AM225" i="70" s="1"/>
  <c r="AM226" i="70" s="1" a="1"/>
  <c r="AM226" i="70" s="1"/>
  <c r="AM227" i="70" s="1" a="1"/>
  <c r="AM227" i="70" s="1"/>
  <c r="AM228" i="70" s="1" a="1"/>
  <c r="AM228" i="70" s="1"/>
  <c r="AM229" i="70" s="1" a="1"/>
  <c r="AM229" i="70" s="1"/>
  <c r="AM230" i="70" s="1" a="1"/>
  <c r="AM230" i="70" s="1"/>
  <c r="AM231" i="70" s="1" a="1"/>
  <c r="AM231" i="70" s="1"/>
  <c r="AH125" i="70"/>
  <c r="AG126" i="70" a="1"/>
  <c r="AG126" i="70" s="1"/>
  <c r="AZ125" i="70"/>
  <c r="AY126" i="70" a="1"/>
  <c r="AY126" i="70" s="1"/>
  <c r="V125" i="70"/>
  <c r="U126" i="70" a="1"/>
  <c r="U126" i="70" s="1"/>
  <c r="Y125" i="70"/>
  <c r="X126" i="70" a="1"/>
  <c r="X126" i="70" s="1"/>
  <c r="BB126" i="70" a="1"/>
  <c r="BB126" i="70" s="1"/>
  <c r="BC125" i="70"/>
  <c r="P126" i="70"/>
  <c r="O127" i="70" a="1"/>
  <c r="O127" i="70" s="1"/>
  <c r="AQ125" i="70"/>
  <c r="AP126" i="70" a="1"/>
  <c r="AP126" i="70" s="1"/>
  <c r="U127" i="70" l="1" a="1"/>
  <c r="U127" i="70" s="1"/>
  <c r="V126" i="70"/>
  <c r="AQ126" i="70"/>
  <c r="AP127" i="70" a="1"/>
  <c r="AP127" i="70" s="1"/>
  <c r="AG127" i="70" a="1"/>
  <c r="AG127" i="70" s="1"/>
  <c r="AG128" i="70" s="1" a="1"/>
  <c r="AG128" i="70" s="1"/>
  <c r="AG129" i="70" s="1" a="1"/>
  <c r="AG129" i="70" s="1"/>
  <c r="AG130" i="70" s="1" a="1"/>
  <c r="AG130" i="70" s="1"/>
  <c r="AG131" i="70" s="1" a="1"/>
  <c r="AG131" i="70" s="1"/>
  <c r="AG132" i="70" s="1" a="1"/>
  <c r="AG132" i="70" s="1"/>
  <c r="AG133" i="70" s="1" a="1"/>
  <c r="AG133" i="70" s="1"/>
  <c r="AG134" i="70" s="1" a="1"/>
  <c r="AG134" i="70" s="1"/>
  <c r="AG135" i="70" s="1" a="1"/>
  <c r="AG135" i="70" s="1"/>
  <c r="AG136" i="70" s="1" a="1"/>
  <c r="AG136" i="70" s="1"/>
  <c r="AG137" i="70" s="1" a="1"/>
  <c r="AG137" i="70" s="1"/>
  <c r="AG138" i="70" s="1" a="1"/>
  <c r="AG138" i="70" s="1"/>
  <c r="AG139" i="70" s="1" a="1"/>
  <c r="AG139" i="70" s="1"/>
  <c r="AG140" i="70" s="1" a="1"/>
  <c r="AG140" i="70" s="1"/>
  <c r="AG141" i="70" s="1" a="1"/>
  <c r="AG141" i="70" s="1"/>
  <c r="AG142" i="70" s="1" a="1"/>
  <c r="AG142" i="70" s="1"/>
  <c r="AG143" i="70" s="1" a="1"/>
  <c r="AG143" i="70" s="1"/>
  <c r="AG144" i="70" s="1" a="1"/>
  <c r="AG144" i="70" s="1"/>
  <c r="AG145" i="70" s="1" a="1"/>
  <c r="AG145" i="70" s="1"/>
  <c r="AG146" i="70" s="1" a="1"/>
  <c r="AG146" i="70" s="1"/>
  <c r="AG147" i="70" s="1" a="1"/>
  <c r="AG147" i="70" s="1"/>
  <c r="AG148" i="70" s="1" a="1"/>
  <c r="AG148" i="70" s="1"/>
  <c r="AG149" i="70" s="1" a="1"/>
  <c r="AG149" i="70" s="1"/>
  <c r="AG150" i="70" s="1" a="1"/>
  <c r="AG150" i="70" s="1"/>
  <c r="AG151" i="70" s="1" a="1"/>
  <c r="AG151" i="70" s="1"/>
  <c r="AG152" i="70" s="1" a="1"/>
  <c r="AG152" i="70" s="1"/>
  <c r="AG153" i="70" s="1" a="1"/>
  <c r="AG153" i="70" s="1"/>
  <c r="AG154" i="70" s="1" a="1"/>
  <c r="AG154" i="70" s="1"/>
  <c r="AG155" i="70" s="1" a="1"/>
  <c r="AG155" i="70" s="1"/>
  <c r="AG156" i="70" s="1" a="1"/>
  <c r="AG156" i="70" s="1"/>
  <c r="AG157" i="70" s="1" a="1"/>
  <c r="AG157" i="70" s="1"/>
  <c r="AG158" i="70" s="1" a="1"/>
  <c r="AG158" i="70" s="1"/>
  <c r="AG159" i="70" s="1" a="1"/>
  <c r="AG159" i="70" s="1"/>
  <c r="AG160" i="70" s="1" a="1"/>
  <c r="AG160" i="70" s="1"/>
  <c r="AG161" i="70" s="1" a="1"/>
  <c r="AG161" i="70" s="1"/>
  <c r="AG162" i="70" s="1" a="1"/>
  <c r="AG162" i="70" s="1"/>
  <c r="AG163" i="70" s="1" a="1"/>
  <c r="AG163" i="70" s="1"/>
  <c r="AG164" i="70" s="1" a="1"/>
  <c r="AG164" i="70" s="1"/>
  <c r="AG165" i="70" s="1" a="1"/>
  <c r="AG165" i="70" s="1"/>
  <c r="AG166" i="70" s="1" a="1"/>
  <c r="AG166" i="70" s="1"/>
  <c r="AG167" i="70" s="1" a="1"/>
  <c r="AG167" i="70" s="1"/>
  <c r="AG168" i="70" s="1" a="1"/>
  <c r="AG168" i="70" s="1"/>
  <c r="AG169" i="70" s="1" a="1"/>
  <c r="AG169" i="70" s="1"/>
  <c r="AG170" i="70" s="1" a="1"/>
  <c r="AG170" i="70" s="1"/>
  <c r="AG171" i="70" s="1" a="1"/>
  <c r="AG171" i="70" s="1"/>
  <c r="AG172" i="70" s="1" a="1"/>
  <c r="AG172" i="70" s="1"/>
  <c r="AG173" i="70" s="1" a="1"/>
  <c r="AG173" i="70" s="1"/>
  <c r="AG174" i="70" s="1" a="1"/>
  <c r="AG174" i="70" s="1"/>
  <c r="AG175" i="70" s="1" a="1"/>
  <c r="AG175" i="70" s="1"/>
  <c r="AG176" i="70" s="1" a="1"/>
  <c r="AG176" i="70" s="1"/>
  <c r="AG177" i="70" s="1" a="1"/>
  <c r="AG177" i="70" s="1"/>
  <c r="AG178" i="70" s="1" a="1"/>
  <c r="AG178" i="70" s="1"/>
  <c r="AG179" i="70" s="1" a="1"/>
  <c r="AG179" i="70" s="1"/>
  <c r="AG180" i="70" s="1" a="1"/>
  <c r="AG180" i="70" s="1"/>
  <c r="AG181" i="70" s="1" a="1"/>
  <c r="AG181" i="70" s="1"/>
  <c r="AG182" i="70" s="1" a="1"/>
  <c r="AG182" i="70" s="1"/>
  <c r="AG183" i="70" s="1" a="1"/>
  <c r="AG183" i="70" s="1"/>
  <c r="AG184" i="70" s="1" a="1"/>
  <c r="AG184" i="70" s="1"/>
  <c r="AG185" i="70" s="1" a="1"/>
  <c r="AG185" i="70" s="1"/>
  <c r="AG186" i="70" s="1" a="1"/>
  <c r="AG186" i="70" s="1"/>
  <c r="AG187" i="70" s="1" a="1"/>
  <c r="AG187" i="70" s="1"/>
  <c r="AG188" i="70" s="1" a="1"/>
  <c r="AG188" i="70" s="1"/>
  <c r="AG189" i="70" s="1" a="1"/>
  <c r="AG189" i="70" s="1"/>
  <c r="AG190" i="70" s="1" a="1"/>
  <c r="AG190" i="70" s="1"/>
  <c r="AG191" i="70" s="1" a="1"/>
  <c r="AG191" i="70" s="1"/>
  <c r="AG192" i="70" s="1" a="1"/>
  <c r="AG192" i="70" s="1"/>
  <c r="AG193" i="70" s="1" a="1"/>
  <c r="AG193" i="70" s="1"/>
  <c r="AG194" i="70" s="1" a="1"/>
  <c r="AG194" i="70" s="1"/>
  <c r="AG195" i="70" s="1" a="1"/>
  <c r="AG195" i="70" s="1"/>
  <c r="AG196" i="70" s="1" a="1"/>
  <c r="AG196" i="70" s="1"/>
  <c r="AG197" i="70" s="1" a="1"/>
  <c r="AG197" i="70" s="1"/>
  <c r="AG198" i="70" s="1" a="1"/>
  <c r="AG198" i="70" s="1"/>
  <c r="AG199" i="70" s="1" a="1"/>
  <c r="AG199" i="70" s="1"/>
  <c r="AG200" i="70" s="1" a="1"/>
  <c r="AG200" i="70" s="1"/>
  <c r="AG201" i="70" s="1" a="1"/>
  <c r="AG201" i="70" s="1"/>
  <c r="AG202" i="70" s="1" a="1"/>
  <c r="AG202" i="70" s="1"/>
  <c r="AG203" i="70" s="1" a="1"/>
  <c r="AG203" i="70" s="1"/>
  <c r="AG204" i="70" s="1" a="1"/>
  <c r="AG204" i="70" s="1"/>
  <c r="AG205" i="70" s="1" a="1"/>
  <c r="AG205" i="70" s="1"/>
  <c r="AG206" i="70" s="1" a="1"/>
  <c r="AG206" i="70" s="1"/>
  <c r="AG207" i="70" s="1" a="1"/>
  <c r="AG207" i="70" s="1"/>
  <c r="AG208" i="70" s="1" a="1"/>
  <c r="AG208" i="70" s="1"/>
  <c r="AG209" i="70" s="1" a="1"/>
  <c r="AG209" i="70" s="1"/>
  <c r="AG210" i="70" s="1" a="1"/>
  <c r="AG210" i="70" s="1"/>
  <c r="AG211" i="70" s="1" a="1"/>
  <c r="AG211" i="70" s="1"/>
  <c r="AG212" i="70" s="1" a="1"/>
  <c r="AG212" i="70" s="1"/>
  <c r="AG213" i="70" s="1" a="1"/>
  <c r="AG213" i="70" s="1"/>
  <c r="AG214" i="70" s="1" a="1"/>
  <c r="AG214" i="70" s="1"/>
  <c r="AG215" i="70" s="1" a="1"/>
  <c r="AG215" i="70" s="1"/>
  <c r="AG216" i="70" s="1" a="1"/>
  <c r="AG216" i="70" s="1"/>
  <c r="AG217" i="70" s="1" a="1"/>
  <c r="AG217" i="70" s="1"/>
  <c r="AG218" i="70" s="1" a="1"/>
  <c r="AG218" i="70" s="1"/>
  <c r="AG219" i="70" s="1" a="1"/>
  <c r="AG219" i="70" s="1"/>
  <c r="AG220" i="70" s="1" a="1"/>
  <c r="AG220" i="70" s="1"/>
  <c r="AG221" i="70" s="1" a="1"/>
  <c r="AG221" i="70" s="1"/>
  <c r="AG222" i="70" s="1" a="1"/>
  <c r="AG222" i="70" s="1"/>
  <c r="AG223" i="70" s="1" a="1"/>
  <c r="AG223" i="70" s="1"/>
  <c r="AG224" i="70" s="1" a="1"/>
  <c r="AG224" i="70" s="1"/>
  <c r="AG225" i="70" s="1" a="1"/>
  <c r="AG225" i="70" s="1"/>
  <c r="AG226" i="70" s="1" a="1"/>
  <c r="AG226" i="70" s="1"/>
  <c r="AG227" i="70" s="1" a="1"/>
  <c r="AG227" i="70" s="1"/>
  <c r="AG228" i="70" s="1" a="1"/>
  <c r="AG228" i="70" s="1"/>
  <c r="AG229" i="70" s="1" a="1"/>
  <c r="AG229" i="70" s="1"/>
  <c r="AG230" i="70" s="1" a="1"/>
  <c r="AG230" i="70" s="1"/>
  <c r="AG231" i="70" s="1" a="1"/>
  <c r="AG231" i="70" s="1"/>
  <c r="AH126" i="70"/>
  <c r="O128" i="70" a="1"/>
  <c r="O128" i="70" s="1"/>
  <c r="P127" i="70"/>
  <c r="AS128" i="70" a="1"/>
  <c r="AS128" i="70" s="1"/>
  <c r="AT127" i="70"/>
  <c r="BB127" i="70" a="1"/>
  <c r="BB127" i="70" s="1"/>
  <c r="BC126" i="70"/>
  <c r="AB126" i="70"/>
  <c r="AA127" i="70" a="1"/>
  <c r="AA127" i="70" s="1"/>
  <c r="AZ126" i="70"/>
  <c r="AY127" i="70" a="1"/>
  <c r="AY127" i="70" s="1"/>
  <c r="Y126" i="70"/>
  <c r="X127" i="70" a="1"/>
  <c r="X127" i="70" s="1"/>
  <c r="AS129" i="70" l="1" a="1"/>
  <c r="AS129" i="70" s="1"/>
  <c r="AT128" i="70"/>
  <c r="BB128" i="70" a="1"/>
  <c r="BB128" i="70" s="1"/>
  <c r="BC127" i="70"/>
  <c r="P128" i="70"/>
  <c r="O129" i="70" a="1"/>
  <c r="O129" i="70" s="1"/>
  <c r="Y127" i="70"/>
  <c r="X128" i="70" a="1"/>
  <c r="X128" i="70" s="1"/>
  <c r="AQ127" i="70"/>
  <c r="AP128" i="70" a="1"/>
  <c r="AP128" i="70" s="1"/>
  <c r="AY128" i="70" a="1"/>
  <c r="AY128" i="70" s="1"/>
  <c r="AZ127" i="70"/>
  <c r="AA128" i="70" a="1"/>
  <c r="AA128" i="70" s="1"/>
  <c r="AB127" i="70"/>
  <c r="U128" i="70" a="1"/>
  <c r="U128" i="70" s="1"/>
  <c r="V127" i="70"/>
  <c r="AQ128" i="70" l="1"/>
  <c r="AP129" i="70" a="1"/>
  <c r="AP129" i="70" s="1"/>
  <c r="O130" i="70" s="1" a="1"/>
  <c r="O130" i="70" s="1"/>
  <c r="AY129" i="70" a="1"/>
  <c r="AY129" i="70" s="1"/>
  <c r="AZ128" i="70"/>
  <c r="Y128" i="70"/>
  <c r="X129" i="70" a="1"/>
  <c r="X129" i="70" s="1"/>
  <c r="P129" i="70"/>
  <c r="BC128" i="70"/>
  <c r="BB129" i="70" a="1"/>
  <c r="BB129" i="70" s="1"/>
  <c r="U129" i="70" a="1"/>
  <c r="U129" i="70" s="1"/>
  <c r="V128" i="70"/>
  <c r="AA129" i="70" a="1"/>
  <c r="AA129" i="70" s="1"/>
  <c r="AB128" i="70"/>
  <c r="AS130" i="70" a="1"/>
  <c r="AS130" i="70" s="1"/>
  <c r="AT129" i="70"/>
  <c r="P130" i="70" l="1"/>
  <c r="BC129" i="70"/>
  <c r="BB130" i="70" a="1"/>
  <c r="BB130" i="70" s="1"/>
  <c r="X130" i="70" a="1"/>
  <c r="X130" i="70" s="1"/>
  <c r="O131" i="70" s="1" a="1"/>
  <c r="O131" i="70" s="1"/>
  <c r="Y129" i="70"/>
  <c r="U130" i="70" a="1"/>
  <c r="U130" i="70" s="1"/>
  <c r="V129" i="70"/>
  <c r="AS131" i="70" a="1"/>
  <c r="AS131" i="70" s="1"/>
  <c r="AT130" i="70"/>
  <c r="AY130" i="70" a="1"/>
  <c r="AY130" i="70" s="1"/>
  <c r="AZ129" i="70"/>
  <c r="AQ129" i="70"/>
  <c r="AP130" i="70" a="1"/>
  <c r="AP130" i="70" s="1"/>
  <c r="AB129" i="70"/>
  <c r="AA130" i="70" a="1"/>
  <c r="AA130" i="70" s="1"/>
  <c r="AZ130" i="70" l="1"/>
  <c r="AY131" i="70" a="1"/>
  <c r="AY131" i="70" s="1"/>
  <c r="AT131" i="70"/>
  <c r="AS132" i="70" a="1"/>
  <c r="AS132" i="70" s="1"/>
  <c r="U131" i="70" a="1"/>
  <c r="U131" i="70" s="1"/>
  <c r="V130" i="70"/>
  <c r="X131" i="70" a="1"/>
  <c r="X131" i="70" s="1"/>
  <c r="Y130" i="70"/>
  <c r="BB131" i="70" a="1"/>
  <c r="BB131" i="70" s="1"/>
  <c r="BC130" i="70"/>
  <c r="AB130" i="70"/>
  <c r="AA131" i="70" a="1"/>
  <c r="AA131" i="70" s="1"/>
  <c r="P131" i="70"/>
  <c r="O132" i="70" a="1"/>
  <c r="O132" i="70" s="1"/>
  <c r="AP131" i="70" a="1"/>
  <c r="AP131" i="70" s="1"/>
  <c r="AQ130" i="70"/>
  <c r="X132" i="70" l="1" a="1"/>
  <c r="X132" i="70" s="1"/>
  <c r="Y131" i="70"/>
  <c r="BB132" i="70" a="1"/>
  <c r="BB132" i="70" s="1"/>
  <c r="BC131" i="70"/>
  <c r="V131" i="70"/>
  <c r="U132" i="70" a="1"/>
  <c r="U132" i="70" s="1"/>
  <c r="AT132" i="70"/>
  <c r="AS133" i="70" a="1"/>
  <c r="AS133" i="70" s="1"/>
  <c r="AP132" i="70" a="1"/>
  <c r="AP132" i="70" s="1"/>
  <c r="AQ131" i="70"/>
  <c r="AB131" i="70"/>
  <c r="AA132" i="70" a="1"/>
  <c r="AA132" i="70" s="1"/>
  <c r="AZ131" i="70"/>
  <c r="AY132" i="70" a="1"/>
  <c r="AY132" i="70" s="1"/>
  <c r="O133" i="70" a="1"/>
  <c r="O133" i="70" s="1"/>
  <c r="P132" i="70"/>
  <c r="AA133" i="70" l="1" a="1"/>
  <c r="AA133" i="70" s="1"/>
  <c r="AA134" i="70" s="1" a="1"/>
  <c r="AA134" i="70" s="1"/>
  <c r="AA135" i="70" s="1" a="1"/>
  <c r="AA135" i="70" s="1"/>
  <c r="AA136" i="70" s="1" a="1"/>
  <c r="AA136" i="70" s="1"/>
  <c r="AA137" i="70" s="1" a="1"/>
  <c r="AA137" i="70" s="1"/>
  <c r="AA138" i="70" s="1" a="1"/>
  <c r="AA138" i="70" s="1"/>
  <c r="AA139" i="70" s="1" a="1"/>
  <c r="AA139" i="70" s="1"/>
  <c r="AA140" i="70" s="1" a="1"/>
  <c r="AA140" i="70" s="1"/>
  <c r="AA141" i="70" s="1" a="1"/>
  <c r="AA141" i="70" s="1"/>
  <c r="AA142" i="70" s="1" a="1"/>
  <c r="AA142" i="70" s="1"/>
  <c r="AA143" i="70" s="1" a="1"/>
  <c r="AA143" i="70" s="1"/>
  <c r="AA144" i="70" s="1" a="1"/>
  <c r="AA144" i="70" s="1"/>
  <c r="AA145" i="70" s="1" a="1"/>
  <c r="AA145" i="70" s="1"/>
  <c r="AA146" i="70" s="1" a="1"/>
  <c r="AA146" i="70" s="1"/>
  <c r="AA147" i="70" s="1" a="1"/>
  <c r="AA147" i="70" s="1"/>
  <c r="AA148" i="70" s="1" a="1"/>
  <c r="AA148" i="70" s="1"/>
  <c r="AA149" i="70" s="1" a="1"/>
  <c r="AA149" i="70" s="1"/>
  <c r="AA150" i="70" s="1" a="1"/>
  <c r="AA150" i="70" s="1"/>
  <c r="AA151" i="70" s="1" a="1"/>
  <c r="AA151" i="70" s="1"/>
  <c r="AA152" i="70" s="1" a="1"/>
  <c r="AA152" i="70" s="1"/>
  <c r="AA153" i="70" s="1" a="1"/>
  <c r="AA153" i="70" s="1"/>
  <c r="AA154" i="70" s="1" a="1"/>
  <c r="AA154" i="70" s="1"/>
  <c r="AA155" i="70" s="1" a="1"/>
  <c r="AA155" i="70" s="1"/>
  <c r="AA156" i="70" s="1" a="1"/>
  <c r="AA156" i="70" s="1"/>
  <c r="AA157" i="70" s="1" a="1"/>
  <c r="AA157" i="70" s="1"/>
  <c r="AA158" i="70" s="1" a="1"/>
  <c r="AA158" i="70" s="1"/>
  <c r="AA159" i="70" s="1" a="1"/>
  <c r="AA159" i="70" s="1"/>
  <c r="AA160" i="70" s="1" a="1"/>
  <c r="AA160" i="70" s="1"/>
  <c r="AA161" i="70" s="1" a="1"/>
  <c r="AA161" i="70" s="1"/>
  <c r="AA162" i="70" s="1" a="1"/>
  <c r="AA162" i="70" s="1"/>
  <c r="AA163" i="70" s="1" a="1"/>
  <c r="AA163" i="70" s="1"/>
  <c r="AA164" i="70" s="1" a="1"/>
  <c r="AA164" i="70" s="1"/>
  <c r="AA165" i="70" s="1" a="1"/>
  <c r="AA165" i="70" s="1"/>
  <c r="AA166" i="70" s="1" a="1"/>
  <c r="AA166" i="70" s="1"/>
  <c r="AA167" i="70" s="1" a="1"/>
  <c r="AA167" i="70" s="1"/>
  <c r="AA168" i="70" s="1" a="1"/>
  <c r="AA168" i="70" s="1"/>
  <c r="AA169" i="70" s="1" a="1"/>
  <c r="AA169" i="70" s="1"/>
  <c r="AA170" i="70" s="1" a="1"/>
  <c r="AA170" i="70" s="1"/>
  <c r="AA171" i="70" s="1" a="1"/>
  <c r="AA171" i="70" s="1"/>
  <c r="AA172" i="70" s="1" a="1"/>
  <c r="AA172" i="70" s="1"/>
  <c r="AA173" i="70" s="1" a="1"/>
  <c r="AA173" i="70" s="1"/>
  <c r="AA174" i="70" s="1" a="1"/>
  <c r="AA174" i="70" s="1"/>
  <c r="AA175" i="70" s="1" a="1"/>
  <c r="AA175" i="70" s="1"/>
  <c r="AA176" i="70" s="1" a="1"/>
  <c r="AA176" i="70" s="1"/>
  <c r="AA177" i="70" s="1" a="1"/>
  <c r="AA177" i="70" s="1"/>
  <c r="AA178" i="70" s="1" a="1"/>
  <c r="AA178" i="70" s="1"/>
  <c r="AA179" i="70" s="1" a="1"/>
  <c r="AA179" i="70" s="1"/>
  <c r="AA180" i="70" s="1" a="1"/>
  <c r="AA180" i="70" s="1"/>
  <c r="AA181" i="70" s="1" a="1"/>
  <c r="AA181" i="70" s="1"/>
  <c r="AA182" i="70" s="1" a="1"/>
  <c r="AA182" i="70" s="1"/>
  <c r="AA183" i="70" s="1" a="1"/>
  <c r="AA183" i="70" s="1"/>
  <c r="AA184" i="70" s="1" a="1"/>
  <c r="AA184" i="70" s="1"/>
  <c r="AA185" i="70" s="1" a="1"/>
  <c r="AA185" i="70" s="1"/>
  <c r="AA186" i="70" s="1" a="1"/>
  <c r="AA186" i="70" s="1"/>
  <c r="AA187" i="70" s="1" a="1"/>
  <c r="AA187" i="70" s="1"/>
  <c r="AA188" i="70" s="1" a="1"/>
  <c r="AA188" i="70" s="1"/>
  <c r="AA189" i="70" s="1" a="1"/>
  <c r="AA189" i="70" s="1"/>
  <c r="AA190" i="70" s="1" a="1"/>
  <c r="AA190" i="70" s="1"/>
  <c r="AA191" i="70" s="1" a="1"/>
  <c r="AA191" i="70" s="1"/>
  <c r="AA192" i="70" s="1" a="1"/>
  <c r="AA192" i="70" s="1"/>
  <c r="AA193" i="70" s="1" a="1"/>
  <c r="AA193" i="70" s="1"/>
  <c r="AA194" i="70" s="1" a="1"/>
  <c r="AA194" i="70" s="1"/>
  <c r="AA195" i="70" s="1" a="1"/>
  <c r="AA195" i="70" s="1"/>
  <c r="AA196" i="70" s="1" a="1"/>
  <c r="AA196" i="70" s="1"/>
  <c r="AA197" i="70" s="1" a="1"/>
  <c r="AA197" i="70" s="1"/>
  <c r="AA198" i="70" s="1" a="1"/>
  <c r="AA198" i="70" s="1"/>
  <c r="AA199" i="70" s="1" a="1"/>
  <c r="AA199" i="70" s="1"/>
  <c r="AA200" i="70" s="1" a="1"/>
  <c r="AA200" i="70" s="1"/>
  <c r="AA201" i="70" s="1" a="1"/>
  <c r="AA201" i="70" s="1"/>
  <c r="AA202" i="70" s="1" a="1"/>
  <c r="AA202" i="70" s="1"/>
  <c r="AA203" i="70" s="1" a="1"/>
  <c r="AA203" i="70" s="1"/>
  <c r="AA204" i="70" s="1" a="1"/>
  <c r="AA204" i="70" s="1"/>
  <c r="AA205" i="70" s="1" a="1"/>
  <c r="AA205" i="70" s="1"/>
  <c r="AA206" i="70" s="1" a="1"/>
  <c r="AA206" i="70" s="1"/>
  <c r="AA207" i="70" s="1" a="1"/>
  <c r="AA207" i="70" s="1"/>
  <c r="AA208" i="70" s="1" a="1"/>
  <c r="AA208" i="70" s="1"/>
  <c r="AA209" i="70" s="1" a="1"/>
  <c r="AA209" i="70" s="1"/>
  <c r="AA210" i="70" s="1" a="1"/>
  <c r="AA210" i="70" s="1"/>
  <c r="AA211" i="70" s="1" a="1"/>
  <c r="AA211" i="70" s="1"/>
  <c r="AA212" i="70" s="1" a="1"/>
  <c r="AA212" i="70" s="1"/>
  <c r="AA213" i="70" s="1" a="1"/>
  <c r="AA213" i="70" s="1"/>
  <c r="AA214" i="70" s="1" a="1"/>
  <c r="AA214" i="70" s="1"/>
  <c r="AA215" i="70" s="1" a="1"/>
  <c r="AA215" i="70" s="1"/>
  <c r="AA216" i="70" s="1" a="1"/>
  <c r="AA216" i="70" s="1"/>
  <c r="AA217" i="70" s="1" a="1"/>
  <c r="AA217" i="70" s="1"/>
  <c r="AA218" i="70" s="1" a="1"/>
  <c r="AA218" i="70" s="1"/>
  <c r="AA219" i="70" s="1" a="1"/>
  <c r="AA219" i="70" s="1"/>
  <c r="AA220" i="70" s="1" a="1"/>
  <c r="AA220" i="70" s="1"/>
  <c r="AA221" i="70" s="1" a="1"/>
  <c r="AA221" i="70" s="1"/>
  <c r="AA222" i="70" s="1" a="1"/>
  <c r="AA222" i="70" s="1"/>
  <c r="AA223" i="70" s="1" a="1"/>
  <c r="AA223" i="70" s="1"/>
  <c r="AA224" i="70" s="1" a="1"/>
  <c r="AA224" i="70" s="1"/>
  <c r="AA225" i="70" s="1" a="1"/>
  <c r="AA225" i="70" s="1"/>
  <c r="AA226" i="70" s="1" a="1"/>
  <c r="AA226" i="70" s="1"/>
  <c r="AA227" i="70" s="1" a="1"/>
  <c r="AA227" i="70" s="1"/>
  <c r="AA228" i="70" s="1" a="1"/>
  <c r="AA228" i="70" s="1"/>
  <c r="AA229" i="70" s="1" a="1"/>
  <c r="AA229" i="70" s="1"/>
  <c r="AA230" i="70" s="1" a="1"/>
  <c r="AA230" i="70" s="1"/>
  <c r="AA231" i="70" s="1" a="1"/>
  <c r="AA231" i="70" s="1"/>
  <c r="AB132" i="70"/>
  <c r="P133" i="70"/>
  <c r="AP133" i="70" a="1"/>
  <c r="AP133" i="70" s="1"/>
  <c r="AQ132" i="70"/>
  <c r="AS134" i="70" a="1"/>
  <c r="AS134" i="70" s="1"/>
  <c r="AT133" i="70"/>
  <c r="V132" i="70"/>
  <c r="U133" i="70" a="1"/>
  <c r="U133" i="70" s="1"/>
  <c r="BB133" i="70" a="1"/>
  <c r="BB133" i="70" s="1"/>
  <c r="BC132" i="70"/>
  <c r="AY133" i="70" a="1"/>
  <c r="AY133" i="70" s="1"/>
  <c r="AZ132" i="70"/>
  <c r="X133" i="70" a="1"/>
  <c r="X133" i="70" s="1"/>
  <c r="O134" i="70" s="1" a="1"/>
  <c r="O134" i="70" s="1"/>
  <c r="Y132" i="70"/>
  <c r="AY134" i="70" l="1" a="1"/>
  <c r="AY134" i="70" s="1"/>
  <c r="AZ133" i="70"/>
  <c r="AT134" i="70"/>
  <c r="AS135" i="70" a="1"/>
  <c r="AS135" i="70" s="1"/>
  <c r="U134" i="70" a="1"/>
  <c r="U134" i="70" s="1"/>
  <c r="V133" i="70"/>
  <c r="BC133" i="70"/>
  <c r="BB134" i="70" a="1"/>
  <c r="BB134" i="70" s="1"/>
  <c r="AQ133" i="70"/>
  <c r="AP134" i="70" a="1"/>
  <c r="AP134" i="70" s="1"/>
  <c r="P134" i="70"/>
  <c r="O135" i="70" a="1"/>
  <c r="O135" i="70" s="1"/>
  <c r="X134" i="70" a="1"/>
  <c r="X134" i="70" s="1"/>
  <c r="Y133" i="70"/>
  <c r="Y134" i="70" l="1"/>
  <c r="X135" i="70" a="1"/>
  <c r="X135" i="70" s="1"/>
  <c r="AQ134" i="70"/>
  <c r="AP135" i="70" a="1"/>
  <c r="AP135" i="70" s="1"/>
  <c r="P135" i="70"/>
  <c r="O136" i="70" a="1"/>
  <c r="O136" i="70" s="1"/>
  <c r="AS136" i="70" a="1"/>
  <c r="AS136" i="70" s="1"/>
  <c r="AT135" i="70"/>
  <c r="V134" i="70"/>
  <c r="U135" i="70" a="1"/>
  <c r="U135" i="70" s="1"/>
  <c r="BC134" i="70"/>
  <c r="BB135" i="70" a="1"/>
  <c r="BB135" i="70" s="1"/>
  <c r="AY135" i="70" a="1"/>
  <c r="AY135" i="70" s="1"/>
  <c r="AZ134" i="70"/>
  <c r="BB136" i="70" l="1" a="1"/>
  <c r="BB136" i="70" s="1"/>
  <c r="BC135" i="70"/>
  <c r="V135" i="70"/>
  <c r="U136" i="70" a="1"/>
  <c r="U136" i="70" s="1"/>
  <c r="AT136" i="70"/>
  <c r="AS137" i="70" a="1"/>
  <c r="AS137" i="70" s="1"/>
  <c r="AP136" i="70" a="1"/>
  <c r="AP136" i="70" s="1"/>
  <c r="AQ135" i="70"/>
  <c r="P136" i="70"/>
  <c r="C138" i="70" s="1"/>
  <c r="B13" i="32" s="1"/>
  <c r="C13" i="32" s="1"/>
  <c r="Y135" i="70"/>
  <c r="X136" i="70" a="1"/>
  <c r="X136" i="70" s="1"/>
  <c r="O137" i="70" s="1" a="1"/>
  <c r="O137" i="70" s="1"/>
  <c r="AZ135" i="70"/>
  <c r="AY136" i="70" a="1"/>
  <c r="AY136" i="70" s="1"/>
  <c r="D13" i="32" l="1"/>
  <c r="G13" i="32" s="1"/>
  <c r="H13" i="32" s="1"/>
  <c r="P137" i="70"/>
  <c r="O138" i="70" a="1"/>
  <c r="O138" i="70" s="1"/>
  <c r="X137" i="70" a="1"/>
  <c r="X137" i="70" s="1"/>
  <c r="Y136" i="70"/>
  <c r="AP137" i="70" a="1"/>
  <c r="AP137" i="70" s="1"/>
  <c r="AQ136" i="70"/>
  <c r="V136" i="70"/>
  <c r="U137" i="70" a="1"/>
  <c r="U137" i="70" s="1"/>
  <c r="AT137" i="70"/>
  <c r="AS138" i="70" a="1"/>
  <c r="AS138" i="70" s="1"/>
  <c r="AY137" i="70" a="1"/>
  <c r="AY137" i="70" s="1"/>
  <c r="AZ136" i="70"/>
  <c r="BB137" i="70" a="1"/>
  <c r="BB137" i="70" s="1"/>
  <c r="BC136" i="70"/>
  <c r="C14" i="32" l="1"/>
  <c r="C15" i="32" s="1"/>
  <c r="AZ137" i="70"/>
  <c r="AY138" i="70" a="1"/>
  <c r="AY138" i="70" s="1"/>
  <c r="AS139" i="70" a="1"/>
  <c r="AS139" i="70" s="1"/>
  <c r="AT138" i="70"/>
  <c r="R139" i="70" a="1"/>
  <c r="R139" i="70" s="1"/>
  <c r="V137" i="70"/>
  <c r="U138" i="70" a="1"/>
  <c r="U138" i="70" s="1"/>
  <c r="AP138" i="70" a="1"/>
  <c r="AP138" i="70" s="1"/>
  <c r="AQ137" i="70"/>
  <c r="X138" i="70" a="1"/>
  <c r="X138" i="70" s="1"/>
  <c r="Y137" i="70"/>
  <c r="P138" i="70"/>
  <c r="O139" i="70" a="1"/>
  <c r="O139" i="70" s="1"/>
  <c r="BC137" i="70"/>
  <c r="BB138" i="70" a="1"/>
  <c r="BB138" i="70" s="1"/>
  <c r="Y138" i="70" l="1"/>
  <c r="X139" i="70" a="1"/>
  <c r="X139" i="70" s="1"/>
  <c r="AQ138" i="70"/>
  <c r="AP139" i="70" a="1"/>
  <c r="AP139" i="70" s="1"/>
  <c r="S139" i="70"/>
  <c r="R140" i="70" a="1"/>
  <c r="R140" i="70" s="1"/>
  <c r="U139" i="70" a="1"/>
  <c r="U139" i="70" s="1"/>
  <c r="V138" i="70"/>
  <c r="AS140" i="70" a="1"/>
  <c r="AS140" i="70" s="1"/>
  <c r="AS141" i="70" s="1" a="1"/>
  <c r="AS141" i="70" s="1"/>
  <c r="AS142" i="70" s="1" a="1"/>
  <c r="AS142" i="70" s="1"/>
  <c r="AS143" i="70" s="1" a="1"/>
  <c r="AS143" i="70" s="1"/>
  <c r="AS144" i="70" s="1" a="1"/>
  <c r="AS144" i="70" s="1"/>
  <c r="AS145" i="70" s="1" a="1"/>
  <c r="AS145" i="70" s="1"/>
  <c r="AS146" i="70" s="1" a="1"/>
  <c r="AS146" i="70" s="1"/>
  <c r="AS147" i="70" s="1" a="1"/>
  <c r="AS147" i="70" s="1"/>
  <c r="AS148" i="70" s="1" a="1"/>
  <c r="AS148" i="70" s="1"/>
  <c r="AS149" i="70" s="1" a="1"/>
  <c r="AS149" i="70" s="1"/>
  <c r="AS150" i="70" s="1" a="1"/>
  <c r="AS150" i="70" s="1"/>
  <c r="AS151" i="70" s="1" a="1"/>
  <c r="AS151" i="70" s="1"/>
  <c r="AS152" i="70" s="1" a="1"/>
  <c r="AS152" i="70" s="1"/>
  <c r="AS153" i="70" s="1" a="1"/>
  <c r="AS153" i="70" s="1"/>
  <c r="AS154" i="70" s="1" a="1"/>
  <c r="AS154" i="70" s="1"/>
  <c r="AS155" i="70" s="1" a="1"/>
  <c r="AS155" i="70" s="1"/>
  <c r="AS156" i="70" s="1" a="1"/>
  <c r="AS156" i="70" s="1"/>
  <c r="AS157" i="70" s="1" a="1"/>
  <c r="AS157" i="70" s="1"/>
  <c r="AS158" i="70" s="1" a="1"/>
  <c r="AS158" i="70" s="1"/>
  <c r="AS159" i="70" s="1" a="1"/>
  <c r="AS159" i="70" s="1"/>
  <c r="AS160" i="70" s="1" a="1"/>
  <c r="AS160" i="70" s="1"/>
  <c r="AS161" i="70" s="1" a="1"/>
  <c r="AS161" i="70" s="1"/>
  <c r="AS162" i="70" s="1" a="1"/>
  <c r="AS162" i="70" s="1"/>
  <c r="AS163" i="70" s="1" a="1"/>
  <c r="AS163" i="70" s="1"/>
  <c r="AS164" i="70" s="1" a="1"/>
  <c r="AS164" i="70" s="1"/>
  <c r="AS165" i="70" s="1" a="1"/>
  <c r="AS165" i="70" s="1"/>
  <c r="AS166" i="70" s="1" a="1"/>
  <c r="AS166" i="70" s="1"/>
  <c r="AS167" i="70" s="1" a="1"/>
  <c r="AS167" i="70" s="1"/>
  <c r="AS168" i="70" s="1" a="1"/>
  <c r="AS168" i="70" s="1"/>
  <c r="AS169" i="70" s="1" a="1"/>
  <c r="AS169" i="70" s="1"/>
  <c r="AS170" i="70" s="1" a="1"/>
  <c r="AS170" i="70" s="1"/>
  <c r="AS171" i="70" s="1" a="1"/>
  <c r="AS171" i="70" s="1"/>
  <c r="AS172" i="70" s="1" a="1"/>
  <c r="AS172" i="70" s="1"/>
  <c r="AS173" i="70" s="1" a="1"/>
  <c r="AS173" i="70" s="1"/>
  <c r="AS174" i="70" s="1" a="1"/>
  <c r="AS174" i="70" s="1"/>
  <c r="AS175" i="70" s="1" a="1"/>
  <c r="AS175" i="70" s="1"/>
  <c r="AS176" i="70" s="1" a="1"/>
  <c r="AS176" i="70" s="1"/>
  <c r="AS177" i="70" s="1" a="1"/>
  <c r="AS177" i="70" s="1"/>
  <c r="AS178" i="70" s="1" a="1"/>
  <c r="AS178" i="70" s="1"/>
  <c r="AS179" i="70" s="1" a="1"/>
  <c r="AS179" i="70" s="1"/>
  <c r="AS180" i="70" s="1" a="1"/>
  <c r="AS180" i="70" s="1"/>
  <c r="AS181" i="70" s="1" a="1"/>
  <c r="AS181" i="70" s="1"/>
  <c r="AS182" i="70" s="1" a="1"/>
  <c r="AS182" i="70" s="1"/>
  <c r="AS183" i="70" s="1" a="1"/>
  <c r="AS183" i="70" s="1"/>
  <c r="AS184" i="70" s="1" a="1"/>
  <c r="AS184" i="70" s="1"/>
  <c r="AS185" i="70" s="1" a="1"/>
  <c r="AS185" i="70" s="1"/>
  <c r="AS186" i="70" s="1" a="1"/>
  <c r="AS186" i="70" s="1"/>
  <c r="AS187" i="70" s="1" a="1"/>
  <c r="AS187" i="70" s="1"/>
  <c r="AS188" i="70" s="1" a="1"/>
  <c r="AS188" i="70" s="1"/>
  <c r="AS189" i="70" s="1" a="1"/>
  <c r="AS189" i="70" s="1"/>
  <c r="AS190" i="70" s="1" a="1"/>
  <c r="AS190" i="70" s="1"/>
  <c r="AS191" i="70" s="1" a="1"/>
  <c r="AS191" i="70" s="1"/>
  <c r="AS192" i="70" s="1" a="1"/>
  <c r="AS192" i="70" s="1"/>
  <c r="AS193" i="70" s="1" a="1"/>
  <c r="AS193" i="70" s="1"/>
  <c r="AS194" i="70" s="1" a="1"/>
  <c r="AS194" i="70" s="1"/>
  <c r="AS195" i="70" s="1" a="1"/>
  <c r="AS195" i="70" s="1"/>
  <c r="AS196" i="70" s="1" a="1"/>
  <c r="AS196" i="70" s="1"/>
  <c r="AS197" i="70" s="1" a="1"/>
  <c r="AS197" i="70" s="1"/>
  <c r="AS198" i="70" s="1" a="1"/>
  <c r="AS198" i="70" s="1"/>
  <c r="AS199" i="70" s="1" a="1"/>
  <c r="AS199" i="70" s="1"/>
  <c r="AS200" i="70" s="1" a="1"/>
  <c r="AS200" i="70" s="1"/>
  <c r="AS201" i="70" s="1" a="1"/>
  <c r="AS201" i="70" s="1"/>
  <c r="AS202" i="70" s="1" a="1"/>
  <c r="AS202" i="70" s="1"/>
  <c r="AS203" i="70" s="1" a="1"/>
  <c r="AS203" i="70" s="1"/>
  <c r="AS204" i="70" s="1" a="1"/>
  <c r="AS204" i="70" s="1"/>
  <c r="AS205" i="70" s="1" a="1"/>
  <c r="AS205" i="70" s="1"/>
  <c r="AS206" i="70" s="1" a="1"/>
  <c r="AS206" i="70" s="1"/>
  <c r="AS207" i="70" s="1" a="1"/>
  <c r="AS207" i="70" s="1"/>
  <c r="AS208" i="70" s="1" a="1"/>
  <c r="AS208" i="70" s="1"/>
  <c r="AS209" i="70" s="1" a="1"/>
  <c r="AS209" i="70" s="1"/>
  <c r="AS210" i="70" s="1" a="1"/>
  <c r="AS210" i="70" s="1"/>
  <c r="AS211" i="70" s="1" a="1"/>
  <c r="AS211" i="70" s="1"/>
  <c r="AS212" i="70" s="1" a="1"/>
  <c r="AS212" i="70" s="1"/>
  <c r="AS213" i="70" s="1" a="1"/>
  <c r="AS213" i="70" s="1"/>
  <c r="AS214" i="70" s="1" a="1"/>
  <c r="AS214" i="70" s="1"/>
  <c r="AS215" i="70" s="1" a="1"/>
  <c r="AS215" i="70" s="1"/>
  <c r="AS216" i="70" s="1" a="1"/>
  <c r="AS216" i="70" s="1"/>
  <c r="AS217" i="70" s="1" a="1"/>
  <c r="AS217" i="70" s="1"/>
  <c r="AS218" i="70" s="1" a="1"/>
  <c r="AS218" i="70" s="1"/>
  <c r="AS219" i="70" s="1" a="1"/>
  <c r="AS219" i="70" s="1"/>
  <c r="AS220" i="70" s="1" a="1"/>
  <c r="AS220" i="70" s="1"/>
  <c r="AS221" i="70" s="1" a="1"/>
  <c r="AS221" i="70" s="1"/>
  <c r="AS222" i="70" s="1" a="1"/>
  <c r="AS222" i="70" s="1"/>
  <c r="AS223" i="70" s="1" a="1"/>
  <c r="AS223" i="70" s="1"/>
  <c r="AS224" i="70" s="1" a="1"/>
  <c r="AS224" i="70" s="1"/>
  <c r="AS225" i="70" s="1" a="1"/>
  <c r="AS225" i="70" s="1"/>
  <c r="AS226" i="70" s="1" a="1"/>
  <c r="AS226" i="70" s="1"/>
  <c r="AS227" i="70" s="1" a="1"/>
  <c r="AS227" i="70" s="1"/>
  <c r="AS228" i="70" s="1" a="1"/>
  <c r="AS228" i="70" s="1"/>
  <c r="AS229" i="70" s="1" a="1"/>
  <c r="AS229" i="70" s="1"/>
  <c r="AS230" i="70" s="1" a="1"/>
  <c r="AS230" i="70" s="1"/>
  <c r="AS231" i="70" s="1" a="1"/>
  <c r="AS231" i="70" s="1"/>
  <c r="AT139" i="70"/>
  <c r="AZ138" i="70"/>
  <c r="AY139" i="70" a="1"/>
  <c r="AY139" i="70" s="1"/>
  <c r="BC138" i="70"/>
  <c r="BB139" i="70" a="1"/>
  <c r="BB139" i="70" s="1"/>
  <c r="O140" i="70" a="1"/>
  <c r="O140" i="70" s="1"/>
  <c r="P139" i="70"/>
  <c r="S140" i="70" l="1"/>
  <c r="R141" i="70" a="1"/>
  <c r="R141" i="70" s="1"/>
  <c r="V139" i="70"/>
  <c r="U140" i="70" a="1"/>
  <c r="U140" i="70" s="1"/>
  <c r="AP140" i="70" a="1"/>
  <c r="AP140" i="70" s="1"/>
  <c r="AQ139" i="70"/>
  <c r="P140" i="70"/>
  <c r="O141" i="70" a="1"/>
  <c r="O141" i="70" s="1"/>
  <c r="AY140" i="70" a="1"/>
  <c r="AY140" i="70" s="1"/>
  <c r="AZ139" i="70"/>
  <c r="Y139" i="70"/>
  <c r="X140" i="70" a="1"/>
  <c r="X140" i="70" s="1"/>
  <c r="BC139" i="70"/>
  <c r="BB140" i="70" a="1"/>
  <c r="BB140" i="70" s="1"/>
  <c r="AY141" i="70" l="1" a="1"/>
  <c r="AY141" i="70" s="1"/>
  <c r="AZ140" i="70"/>
  <c r="Y140" i="70"/>
  <c r="X141" i="70" a="1"/>
  <c r="X141" i="70" s="1"/>
  <c r="P141" i="70"/>
  <c r="O142" i="70" a="1"/>
  <c r="O142" i="70" s="1"/>
  <c r="U141" i="70" a="1"/>
  <c r="U141" i="70" s="1"/>
  <c r="V140" i="70"/>
  <c r="AQ140" i="70"/>
  <c r="AP141" i="70" a="1"/>
  <c r="AP141" i="70" s="1"/>
  <c r="S141" i="70"/>
  <c r="R142" i="70" a="1"/>
  <c r="R142" i="70" s="1"/>
  <c r="BC140" i="70"/>
  <c r="BB141" i="70" a="1"/>
  <c r="BB141" i="70" s="1"/>
  <c r="AQ141" i="70" l="1"/>
  <c r="AP142" i="70" a="1"/>
  <c r="AP142" i="70" s="1"/>
  <c r="S142" i="70"/>
  <c r="R143" i="70" a="1"/>
  <c r="R143" i="70" s="1"/>
  <c r="R144" i="70" s="1" a="1"/>
  <c r="R144" i="70" s="1"/>
  <c r="V141" i="70"/>
  <c r="U142" i="70" a="1"/>
  <c r="U142" i="70" s="1"/>
  <c r="X142" i="70" a="1"/>
  <c r="X142" i="70" s="1"/>
  <c r="Y141" i="70"/>
  <c r="P142" i="70"/>
  <c r="C144" i="70" s="1"/>
  <c r="O143" i="70" a="1"/>
  <c r="O143" i="70" s="1"/>
  <c r="BC141" i="70"/>
  <c r="BB142" i="70" a="1"/>
  <c r="BB142" i="70" s="1"/>
  <c r="AY142" i="70" a="1"/>
  <c r="AY142" i="70" s="1"/>
  <c r="AZ141" i="70"/>
  <c r="BC142" i="70" l="1"/>
  <c r="BB143" i="70" a="1"/>
  <c r="BB143" i="70" s="1"/>
  <c r="O144" i="70" a="1"/>
  <c r="O144" i="70" s="1"/>
  <c r="P143" i="70"/>
  <c r="Y142" i="70"/>
  <c r="X143" i="70" a="1"/>
  <c r="X143" i="70" s="1"/>
  <c r="U143" i="70" a="1"/>
  <c r="U143" i="70" s="1"/>
  <c r="V142" i="70"/>
  <c r="AQ142" i="70"/>
  <c r="AP143" i="70" a="1"/>
  <c r="AP143" i="70" s="1"/>
  <c r="AZ142" i="70"/>
  <c r="AY143" i="70" a="1"/>
  <c r="AY143" i="70" s="1"/>
  <c r="AQ143" i="70" l="1"/>
  <c r="AP144" i="70" a="1"/>
  <c r="AP144" i="70" s="1"/>
  <c r="V143" i="70"/>
  <c r="U144" i="70" a="1"/>
  <c r="U144" i="70" s="1"/>
  <c r="Y143" i="70"/>
  <c r="X144" i="70" a="1"/>
  <c r="X144" i="70" s="1"/>
  <c r="P144" i="70"/>
  <c r="O145" i="70" a="1"/>
  <c r="O145" i="70" s="1"/>
  <c r="BC143" i="70"/>
  <c r="BB144" i="70" a="1"/>
  <c r="BB144" i="70" s="1"/>
  <c r="AY144" i="70" a="1"/>
  <c r="AY144" i="70" s="1"/>
  <c r="AZ143" i="70"/>
  <c r="AZ144" i="70" l="1"/>
  <c r="AY145" i="70" a="1"/>
  <c r="AY145" i="70" s="1"/>
  <c r="BB145" i="70" a="1"/>
  <c r="BB145" i="70" s="1"/>
  <c r="BC144" i="70"/>
  <c r="R145" i="70" a="1"/>
  <c r="R145" i="70" s="1"/>
  <c r="P145" i="70"/>
  <c r="Y144" i="70"/>
  <c r="X145" i="70" a="1"/>
  <c r="X145" i="70" s="1"/>
  <c r="O146" i="70" s="1" a="1"/>
  <c r="O146" i="70" s="1"/>
  <c r="AP145" i="70" a="1"/>
  <c r="AP145" i="70" s="1"/>
  <c r="AQ144" i="70"/>
  <c r="V144" i="70"/>
  <c r="U145" i="70" a="1"/>
  <c r="U145" i="70" s="1"/>
  <c r="X146" i="70" l="1" a="1"/>
  <c r="X146" i="70" s="1"/>
  <c r="Y145" i="70"/>
  <c r="P146" i="70"/>
  <c r="O147" i="70" a="1"/>
  <c r="O147" i="70" s="1"/>
  <c r="AQ145" i="70"/>
  <c r="AP146" i="70" a="1"/>
  <c r="AP146" i="70" s="1"/>
  <c r="S145" i="70"/>
  <c r="R146" i="70" a="1"/>
  <c r="R146" i="70" s="1"/>
  <c r="BC145" i="70"/>
  <c r="BB146" i="70" a="1"/>
  <c r="BB146" i="70" s="1"/>
  <c r="AZ145" i="70"/>
  <c r="AY146" i="70" a="1"/>
  <c r="AY146" i="70" s="1"/>
  <c r="V145" i="70"/>
  <c r="U146" i="70" a="1"/>
  <c r="U146" i="70" s="1"/>
  <c r="AZ146" i="70" l="1"/>
  <c r="AY147" i="70" a="1"/>
  <c r="AY147" i="70" s="1"/>
  <c r="BB147" i="70" a="1"/>
  <c r="BB147" i="70" s="1"/>
  <c r="BC146" i="70"/>
  <c r="R147" i="70" a="1"/>
  <c r="R147" i="70" s="1"/>
  <c r="S146" i="70"/>
  <c r="AP147" i="70" a="1"/>
  <c r="AP147" i="70" s="1"/>
  <c r="AQ146" i="70"/>
  <c r="P147" i="70"/>
  <c r="O148" i="70" a="1"/>
  <c r="O148" i="70" s="1"/>
  <c r="V146" i="70"/>
  <c r="U147" i="70" a="1"/>
  <c r="U147" i="70" s="1"/>
  <c r="Y146" i="70"/>
  <c r="X147" i="70" a="1"/>
  <c r="X147" i="70" s="1"/>
  <c r="U148" i="70" l="1" a="1"/>
  <c r="U148" i="70" s="1"/>
  <c r="V147" i="70"/>
  <c r="P148" i="70"/>
  <c r="R148" i="70" a="1"/>
  <c r="R148" i="70" s="1"/>
  <c r="S147" i="70"/>
  <c r="AP148" i="70" a="1"/>
  <c r="AP148" i="70" s="1"/>
  <c r="AQ147" i="70"/>
  <c r="BB148" i="70" a="1"/>
  <c r="BB148" i="70" s="1"/>
  <c r="BB149" i="70" s="1" a="1"/>
  <c r="BB149" i="70" s="1"/>
  <c r="BB150" i="70" s="1" a="1"/>
  <c r="BB150" i="70" s="1"/>
  <c r="BB151" i="70" s="1" a="1"/>
  <c r="BB151" i="70" s="1"/>
  <c r="BB152" i="70" s="1" a="1"/>
  <c r="BB152" i="70" s="1"/>
  <c r="BB153" i="70" s="1" a="1"/>
  <c r="BB153" i="70" s="1"/>
  <c r="BB154" i="70" s="1" a="1"/>
  <c r="BB154" i="70" s="1"/>
  <c r="BB155" i="70" s="1" a="1"/>
  <c r="BB155" i="70" s="1"/>
  <c r="BB156" i="70" s="1" a="1"/>
  <c r="BB156" i="70" s="1"/>
  <c r="BB157" i="70" s="1" a="1"/>
  <c r="BB157" i="70" s="1"/>
  <c r="BB158" i="70" s="1" a="1"/>
  <c r="BB158" i="70" s="1"/>
  <c r="BB159" i="70" s="1" a="1"/>
  <c r="BB159" i="70" s="1"/>
  <c r="BB160" i="70" s="1" a="1"/>
  <c r="BB160" i="70" s="1"/>
  <c r="BB161" i="70" s="1" a="1"/>
  <c r="BB161" i="70" s="1"/>
  <c r="BB162" i="70" s="1" a="1"/>
  <c r="BB162" i="70" s="1"/>
  <c r="BB163" i="70" s="1" a="1"/>
  <c r="BB163" i="70" s="1"/>
  <c r="BB164" i="70" s="1" a="1"/>
  <c r="BB164" i="70" s="1"/>
  <c r="BB165" i="70" s="1" a="1"/>
  <c r="BB165" i="70" s="1"/>
  <c r="BB166" i="70" s="1" a="1"/>
  <c r="BB166" i="70" s="1"/>
  <c r="BB167" i="70" s="1" a="1"/>
  <c r="BB167" i="70" s="1"/>
  <c r="BB168" i="70" s="1" a="1"/>
  <c r="BB168" i="70" s="1"/>
  <c r="BB169" i="70" s="1" a="1"/>
  <c r="BB169" i="70" s="1"/>
  <c r="BB170" i="70" s="1" a="1"/>
  <c r="BB170" i="70" s="1"/>
  <c r="BB171" i="70" s="1" a="1"/>
  <c r="BB171" i="70" s="1"/>
  <c r="BB172" i="70" s="1" a="1"/>
  <c r="BB172" i="70" s="1"/>
  <c r="BB173" i="70" s="1" a="1"/>
  <c r="BB173" i="70" s="1"/>
  <c r="BB174" i="70" s="1" a="1"/>
  <c r="BB174" i="70" s="1"/>
  <c r="BB175" i="70" s="1" a="1"/>
  <c r="BB175" i="70" s="1"/>
  <c r="BB176" i="70" s="1" a="1"/>
  <c r="BB176" i="70" s="1"/>
  <c r="BB177" i="70" s="1" a="1"/>
  <c r="BB177" i="70" s="1"/>
  <c r="BB178" i="70" s="1" a="1"/>
  <c r="BB178" i="70" s="1"/>
  <c r="BB179" i="70" s="1" a="1"/>
  <c r="BB179" i="70" s="1"/>
  <c r="BB180" i="70" s="1" a="1"/>
  <c r="BB180" i="70" s="1"/>
  <c r="BB181" i="70" s="1" a="1"/>
  <c r="BB181" i="70" s="1"/>
  <c r="BB182" i="70" s="1" a="1"/>
  <c r="BB182" i="70" s="1"/>
  <c r="BB183" i="70" s="1" a="1"/>
  <c r="BB183" i="70" s="1"/>
  <c r="BB184" i="70" s="1" a="1"/>
  <c r="BB184" i="70" s="1"/>
  <c r="BB185" i="70" s="1" a="1"/>
  <c r="BB185" i="70" s="1"/>
  <c r="BB186" i="70" s="1" a="1"/>
  <c r="BB186" i="70" s="1"/>
  <c r="BB187" i="70" s="1" a="1"/>
  <c r="BB187" i="70" s="1"/>
  <c r="BB188" i="70" s="1" a="1"/>
  <c r="BB188" i="70" s="1"/>
  <c r="BB189" i="70" s="1" a="1"/>
  <c r="BB189" i="70" s="1"/>
  <c r="BB190" i="70" s="1" a="1"/>
  <c r="BB190" i="70" s="1"/>
  <c r="BB191" i="70" s="1" a="1"/>
  <c r="BB191" i="70" s="1"/>
  <c r="BB192" i="70" s="1" a="1"/>
  <c r="BB192" i="70" s="1"/>
  <c r="BB193" i="70" s="1" a="1"/>
  <c r="BB193" i="70" s="1"/>
  <c r="BB194" i="70" s="1" a="1"/>
  <c r="BB194" i="70" s="1"/>
  <c r="BB195" i="70" s="1" a="1"/>
  <c r="BB195" i="70" s="1"/>
  <c r="BB196" i="70" s="1" a="1"/>
  <c r="BB196" i="70" s="1"/>
  <c r="BB197" i="70" s="1" a="1"/>
  <c r="BB197" i="70" s="1"/>
  <c r="BB198" i="70" s="1" a="1"/>
  <c r="BB198" i="70" s="1"/>
  <c r="BB199" i="70" s="1" a="1"/>
  <c r="BB199" i="70" s="1"/>
  <c r="BB200" i="70" s="1" a="1"/>
  <c r="BB200" i="70" s="1"/>
  <c r="BB201" i="70" s="1" a="1"/>
  <c r="BB201" i="70" s="1"/>
  <c r="BB202" i="70" s="1" a="1"/>
  <c r="BB202" i="70" s="1"/>
  <c r="BB203" i="70" s="1" a="1"/>
  <c r="BB203" i="70" s="1"/>
  <c r="BB204" i="70" s="1" a="1"/>
  <c r="BB204" i="70" s="1"/>
  <c r="BB205" i="70" s="1" a="1"/>
  <c r="BB205" i="70" s="1"/>
  <c r="BB206" i="70" s="1" a="1"/>
  <c r="BB206" i="70" s="1"/>
  <c r="BB207" i="70" s="1" a="1"/>
  <c r="BB207" i="70" s="1"/>
  <c r="BB208" i="70" s="1" a="1"/>
  <c r="BB208" i="70" s="1"/>
  <c r="BB209" i="70" s="1" a="1"/>
  <c r="BB209" i="70" s="1"/>
  <c r="BB210" i="70" s="1" a="1"/>
  <c r="BB210" i="70" s="1"/>
  <c r="BB211" i="70" s="1" a="1"/>
  <c r="BB211" i="70" s="1"/>
  <c r="BB212" i="70" s="1" a="1"/>
  <c r="BB212" i="70" s="1"/>
  <c r="BB213" i="70" s="1" a="1"/>
  <c r="BB213" i="70" s="1"/>
  <c r="BB214" i="70" s="1" a="1"/>
  <c r="BB214" i="70" s="1"/>
  <c r="BB215" i="70" s="1" a="1"/>
  <c r="BB215" i="70" s="1"/>
  <c r="BB216" i="70" s="1" a="1"/>
  <c r="BB216" i="70" s="1"/>
  <c r="BB217" i="70" s="1" a="1"/>
  <c r="BB217" i="70" s="1"/>
  <c r="BB218" i="70" s="1" a="1"/>
  <c r="BB218" i="70" s="1"/>
  <c r="BB219" i="70" s="1" a="1"/>
  <c r="BB219" i="70" s="1"/>
  <c r="BB220" i="70" s="1" a="1"/>
  <c r="BB220" i="70" s="1"/>
  <c r="BB221" i="70" s="1" a="1"/>
  <c r="BB221" i="70" s="1"/>
  <c r="BB222" i="70" s="1" a="1"/>
  <c r="BB222" i="70" s="1"/>
  <c r="BB223" i="70" s="1" a="1"/>
  <c r="BB223" i="70" s="1"/>
  <c r="BB224" i="70" s="1" a="1"/>
  <c r="BB224" i="70" s="1"/>
  <c r="BB225" i="70" s="1" a="1"/>
  <c r="BB225" i="70" s="1"/>
  <c r="BB226" i="70" s="1" a="1"/>
  <c r="BB226" i="70" s="1"/>
  <c r="BB227" i="70" s="1" a="1"/>
  <c r="BB227" i="70" s="1"/>
  <c r="BB228" i="70" s="1" a="1"/>
  <c r="BB228" i="70" s="1"/>
  <c r="BB229" i="70" s="1" a="1"/>
  <c r="BB229" i="70" s="1"/>
  <c r="BB230" i="70" s="1" a="1"/>
  <c r="BB230" i="70" s="1"/>
  <c r="BB231" i="70" s="1" a="1"/>
  <c r="BB231" i="70" s="1"/>
  <c r="BC147" i="70"/>
  <c r="AZ147" i="70"/>
  <c r="AY148" i="70" a="1"/>
  <c r="AY148" i="70" s="1"/>
  <c r="O149" i="70" s="1" a="1"/>
  <c r="O149" i="70" s="1"/>
  <c r="X148" i="70" a="1"/>
  <c r="X148" i="70" s="1"/>
  <c r="Y147" i="70"/>
  <c r="AY149" i="70" l="1" a="1"/>
  <c r="AY149" i="70" s="1"/>
  <c r="AZ148" i="70"/>
  <c r="AQ148" i="70"/>
  <c r="AP149" i="70" a="1"/>
  <c r="AP149" i="70" s="1"/>
  <c r="O150" i="70" a="1"/>
  <c r="O150" i="70" s="1"/>
  <c r="P149" i="70"/>
  <c r="S148" i="70"/>
  <c r="R149" i="70" a="1"/>
  <c r="R149" i="70" s="1"/>
  <c r="Y148" i="70"/>
  <c r="X149" i="70" a="1"/>
  <c r="X149" i="70" s="1"/>
  <c r="V148" i="70"/>
  <c r="U149" i="70" a="1"/>
  <c r="U149" i="70" s="1"/>
  <c r="U150" i="70" l="1" a="1"/>
  <c r="U150" i="70" s="1"/>
  <c r="V149" i="70"/>
  <c r="S149" i="70"/>
  <c r="R150" i="70" a="1"/>
  <c r="R150" i="70" s="1"/>
  <c r="Y149" i="70"/>
  <c r="X150" i="70" a="1"/>
  <c r="X150" i="70" s="1"/>
  <c r="P150" i="70"/>
  <c r="AQ149" i="70"/>
  <c r="AP150" i="70" a="1"/>
  <c r="AP150" i="70" s="1"/>
  <c r="AZ149" i="70"/>
  <c r="AY150" i="70" a="1"/>
  <c r="AY150" i="70" s="1"/>
  <c r="O151" i="70" s="1" a="1"/>
  <c r="O151" i="70" s="1"/>
  <c r="AQ150" i="70" l="1"/>
  <c r="AP151" i="70" a="1"/>
  <c r="AP151" i="70" s="1"/>
  <c r="AY151" i="70" a="1"/>
  <c r="AY151" i="70" s="1"/>
  <c r="AY152" i="70" s="1" a="1"/>
  <c r="AY152" i="70" s="1"/>
  <c r="AY153" i="70" s="1" a="1"/>
  <c r="AY153" i="70" s="1"/>
  <c r="AY154" i="70" s="1" a="1"/>
  <c r="AY154" i="70" s="1"/>
  <c r="AY155" i="70" s="1" a="1"/>
  <c r="AY155" i="70" s="1"/>
  <c r="AY156" i="70" s="1" a="1"/>
  <c r="AY156" i="70" s="1"/>
  <c r="AZ150" i="70"/>
  <c r="X151" i="70" a="1"/>
  <c r="X151" i="70" s="1"/>
  <c r="Y150" i="70"/>
  <c r="P151" i="70"/>
  <c r="O152" i="70" a="1"/>
  <c r="O152" i="70" s="1"/>
  <c r="S150" i="70"/>
  <c r="R151" i="70" a="1"/>
  <c r="R151" i="70" s="1"/>
  <c r="U151" i="70" a="1"/>
  <c r="U151" i="70" s="1"/>
  <c r="V150" i="70"/>
  <c r="V151" i="70" l="1"/>
  <c r="U152" i="70" a="1"/>
  <c r="U152" i="70" s="1"/>
  <c r="P152" i="70"/>
  <c r="O153" i="70" a="1"/>
  <c r="O153" i="70" s="1"/>
  <c r="R152" i="70" a="1"/>
  <c r="R152" i="70" s="1"/>
  <c r="S151" i="70"/>
  <c r="Y151" i="70"/>
  <c r="X152" i="70" a="1"/>
  <c r="X152" i="70" s="1"/>
  <c r="AP152" i="70" a="1"/>
  <c r="AP152" i="70" s="1"/>
  <c r="AQ151" i="70"/>
  <c r="X153" i="70" l="1" a="1"/>
  <c r="X153" i="70" s="1"/>
  <c r="Y152" i="70"/>
  <c r="AQ152" i="70"/>
  <c r="AP153" i="70" a="1"/>
  <c r="AP153" i="70" s="1"/>
  <c r="S152" i="70"/>
  <c r="R153" i="70" a="1"/>
  <c r="R153" i="70" s="1"/>
  <c r="V152" i="70"/>
  <c r="U153" i="70" a="1"/>
  <c r="U153" i="70" s="1"/>
  <c r="O154" i="70" a="1"/>
  <c r="O154" i="70" s="1"/>
  <c r="P153" i="70"/>
  <c r="P154" i="70" l="1"/>
  <c r="O155" i="70" a="1"/>
  <c r="O155" i="70" s="1"/>
  <c r="V153" i="70"/>
  <c r="U154" i="70" a="1"/>
  <c r="U154" i="70" s="1"/>
  <c r="R154" i="70" a="1"/>
  <c r="R154" i="70" s="1"/>
  <c r="S153" i="70"/>
  <c r="AP154" i="70" a="1"/>
  <c r="AP154" i="70" s="1"/>
  <c r="AQ153" i="70"/>
  <c r="X154" i="70" a="1"/>
  <c r="X154" i="70" s="1"/>
  <c r="Y153" i="70"/>
  <c r="Y154" i="70" l="1"/>
  <c r="X155" i="70" a="1"/>
  <c r="X155" i="70" s="1"/>
  <c r="AQ154" i="70"/>
  <c r="AP155" i="70" a="1"/>
  <c r="AP155" i="70" s="1"/>
  <c r="S154" i="70"/>
  <c r="R155" i="70" a="1"/>
  <c r="R155" i="70" s="1"/>
  <c r="O156" i="70" a="1"/>
  <c r="O156" i="70" s="1"/>
  <c r="P155" i="70"/>
  <c r="U155" i="70" a="1"/>
  <c r="U155" i="70" s="1"/>
  <c r="V154" i="70"/>
  <c r="U156" i="70" l="1" a="1"/>
  <c r="U156" i="70" s="1"/>
  <c r="V155" i="70"/>
  <c r="O157" i="70" a="1"/>
  <c r="O157" i="70" s="1"/>
  <c r="P156" i="70"/>
  <c r="S155" i="70"/>
  <c r="R156" i="70" a="1"/>
  <c r="R156" i="70" s="1"/>
  <c r="AV156" i="70" a="1"/>
  <c r="AV156" i="70" s="1"/>
  <c r="Y155" i="70"/>
  <c r="X156" i="70" a="1"/>
  <c r="X156" i="70" s="1"/>
  <c r="AQ155" i="70"/>
  <c r="AP156" i="70" a="1"/>
  <c r="AP156" i="70" s="1"/>
  <c r="AP157" i="70" l="1" a="1"/>
  <c r="AP157" i="70" s="1"/>
  <c r="AQ156" i="70"/>
  <c r="Y156" i="70"/>
  <c r="X157" i="70" a="1"/>
  <c r="X157" i="70" s="1"/>
  <c r="AW156" i="70"/>
  <c r="AV157" i="70" a="1"/>
  <c r="AV157" i="70" s="1"/>
  <c r="O158" i="70" a="1"/>
  <c r="O158" i="70" s="1"/>
  <c r="P157" i="70"/>
  <c r="R157" i="70" a="1"/>
  <c r="R157" i="70" s="1"/>
  <c r="S156" i="70"/>
  <c r="AY157" i="70" a="1"/>
  <c r="AY157" i="70" s="1"/>
  <c r="V156" i="70"/>
  <c r="U157" i="70" a="1"/>
  <c r="U157" i="70" s="1"/>
  <c r="S157" i="70" l="1"/>
  <c r="R158" i="70" a="1"/>
  <c r="R158" i="70" s="1"/>
  <c r="AY158" i="70" a="1"/>
  <c r="AY158" i="70" s="1"/>
  <c r="AZ157" i="70"/>
  <c r="AV158" i="70" a="1"/>
  <c r="AV158" i="70" s="1"/>
  <c r="AW157" i="70"/>
  <c r="P158" i="70"/>
  <c r="O159" i="70" a="1"/>
  <c r="O159" i="70" s="1"/>
  <c r="X158" i="70" a="1"/>
  <c r="X158" i="70" s="1"/>
  <c r="Y157" i="70"/>
  <c r="V157" i="70"/>
  <c r="U158" i="70" a="1"/>
  <c r="U158" i="70" s="1"/>
  <c r="AP158" i="70" a="1"/>
  <c r="AP158" i="70" s="1"/>
  <c r="AQ157" i="70"/>
  <c r="Y158" i="70" l="1"/>
  <c r="X159" i="70" a="1"/>
  <c r="X159" i="70" s="1"/>
  <c r="AW158" i="70"/>
  <c r="AV159" i="70" a="1"/>
  <c r="AV159" i="70" s="1"/>
  <c r="P159" i="70"/>
  <c r="O160" i="70" a="1"/>
  <c r="O160" i="70" s="1"/>
  <c r="AZ158" i="70"/>
  <c r="AY159" i="70" a="1"/>
  <c r="AY159" i="70" s="1"/>
  <c r="R159" i="70" a="1"/>
  <c r="R159" i="70" s="1"/>
  <c r="S158" i="70"/>
  <c r="V158" i="70"/>
  <c r="U159" i="70" a="1"/>
  <c r="U159" i="70" s="1"/>
  <c r="AP159" i="70" a="1"/>
  <c r="AP159" i="70" s="1"/>
  <c r="AQ158" i="70"/>
  <c r="O161" i="70" l="1" a="1"/>
  <c r="O161" i="70" s="1"/>
  <c r="P160" i="70"/>
  <c r="U160" i="70" a="1"/>
  <c r="U160" i="70" s="1"/>
  <c r="V159" i="70"/>
  <c r="S159" i="70"/>
  <c r="R160" i="70" a="1"/>
  <c r="R160" i="70" s="1"/>
  <c r="AZ159" i="70"/>
  <c r="AY160" i="70" a="1"/>
  <c r="AY160" i="70" s="1"/>
  <c r="AW159" i="70"/>
  <c r="AV160" i="70" a="1"/>
  <c r="AV160" i="70" s="1"/>
  <c r="X160" i="70" a="1"/>
  <c r="X160" i="70" s="1"/>
  <c r="Y159" i="70"/>
  <c r="AP160" i="70" a="1"/>
  <c r="AP160" i="70" s="1"/>
  <c r="AQ159" i="70"/>
  <c r="O162" i="70" l="1" a="1"/>
  <c r="O162" i="70" s="1"/>
  <c r="P162" i="70" s="1"/>
  <c r="P161" i="70"/>
  <c r="Y160" i="70"/>
  <c r="X161" i="70" a="1"/>
  <c r="X161" i="70" s="1"/>
  <c r="AW160" i="70"/>
  <c r="AV161" i="70" a="1"/>
  <c r="AV161" i="70" s="1"/>
  <c r="AY161" i="70" a="1"/>
  <c r="AY161" i="70" s="1"/>
  <c r="AZ160" i="70"/>
  <c r="R161" i="70" a="1"/>
  <c r="R161" i="70" s="1"/>
  <c r="S160" i="70"/>
  <c r="AQ160" i="70"/>
  <c r="AP161" i="70" a="1"/>
  <c r="AP161" i="70" s="1"/>
  <c r="U161" i="70" a="1"/>
  <c r="U161" i="70" s="1"/>
  <c r="V160" i="70"/>
  <c r="V161" i="70" l="1"/>
  <c r="U162" i="70" a="1"/>
  <c r="U162" i="70" s="1"/>
  <c r="AQ161" i="70"/>
  <c r="AP162" i="70" a="1"/>
  <c r="AP162" i="70" s="1"/>
  <c r="S161" i="70"/>
  <c r="R162" i="70" a="1"/>
  <c r="R162" i="70" s="1"/>
  <c r="R163" i="70" s="1" a="1"/>
  <c r="R163" i="70" s="1"/>
  <c r="R164" i="70" s="1" a="1"/>
  <c r="R164" i="70" s="1"/>
  <c r="R165" i="70" s="1" a="1"/>
  <c r="R165" i="70" s="1"/>
  <c r="R166" i="70" s="1" a="1"/>
  <c r="R166" i="70" s="1"/>
  <c r="AZ161" i="70"/>
  <c r="AY162" i="70" a="1"/>
  <c r="AY162" i="70" s="1"/>
  <c r="Y161" i="70"/>
  <c r="X162" i="70" a="1"/>
  <c r="X162" i="70" s="1"/>
  <c r="AW161" i="70"/>
  <c r="AV162" i="70" a="1"/>
  <c r="AV162" i="70" s="1"/>
  <c r="AV163" i="70" l="1" a="1"/>
  <c r="AV163" i="70" s="1"/>
  <c r="AW162" i="70"/>
  <c r="X163" i="70" a="1"/>
  <c r="X163" i="70" s="1"/>
  <c r="Y162" i="70"/>
  <c r="O163" i="70" a="1"/>
  <c r="O163" i="70" s="1"/>
  <c r="AZ162" i="70"/>
  <c r="AY163" i="70" a="1"/>
  <c r="AY163" i="70" s="1"/>
  <c r="V162" i="70"/>
  <c r="U163" i="70" a="1"/>
  <c r="U163" i="70" s="1"/>
  <c r="AQ162" i="70"/>
  <c r="AP163" i="70" a="1"/>
  <c r="AP163" i="70" s="1"/>
  <c r="AP164" i="70" l="1" a="1"/>
  <c r="AP164" i="70" s="1"/>
  <c r="AQ163" i="70"/>
  <c r="V163" i="70"/>
  <c r="U164" i="70" a="1"/>
  <c r="U164" i="70" s="1"/>
  <c r="AZ163" i="70"/>
  <c r="AY164" i="70" a="1"/>
  <c r="AY164" i="70" s="1"/>
  <c r="Y163" i="70"/>
  <c r="X164" i="70" a="1"/>
  <c r="X164" i="70" s="1"/>
  <c r="P163" i="70"/>
  <c r="O164" i="70" a="1"/>
  <c r="O164" i="70" s="1"/>
  <c r="AW163" i="70"/>
  <c r="AV164" i="70" a="1"/>
  <c r="AV164" i="70" s="1"/>
  <c r="AW164" i="70" l="1"/>
  <c r="AV165" i="70" a="1"/>
  <c r="AV165" i="70" s="1"/>
  <c r="P164" i="70"/>
  <c r="O165" i="70" a="1"/>
  <c r="O165" i="70" s="1"/>
  <c r="Y164" i="70"/>
  <c r="X165" i="70" a="1"/>
  <c r="X165" i="70" s="1"/>
  <c r="AZ164" i="70"/>
  <c r="AY165" i="70" a="1"/>
  <c r="AY165" i="70" s="1"/>
  <c r="V164" i="70"/>
  <c r="U165" i="70" a="1"/>
  <c r="U165" i="70" s="1"/>
  <c r="AQ164" i="70"/>
  <c r="AP165" i="70" a="1"/>
  <c r="AP165" i="70" s="1"/>
  <c r="AQ165" i="70" l="1"/>
  <c r="AP166" i="70" a="1"/>
  <c r="AP166" i="70" s="1"/>
  <c r="AY166" i="70" a="1"/>
  <c r="AY166" i="70" s="1"/>
  <c r="AZ165" i="70"/>
  <c r="V165" i="70"/>
  <c r="U166" i="70" a="1"/>
  <c r="U166" i="70" s="1"/>
  <c r="Y165" i="70"/>
  <c r="X166" i="70" a="1"/>
  <c r="X166" i="70" s="1"/>
  <c r="AW165" i="70"/>
  <c r="AV166" i="70" a="1"/>
  <c r="AV166" i="70" s="1"/>
  <c r="O166" i="70" a="1"/>
  <c r="O166" i="70" s="1"/>
  <c r="P165" i="70"/>
  <c r="O167" i="70" l="1" a="1"/>
  <c r="O167" i="70" s="1"/>
  <c r="P166" i="70"/>
  <c r="AV167" i="70" a="1"/>
  <c r="AV167" i="70" s="1"/>
  <c r="AW166" i="70"/>
  <c r="U167" i="70" a="1"/>
  <c r="U167" i="70" s="1"/>
  <c r="V166" i="70"/>
  <c r="Y166" i="70"/>
  <c r="X167" i="70" a="1"/>
  <c r="X167" i="70" s="1"/>
  <c r="AQ166" i="70"/>
  <c r="AP167" i="70" a="1"/>
  <c r="AP167" i="70" s="1"/>
  <c r="AY167" i="70" a="1"/>
  <c r="AY167" i="70" s="1"/>
  <c r="AZ166" i="70"/>
  <c r="R167" i="70" a="1"/>
  <c r="R167" i="70" s="1"/>
  <c r="AY168" i="70" l="1" a="1"/>
  <c r="AY168" i="70" s="1"/>
  <c r="AZ167" i="70"/>
  <c r="Y167" i="70"/>
  <c r="X168" i="70" a="1"/>
  <c r="X168" i="70" s="1"/>
  <c r="AQ167" i="70"/>
  <c r="AP168" i="70" a="1"/>
  <c r="AP168" i="70" s="1"/>
  <c r="AW167" i="70"/>
  <c r="AV168" i="70" a="1"/>
  <c r="AV168" i="70" s="1"/>
  <c r="U168" i="70" a="1"/>
  <c r="U168" i="70" s="1"/>
  <c r="V167" i="70"/>
  <c r="R168" i="70" a="1"/>
  <c r="R168" i="70" s="1"/>
  <c r="S167" i="70"/>
  <c r="P167" i="70"/>
  <c r="O168" i="70" a="1"/>
  <c r="O168" i="70" s="1"/>
  <c r="V168" i="70" l="1"/>
  <c r="U169" i="70" a="1"/>
  <c r="U169" i="70" s="1"/>
  <c r="AW168" i="70"/>
  <c r="AV169" i="70" a="1"/>
  <c r="AV169" i="70" s="1"/>
  <c r="Y168" i="70"/>
  <c r="X169" i="70" a="1"/>
  <c r="X169" i="70" s="1"/>
  <c r="AQ168" i="70"/>
  <c r="AP169" i="70" a="1"/>
  <c r="AP169" i="70" s="1"/>
  <c r="P168" i="70"/>
  <c r="O169" i="70" a="1"/>
  <c r="O169" i="70" s="1"/>
  <c r="S168" i="70"/>
  <c r="R169" i="70" a="1"/>
  <c r="R169" i="70" s="1"/>
  <c r="AZ168" i="70"/>
  <c r="AY169" i="70" a="1"/>
  <c r="AY169" i="70" s="1"/>
  <c r="O170" i="70" l="1" a="1"/>
  <c r="O170" i="70" s="1"/>
  <c r="P170" i="70" s="1"/>
  <c r="P169" i="70"/>
  <c r="R170" i="70" a="1"/>
  <c r="R170" i="70" s="1"/>
  <c r="S169" i="70"/>
  <c r="AP170" i="70" a="1"/>
  <c r="AP170" i="70" s="1"/>
  <c r="AQ169" i="70"/>
  <c r="AW169" i="70"/>
  <c r="AV170" i="70" a="1"/>
  <c r="AV170" i="70" s="1"/>
  <c r="Y169" i="70"/>
  <c r="X170" i="70" a="1"/>
  <c r="X170" i="70" s="1"/>
  <c r="V169" i="70"/>
  <c r="U170" i="70" a="1"/>
  <c r="U170" i="70" s="1"/>
  <c r="AY170" i="70" a="1"/>
  <c r="AY170" i="70" s="1"/>
  <c r="AZ169" i="70"/>
  <c r="O171" i="70" l="1" a="1"/>
  <c r="O171" i="70" s="1"/>
  <c r="P171" i="70" s="1"/>
  <c r="AZ170" i="70"/>
  <c r="AY171" i="70" a="1"/>
  <c r="AY171" i="70" s="1"/>
  <c r="U171" i="70" a="1"/>
  <c r="U171" i="70" s="1"/>
  <c r="V170" i="70"/>
  <c r="X171" i="70" a="1"/>
  <c r="X171" i="70" s="1"/>
  <c r="Y170" i="70"/>
  <c r="AV171" i="70" a="1"/>
  <c r="AV171" i="70" s="1"/>
  <c r="AW170" i="70"/>
  <c r="AQ170" i="70"/>
  <c r="AP171" i="70" a="1"/>
  <c r="AP171" i="70" s="1"/>
  <c r="S170" i="70"/>
  <c r="R171" i="70" a="1"/>
  <c r="R171" i="70" s="1"/>
  <c r="O172" i="70" l="1" a="1"/>
  <c r="O172" i="70" s="1"/>
  <c r="P172" i="70" s="1"/>
  <c r="AQ171" i="70"/>
  <c r="AP172" i="70" a="1"/>
  <c r="AP172" i="70" s="1"/>
  <c r="AW171" i="70"/>
  <c r="AV172" i="70" a="1"/>
  <c r="AV172" i="70" s="1"/>
  <c r="Y171" i="70"/>
  <c r="X172" i="70" a="1"/>
  <c r="X172" i="70" s="1"/>
  <c r="V171" i="70"/>
  <c r="U172" i="70" a="1"/>
  <c r="U172" i="70" s="1"/>
  <c r="AZ171" i="70"/>
  <c r="AY172" i="70" a="1"/>
  <c r="AY172" i="70" s="1"/>
  <c r="S171" i="70"/>
  <c r="R172" i="70" a="1"/>
  <c r="R172" i="70" s="1"/>
  <c r="O173" i="70" l="1" a="1"/>
  <c r="O173" i="70" s="1"/>
  <c r="O174" i="70" s="1" a="1"/>
  <c r="O174" i="70" s="1"/>
  <c r="Y172" i="70"/>
  <c r="X173" i="70" a="1"/>
  <c r="X173" i="70" s="1"/>
  <c r="U173" i="70" a="1"/>
  <c r="U173" i="70" s="1"/>
  <c r="V172" i="70"/>
  <c r="AZ172" i="70"/>
  <c r="AY173" i="70" a="1"/>
  <c r="AY173" i="70" s="1"/>
  <c r="AW172" i="70"/>
  <c r="AV173" i="70" a="1"/>
  <c r="AV173" i="70" s="1"/>
  <c r="AP173" i="70" a="1"/>
  <c r="AP173" i="70" s="1"/>
  <c r="AQ172" i="70"/>
  <c r="R173" i="70" a="1"/>
  <c r="R173" i="70" s="1"/>
  <c r="S172" i="70"/>
  <c r="P173" i="70" l="1"/>
  <c r="AV174" i="70" a="1"/>
  <c r="AV174" i="70" s="1"/>
  <c r="AW173" i="70"/>
  <c r="AP174" i="70" a="1"/>
  <c r="AP174" i="70" s="1"/>
  <c r="AQ173" i="70"/>
  <c r="P174" i="70"/>
  <c r="O175" i="70" a="1"/>
  <c r="O175" i="70" s="1"/>
  <c r="AY174" i="70" a="1"/>
  <c r="AY174" i="70" s="1"/>
  <c r="AZ173" i="70"/>
  <c r="V173" i="70"/>
  <c r="U174" i="70" a="1"/>
  <c r="U174" i="70" s="1"/>
  <c r="X174" i="70" a="1"/>
  <c r="X174" i="70" s="1"/>
  <c r="Y173" i="70"/>
  <c r="S173" i="70"/>
  <c r="R174" i="70" a="1"/>
  <c r="R174" i="70" s="1"/>
  <c r="Y174" i="70" l="1"/>
  <c r="X175" i="70" a="1"/>
  <c r="X175" i="70" s="1"/>
  <c r="V174" i="70"/>
  <c r="U175" i="70" a="1"/>
  <c r="U175" i="70" s="1"/>
  <c r="AZ174" i="70"/>
  <c r="AY175" i="70" a="1"/>
  <c r="AY175" i="70" s="1"/>
  <c r="P175" i="70"/>
  <c r="O176" i="70" a="1"/>
  <c r="O176" i="70" s="1"/>
  <c r="AP175" i="70" a="1"/>
  <c r="AP175" i="70" s="1"/>
  <c r="AQ174" i="70"/>
  <c r="R175" i="70" a="1"/>
  <c r="R175" i="70" s="1"/>
  <c r="S174" i="70"/>
  <c r="AW174" i="70"/>
  <c r="AV175" i="70" a="1"/>
  <c r="AV175" i="70" s="1"/>
  <c r="S175" i="70" l="1"/>
  <c r="R176" i="70" a="1"/>
  <c r="R176" i="70" s="1"/>
  <c r="AQ175" i="70"/>
  <c r="AP176" i="70" a="1"/>
  <c r="AP176" i="70" s="1"/>
  <c r="O177" i="70" a="1"/>
  <c r="O177" i="70" s="1"/>
  <c r="P176" i="70"/>
  <c r="U176" i="70" a="1"/>
  <c r="U176" i="70" s="1"/>
  <c r="V175" i="70"/>
  <c r="AZ175" i="70"/>
  <c r="AY176" i="70" a="1"/>
  <c r="AY176" i="70" s="1"/>
  <c r="X176" i="70" a="1"/>
  <c r="X176" i="70" s="1"/>
  <c r="Y175" i="70"/>
  <c r="AV176" i="70" a="1"/>
  <c r="AV176" i="70" s="1"/>
  <c r="AW175" i="70"/>
  <c r="AY177" i="70" l="1" a="1"/>
  <c r="AY177" i="70" s="1"/>
  <c r="AZ176" i="70"/>
  <c r="Y176" i="70"/>
  <c r="X177" i="70" a="1"/>
  <c r="X177" i="70" s="1"/>
  <c r="U177" i="70" a="1"/>
  <c r="U177" i="70" s="1"/>
  <c r="V176" i="70"/>
  <c r="AP177" i="70" a="1"/>
  <c r="AP177" i="70" s="1"/>
  <c r="AQ176" i="70"/>
  <c r="P177" i="70"/>
  <c r="O178" i="70" a="1"/>
  <c r="O178" i="70" s="1"/>
  <c r="R177" i="70" a="1"/>
  <c r="R177" i="70" s="1"/>
  <c r="S176" i="70"/>
  <c r="AW176" i="70"/>
  <c r="AV177" i="70" a="1"/>
  <c r="AV177" i="70" s="1"/>
  <c r="S177" i="70" l="1"/>
  <c r="R178" i="70" a="1"/>
  <c r="R178" i="70" s="1"/>
  <c r="AQ177" i="70"/>
  <c r="AP178" i="70" a="1"/>
  <c r="AP178" i="70" s="1"/>
  <c r="O179" i="70" a="1"/>
  <c r="O179" i="70" s="1"/>
  <c r="P178" i="70"/>
  <c r="Y177" i="70"/>
  <c r="X178" i="70" a="1"/>
  <c r="X178" i="70" s="1"/>
  <c r="U178" i="70" a="1"/>
  <c r="U178" i="70" s="1"/>
  <c r="V177" i="70"/>
  <c r="AW177" i="70"/>
  <c r="AV178" i="70" a="1"/>
  <c r="AV178" i="70" s="1"/>
  <c r="AZ177" i="70"/>
  <c r="AY178" i="70" a="1"/>
  <c r="AY178" i="70" s="1"/>
  <c r="AV179" i="70" l="1" a="1"/>
  <c r="AV179" i="70" s="1"/>
  <c r="AW178" i="70"/>
  <c r="V178" i="70"/>
  <c r="U179" i="70" a="1"/>
  <c r="U179" i="70" s="1"/>
  <c r="X179" i="70" a="1"/>
  <c r="X179" i="70" s="1"/>
  <c r="Y178" i="70"/>
  <c r="AQ178" i="70"/>
  <c r="AP179" i="70" a="1"/>
  <c r="AP179" i="70" s="1"/>
  <c r="P179" i="70"/>
  <c r="O180" i="70" a="1"/>
  <c r="O180" i="70" s="1"/>
  <c r="S178" i="70"/>
  <c r="R179" i="70" a="1"/>
  <c r="R179" i="70" s="1"/>
  <c r="AY179" i="70" a="1"/>
  <c r="AY179" i="70" s="1"/>
  <c r="AZ178" i="70"/>
  <c r="AZ179" i="70" l="1"/>
  <c r="AY180" i="70" a="1"/>
  <c r="AY180" i="70" s="1"/>
  <c r="R180" i="70" a="1"/>
  <c r="R180" i="70" s="1"/>
  <c r="S179" i="70"/>
  <c r="AP180" i="70" a="1"/>
  <c r="AP180" i="70" s="1"/>
  <c r="AQ179" i="70"/>
  <c r="P180" i="70"/>
  <c r="O181" i="70" a="1"/>
  <c r="O181" i="70" s="1"/>
  <c r="X180" i="70" a="1"/>
  <c r="X180" i="70" s="1"/>
  <c r="Y179" i="70"/>
  <c r="U180" i="70" a="1"/>
  <c r="U180" i="70" s="1"/>
  <c r="V179" i="70"/>
  <c r="AW179" i="70"/>
  <c r="AV180" i="70" a="1"/>
  <c r="AV180" i="70" s="1"/>
  <c r="Y180" i="70" l="1"/>
  <c r="X181" i="70" a="1"/>
  <c r="X181" i="70" s="1"/>
  <c r="AQ180" i="70"/>
  <c r="AP181" i="70" a="1"/>
  <c r="AP181" i="70" s="1"/>
  <c r="O182" i="70" a="1"/>
  <c r="O182" i="70" s="1"/>
  <c r="P181" i="70"/>
  <c r="V180" i="70"/>
  <c r="U181" i="70" a="1"/>
  <c r="U181" i="70" s="1"/>
  <c r="S180" i="70"/>
  <c r="R181" i="70" a="1"/>
  <c r="R181" i="70" s="1"/>
  <c r="AZ180" i="70"/>
  <c r="AY181" i="70" a="1"/>
  <c r="AY181" i="70" s="1"/>
  <c r="AV181" i="70" a="1"/>
  <c r="AV181" i="70" s="1"/>
  <c r="AW180" i="70"/>
  <c r="AY182" i="70" l="1" a="1"/>
  <c r="AY182" i="70" s="1"/>
  <c r="AZ181" i="70"/>
  <c r="V181" i="70"/>
  <c r="U182" i="70" a="1"/>
  <c r="U182" i="70" s="1"/>
  <c r="O183" i="70" a="1"/>
  <c r="O183" i="70" s="1"/>
  <c r="P182" i="70"/>
  <c r="R182" i="70" a="1"/>
  <c r="R182" i="70" s="1"/>
  <c r="S181" i="70"/>
  <c r="AP182" i="70" a="1"/>
  <c r="AP182" i="70" s="1"/>
  <c r="AQ181" i="70"/>
  <c r="X182" i="70" a="1"/>
  <c r="X182" i="70" s="1"/>
  <c r="Y181" i="70"/>
  <c r="AW181" i="70"/>
  <c r="AV182" i="70" a="1"/>
  <c r="AV182" i="70" s="1"/>
  <c r="AQ182" i="70" l="1"/>
  <c r="AP183" i="70" a="1"/>
  <c r="AP183" i="70" s="1"/>
  <c r="X183" i="70" a="1"/>
  <c r="X183" i="70" s="1"/>
  <c r="Y182" i="70"/>
  <c r="O184" i="70" a="1"/>
  <c r="O184" i="70" s="1"/>
  <c r="P183" i="70"/>
  <c r="U183" i="70" a="1"/>
  <c r="U183" i="70" s="1"/>
  <c r="V182" i="70"/>
  <c r="S182" i="70"/>
  <c r="R183" i="70" a="1"/>
  <c r="R183" i="70" s="1"/>
  <c r="AW182" i="70"/>
  <c r="AV183" i="70" a="1"/>
  <c r="AV183" i="70" s="1"/>
  <c r="AZ182" i="70"/>
  <c r="AY183" i="70" a="1"/>
  <c r="AY183" i="70" s="1"/>
  <c r="S183" i="70" l="1"/>
  <c r="R184" i="70" a="1"/>
  <c r="R184" i="70" s="1"/>
  <c r="AW183" i="70"/>
  <c r="AV184" i="70" a="1"/>
  <c r="AV184" i="70" s="1"/>
  <c r="O185" i="70" a="1"/>
  <c r="O185" i="70" s="1"/>
  <c r="P184" i="70"/>
  <c r="V183" i="70"/>
  <c r="U184" i="70" a="1"/>
  <c r="U184" i="70" s="1"/>
  <c r="Y183" i="70"/>
  <c r="X184" i="70" a="1"/>
  <c r="X184" i="70" s="1"/>
  <c r="AZ183" i="70"/>
  <c r="AY184" i="70" a="1"/>
  <c r="AY184" i="70" s="1"/>
  <c r="AQ183" i="70"/>
  <c r="AP184" i="70" a="1"/>
  <c r="AP184" i="70" s="1"/>
  <c r="AY185" i="70" l="1" a="1"/>
  <c r="AY185" i="70" s="1"/>
  <c r="AZ184" i="70"/>
  <c r="U185" i="70" a="1"/>
  <c r="U185" i="70" s="1"/>
  <c r="V184" i="70"/>
  <c r="Y184" i="70"/>
  <c r="X185" i="70" a="1"/>
  <c r="X185" i="70" s="1"/>
  <c r="AW184" i="70"/>
  <c r="AV185" i="70" a="1"/>
  <c r="AV185" i="70" s="1"/>
  <c r="O186" i="70" a="1"/>
  <c r="O186" i="70" s="1"/>
  <c r="P185" i="70"/>
  <c r="AP185" i="70" a="1"/>
  <c r="AP185" i="70" s="1"/>
  <c r="AQ184" i="70"/>
  <c r="R185" i="70" a="1"/>
  <c r="R185" i="70" s="1"/>
  <c r="S184" i="70"/>
  <c r="AP186" i="70" l="1" a="1"/>
  <c r="AP186" i="70" s="1"/>
  <c r="AQ185" i="70"/>
  <c r="AV186" i="70" a="1"/>
  <c r="AV186" i="70" s="1"/>
  <c r="AW185" i="70"/>
  <c r="X186" i="70" a="1"/>
  <c r="X186" i="70" s="1"/>
  <c r="Y185" i="70"/>
  <c r="V185" i="70"/>
  <c r="U186" i="70" a="1"/>
  <c r="U186" i="70" s="1"/>
  <c r="P186" i="70"/>
  <c r="O187" i="70" a="1"/>
  <c r="O187" i="70" s="1"/>
  <c r="R186" i="70" a="1"/>
  <c r="R186" i="70" s="1"/>
  <c r="S185" i="70"/>
  <c r="AZ185" i="70"/>
  <c r="AY186" i="70" a="1"/>
  <c r="AY186" i="70" s="1"/>
  <c r="R187" i="70" l="1" a="1"/>
  <c r="R187" i="70" s="1"/>
  <c r="S186" i="70"/>
  <c r="P187" i="70"/>
  <c r="O188" i="70" a="1"/>
  <c r="O188" i="70" s="1"/>
  <c r="Y186" i="70"/>
  <c r="X187" i="70" a="1"/>
  <c r="X187" i="70" s="1"/>
  <c r="V186" i="70"/>
  <c r="U187" i="70" a="1"/>
  <c r="U187" i="70" s="1"/>
  <c r="AV187" i="70" a="1"/>
  <c r="AV187" i="70" s="1"/>
  <c r="AW186" i="70"/>
  <c r="AZ186" i="70"/>
  <c r="AY187" i="70" a="1"/>
  <c r="AY187" i="70" s="1"/>
  <c r="AP187" i="70" a="1"/>
  <c r="AP187" i="70" s="1"/>
  <c r="AQ186" i="70"/>
  <c r="AZ187" i="70" l="1"/>
  <c r="AY188" i="70" a="1"/>
  <c r="AY188" i="70" s="1"/>
  <c r="V187" i="70"/>
  <c r="U188" i="70" a="1"/>
  <c r="U188" i="70" s="1"/>
  <c r="O189" i="70" a="1"/>
  <c r="O189" i="70" s="1"/>
  <c r="P188" i="70"/>
  <c r="Y187" i="70"/>
  <c r="X188" i="70" a="1"/>
  <c r="X188" i="70" s="1"/>
  <c r="AW187" i="70"/>
  <c r="AV188" i="70" a="1"/>
  <c r="AV188" i="70" s="1"/>
  <c r="AQ187" i="70"/>
  <c r="AP188" i="70" a="1"/>
  <c r="AP188" i="70" s="1"/>
  <c r="S187" i="70"/>
  <c r="R188" i="70" a="1"/>
  <c r="R188" i="70" s="1"/>
  <c r="AQ188" i="70" l="1"/>
  <c r="AP189" i="70" a="1"/>
  <c r="AP189" i="70" s="1"/>
  <c r="AV189" i="70" a="1"/>
  <c r="AV189" i="70" s="1"/>
  <c r="AW188" i="70"/>
  <c r="X189" i="70" a="1"/>
  <c r="X189" i="70" s="1"/>
  <c r="Y188" i="70"/>
  <c r="U189" i="70" a="1"/>
  <c r="U189" i="70" s="1"/>
  <c r="V188" i="70"/>
  <c r="P189" i="70"/>
  <c r="O190" i="70" a="1"/>
  <c r="O190" i="70" s="1"/>
  <c r="AZ188" i="70"/>
  <c r="AY189" i="70" a="1"/>
  <c r="AY189" i="70" s="1"/>
  <c r="S188" i="70"/>
  <c r="R189" i="70" a="1"/>
  <c r="R189" i="70" s="1"/>
  <c r="AZ189" i="70" l="1"/>
  <c r="AY190" i="70" a="1"/>
  <c r="AY190" i="70" s="1"/>
  <c r="Y189" i="70"/>
  <c r="X190" i="70" a="1"/>
  <c r="X190" i="70" s="1"/>
  <c r="O191" i="70" s="1" a="1"/>
  <c r="O191" i="70" s="1"/>
  <c r="U190" i="70" a="1"/>
  <c r="U190" i="70" s="1"/>
  <c r="V189" i="70"/>
  <c r="AW189" i="70"/>
  <c r="AV190" i="70" a="1"/>
  <c r="AV190" i="70" s="1"/>
  <c r="AP190" i="70" a="1"/>
  <c r="AP190" i="70" s="1"/>
  <c r="AQ189" i="70"/>
  <c r="P190" i="70"/>
  <c r="R190" i="70" a="1"/>
  <c r="R190" i="70" s="1"/>
  <c r="S189" i="70"/>
  <c r="P191" i="70" l="1"/>
  <c r="AV191" i="70" a="1"/>
  <c r="AV191" i="70" s="1"/>
  <c r="AW190" i="70"/>
  <c r="V190" i="70"/>
  <c r="U191" i="70" a="1"/>
  <c r="U191" i="70" s="1"/>
  <c r="X191" i="70" a="1"/>
  <c r="X191" i="70" s="1"/>
  <c r="O192" i="70" s="1" a="1"/>
  <c r="O192" i="70" s="1"/>
  <c r="Y190" i="70"/>
  <c r="AP191" i="70" a="1"/>
  <c r="AP191" i="70" s="1"/>
  <c r="AQ190" i="70"/>
  <c r="AZ190" i="70"/>
  <c r="AY191" i="70" a="1"/>
  <c r="AY191" i="70" s="1"/>
  <c r="R191" i="70" a="1"/>
  <c r="R191" i="70" s="1"/>
  <c r="S190" i="70"/>
  <c r="AY192" i="70" l="1" a="1"/>
  <c r="AY192" i="70" s="1"/>
  <c r="AZ191" i="70"/>
  <c r="AQ191" i="70"/>
  <c r="AP192" i="70" a="1"/>
  <c r="AP192" i="70" s="1"/>
  <c r="S191" i="70"/>
  <c r="R192" i="70" a="1"/>
  <c r="R192" i="70" s="1"/>
  <c r="Y191" i="70"/>
  <c r="X192" i="70" a="1"/>
  <c r="X192" i="70" s="1"/>
  <c r="O193" i="70" s="1" a="1"/>
  <c r="O193" i="70" s="1"/>
  <c r="AW191" i="70"/>
  <c r="AV192" i="70" a="1"/>
  <c r="AV192" i="70" s="1"/>
  <c r="V191" i="70"/>
  <c r="U192" i="70" a="1"/>
  <c r="U192" i="70" s="1"/>
  <c r="P192" i="70"/>
  <c r="AV193" i="70" l="1" a="1"/>
  <c r="AV193" i="70" s="1"/>
  <c r="AW192" i="70"/>
  <c r="X193" i="70" a="1"/>
  <c r="X193" i="70" s="1"/>
  <c r="Y192" i="70"/>
  <c r="AQ192" i="70"/>
  <c r="AP193" i="70" a="1"/>
  <c r="AP193" i="70" s="1"/>
  <c r="S192" i="70"/>
  <c r="R193" i="70" a="1"/>
  <c r="R193" i="70" s="1"/>
  <c r="O194" i="70" a="1"/>
  <c r="O194" i="70" s="1"/>
  <c r="P193" i="70"/>
  <c r="U193" i="70" a="1"/>
  <c r="U193" i="70" s="1"/>
  <c r="V192" i="70"/>
  <c r="AZ192" i="70"/>
  <c r="AY193" i="70" a="1"/>
  <c r="AY193" i="70" s="1"/>
  <c r="S193" i="70" l="1"/>
  <c r="R194" i="70" a="1"/>
  <c r="R194" i="70" s="1"/>
  <c r="P194" i="70"/>
  <c r="O195" i="70" a="1"/>
  <c r="O195" i="70" s="1"/>
  <c r="AQ193" i="70"/>
  <c r="AP194" i="70" a="1"/>
  <c r="AP194" i="70" s="1"/>
  <c r="Y193" i="70"/>
  <c r="X194" i="70" a="1"/>
  <c r="X194" i="70" s="1"/>
  <c r="AY194" i="70" a="1"/>
  <c r="AY194" i="70" s="1"/>
  <c r="AZ193" i="70"/>
  <c r="V193" i="70"/>
  <c r="U194" i="70" a="1"/>
  <c r="U194" i="70" s="1"/>
  <c r="AW193" i="70"/>
  <c r="AV194" i="70" a="1"/>
  <c r="AV194" i="70" s="1"/>
  <c r="V194" i="70" l="1"/>
  <c r="U195" i="70" a="1"/>
  <c r="U195" i="70" s="1"/>
  <c r="AZ194" i="70"/>
  <c r="AY195" i="70" a="1"/>
  <c r="AY195" i="70" s="1"/>
  <c r="Y194" i="70"/>
  <c r="X195" i="70" a="1"/>
  <c r="X195" i="70" s="1"/>
  <c r="O196" i="70" s="1" a="1"/>
  <c r="O196" i="70" s="1"/>
  <c r="P195" i="70"/>
  <c r="AP195" i="70" a="1"/>
  <c r="AP195" i="70" s="1"/>
  <c r="AQ194" i="70"/>
  <c r="R195" i="70" a="1"/>
  <c r="R195" i="70" s="1"/>
  <c r="S194" i="70"/>
  <c r="AW194" i="70"/>
  <c r="AV195" i="70" a="1"/>
  <c r="AV195" i="70" s="1"/>
  <c r="S195" i="70" l="1"/>
  <c r="R196" i="70" a="1"/>
  <c r="R196" i="70" s="1"/>
  <c r="AQ195" i="70"/>
  <c r="AP196" i="70" a="1"/>
  <c r="AP196" i="70" s="1"/>
  <c r="P196" i="70"/>
  <c r="C198" i="70" s="1"/>
  <c r="B16" i="32" s="1"/>
  <c r="O197" i="70" a="1"/>
  <c r="O197" i="70" s="1"/>
  <c r="AY196" i="70" a="1"/>
  <c r="AY196" i="70" s="1"/>
  <c r="AZ195" i="70"/>
  <c r="X196" i="70" a="1"/>
  <c r="X196" i="70" s="1"/>
  <c r="Y195" i="70"/>
  <c r="V195" i="70"/>
  <c r="U196" i="70" a="1"/>
  <c r="U196" i="70" s="1"/>
  <c r="AV196" i="70" a="1"/>
  <c r="AV196" i="70" s="1"/>
  <c r="AW195" i="70"/>
  <c r="C16" i="32" l="1"/>
  <c r="V196" i="70"/>
  <c r="U197" i="70" a="1"/>
  <c r="U197" i="70" s="1"/>
  <c r="Y196" i="70"/>
  <c r="X197" i="70" a="1"/>
  <c r="X197" i="70" s="1"/>
  <c r="AY197" i="70" a="1"/>
  <c r="AY197" i="70" s="1"/>
  <c r="AZ196" i="70"/>
  <c r="P197" i="70"/>
  <c r="O198" i="70" a="1"/>
  <c r="O198" i="70" s="1"/>
  <c r="AP197" i="70" a="1"/>
  <c r="AP197" i="70" s="1"/>
  <c r="AQ196" i="70"/>
  <c r="R197" i="70" a="1"/>
  <c r="R197" i="70" s="1"/>
  <c r="S196" i="70"/>
  <c r="AV197" i="70" a="1"/>
  <c r="AV197" i="70" s="1"/>
  <c r="AW196" i="70"/>
  <c r="D16" i="32" l="1"/>
  <c r="G16" i="32" s="1"/>
  <c r="H16" i="32" s="1"/>
  <c r="S197" i="70"/>
  <c r="R198" i="70" a="1"/>
  <c r="R198" i="70" s="1"/>
  <c r="O199" i="70" a="1"/>
  <c r="O199" i="70" s="1"/>
  <c r="P198" i="70"/>
  <c r="AQ197" i="70"/>
  <c r="AP198" i="70" a="1"/>
  <c r="AP198" i="70" s="1"/>
  <c r="Y197" i="70"/>
  <c r="X198" i="70" a="1"/>
  <c r="X198" i="70" s="1"/>
  <c r="AZ197" i="70"/>
  <c r="AY198" i="70" a="1"/>
  <c r="AY198" i="70" s="1"/>
  <c r="U198" i="70" a="1"/>
  <c r="U198" i="70" s="1"/>
  <c r="V197" i="70"/>
  <c r="AW197" i="70"/>
  <c r="AV198" i="70" a="1"/>
  <c r="AV198" i="70" s="1"/>
  <c r="V198" i="70" l="1"/>
  <c r="U199" i="70" a="1"/>
  <c r="U199" i="70" s="1"/>
  <c r="Y198" i="70"/>
  <c r="X199" i="70" a="1"/>
  <c r="X199" i="70" s="1"/>
  <c r="AY199" i="70" a="1"/>
  <c r="AY199" i="70" s="1"/>
  <c r="AZ198" i="70"/>
  <c r="AP199" i="70" a="1"/>
  <c r="AP199" i="70" s="1"/>
  <c r="AQ198" i="70"/>
  <c r="P199" i="70"/>
  <c r="O200" i="70" a="1"/>
  <c r="O200" i="70" s="1"/>
  <c r="R199" i="70" a="1"/>
  <c r="R199" i="70" s="1"/>
  <c r="S198" i="70"/>
  <c r="AW198" i="70"/>
  <c r="AV199" i="70" a="1"/>
  <c r="AV199" i="70" s="1"/>
  <c r="P200" i="70" l="1"/>
  <c r="O201" i="70" a="1"/>
  <c r="O201" i="70" s="1"/>
  <c r="S199" i="70"/>
  <c r="R200" i="70" a="1"/>
  <c r="R200" i="70" s="1"/>
  <c r="AQ199" i="70"/>
  <c r="AP200" i="70" a="1"/>
  <c r="AP200" i="70" s="1"/>
  <c r="Y199" i="70"/>
  <c r="X200" i="70" a="1"/>
  <c r="X200" i="70" s="1"/>
  <c r="AZ199" i="70"/>
  <c r="AY200" i="70" a="1"/>
  <c r="AY200" i="70" s="1"/>
  <c r="U200" i="70" a="1"/>
  <c r="U200" i="70" s="1"/>
  <c r="V199" i="70"/>
  <c r="AW199" i="70"/>
  <c r="AV200" i="70" a="1"/>
  <c r="AV200" i="70" s="1"/>
  <c r="V200" i="70" l="1"/>
  <c r="U201" i="70" a="1"/>
  <c r="U201" i="70" s="1"/>
  <c r="AZ200" i="70"/>
  <c r="AY201" i="70" a="1"/>
  <c r="AY201" i="70" s="1"/>
  <c r="X201" i="70" a="1"/>
  <c r="X201" i="70" s="1"/>
  <c r="Y200" i="70"/>
  <c r="S200" i="70"/>
  <c r="R201" i="70" a="1"/>
  <c r="R201" i="70" s="1"/>
  <c r="AQ200" i="70"/>
  <c r="AP201" i="70" a="1"/>
  <c r="AP201" i="70" s="1"/>
  <c r="P201" i="70"/>
  <c r="O202" i="70" a="1"/>
  <c r="O202" i="70" s="1"/>
  <c r="AV201" i="70" a="1"/>
  <c r="AV201" i="70" s="1"/>
  <c r="AW200" i="70"/>
  <c r="P202" i="70" l="1"/>
  <c r="O203" i="70" a="1"/>
  <c r="O203" i="70" s="1"/>
  <c r="R202" i="70" a="1"/>
  <c r="R202" i="70" s="1"/>
  <c r="S201" i="70"/>
  <c r="AP202" i="70" a="1"/>
  <c r="AP202" i="70" s="1"/>
  <c r="AQ201" i="70"/>
  <c r="AZ201" i="70"/>
  <c r="AY202" i="70" a="1"/>
  <c r="AY202" i="70" s="1"/>
  <c r="Y201" i="70"/>
  <c r="X202" i="70" a="1"/>
  <c r="X202" i="70" s="1"/>
  <c r="U202" i="70" a="1"/>
  <c r="U202" i="70" s="1"/>
  <c r="V201" i="70"/>
  <c r="AW201" i="70"/>
  <c r="AV202" i="70" a="1"/>
  <c r="AV202" i="70" s="1"/>
  <c r="V202" i="70" l="1"/>
  <c r="U203" i="70" a="1"/>
  <c r="U203" i="70" s="1"/>
  <c r="X203" i="70" a="1"/>
  <c r="X203" i="70" s="1"/>
  <c r="Y202" i="70"/>
  <c r="AQ202" i="70"/>
  <c r="AP203" i="70" a="1"/>
  <c r="AP203" i="70" s="1"/>
  <c r="AZ202" i="70"/>
  <c r="AY203" i="70" a="1"/>
  <c r="AY203" i="70" s="1"/>
  <c r="S202" i="70"/>
  <c r="R203" i="70" a="1"/>
  <c r="R203" i="70" s="1"/>
  <c r="O204" i="70" a="1"/>
  <c r="O204" i="70" s="1"/>
  <c r="P203" i="70"/>
  <c r="AV203" i="70" a="1"/>
  <c r="AV203" i="70" s="1"/>
  <c r="AW202" i="70"/>
  <c r="P204" i="70" l="1"/>
  <c r="O205" i="70" a="1"/>
  <c r="O205" i="70" s="1"/>
  <c r="AY204" i="70" a="1"/>
  <c r="AY204" i="70" s="1"/>
  <c r="AZ203" i="70"/>
  <c r="S203" i="70"/>
  <c r="R204" i="70" a="1"/>
  <c r="R204" i="70" s="1"/>
  <c r="AQ203" i="70"/>
  <c r="AP204" i="70" a="1"/>
  <c r="AP204" i="70" s="1"/>
  <c r="Y203" i="70"/>
  <c r="X204" i="70" a="1"/>
  <c r="X204" i="70" s="1"/>
  <c r="V203" i="70"/>
  <c r="U204" i="70" a="1"/>
  <c r="U204" i="70" s="1"/>
  <c r="AW203" i="70"/>
  <c r="AV204" i="70" a="1"/>
  <c r="AV204" i="70" s="1"/>
  <c r="U205" i="70" l="1" a="1"/>
  <c r="U205" i="70" s="1"/>
  <c r="V204" i="70"/>
  <c r="AQ204" i="70"/>
  <c r="AP205" i="70" a="1"/>
  <c r="AP205" i="70" s="1"/>
  <c r="X205" i="70" a="1"/>
  <c r="X205" i="70" s="1"/>
  <c r="Y204" i="70"/>
  <c r="S204" i="70"/>
  <c r="R205" i="70" a="1"/>
  <c r="R205" i="70" s="1"/>
  <c r="AZ204" i="70"/>
  <c r="AY205" i="70" a="1"/>
  <c r="AY205" i="70" s="1"/>
  <c r="O206" i="70" a="1"/>
  <c r="O206" i="70" s="1"/>
  <c r="P205" i="70"/>
  <c r="AV205" i="70" a="1"/>
  <c r="AV205" i="70" s="1"/>
  <c r="AW204" i="70"/>
  <c r="AY206" i="70" l="1" a="1"/>
  <c r="AY206" i="70" s="1"/>
  <c r="AZ205" i="70"/>
  <c r="S205" i="70"/>
  <c r="R206" i="70" a="1"/>
  <c r="R206" i="70" s="1"/>
  <c r="Y205" i="70"/>
  <c r="X206" i="70" a="1"/>
  <c r="X206" i="70" s="1"/>
  <c r="P206" i="70"/>
  <c r="O207" i="70" a="1"/>
  <c r="O207" i="70" s="1"/>
  <c r="AQ205" i="70"/>
  <c r="AP206" i="70" a="1"/>
  <c r="AP206" i="70" s="1"/>
  <c r="AW205" i="70"/>
  <c r="AV206" i="70" a="1"/>
  <c r="AV206" i="70" s="1"/>
  <c r="V205" i="70"/>
  <c r="U206" i="70" a="1"/>
  <c r="U206" i="70" s="1"/>
  <c r="AW206" i="70" l="1"/>
  <c r="AV207" i="70" a="1"/>
  <c r="AV207" i="70" s="1"/>
  <c r="AP207" i="70" a="1"/>
  <c r="AP207" i="70" s="1"/>
  <c r="AQ206" i="70"/>
  <c r="O208" i="70" a="1"/>
  <c r="O208" i="70" s="1"/>
  <c r="P207" i="70"/>
  <c r="R207" i="70" a="1"/>
  <c r="R207" i="70" s="1"/>
  <c r="S206" i="70"/>
  <c r="Y206" i="70"/>
  <c r="X207" i="70" a="1"/>
  <c r="X207" i="70" s="1"/>
  <c r="V206" i="70"/>
  <c r="U207" i="70" a="1"/>
  <c r="U207" i="70" s="1"/>
  <c r="AZ206" i="70"/>
  <c r="AY207" i="70" a="1"/>
  <c r="AY207" i="70" s="1"/>
  <c r="X208" i="70" l="1" a="1"/>
  <c r="X208" i="70" s="1"/>
  <c r="Y207" i="70"/>
  <c r="V207" i="70"/>
  <c r="U208" i="70" a="1"/>
  <c r="U208" i="70" s="1"/>
  <c r="P208" i="70"/>
  <c r="O209" i="70" a="1"/>
  <c r="O209" i="70" s="1"/>
  <c r="S207" i="70"/>
  <c r="R208" i="70" a="1"/>
  <c r="R208" i="70" s="1"/>
  <c r="AQ207" i="70"/>
  <c r="AP208" i="70" a="1"/>
  <c r="AP208" i="70" s="1"/>
  <c r="AV208" i="70" a="1"/>
  <c r="AV208" i="70" s="1"/>
  <c r="AW207" i="70"/>
  <c r="AY208" i="70" a="1"/>
  <c r="AY208" i="70" s="1"/>
  <c r="AZ207" i="70"/>
  <c r="AZ208" i="70" l="1"/>
  <c r="AY209" i="70" a="1"/>
  <c r="AY209" i="70" s="1"/>
  <c r="AW208" i="70"/>
  <c r="AV209" i="70" a="1"/>
  <c r="AV209" i="70" s="1"/>
  <c r="AP209" i="70" a="1"/>
  <c r="AP209" i="70" s="1"/>
  <c r="AQ208" i="70"/>
  <c r="P209" i="70"/>
  <c r="O210" i="70" a="1"/>
  <c r="O210" i="70" s="1"/>
  <c r="R209" i="70" a="1"/>
  <c r="R209" i="70" s="1"/>
  <c r="S208" i="70"/>
  <c r="V208" i="70"/>
  <c r="U209" i="70" a="1"/>
  <c r="U209" i="70" s="1"/>
  <c r="Y208" i="70"/>
  <c r="X209" i="70" a="1"/>
  <c r="X209" i="70" s="1"/>
  <c r="U210" i="70" l="1" a="1"/>
  <c r="U210" i="70" s="1"/>
  <c r="V209" i="70"/>
  <c r="O211" i="70" a="1"/>
  <c r="O211" i="70" s="1"/>
  <c r="P210" i="70"/>
  <c r="S209" i="70"/>
  <c r="R210" i="70" a="1"/>
  <c r="R210" i="70" s="1"/>
  <c r="AW209" i="70"/>
  <c r="AV210" i="70" a="1"/>
  <c r="AV210" i="70" s="1"/>
  <c r="AQ209" i="70"/>
  <c r="AP210" i="70" a="1"/>
  <c r="AP210" i="70" s="1"/>
  <c r="AZ209" i="70"/>
  <c r="AY210" i="70" a="1"/>
  <c r="AY210" i="70" s="1"/>
  <c r="Y209" i="70"/>
  <c r="X210" i="70" a="1"/>
  <c r="X210" i="70" s="1"/>
  <c r="AY211" i="70" l="1" a="1"/>
  <c r="AY211" i="70" s="1"/>
  <c r="AZ210" i="70"/>
  <c r="AW210" i="70"/>
  <c r="AV211" i="70" a="1"/>
  <c r="AV211" i="70" s="1"/>
  <c r="AP211" i="70" a="1"/>
  <c r="AP211" i="70" s="1"/>
  <c r="AQ210" i="70"/>
  <c r="R211" i="70" a="1"/>
  <c r="R211" i="70" s="1"/>
  <c r="S210" i="70"/>
  <c r="O212" i="70" a="1"/>
  <c r="O212" i="70" s="1"/>
  <c r="P211" i="70"/>
  <c r="Y210" i="70"/>
  <c r="X211" i="70" a="1"/>
  <c r="X211" i="70" s="1"/>
  <c r="V210" i="70"/>
  <c r="U211" i="70" a="1"/>
  <c r="U211" i="70" s="1"/>
  <c r="Y211" i="70" l="1"/>
  <c r="X212" i="70" a="1"/>
  <c r="X212" i="70" s="1"/>
  <c r="P212" i="70"/>
  <c r="O213" i="70" a="1"/>
  <c r="O213" i="70" s="1"/>
  <c r="R212" i="70" a="1"/>
  <c r="R212" i="70" s="1"/>
  <c r="S211" i="70"/>
  <c r="AW211" i="70"/>
  <c r="AV212" i="70" a="1"/>
  <c r="AV212" i="70" s="1"/>
  <c r="AP212" i="70" a="1"/>
  <c r="AP212" i="70" s="1"/>
  <c r="AQ211" i="70"/>
  <c r="U212" i="70" a="1"/>
  <c r="U212" i="70" s="1"/>
  <c r="V211" i="70"/>
  <c r="AY212" i="70" a="1"/>
  <c r="AY212" i="70" s="1"/>
  <c r="AZ211" i="70"/>
  <c r="V212" i="70" l="1"/>
  <c r="U213" i="70" a="1"/>
  <c r="U213" i="70" s="1"/>
  <c r="AV213" i="70" a="1"/>
  <c r="AV213" i="70" s="1"/>
  <c r="AW212" i="70"/>
  <c r="AQ212" i="70"/>
  <c r="AP213" i="70" a="1"/>
  <c r="AP213" i="70" s="1"/>
  <c r="P213" i="70"/>
  <c r="O214" i="70" a="1"/>
  <c r="O214" i="70" s="1"/>
  <c r="S212" i="70"/>
  <c r="R213" i="70" a="1"/>
  <c r="R213" i="70" s="1"/>
  <c r="X213" i="70" a="1"/>
  <c r="X213" i="70" s="1"/>
  <c r="Y212" i="70"/>
  <c r="AZ212" i="70"/>
  <c r="AY213" i="70" a="1"/>
  <c r="AY213" i="70" s="1"/>
  <c r="X214" i="70" l="1" a="1"/>
  <c r="X214" i="70" s="1"/>
  <c r="Y213" i="70"/>
  <c r="R214" i="70" a="1"/>
  <c r="R214" i="70" s="1"/>
  <c r="S213" i="70"/>
  <c r="P214" i="70"/>
  <c r="O215" i="70" a="1"/>
  <c r="O215" i="70" s="1"/>
  <c r="AP214" i="70" a="1"/>
  <c r="AP214" i="70" s="1"/>
  <c r="AQ213" i="70"/>
  <c r="AV214" i="70" a="1"/>
  <c r="AV214" i="70" s="1"/>
  <c r="AW213" i="70"/>
  <c r="U214" i="70" a="1"/>
  <c r="U214" i="70" s="1"/>
  <c r="V213" i="70"/>
  <c r="AZ213" i="70"/>
  <c r="AY214" i="70" a="1"/>
  <c r="AY214" i="70" s="1"/>
  <c r="V214" i="70" l="1"/>
  <c r="U215" i="70" a="1"/>
  <c r="U215" i="70" s="1"/>
  <c r="AP215" i="70" a="1"/>
  <c r="AP215" i="70" s="1"/>
  <c r="AQ214" i="70"/>
  <c r="AW214" i="70"/>
  <c r="AV215" i="70" a="1"/>
  <c r="AV215" i="70" s="1"/>
  <c r="O216" i="70" a="1"/>
  <c r="O216" i="70" s="1"/>
  <c r="P215" i="70"/>
  <c r="R215" i="70" a="1"/>
  <c r="R215" i="70" s="1"/>
  <c r="S214" i="70"/>
  <c r="AZ214" i="70"/>
  <c r="AY215" i="70" a="1"/>
  <c r="AY215" i="70" s="1"/>
  <c r="X215" i="70" a="1"/>
  <c r="X215" i="70" s="1"/>
  <c r="Y214" i="70"/>
  <c r="S215" i="70" l="1"/>
  <c r="R216" i="70" a="1"/>
  <c r="R216" i="70" s="1"/>
  <c r="P216" i="70"/>
  <c r="O217" i="70" a="1"/>
  <c r="O217" i="70" s="1"/>
  <c r="AY216" i="70" a="1"/>
  <c r="AY216" i="70" s="1"/>
  <c r="AZ215" i="70"/>
  <c r="AW215" i="70"/>
  <c r="AV216" i="70" a="1"/>
  <c r="AV216" i="70" s="1"/>
  <c r="AQ215" i="70"/>
  <c r="AP216" i="70" a="1"/>
  <c r="AP216" i="70" s="1"/>
  <c r="V215" i="70"/>
  <c r="U216" i="70" a="1"/>
  <c r="U216" i="70" s="1"/>
  <c r="Y215" i="70"/>
  <c r="X216" i="70" a="1"/>
  <c r="X216" i="70" s="1"/>
  <c r="AP217" i="70" l="1" a="1"/>
  <c r="AP217" i="70" s="1"/>
  <c r="AQ216" i="70"/>
  <c r="U217" i="70" a="1"/>
  <c r="U217" i="70" s="1"/>
  <c r="V216" i="70"/>
  <c r="AW216" i="70"/>
  <c r="AV217" i="70" a="1"/>
  <c r="AV217" i="70" s="1"/>
  <c r="O218" i="70" a="1"/>
  <c r="O218" i="70" s="1"/>
  <c r="P217" i="70"/>
  <c r="AZ216" i="70"/>
  <c r="AY217" i="70" a="1"/>
  <c r="AY217" i="70" s="1"/>
  <c r="S216" i="70"/>
  <c r="R217" i="70" a="1"/>
  <c r="R217" i="70" s="1"/>
  <c r="X217" i="70" a="1"/>
  <c r="X217" i="70" s="1"/>
  <c r="Y216" i="70"/>
  <c r="Y217" i="70" l="1"/>
  <c r="X218" i="70" a="1"/>
  <c r="X218" i="70" s="1"/>
  <c r="AY218" i="70" a="1"/>
  <c r="AY218" i="70" s="1"/>
  <c r="AZ217" i="70"/>
  <c r="R218" i="70" a="1"/>
  <c r="R218" i="70" s="1"/>
  <c r="S217" i="70"/>
  <c r="P218" i="70"/>
  <c r="V217" i="70"/>
  <c r="U218" i="70" a="1"/>
  <c r="U218" i="70" s="1"/>
  <c r="AW217" i="70"/>
  <c r="AV218" i="70" a="1"/>
  <c r="AV218" i="70" s="1"/>
  <c r="AP218" i="70" a="1"/>
  <c r="AP218" i="70" s="1"/>
  <c r="AQ217" i="70"/>
  <c r="AW218" i="70" l="1"/>
  <c r="AV219" i="70" a="1"/>
  <c r="AV219" i="70" s="1"/>
  <c r="U219" i="70" a="1"/>
  <c r="U219" i="70" s="1"/>
  <c r="V218" i="70"/>
  <c r="S218" i="70"/>
  <c r="R219" i="70" a="1"/>
  <c r="R219" i="70" s="1"/>
  <c r="O219" i="70" a="1"/>
  <c r="O219" i="70" s="1"/>
  <c r="AZ218" i="70"/>
  <c r="AY219" i="70" a="1"/>
  <c r="AY219" i="70" s="1"/>
  <c r="X219" i="70" a="1"/>
  <c r="X219" i="70" s="1"/>
  <c r="Y218" i="70"/>
  <c r="AQ218" i="70"/>
  <c r="AP219" i="70" a="1"/>
  <c r="AP219" i="70" s="1"/>
  <c r="Y219" i="70" l="1"/>
  <c r="X220" i="70" a="1"/>
  <c r="X220" i="70" s="1"/>
  <c r="AY220" i="70" a="1"/>
  <c r="AY220" i="70" s="1"/>
  <c r="AZ219" i="70"/>
  <c r="O220" i="70" a="1"/>
  <c r="O220" i="70" s="1"/>
  <c r="P219" i="70"/>
  <c r="S219" i="70"/>
  <c r="R220" i="70" a="1"/>
  <c r="R220" i="70" s="1"/>
  <c r="V219" i="70"/>
  <c r="U220" i="70" a="1"/>
  <c r="U220" i="70" s="1"/>
  <c r="AW219" i="70"/>
  <c r="AV220" i="70" a="1"/>
  <c r="AV220" i="70" s="1"/>
  <c r="AQ219" i="70"/>
  <c r="AP220" i="70" a="1"/>
  <c r="AP220" i="70" s="1"/>
  <c r="AW220" i="70" l="1"/>
  <c r="AV221" i="70" a="1"/>
  <c r="AV221" i="70" s="1"/>
  <c r="U221" i="70" a="1"/>
  <c r="U221" i="70" s="1"/>
  <c r="V220" i="70"/>
  <c r="P220" i="70"/>
  <c r="O221" i="70" a="1"/>
  <c r="O221" i="70" s="1"/>
  <c r="R221" i="70" a="1"/>
  <c r="R221" i="70" s="1"/>
  <c r="S220" i="70"/>
  <c r="AZ220" i="70"/>
  <c r="AY221" i="70" a="1"/>
  <c r="AY221" i="70" s="1"/>
  <c r="Y220" i="70"/>
  <c r="X221" i="70" a="1"/>
  <c r="X221" i="70" s="1"/>
  <c r="AP221" i="70" a="1"/>
  <c r="AP221" i="70" s="1"/>
  <c r="AQ220" i="70"/>
  <c r="AZ221" i="70" l="1"/>
  <c r="AY222" i="70" a="1"/>
  <c r="AY222" i="70" s="1"/>
  <c r="X222" i="70" a="1"/>
  <c r="X222" i="70" s="1"/>
  <c r="Y221" i="70"/>
  <c r="S221" i="70"/>
  <c r="R222" i="70" a="1"/>
  <c r="R222" i="70" s="1"/>
  <c r="P221" i="70"/>
  <c r="C223" i="70" s="1"/>
  <c r="B17" i="32" s="1"/>
  <c r="O222" i="70" a="1"/>
  <c r="O222" i="70" s="1"/>
  <c r="V221" i="70"/>
  <c r="U222" i="70" a="1"/>
  <c r="U222" i="70" s="1"/>
  <c r="AV222" i="70" a="1"/>
  <c r="AV222" i="70" s="1"/>
  <c r="AW221" i="70"/>
  <c r="AQ221" i="70"/>
  <c r="AP222" i="70" a="1"/>
  <c r="AP222" i="70" s="1"/>
  <c r="C17" i="32" l="1"/>
  <c r="AW222" i="70"/>
  <c r="AV223" i="70" a="1"/>
  <c r="AV223" i="70" s="1"/>
  <c r="V222" i="70"/>
  <c r="U223" i="70" a="1"/>
  <c r="U223" i="70" s="1"/>
  <c r="O223" i="70" a="1"/>
  <c r="O223" i="70" s="1"/>
  <c r="P222" i="70"/>
  <c r="R223" i="70" a="1"/>
  <c r="R223" i="70" s="1"/>
  <c r="S222" i="70"/>
  <c r="Y222" i="70"/>
  <c r="X223" i="70" a="1"/>
  <c r="X223" i="70" s="1"/>
  <c r="AY223" i="70" a="1"/>
  <c r="AY223" i="70" s="1"/>
  <c r="AZ222" i="70"/>
  <c r="AP223" i="70" a="1"/>
  <c r="AP223" i="70" s="1"/>
  <c r="AQ222" i="70"/>
  <c r="D17" i="32" l="1"/>
  <c r="G17" i="32" s="1"/>
  <c r="H17" i="32" s="1"/>
  <c r="S223" i="70"/>
  <c r="R224" i="70" a="1"/>
  <c r="R224" i="70" s="1"/>
  <c r="X224" i="70" a="1"/>
  <c r="X224" i="70" s="1"/>
  <c r="Y223" i="70"/>
  <c r="AZ223" i="70"/>
  <c r="AY224" i="70" a="1"/>
  <c r="AY224" i="70" s="1"/>
  <c r="U224" i="70" a="1"/>
  <c r="U224" i="70" s="1"/>
  <c r="V223" i="70"/>
  <c r="P223" i="70"/>
  <c r="C225" i="70" s="1"/>
  <c r="O224" i="70" a="1"/>
  <c r="O224" i="70" s="1"/>
  <c r="AV224" i="70" a="1"/>
  <c r="AV224" i="70" s="1"/>
  <c r="AW223" i="70"/>
  <c r="AQ223" i="70"/>
  <c r="AP224" i="70" a="1"/>
  <c r="AP224" i="70" s="1"/>
  <c r="AW224" i="70" l="1"/>
  <c r="AV225" i="70" a="1"/>
  <c r="AV225" i="70" s="1"/>
  <c r="O225" i="70" a="1"/>
  <c r="O225" i="70" s="1"/>
  <c r="P224" i="70"/>
  <c r="V224" i="70"/>
  <c r="U225" i="70" a="1"/>
  <c r="U225" i="70" s="1"/>
  <c r="AY225" i="70" a="1"/>
  <c r="AY225" i="70" s="1"/>
  <c r="AZ224" i="70"/>
  <c r="Y224" i="70"/>
  <c r="X225" i="70" a="1"/>
  <c r="X225" i="70" s="1"/>
  <c r="R225" i="70" a="1"/>
  <c r="R225" i="70" s="1"/>
  <c r="S224" i="70"/>
  <c r="AP225" i="70" a="1"/>
  <c r="AP225" i="70" s="1"/>
  <c r="AQ224" i="70"/>
  <c r="Y225" i="70" l="1"/>
  <c r="X226" i="70" a="1"/>
  <c r="X226" i="70" s="1"/>
  <c r="S225" i="70"/>
  <c r="R226" i="70" a="1"/>
  <c r="R226" i="70" s="1"/>
  <c r="AZ225" i="70"/>
  <c r="AY226" i="70" a="1"/>
  <c r="AY226" i="70" s="1"/>
  <c r="U226" i="70" a="1"/>
  <c r="U226" i="70" s="1"/>
  <c r="V225" i="70"/>
  <c r="P225" i="70"/>
  <c r="C227" i="70" s="1"/>
  <c r="O226" i="70" a="1"/>
  <c r="O226" i="70" s="1"/>
  <c r="AW225" i="70"/>
  <c r="AV226" i="70" a="1"/>
  <c r="AV226" i="70" s="1"/>
  <c r="AQ225" i="70"/>
  <c r="AP226" i="70" a="1"/>
  <c r="AP226" i="70" s="1"/>
  <c r="C232" i="70" l="1"/>
  <c r="B18" i="32"/>
  <c r="O227" i="70" a="1"/>
  <c r="O227" i="70" s="1"/>
  <c r="P226" i="70"/>
  <c r="V226" i="70"/>
  <c r="U227" i="70" a="1"/>
  <c r="U227" i="70" s="1"/>
  <c r="AV227" i="70" a="1"/>
  <c r="AV227" i="70" s="1"/>
  <c r="AW226" i="70"/>
  <c r="S226" i="70"/>
  <c r="R227" i="70" a="1"/>
  <c r="R227" i="70" s="1"/>
  <c r="AY227" i="70" a="1"/>
  <c r="AY227" i="70" s="1"/>
  <c r="AZ226" i="70"/>
  <c r="X227" i="70" a="1"/>
  <c r="X227" i="70" s="1"/>
  <c r="Y226" i="70"/>
  <c r="AQ226" i="70"/>
  <c r="AP227" i="70" a="1"/>
  <c r="AP227" i="70" s="1"/>
  <c r="C18" i="32" l="1"/>
  <c r="Y227" i="70"/>
  <c r="X228" i="70" a="1"/>
  <c r="X228" i="70" s="1"/>
  <c r="AZ227" i="70"/>
  <c r="AY228" i="70" a="1"/>
  <c r="AY228" i="70" s="1"/>
  <c r="R228" i="70" a="1"/>
  <c r="R228" i="70" s="1"/>
  <c r="S227" i="70"/>
  <c r="V227" i="70"/>
  <c r="U228" i="70" a="1"/>
  <c r="U228" i="70" s="1"/>
  <c r="AW227" i="70"/>
  <c r="AV228" i="70" a="1"/>
  <c r="AV228" i="70" s="1"/>
  <c r="AP228" i="70" a="1"/>
  <c r="AP228" i="70" s="1"/>
  <c r="AQ227" i="70"/>
  <c r="P227" i="70"/>
  <c r="O228" i="70" a="1"/>
  <c r="O228" i="70" s="1"/>
  <c r="D18" i="32" l="1"/>
  <c r="G18" i="32" s="1"/>
  <c r="H18" i="32" s="1"/>
  <c r="I2" i="32" s="1"/>
  <c r="AQ228" i="70"/>
  <c r="AP229" i="70" a="1"/>
  <c r="AP229" i="70" s="1"/>
  <c r="AP230" i="70" s="1" a="1"/>
  <c r="AP230" i="70" s="1"/>
  <c r="V228" i="70"/>
  <c r="U229" i="70" a="1"/>
  <c r="U229" i="70" s="1"/>
  <c r="U230" i="70" s="1" a="1"/>
  <c r="U230" i="70" s="1"/>
  <c r="AV229" i="70" a="1"/>
  <c r="AV229" i="70" s="1"/>
  <c r="AV230" i="70" s="1" a="1"/>
  <c r="AV230" i="70" s="1"/>
  <c r="AW228" i="70"/>
  <c r="AZ228" i="70"/>
  <c r="AY229" i="70" a="1"/>
  <c r="AY229" i="70" s="1"/>
  <c r="AY230" i="70" s="1" a="1"/>
  <c r="AY230" i="70" s="1"/>
  <c r="S228" i="70"/>
  <c r="R229" i="70" a="1"/>
  <c r="R229" i="70" s="1"/>
  <c r="X229" i="70" a="1"/>
  <c r="X229" i="70" s="1"/>
  <c r="X230" i="70" s="1" a="1"/>
  <c r="X230" i="70" s="1"/>
  <c r="Y228" i="70"/>
  <c r="P228" i="70"/>
  <c r="O229" i="70" a="1"/>
  <c r="O229" i="70" s="1"/>
  <c r="O230" i="70" s="1" a="1"/>
  <c r="O230" i="70" s="1"/>
  <c r="R230" i="70" l="1" a="1"/>
  <c r="R230" i="70" s="1"/>
  <c r="S230" i="70" s="1"/>
  <c r="Y230" i="70"/>
  <c r="AZ230" i="70"/>
  <c r="AY231" i="70" a="1"/>
  <c r="AY231" i="70" s="1"/>
  <c r="AZ231" i="70" s="1"/>
  <c r="P230" i="70"/>
  <c r="O231" i="70" a="1"/>
  <c r="O231" i="70" s="1"/>
  <c r="P231" i="70" s="1"/>
  <c r="AW230" i="70"/>
  <c r="AV231" i="70" a="1"/>
  <c r="AV231" i="70" s="1"/>
  <c r="AW231" i="70" s="1"/>
  <c r="V230" i="70"/>
  <c r="U231" i="70" a="1"/>
  <c r="U231" i="70" s="1"/>
  <c r="V231" i="70" s="1"/>
  <c r="AQ230" i="70"/>
  <c r="AP231" i="70" a="1"/>
  <c r="AP231" i="70" s="1"/>
  <c r="AQ231" i="70" s="1"/>
  <c r="C19" i="32"/>
  <c r="C20" i="32" s="1"/>
  <c r="C21" i="32" s="1"/>
  <c r="C22" i="32" s="1"/>
  <c r="C23" i="32" s="1"/>
  <c r="AZ229" i="70"/>
  <c r="Y229" i="70"/>
  <c r="AW229" i="70"/>
  <c r="V229" i="70"/>
  <c r="S229" i="70"/>
  <c r="AQ229" i="70"/>
  <c r="P229" i="70"/>
  <c r="X231" i="70" l="1" a="1"/>
  <c r="X231" i="70" s="1"/>
  <c r="Y231" i="70" s="1"/>
  <c r="R231" i="70" a="1"/>
  <c r="R231" i="70" s="1"/>
  <c r="S231" i="7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<sst xmlns="http://schemas.openxmlformats.org/spreadsheetml/2006/main" count="2037" uniqueCount="279">
  <si>
    <t>Tesouro Direto e Títulos Públicos</t>
  </si>
  <si>
    <t>Renda Fixa Privada</t>
  </si>
  <si>
    <t>COE</t>
  </si>
  <si>
    <t>Previdência Privada</t>
  </si>
  <si>
    <t>Renda Variável Nacional</t>
  </si>
  <si>
    <t>Renda Variável Internacional</t>
  </si>
  <si>
    <t>BTC</t>
  </si>
  <si>
    <t>Moeda</t>
  </si>
  <si>
    <t>ETH</t>
  </si>
  <si>
    <t>DOT</t>
  </si>
  <si>
    <t>Fundos de Investimentos: Real Estate</t>
  </si>
  <si>
    <t>Fundos de Investimentos: Renda Fixa</t>
  </si>
  <si>
    <t>Fundos de Investimentos: Ações Nacionais</t>
  </si>
  <si>
    <t>Fundos de Investimentos: Ações Internacionais</t>
  </si>
  <si>
    <t>Bradesco</t>
  </si>
  <si>
    <t>Inter</t>
  </si>
  <si>
    <t>Montante Inicial Easynvest</t>
  </si>
  <si>
    <t>Montante Inicial Clear</t>
  </si>
  <si>
    <t>Montante Inicial NovaDAX</t>
  </si>
  <si>
    <t>Tesouro Direto e Títulos Públicos (R$)</t>
  </si>
  <si>
    <t>Renda Fixa Privada (R$)</t>
  </si>
  <si>
    <t>Fundos de Investimentos: Renda Fixa (R$)</t>
  </si>
  <si>
    <t>Fundos de Investimentos: Real Estate (R$)</t>
  </si>
  <si>
    <t>Fundos de Investimentos: Ações Nacionais (R$)</t>
  </si>
  <si>
    <t>Renda Variável Internacional (R$)</t>
  </si>
  <si>
    <t>Renda Variável Nacional (R$)</t>
  </si>
  <si>
    <t>Previdência Privada (R$)</t>
  </si>
  <si>
    <t>COE (R$)</t>
  </si>
  <si>
    <t>Fundos de Investimentos: Ações Internacionais (R$)</t>
  </si>
  <si>
    <t>Conta-Corrente (R$)</t>
  </si>
  <si>
    <t>BBDC4</t>
  </si>
  <si>
    <t>EMBR3</t>
  </si>
  <si>
    <t>Montante Inicial BitPreço</t>
  </si>
  <si>
    <t>MXRF11</t>
  </si>
  <si>
    <t>CRFF11</t>
  </si>
  <si>
    <t>CDB 2022</t>
  </si>
  <si>
    <t>CDB 2023</t>
  </si>
  <si>
    <t>AMZO34</t>
  </si>
  <si>
    <t>LINK</t>
  </si>
  <si>
    <t>Montante Inicial UpHold</t>
  </si>
  <si>
    <t>Montante Inicial Binance</t>
  </si>
  <si>
    <t>BAT</t>
  </si>
  <si>
    <t>USDT</t>
  </si>
  <si>
    <t>ADA</t>
  </si>
  <si>
    <t>ATOM</t>
  </si>
  <si>
    <t>BNB</t>
  </si>
  <si>
    <t>Montante Inicial Exodus</t>
  </si>
  <si>
    <t>Stake</t>
  </si>
  <si>
    <t>Hold</t>
  </si>
  <si>
    <t>Trade</t>
  </si>
  <si>
    <t>BRL</t>
  </si>
  <si>
    <t>OIBR3</t>
  </si>
  <si>
    <t>ETC</t>
  </si>
  <si>
    <t>IOTA</t>
  </si>
  <si>
    <t>CHZ</t>
  </si>
  <si>
    <t>ALICE</t>
  </si>
  <si>
    <t>LTC</t>
  </si>
  <si>
    <t>QQT</t>
  </si>
  <si>
    <t>AAVE</t>
  </si>
  <si>
    <t>BAND</t>
  </si>
  <si>
    <t>EUR</t>
  </si>
  <si>
    <t>UNFI</t>
  </si>
  <si>
    <t>Ativo Nacional</t>
  </si>
  <si>
    <t>Ativo Internacional</t>
  </si>
  <si>
    <t>Ativo RE</t>
  </si>
  <si>
    <t>Alter</t>
  </si>
  <si>
    <t>Montante Inicial Alter</t>
  </si>
  <si>
    <t>BBAS3</t>
  </si>
  <si>
    <t>Merc. Pago</t>
  </si>
  <si>
    <t>JNJB34</t>
  </si>
  <si>
    <t>VISA34</t>
  </si>
  <si>
    <t>Montante Inicial BSC</t>
  </si>
  <si>
    <t>HGLG11</t>
  </si>
  <si>
    <t>KNCR11</t>
  </si>
  <si>
    <t>SUMÁRIO</t>
  </si>
  <si>
    <t>AZUL4F</t>
  </si>
  <si>
    <t>PETR4F</t>
  </si>
  <si>
    <t>PETR3F</t>
  </si>
  <si>
    <t>BBSE3F</t>
  </si>
  <si>
    <t>BIDI3F</t>
  </si>
  <si>
    <t>LREN3F</t>
  </si>
  <si>
    <t>TSLA34</t>
  </si>
  <si>
    <t>Fundos imobiliários</t>
  </si>
  <si>
    <t>Binance</t>
  </si>
  <si>
    <t>BSC</t>
  </si>
  <si>
    <t>BitPreço</t>
  </si>
  <si>
    <t>UpHold</t>
  </si>
  <si>
    <t>Exodus</t>
  </si>
  <si>
    <t>Trades em Critpomoedas</t>
  </si>
  <si>
    <t>Criptomoedas</t>
  </si>
  <si>
    <t>ARCA</t>
  </si>
  <si>
    <t>Easynvest</t>
  </si>
  <si>
    <t>Clear</t>
  </si>
  <si>
    <t>Bolsa</t>
  </si>
  <si>
    <t>Day Trades</t>
  </si>
  <si>
    <t>Swing Trades</t>
  </si>
  <si>
    <t>NovaDAX</t>
  </si>
  <si>
    <t>QQT2</t>
  </si>
  <si>
    <t>Observação</t>
  </si>
  <si>
    <t>Resultado</t>
  </si>
  <si>
    <t>Data (UTC-3)</t>
  </si>
  <si>
    <t>Par</t>
  </si>
  <si>
    <t>Tipo</t>
  </si>
  <si>
    <t>Preço</t>
  </si>
  <si>
    <t>Qtt</t>
  </si>
  <si>
    <t>Taxa</t>
  </si>
  <si>
    <t>Moeda da Taxa</t>
  </si>
  <si>
    <t>Conversão</t>
  </si>
  <si>
    <t>Cotação BRL</t>
  </si>
  <si>
    <t>Volume</t>
  </si>
  <si>
    <t>Estoque BRL</t>
  </si>
  <si>
    <t>Custo de BRL</t>
  </si>
  <si>
    <t>Preço Médio BRL</t>
  </si>
  <si>
    <t>Estoque USDT</t>
  </si>
  <si>
    <t>Custo de USDT</t>
  </si>
  <si>
    <t>Preço Médio USDT</t>
  </si>
  <si>
    <t>Estoque BTC</t>
  </si>
  <si>
    <t>Custo de BTC</t>
  </si>
  <si>
    <t>Preço Médio BTC</t>
  </si>
  <si>
    <t>Estoque ADA</t>
  </si>
  <si>
    <t>Custo de ADA</t>
  </si>
  <si>
    <t>Preço Médio ADA</t>
  </si>
  <si>
    <t>Estoque ATOM</t>
  </si>
  <si>
    <t>Custo de ATOM</t>
  </si>
  <si>
    <t>Preço Médio ATOM</t>
  </si>
  <si>
    <t>Estoque DOT</t>
  </si>
  <si>
    <t>Custo de DOT</t>
  </si>
  <si>
    <t>Preço Médio DOT</t>
  </si>
  <si>
    <t>Estoque ETH</t>
  </si>
  <si>
    <t>Custo de ETH</t>
  </si>
  <si>
    <t>Preço Médio ETH</t>
  </si>
  <si>
    <t>Estoque LINK</t>
  </si>
  <si>
    <t>Custo de LINK</t>
  </si>
  <si>
    <t>Preço Médio LINK</t>
  </si>
  <si>
    <t>NASCIMENTO</t>
  </si>
  <si>
    <t>EMPTY</t>
  </si>
  <si>
    <t>Depósito</t>
  </si>
  <si>
    <t>RECEIVE</t>
  </si>
  <si>
    <t>BTCBRL</t>
  </si>
  <si>
    <t>BUY</t>
  </si>
  <si>
    <t>SELL</t>
  </si>
  <si>
    <t>Saque</t>
  </si>
  <si>
    <t>SEND</t>
  </si>
  <si>
    <t>LINKBRL</t>
  </si>
  <si>
    <t>DOTBRL</t>
  </si>
  <si>
    <t>ETHUSDT</t>
  </si>
  <si>
    <t>LINKUSDT</t>
  </si>
  <si>
    <t>ETHBRL</t>
  </si>
  <si>
    <t>DROP</t>
  </si>
  <si>
    <t>Total</t>
  </si>
  <si>
    <t>Estoque BAT</t>
  </si>
  <si>
    <t>Custo de BAT</t>
  </si>
  <si>
    <t>Preço Médio BAT</t>
  </si>
  <si>
    <t>Estoque BCH</t>
  </si>
  <si>
    <t>Custo de BCH</t>
  </si>
  <si>
    <t>Preço Médio BCH</t>
  </si>
  <si>
    <t>BRAVE</t>
  </si>
  <si>
    <t>ADABAT</t>
  </si>
  <si>
    <t>ADABRL</t>
  </si>
  <si>
    <t>BCHADA</t>
  </si>
  <si>
    <t>ADABCH</t>
  </si>
  <si>
    <t>BCH</t>
  </si>
  <si>
    <t>Transf da Binance</t>
  </si>
  <si>
    <t>Estoque ETC</t>
  </si>
  <si>
    <t>Custo de ETC</t>
  </si>
  <si>
    <t>Preço Médio ETC</t>
  </si>
  <si>
    <t>Estoque IOTA</t>
  </si>
  <si>
    <t>Custo de IOTA</t>
  </si>
  <si>
    <t>Preço Médio IOTA</t>
  </si>
  <si>
    <t>Estoque DCR</t>
  </si>
  <si>
    <t>Custo de DCR</t>
  </si>
  <si>
    <t>Preço Médio DCR</t>
  </si>
  <si>
    <t>BCHBRL</t>
  </si>
  <si>
    <t>ETCBRL</t>
  </si>
  <si>
    <t>Valor que brotou!</t>
  </si>
  <si>
    <t>IOTABRL</t>
  </si>
  <si>
    <t>DCRBRL</t>
  </si>
  <si>
    <t>DCR</t>
  </si>
  <si>
    <t>IOTABTC</t>
  </si>
  <si>
    <t>"Depósito"</t>
  </si>
  <si>
    <t>0.75% Criptoback</t>
  </si>
  <si>
    <t>Preço modificado</t>
  </si>
  <si>
    <t>Mês/Ano</t>
  </si>
  <si>
    <t>Prejuizo acumulado</t>
  </si>
  <si>
    <t>Resultado Final</t>
  </si>
  <si>
    <t>Alíquota</t>
  </si>
  <si>
    <t>Lucro mínimo taxável</t>
  </si>
  <si>
    <t>Imposto devido</t>
  </si>
  <si>
    <t>Resultado Líquido</t>
  </si>
  <si>
    <t>Resultado Geral Liquido</t>
  </si>
  <si>
    <t>ESTA FOLHA NÃO ESTÁ SENDO CONSIDERADA</t>
  </si>
  <si>
    <t>Data da Movimentação</t>
  </si>
  <si>
    <t>Qtt Compra</t>
  </si>
  <si>
    <t>Qtt Venda</t>
  </si>
  <si>
    <t>Cotação</t>
  </si>
  <si>
    <t>Corretagem</t>
  </si>
  <si>
    <t>Estoque</t>
  </si>
  <si>
    <t>Taxa B3</t>
  </si>
  <si>
    <t>Custo da operação</t>
  </si>
  <si>
    <t>Custo Total</t>
  </si>
  <si>
    <t>Custo Médio</t>
  </si>
  <si>
    <t>clear</t>
  </si>
  <si>
    <t>easynvest</t>
  </si>
  <si>
    <t>A partir do dia 15 de abril corretagem zero na easynvest</t>
  </si>
  <si>
    <t>Prejuízo Acumulado</t>
  </si>
  <si>
    <t>TRADES</t>
  </si>
  <si>
    <t>Estoque EUR</t>
  </si>
  <si>
    <t>Custo de EUR</t>
  </si>
  <si>
    <t>Preço Médio EUR</t>
  </si>
  <si>
    <t>Estoque AAVE</t>
  </si>
  <si>
    <t>Custo de AAVE</t>
  </si>
  <si>
    <t>Preço Médio AAVE</t>
  </si>
  <si>
    <t>Estoque BAND</t>
  </si>
  <si>
    <t>Custo de BAND</t>
  </si>
  <si>
    <t>Preço Médio BAND</t>
  </si>
  <si>
    <t>Estoque BNB</t>
  </si>
  <si>
    <t>Custo de BNB</t>
  </si>
  <si>
    <t>Preço Médio BNB</t>
  </si>
  <si>
    <t>Estoque CHZ</t>
  </si>
  <si>
    <t>Custo de CHZ</t>
  </si>
  <si>
    <t>Preço Médio CHZ</t>
  </si>
  <si>
    <t>Estoque LTC</t>
  </si>
  <si>
    <t>Custo de LTC</t>
  </si>
  <si>
    <t>Preço Médio LTC</t>
  </si>
  <si>
    <t>Estoque UNFI</t>
  </si>
  <si>
    <t>Custo de UNFI</t>
  </si>
  <si>
    <t>Preço Médio UNFI</t>
  </si>
  <si>
    <t>Estoque XEM</t>
  </si>
  <si>
    <t>Custo de XEM</t>
  </si>
  <si>
    <t>Preço Médio XEM</t>
  </si>
  <si>
    <t>Estoque ALICE</t>
  </si>
  <si>
    <t>Custo de ALICE</t>
  </si>
  <si>
    <t>Preço Médio ALICE</t>
  </si>
  <si>
    <t>Estoque TLM</t>
  </si>
  <si>
    <t>Custo de TLM</t>
  </si>
  <si>
    <t>Preço Médio TLM</t>
  </si>
  <si>
    <t>BTCEUR</t>
  </si>
  <si>
    <t>USDTBRL</t>
  </si>
  <si>
    <t>UNFIUSDT</t>
  </si>
  <si>
    <t>DOTBTC</t>
  </si>
  <si>
    <t>Depósito pelo BPOC</t>
  </si>
  <si>
    <t>Compra com cartão</t>
  </si>
  <si>
    <t>ADABTC</t>
  </si>
  <si>
    <t>BNBUSDT</t>
  </si>
  <si>
    <t>BNBEUR</t>
  </si>
  <si>
    <t>ATOMBTC</t>
  </si>
  <si>
    <t>Transf pra Exodus</t>
  </si>
  <si>
    <t>Transf pra BSC</t>
  </si>
  <si>
    <t>BNBBRL</t>
  </si>
  <si>
    <t>BTCUSDT</t>
  </si>
  <si>
    <t>BANDUSDT</t>
  </si>
  <si>
    <t>XEMUSDT</t>
  </si>
  <si>
    <t>XEM</t>
  </si>
  <si>
    <t>ADAUSDT</t>
  </si>
  <si>
    <t>XEMBNB</t>
  </si>
  <si>
    <t>DOTBNB</t>
  </si>
  <si>
    <t>AAVEUSDT</t>
  </si>
  <si>
    <t>CHZBRL</t>
  </si>
  <si>
    <t>CHZUSDT</t>
  </si>
  <si>
    <t>LTCUSDT</t>
  </si>
  <si>
    <t>UNFIBNB</t>
  </si>
  <si>
    <t>AAVEBNB</t>
  </si>
  <si>
    <t>BANDBNB</t>
  </si>
  <si>
    <t>ADABNB</t>
  </si>
  <si>
    <t>Binance Vault</t>
  </si>
  <si>
    <t>ALICEBNB</t>
  </si>
  <si>
    <t>ETHBNB</t>
  </si>
  <si>
    <t>CHZBNB</t>
  </si>
  <si>
    <t>TLM</t>
  </si>
  <si>
    <t>TLMBNB</t>
  </si>
  <si>
    <t>DOTUSDT</t>
  </si>
  <si>
    <t>Saque pro banco Inter</t>
  </si>
  <si>
    <t>BNBBTC</t>
  </si>
  <si>
    <t>Cotação RVn (R$)</t>
  </si>
  <si>
    <t>Cotação RVi (R$)</t>
  </si>
  <si>
    <t>Cotação RE (R$)</t>
  </si>
  <si>
    <t>Resumo DT</t>
  </si>
  <si>
    <t>Resumo ST</t>
  </si>
  <si>
    <t>Histórico de aplicação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</si>
</sst>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&quot;$&quot;* #,##0.00_);_(&quot;$&quot;* \(#,##0.00\);_(&quot;$&quot;* &quot;-&quot;??_);_(@_)"/>
    <numFmt numFmtId="165" formatCode="_-[$R$-416]\ * #,##0.00_-;\-[$R$-416]\ * #,##0.00_-;_-[$R$-416]\ * &quot;-&quot;??_-;_-@_-"/>
    <numFmt numFmtId="166" formatCode="_-* #,##0.000000\ [$₿]_-;\-* #,##0.000000\ [$₿]_-;_-* &quot;-&quot;??????\ [$₿]_-;_-@_-" x16r2:formatCode16="_-* #,##0.000000\ [$₿-x-xbt1]_-;\-* #,##0.000000\ [$₿-x-xbt1]_-;_-* &quot;-&quot;??????\ [$₿-x-xbt1]_-;_-@_-"/>
    <numFmt numFmtId="167" formatCode="_-* #,##0.00000000\ [$₿]_-;\-* #,##0.00000000\ [$₿]_-;_-* &quot;-&quot;??????\ [$₿]_-;_-@_-" x16r2:formatCode16="_-* #,##0.00000000\ [$₿-x-xbt1]_-;\-* #,##0.00000000\ [$₿-x-xbt1]_-;_-* &quot;-&quot;??????\ [$₿-x-xbt1]_-;_-@_-"/>
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numFmt numFmtId="169" formatCode="_-[$$-409]* #,##0.00_ ;_-[$$-409]* \-#,##0.00\ ;_-[$$-409]* &quot;-&quot;??_ ;_-@_ "/>
    <numFmt numFmtId="170" formatCode="_([$BRL]\ * #,##0.00_);_([$BRL]\ * \(#,##0.00\);_([$BRL]\ * &quot;-&quot;??_);_(@_)"/>
    <numFmt numFmtId="171" formatCode="d/m/yy\ h:mm;@"/>
    <numFmt numFmtId="172" formatCode="0.00000000"/>
    <numFmt numFmtId="173" formatCode="_-[$BRL]\ * #,##0.00000000_-;\-[$BRL]\ * #,##0.00000000_-;_-[$BRL]\ * &quot;-&quot;????????_-;_-@_-"/>
    <numFmt numFmtId="174" formatCode="_-[$$-409]* #,##0.00000000_ ;_-[$$-409]* \-#,##0.00000000\ ;_-[$$-409]* &quot;-&quot;??_ ;_-@_ "/>
    <numFmt numFmtId="175" formatCode="_ * #,##0.00000000_)\ [$₿]_ ;_ * \(#,##0.00000000\)\ [$₿]_ ;_ * &quot;-&quot;????????_)\ [$₿]_ ;_ @_ " x16r2:formatCode16="_ * #,##0.00000000_)\ [$₿-x-xbt1]_ ;_ * \(#,##0.00000000\)\ [$₿-x-xbt1]_ ;_ * &quot;-&quot;????????_)\ [$₿-x-xbt1]_ ;_ @_ "/>
    <numFmt numFmtId="176" formatCode="_-[$BRL]\ * #,##0.00_-;\-[$BRL]\ * #,##0.00_-;_-[$BRL]\ * &quot;-&quot;????????_-;_-@_-"/>
    <numFmt numFmtId="177" formatCode="_([$BRL]\ * #,##0.000000000_);_([$BRL]\ * \(#,##0.000000000\);_([$BRL]\ * &quot;-&quot;??_);_(@_)"/>
    <numFmt numFmtId="178" formatCode="_([$BRL]\ * #,##0.0000000_);_([$BRL]\ * \(#,##0.0000000\);_([$BRL]\ * &quot;-&quot;??_);_(@_)"/>
    <numFmt numFmtId="179" formatCode="_(* #,##0.00_);_(* \(#,##0.00\);_(* &quot;-&quot;??_);_(@_)"/>
    <numFmt numFmtId="180" formatCode="[$-416]dd\-mmm\-yy;@"/>
    <numFmt numFmtId="181" formatCode="_-[$USD]\ * #,##0.00000000_-;\-[$USD]\ * #,##0.00000000_-;_-[$USD]\ * &quot;-&quot;????????_-;_-@_-"/>
    <numFmt numFmtId="182" formatCode="_-[$EUR]\ * #,##0.00000000_-;\-[$EUR]\ * #,##0.00000000_-;_-[$EUR]\ * &quot;-&quot;????????_-;_-@_-"/>
  </numFmts>
  <fonts count="3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1"/>
      <color theme="0" tint="-0.499984740745262"/>
      <name val="Agency FB"/>
      <family val="2"/>
    </font>
    <font>
      <sz val="11"/>
      <color rgb="FFFFC000"/>
      <name val="Agency FB"/>
      <family val="2"/>
    </font>
    <font>
      <sz val="11"/>
      <color theme="1" tint="4.9989318521683403E-2"/>
      <name val="Agency FB"/>
      <family val="2"/>
    </font>
    <font>
      <sz val="11"/>
      <color rgb="FF0070C0"/>
      <name val="Agency FB"/>
      <family val="2"/>
    </font>
    <font>
      <sz val="11"/>
      <color theme="1"/>
      <name val="Agency FB"/>
      <family val="2"/>
    </font>
    <font>
      <b/>
      <i/>
      <sz val="11"/>
      <color theme="1"/>
      <name val="Agency FB"/>
      <family val="2"/>
    </font>
    <font>
      <sz val="11"/>
      <color theme="0" tint="-0.49998474074526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70C0"/>
      <name val="Calibri"/>
      <family val="2"/>
    </font>
    <font>
      <sz val="11"/>
      <color theme="0" tint="-0.499984740745262"/>
      <name val="Calibri"/>
      <family val="2"/>
    </font>
    <font>
      <sz val="11"/>
      <color rgb="FFFFC000"/>
      <name val="Calibri"/>
      <family val="2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u/>
      <sz val="11"/>
      <color theme="10"/>
      <name val="Agency FB"/>
      <family val="2"/>
    </font>
    <font>
      <sz val="11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u/>
      <sz val="26"/>
      <color theme="1"/>
      <name val="Calibri"/>
      <family val="2"/>
      <scheme val="minor"/>
    </font>
    <font>
      <b/>
      <sz val="13"/>
      <color rgb="FF444444"/>
      <name val="Open Sans"/>
      <family val="2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1" fillId="0" borderId="0" applyNumberFormat="0" applyFill="0" applyBorder="0" applyAlignment="0" applyProtection="0"/>
    <xf numFmtId="179" fontId="2" fillId="0" borderId="0" applyFont="0" applyFill="0" applyBorder="0" applyAlignment="0" applyProtection="0"/>
  </cellStyleXfs>
  <cellXfs count="210">
    <xf numFmtId="0" fontId="0" fillId="0" borderId="0" xfId="0"/>
    <xf numFmtId="49" fontId="0" fillId="2" borderId="0" xfId="0" applyNumberFormat="1" applyFill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6" fontId="0" fillId="0" borderId="0" xfId="2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0" fillId="0" borderId="0" xfId="2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9" fontId="0" fillId="0" borderId="0" xfId="1" applyFont="1" applyFill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0" fillId="3" borderId="0" xfId="0" applyNumberFormat="1" applyFill="1" applyAlignment="1">
      <alignment horizontal="center"/>
    </xf>
    <xf numFmtId="167" fontId="0" fillId="2" borderId="0" xfId="0" applyNumberFormat="1" applyFill="1" applyAlignment="1">
      <alignment horizontal="center" vertical="center"/>
    </xf>
    <xf numFmtId="167" fontId="0" fillId="2" borderId="0" xfId="2" applyNumberFormat="1" applyFont="1" applyFill="1" applyAlignment="1">
      <alignment horizontal="center" vertical="center"/>
    </xf>
    <xf numFmtId="168" fontId="5" fillId="0" borderId="0" xfId="0" applyNumberFormat="1" applyFon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68" fontId="0" fillId="0" borderId="0" xfId="2" applyNumberFormat="1" applyFont="1" applyFill="1" applyAlignment="1">
      <alignment horizontal="center" vertical="center"/>
    </xf>
    <xf numFmtId="169" fontId="5" fillId="0" borderId="0" xfId="0" applyNumberFormat="1" applyFon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8" fontId="5" fillId="0" borderId="0" xfId="2" applyNumberFormat="1" applyFont="1" applyFill="1" applyAlignment="1">
      <alignment horizontal="center" vertical="center"/>
    </xf>
    <xf numFmtId="168" fontId="2" fillId="0" borderId="0" xfId="2" applyNumberFormat="1" applyFont="1" applyFill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65" fontId="5" fillId="3" borderId="0" xfId="0" applyNumberFormat="1" applyFont="1" applyFill="1" applyAlignment="1">
      <alignment horizontal="center"/>
    </xf>
    <xf numFmtId="165" fontId="5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0" fontId="11" fillId="4" borderId="0" xfId="3" applyFill="1" applyAlignment="1">
      <alignment horizontal="center"/>
    </xf>
    <xf numFmtId="0" fontId="13" fillId="0" borderId="0" xfId="0" applyFont="1" applyAlignment="1">
      <alignment horizontal="center" vertical="center"/>
    </xf>
    <xf numFmtId="172" fontId="13" fillId="0" borderId="0" xfId="0" applyNumberFormat="1" applyFont="1" applyAlignment="1">
      <alignment horizontal="center" vertical="center"/>
    </xf>
    <xf numFmtId="170" fontId="15" fillId="0" borderId="0" xfId="0" applyNumberFormat="1" applyFont="1" applyAlignment="1">
      <alignment horizontal="center" vertical="center"/>
    </xf>
    <xf numFmtId="170" fontId="16" fillId="0" borderId="0" xfId="0" applyNumberFormat="1" applyFont="1" applyAlignment="1">
      <alignment horizontal="center" vertical="center"/>
    </xf>
    <xf numFmtId="173" fontId="16" fillId="0" borderId="0" xfId="0" applyNumberFormat="1" applyFont="1" applyAlignment="1">
      <alignment horizontal="center" vertical="center"/>
    </xf>
    <xf numFmtId="174" fontId="16" fillId="0" borderId="0" xfId="0" applyNumberFormat="1" applyFont="1" applyAlignment="1">
      <alignment horizontal="center" vertical="center"/>
    </xf>
    <xf numFmtId="168" fontId="16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70" fontId="18" fillId="0" borderId="0" xfId="0" applyNumberFormat="1" applyFont="1" applyAlignment="1">
      <alignment horizontal="center" vertical="center"/>
    </xf>
    <xf numFmtId="170" fontId="14" fillId="0" borderId="0" xfId="0" applyNumberFormat="1" applyFont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72" fontId="13" fillId="2" borderId="0" xfId="0" applyNumberFormat="1" applyFont="1" applyFill="1" applyAlignment="1">
      <alignment horizontal="center" vertical="center"/>
    </xf>
    <xf numFmtId="170" fontId="17" fillId="2" borderId="0" xfId="0" applyNumberFormat="1" applyFont="1" applyFill="1" applyAlignment="1">
      <alignment horizontal="center" vertical="center"/>
    </xf>
    <xf numFmtId="173" fontId="16" fillId="0" borderId="0" xfId="0" quotePrefix="1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170" fontId="17" fillId="0" borderId="0" xfId="0" applyNumberFormat="1" applyFont="1" applyAlignment="1">
      <alignment horizontal="center" vertical="center"/>
    </xf>
    <xf numFmtId="171" fontId="13" fillId="0" borderId="0" xfId="0" applyNumberFormat="1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170" fontId="16" fillId="0" borderId="5" xfId="0" applyNumberFormat="1" applyFont="1" applyBorder="1" applyAlignment="1">
      <alignment horizontal="center" vertical="center"/>
    </xf>
    <xf numFmtId="173" fontId="16" fillId="0" borderId="5" xfId="0" applyNumberFormat="1" applyFont="1" applyBorder="1" applyAlignment="1">
      <alignment horizontal="center" vertical="center"/>
    </xf>
    <xf numFmtId="175" fontId="16" fillId="0" borderId="0" xfId="0" applyNumberFormat="1" applyFont="1" applyAlignment="1">
      <alignment horizontal="center" vertical="center"/>
    </xf>
    <xf numFmtId="170" fontId="11" fillId="5" borderId="1" xfId="3" applyNumberFormat="1" applyFill="1" applyBorder="1" applyAlignment="1">
      <alignment horizontal="center" vertical="center"/>
    </xf>
    <xf numFmtId="165" fontId="13" fillId="0" borderId="0" xfId="0" applyNumberFormat="1" applyFont="1" applyAlignment="1">
      <alignment horizontal="center" vertical="center"/>
    </xf>
    <xf numFmtId="168" fontId="16" fillId="0" borderId="5" xfId="0" applyNumberFormat="1" applyFont="1" applyBorder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71" fontId="19" fillId="0" borderId="0" xfId="0" applyNumberFormat="1" applyFont="1" applyAlignment="1">
      <alignment horizontal="center" vertical="center"/>
    </xf>
    <xf numFmtId="170" fontId="20" fillId="0" borderId="0" xfId="0" applyNumberFormat="1" applyFont="1" applyAlignment="1">
      <alignment horizontal="center" vertical="center"/>
    </xf>
    <xf numFmtId="170" fontId="5" fillId="0" borderId="0" xfId="0" applyNumberFormat="1" applyFont="1" applyAlignment="1">
      <alignment horizontal="center" vertical="center"/>
    </xf>
    <xf numFmtId="176" fontId="16" fillId="0" borderId="0" xfId="0" applyNumberFormat="1" applyFont="1" applyAlignment="1">
      <alignment horizontal="center" vertical="center"/>
    </xf>
    <xf numFmtId="170" fontId="21" fillId="0" borderId="0" xfId="0" applyNumberFormat="1" applyFont="1" applyAlignment="1">
      <alignment horizontal="center" vertical="center"/>
    </xf>
    <xf numFmtId="171" fontId="19" fillId="2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172" fontId="19" fillId="2" borderId="0" xfId="0" applyNumberFormat="1" applyFont="1" applyFill="1" applyAlignment="1">
      <alignment horizontal="center" vertical="center"/>
    </xf>
    <xf numFmtId="170" fontId="0" fillId="2" borderId="0" xfId="0" applyNumberFormat="1" applyFill="1" applyAlignment="1">
      <alignment horizontal="center" vertical="center"/>
    </xf>
    <xf numFmtId="170" fontId="19" fillId="0" borderId="0" xfId="0" applyNumberFormat="1" applyFont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170" fontId="22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72" fontId="19" fillId="0" borderId="0" xfId="0" applyNumberFormat="1" applyFont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170" fontId="5" fillId="0" borderId="5" xfId="0" applyNumberFormat="1" applyFont="1" applyBorder="1" applyAlignment="1">
      <alignment horizontal="center" vertical="center"/>
    </xf>
    <xf numFmtId="174" fontId="16" fillId="0" borderId="5" xfId="0" applyNumberFormat="1" applyFont="1" applyBorder="1" applyAlignment="1">
      <alignment horizontal="center" vertical="center"/>
    </xf>
    <xf numFmtId="168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8" fontId="22" fillId="0" borderId="5" xfId="0" applyNumberFormat="1" applyFont="1" applyBorder="1" applyAlignment="1">
      <alignment horizontal="center" vertical="center"/>
    </xf>
    <xf numFmtId="173" fontId="22" fillId="0" borderId="5" xfId="0" applyNumberFormat="1" applyFont="1" applyBorder="1" applyAlignment="1">
      <alignment horizontal="center" vertical="center"/>
    </xf>
    <xf numFmtId="170" fontId="23" fillId="0" borderId="0" xfId="0" applyNumberFormat="1" applyFont="1" applyAlignment="1">
      <alignment horizontal="center" vertical="center"/>
    </xf>
    <xf numFmtId="170" fontId="24" fillId="0" borderId="0" xfId="0" applyNumberFormat="1" applyFont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168" fontId="22" fillId="0" borderId="0" xfId="0" applyNumberFormat="1" applyFont="1" applyAlignment="1">
      <alignment horizontal="center" vertical="center"/>
    </xf>
    <xf numFmtId="170" fontId="21" fillId="0" borderId="0" xfId="0" applyNumberFormat="1" applyFont="1" applyAlignment="1">
      <alignment horizontal="center" vertical="center" wrapText="1"/>
    </xf>
    <xf numFmtId="171" fontId="26" fillId="0" borderId="0" xfId="0" applyNumberFormat="1" applyFont="1" applyAlignment="1">
      <alignment horizontal="center" vertical="center"/>
    </xf>
    <xf numFmtId="171" fontId="27" fillId="0" borderId="0" xfId="0" applyNumberFormat="1" applyFont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0" xfId="0" applyFill="1"/>
    <xf numFmtId="0" fontId="7" fillId="0" borderId="0" xfId="0" applyFont="1" applyAlignment="1">
      <alignment horizontal="center" vertical="center"/>
    </xf>
    <xf numFmtId="165" fontId="6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9" fontId="6" fillId="0" borderId="0" xfId="1" applyFont="1" applyBorder="1" applyAlignment="1">
      <alignment horizontal="center" vertical="center"/>
    </xf>
    <xf numFmtId="165" fontId="28" fillId="0" borderId="0" xfId="2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7" fontId="5" fillId="0" borderId="0" xfId="0" applyNumberFormat="1" applyFont="1" applyAlignment="1">
      <alignment horizontal="center" vertical="center"/>
    </xf>
    <xf numFmtId="9" fontId="0" fillId="0" borderId="0" xfId="1" applyFont="1" applyBorder="1" applyAlignment="1">
      <alignment horizontal="center" vertical="center"/>
    </xf>
    <xf numFmtId="165" fontId="25" fillId="0" borderId="0" xfId="2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65" fontId="8" fillId="0" borderId="7" xfId="0" applyNumberFormat="1" applyFont="1" applyBorder="1" applyAlignment="1">
      <alignment horizontal="center" vertical="center"/>
    </xf>
    <xf numFmtId="165" fontId="6" fillId="0" borderId="6" xfId="0" applyNumberFormat="1" applyFont="1" applyBorder="1" applyAlignment="1">
      <alignment horizontal="center" vertical="center"/>
    </xf>
    <xf numFmtId="1" fontId="5" fillId="0" borderId="0" xfId="4" applyNumberFormat="1" applyFont="1" applyBorder="1" applyAlignment="1">
      <alignment horizontal="center" vertical="center"/>
    </xf>
    <xf numFmtId="165" fontId="5" fillId="2" borderId="0" xfId="0" applyNumberFormat="1" applyFont="1" applyFill="1" applyAlignment="1">
      <alignment horizontal="center" vertical="center"/>
    </xf>
    <xf numFmtId="1" fontId="7" fillId="0" borderId="0" xfId="0" quotePrefix="1" applyNumberFormat="1" applyFont="1" applyAlignment="1">
      <alignment horizontal="center" vertical="center"/>
    </xf>
    <xf numFmtId="49" fontId="11" fillId="7" borderId="0" xfId="3" applyNumberFormat="1" applyFill="1" applyAlignment="1">
      <alignment horizontal="center" vertical="center"/>
    </xf>
    <xf numFmtId="0" fontId="11" fillId="7" borderId="1" xfId="3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170" fontId="11" fillId="0" borderId="0" xfId="3" applyNumberFormat="1" applyAlignment="1">
      <alignment horizontal="center" vertical="center" wrapText="1"/>
    </xf>
    <xf numFmtId="170" fontId="11" fillId="0" borderId="0" xfId="3" applyNumberFormat="1" applyAlignment="1">
      <alignment horizontal="center" vertical="center"/>
    </xf>
    <xf numFmtId="176" fontId="16" fillId="0" borderId="5" xfId="0" applyNumberFormat="1" applyFont="1" applyBorder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5" fontId="8" fillId="0" borderId="0" xfId="2" applyNumberFormat="1" applyFont="1" applyFill="1" applyAlignment="1">
      <alignment horizontal="center" vertical="center"/>
    </xf>
    <xf numFmtId="165" fontId="25" fillId="0" borderId="0" xfId="0" applyNumberFormat="1" applyFont="1" applyAlignment="1">
      <alignment horizontal="center" vertical="center"/>
    </xf>
    <xf numFmtId="165" fontId="25" fillId="0" borderId="0" xfId="2" applyNumberFormat="1" applyFont="1" applyFill="1" applyAlignment="1">
      <alignment horizontal="center" vertical="center"/>
    </xf>
    <xf numFmtId="49" fontId="8" fillId="2" borderId="0" xfId="0" applyNumberFormat="1" applyFont="1" applyFill="1" applyAlignment="1">
      <alignment horizontal="center" vertical="center"/>
    </xf>
    <xf numFmtId="165" fontId="8" fillId="2" borderId="0" xfId="0" applyNumberFormat="1" applyFont="1" applyFill="1" applyAlignment="1">
      <alignment horizontal="center" vertical="center"/>
    </xf>
    <xf numFmtId="165" fontId="8" fillId="2" borderId="0" xfId="2" applyNumberFormat="1" applyFont="1" applyFill="1" applyAlignment="1">
      <alignment horizontal="center" vertical="center"/>
    </xf>
    <xf numFmtId="165" fontId="25" fillId="0" borderId="0" xfId="0" quotePrefix="1" applyNumberFormat="1" applyFont="1" applyAlignment="1">
      <alignment horizontal="center" vertical="center"/>
    </xf>
    <xf numFmtId="1" fontId="5" fillId="0" borderId="0" xfId="0" quotePrefix="1" applyNumberFormat="1" applyFont="1" applyAlignment="1">
      <alignment horizontal="center" vertical="center"/>
    </xf>
    <xf numFmtId="170" fontId="11" fillId="5" borderId="0" xfId="3" applyNumberFormat="1" applyFill="1" applyBorder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65" fontId="0" fillId="0" borderId="0" xfId="1" applyNumberFormat="1" applyFont="1" applyBorder="1" applyAlignment="1">
      <alignment horizontal="center" vertical="center"/>
    </xf>
    <xf numFmtId="165" fontId="5" fillId="0" borderId="0" xfId="1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horizontal="center" vertical="center"/>
    </xf>
    <xf numFmtId="182" fontId="16" fillId="0" borderId="0" xfId="0" applyNumberFormat="1" applyFont="1" applyAlignment="1">
      <alignment horizontal="center" vertical="center"/>
    </xf>
    <xf numFmtId="170" fontId="30" fillId="5" borderId="1" xfId="3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30" fillId="7" borderId="1" xfId="3" applyFont="1" applyFill="1" applyBorder="1" applyAlignment="1">
      <alignment horizontal="center" vertical="center"/>
    </xf>
    <xf numFmtId="0" fontId="17" fillId="0" borderId="0" xfId="0" applyFont="1"/>
    <xf numFmtId="170" fontId="30" fillId="0" borderId="0" xfId="3" applyNumberFormat="1" applyFont="1" applyAlignment="1">
      <alignment horizontal="center" vertical="center"/>
    </xf>
    <xf numFmtId="173" fontId="16" fillId="0" borderId="0" xfId="0" applyNumberFormat="1" applyFont="1"/>
    <xf numFmtId="181" fontId="16" fillId="0" borderId="0" xfId="0" applyNumberFormat="1" applyFont="1"/>
    <xf numFmtId="182" fontId="16" fillId="0" borderId="0" xfId="0" applyNumberFormat="1" applyFont="1"/>
    <xf numFmtId="168" fontId="16" fillId="0" borderId="0" xfId="0" applyNumberFormat="1" applyFont="1"/>
    <xf numFmtId="165" fontId="16" fillId="0" borderId="0" xfId="0" applyNumberFormat="1" applyFont="1" applyAlignment="1">
      <alignment horizontal="center" vertical="center"/>
    </xf>
    <xf numFmtId="171" fontId="13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173" fontId="5" fillId="0" borderId="0" xfId="0" quotePrefix="1" applyNumberFormat="1" applyFont="1" applyAlignment="1">
      <alignment horizontal="center" vertical="center"/>
    </xf>
    <xf numFmtId="173" fontId="22" fillId="0" borderId="0" xfId="0" quotePrefix="1" applyNumberFormat="1" applyFont="1" applyAlignment="1">
      <alignment horizontal="center" vertical="center"/>
    </xf>
    <xf numFmtId="165" fontId="16" fillId="0" borderId="0" xfId="0" applyNumberFormat="1" applyFont="1"/>
    <xf numFmtId="0" fontId="16" fillId="0" borderId="0" xfId="0" applyFont="1"/>
    <xf numFmtId="0" fontId="13" fillId="0" borderId="0" xfId="0" applyFont="1"/>
    <xf numFmtId="170" fontId="22" fillId="0" borderId="0" xfId="0" applyNumberFormat="1" applyFont="1" applyAlignment="1">
      <alignment horizontal="center" vertical="center" wrapText="1"/>
    </xf>
    <xf numFmtId="170" fontId="22" fillId="0" borderId="5" xfId="0" applyNumberFormat="1" applyFont="1" applyBorder="1" applyAlignment="1">
      <alignment horizontal="center" vertical="center"/>
    </xf>
    <xf numFmtId="0" fontId="11" fillId="8" borderId="0" xfId="3" applyFill="1" applyBorder="1" applyAlignment="1">
      <alignment horizontal="center" vertical="center"/>
    </xf>
    <xf numFmtId="169" fontId="0" fillId="0" borderId="0" xfId="0" applyNumberFormat="1" applyAlignment="1">
      <alignment horizontal="center"/>
    </xf>
    <xf numFmtId="169" fontId="5" fillId="0" borderId="0" xfId="0" applyNumberFormat="1" applyFont="1" applyAlignment="1">
      <alignment horizontal="center"/>
    </xf>
    <xf numFmtId="169" fontId="31" fillId="0" borderId="0" xfId="0" applyNumberFormat="1" applyFont="1" applyAlignment="1">
      <alignment horizontal="center"/>
    </xf>
    <xf numFmtId="165" fontId="0" fillId="9" borderId="0" xfId="0" applyNumberFormat="1" applyFill="1" applyAlignment="1">
      <alignment horizontal="center"/>
    </xf>
    <xf numFmtId="0" fontId="0" fillId="9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34" fillId="0" borderId="0" xfId="0" applyFont="1"/>
    <xf numFmtId="0" fontId="11" fillId="0" borderId="0" xfId="3" applyFill="1"/>
    <xf numFmtId="0" fontId="11" fillId="0" borderId="0" xfId="3"/>
    <xf numFmtId="0" fontId="11" fillId="0" borderId="0" xfId="3" applyAlignment="1">
      <alignment horizontal="center"/>
    </xf>
    <xf numFmtId="0" fontId="0" fillId="6" borderId="13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49" fontId="11" fillId="0" borderId="0" xfId="3" applyNumberFormat="1" applyFill="1" applyAlignment="1">
      <alignment horizontal="center" vertical="center"/>
    </xf>
    <xf numFmtId="0" fontId="11" fillId="0" borderId="0" xfId="3" applyFill="1" applyAlignment="1">
      <alignment horizontal="center"/>
    </xf>
    <xf numFmtId="0" fontId="8" fillId="6" borderId="1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36" fillId="6" borderId="11" xfId="0" applyFont="1" applyFill="1" applyBorder="1" applyAlignment="1">
      <alignment horizontal="center" vertical="center"/>
    </xf>
    <xf numFmtId="0" fontId="36" fillId="6" borderId="12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horizontal="center" vertical="center"/>
    </xf>
    <xf numFmtId="0" fontId="36" fillId="6" borderId="14" xfId="0" applyFont="1" applyFill="1" applyBorder="1" applyAlignment="1">
      <alignment horizontal="center" vertical="center"/>
    </xf>
    <xf numFmtId="0" fontId="33" fillId="6" borderId="18" xfId="0" applyFont="1" applyFill="1" applyBorder="1" applyAlignment="1">
      <alignment horizontal="center" vertical="center"/>
    </xf>
    <xf numFmtId="0" fontId="33" fillId="6" borderId="19" xfId="0" applyFont="1" applyFill="1" applyBorder="1" applyAlignment="1">
      <alignment horizontal="center" vertical="center"/>
    </xf>
    <xf numFmtId="0" fontId="33" fillId="6" borderId="20" xfId="0" applyFont="1" applyFill="1" applyBorder="1" applyAlignment="1">
      <alignment horizontal="center" vertical="center"/>
    </xf>
    <xf numFmtId="0" fontId="33" fillId="6" borderId="21" xfId="0" applyFont="1" applyFill="1" applyBorder="1" applyAlignment="1">
      <alignment horizontal="center" vertical="center"/>
    </xf>
    <xf numFmtId="0" fontId="33" fillId="6" borderId="9" xfId="0" applyFont="1" applyFill="1" applyBorder="1" applyAlignment="1">
      <alignment horizontal="center" vertical="center"/>
    </xf>
    <xf numFmtId="0" fontId="33" fillId="6" borderId="2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23" xfId="0" applyFont="1" applyFill="1" applyBorder="1" applyAlignment="1">
      <alignment horizontal="center" vertical="center"/>
    </xf>
    <xf numFmtId="0" fontId="32" fillId="6" borderId="2" xfId="0" applyFont="1" applyFill="1" applyBorder="1" applyAlignment="1">
      <alignment horizontal="center" vertical="center"/>
    </xf>
    <xf numFmtId="0" fontId="32" fillId="6" borderId="3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0" fillId="6" borderId="13" xfId="0" applyFont="1" applyFill="1" applyBorder="1" applyAlignment="1">
      <alignment horizontal="center" vertical="center"/>
    </xf>
    <xf numFmtId="0" fontId="10" fillId="6" borderId="14" xfId="0" applyFont="1" applyFill="1" applyBorder="1" applyAlignment="1">
      <alignment horizontal="center" vertical="center"/>
    </xf>
    <xf numFmtId="0" fontId="36" fillId="6" borderId="10" xfId="0" applyFont="1" applyFill="1" applyBorder="1" applyAlignment="1">
      <alignment horizontal="center" vertical="center" wrapText="1"/>
    </xf>
    <xf numFmtId="0" fontId="36" fillId="6" borderId="11" xfId="0" applyFont="1" applyFill="1" applyBorder="1" applyAlignment="1">
      <alignment horizontal="center" vertical="center" wrapText="1"/>
    </xf>
    <xf numFmtId="0" fontId="36" fillId="6" borderId="13" xfId="0" applyFont="1" applyFill="1" applyBorder="1" applyAlignment="1">
      <alignment horizontal="center" vertical="center" wrapText="1"/>
    </xf>
    <xf numFmtId="0" fontId="36" fillId="6" borderId="1" xfId="0" applyFont="1" applyFill="1" applyBorder="1" applyAlignment="1">
      <alignment horizontal="center" vertical="center" wrapText="1"/>
    </xf>
    <xf numFmtId="0" fontId="8" fillId="6" borderId="13" xfId="0" applyFont="1" applyFill="1" applyBorder="1" applyAlignment="1">
      <alignment horizontal="center" vertical="center"/>
    </xf>
    <xf numFmtId="0" fontId="35" fillId="6" borderId="3" xfId="0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6" borderId="11" xfId="0" applyFont="1" applyFill="1" applyBorder="1" applyAlignment="1">
      <alignment horizontal="center" vertical="center"/>
    </xf>
    <xf numFmtId="0" fontId="12" fillId="6" borderId="12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</cellXfs>
  <cellStyles count="5">
    <cellStyle name="Hiperlink" xfId="3" builtinId="8"/>
    <cellStyle name="Moeda" xfId="2" builtinId="4"/>
    <cellStyle name="Normal" xfId="0" builtinId="0"/>
    <cellStyle name="Porcentagem" xfId="1" builtinId="5"/>
    <cellStyle name="Vírgula 2" xfId="4" xr:uid="{A65F6A22-7C4E-4F11-8F96-07F5FC5E3FDD}"/>
  </cellStyles>
  <dxfs count="2902"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solid">
          <fgColor theme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theme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FF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FFC0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FF000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1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1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6" formatCode="_-[$BRL]\ * #,##0.00_-;\-[$BRL]\ * #,##0.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6" formatCode="_-[$BRL]\ * #,##0.00_-;\-[$BRL]\ * #,##0.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1" formatCode="d/m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1" formatCode="d/m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1" formatCode="d/m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1" formatCode="d/m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6" formatCode="_-[$BRL]\ * #,##0.00_-;\-[$BRL]\ * #,##0.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6" formatCode="_-[$BRL]\ * #,##0.00_-;\-[$BRL]\ * #,##0.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1" formatCode="d/m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vertAlign val="baseline"/>
        <sz val="11"/>
        <name val="Agency FB"/>
        <family val="2"/>
        <scheme val="none"/>
      </font>
      <numFmt numFmtId="165" formatCode="_-[$R$-416]\ * #,##0.00_-;\-[$R$-416]\ * #,##0.00_-;_-[$R$-416]\ * &quot;-&quot;??_-;_-@_-"/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1" formatCode="d/m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82" formatCode="_-[$EUR]\ * #,##0.00000000_-;\-[$EUR]\ * #,##0.00000000_-;_-[$EUR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82" formatCode="_-[$EUR]\ * #,##0.00000000_-;\-[$EUR]\ * #,##0.00000000_-;_-[$EUR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81" formatCode="_-[$USD]\ * #,##0.00000000_-;\-[$USD]\ * #,##0.00000000_-;_-[$USD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81" formatCode="_-[$USD]\ * #,##0.00000000_-;\-[$USD]\ * #,##0.00000000_-;_-[$USD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</dxf>
    <dxf>
      <font>
        <strike val="0"/>
        <outline val="0"/>
        <shadow val="0"/>
        <vertAlign val="baseline"/>
        <sz val="11"/>
        <name val="Agency FB"/>
        <family val="2"/>
        <scheme val="none"/>
      </font>
      <numFmt numFmtId="170" formatCode="_([$BRL]\ * #,##0.00_);_([$BRL]\ * \(#,##0.00\);_([$BRL]\ 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</dxf>
    <dxf>
      <font>
        <strike val="0"/>
        <outline val="0"/>
        <shadow val="0"/>
        <vertAlign val="baseline"/>
        <sz val="11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</dxf>
    <dxf>
      <font>
        <strike val="0"/>
        <outline val="0"/>
        <shadow val="0"/>
        <vertAlign val="baseline"/>
        <sz val="11"/>
        <name val="Agency FB"/>
        <family val="2"/>
        <scheme val="none"/>
      </font>
    </dxf>
    <dxf>
      <font>
        <strike val="0"/>
        <outline val="0"/>
        <shadow val="0"/>
        <vertAlign val="baseline"/>
        <sz val="11"/>
        <name val="Agency FB"/>
        <family val="2"/>
        <scheme val="none"/>
      </font>
    </dxf>
    <dxf>
      <font>
        <strike val="0"/>
        <outline val="0"/>
        <shadow val="0"/>
        <vertAlign val="baseline"/>
        <sz val="11"/>
        <name val="Agency FB"/>
        <family val="2"/>
        <scheme val="none"/>
      </font>
    </dxf>
    <dxf>
      <font>
        <strike val="0"/>
        <outline val="0"/>
        <shadow val="0"/>
        <vertAlign val="baseline"/>
        <sz val="11"/>
        <name val="Agency FB"/>
        <family val="2"/>
        <scheme val="none"/>
      </font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22" formatCode="mmm/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22" formatCode="mmm/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22" formatCode="mmm/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22" formatCode="mmm/yy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9" formatCode="_-[$$-409]* #,##0.00_ ;_-[$$-409]* \-#,##0.00\ ;_-[$$-409]* &quot;-&quot;??_ ;_-@_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A6464"/>
      <color rgb="FFF57777"/>
      <color rgb="FFFF5757"/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6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hyperlink" Target="#'Bolsa TSLA34 ST'!A1"/><Relationship Id="rId21" Type="http://schemas.openxmlformats.org/officeDocument/2006/relationships/hyperlink" Target="#'Bolsa BBSE3F ST'!A1"/><Relationship Id="rId42" Type="http://schemas.openxmlformats.org/officeDocument/2006/relationships/hyperlink" Target="#'ARCA Easynvest'!A1"/><Relationship Id="rId47" Type="http://schemas.openxmlformats.org/officeDocument/2006/relationships/hyperlink" Target="#'ARCA UpHold'!A1"/><Relationship Id="rId63" Type="http://schemas.openxmlformats.org/officeDocument/2006/relationships/hyperlink" Target="#'Bolsa LREN3F ST'!A1"/><Relationship Id="rId68" Type="http://schemas.openxmlformats.org/officeDocument/2006/relationships/image" Target="../media/image14.jpeg"/><Relationship Id="rId16" Type="http://schemas.openxmlformats.org/officeDocument/2006/relationships/hyperlink" Target="#'Bolsa AZUL4F ST'!A1"/><Relationship Id="rId11" Type="http://schemas.openxmlformats.org/officeDocument/2006/relationships/hyperlink" Target="#'Bolsa BBAS3 DT'!A1"/><Relationship Id="rId32" Type="http://schemas.openxmlformats.org/officeDocument/2006/relationships/hyperlink" Target="#'Bolsa HGLG11 ST'!A1"/><Relationship Id="rId37" Type="http://schemas.openxmlformats.org/officeDocument/2006/relationships/hyperlink" Target="#'Trades BitPre&#231;o'!A1"/><Relationship Id="rId53" Type="http://schemas.openxmlformats.org/officeDocument/2006/relationships/image" Target="../media/image3.jpeg"/><Relationship Id="rId58" Type="http://schemas.openxmlformats.org/officeDocument/2006/relationships/hyperlink" Target="#'ARCA Easynvest'!A2"/><Relationship Id="rId74" Type="http://schemas.openxmlformats.org/officeDocument/2006/relationships/image" Target="../media/image20.png"/><Relationship Id="rId79" Type="http://schemas.openxmlformats.org/officeDocument/2006/relationships/image" Target="../media/image24.jpeg"/><Relationship Id="rId5" Type="http://schemas.openxmlformats.org/officeDocument/2006/relationships/hyperlink" Target="#'Bolsa AMZO34 DT'!A1"/><Relationship Id="rId61" Type="http://schemas.openxmlformats.org/officeDocument/2006/relationships/image" Target="../media/image9.png"/><Relationship Id="rId19" Type="http://schemas.openxmlformats.org/officeDocument/2006/relationships/hyperlink" Target="#'Bolsa PETR3F ST'!A1"/><Relationship Id="rId14" Type="http://schemas.openxmlformats.org/officeDocument/2006/relationships/hyperlink" Target="#'Bolsa BIDI3F DT'!A1"/><Relationship Id="rId22" Type="http://schemas.openxmlformats.org/officeDocument/2006/relationships/hyperlink" Target="#'Bolsa BBDC4 ST'!A1"/><Relationship Id="rId27" Type="http://schemas.openxmlformats.org/officeDocument/2006/relationships/hyperlink" Target="#'Bolsa AMZO34 ST'!A1"/><Relationship Id="rId30" Type="http://schemas.openxmlformats.org/officeDocument/2006/relationships/hyperlink" Target="#'Bolsa MXRF11 DT'!A1"/><Relationship Id="rId35" Type="http://schemas.openxmlformats.org/officeDocument/2006/relationships/hyperlink" Target="#'Trades Binance'!A1"/><Relationship Id="rId43" Type="http://schemas.openxmlformats.org/officeDocument/2006/relationships/hyperlink" Target="#'ARCA Clear'!A1"/><Relationship Id="rId48" Type="http://schemas.openxmlformats.org/officeDocument/2006/relationships/hyperlink" Target="#'ARCA Exodus'!A1"/><Relationship Id="rId56" Type="http://schemas.openxmlformats.org/officeDocument/2006/relationships/image" Target="../media/image6.jpeg"/><Relationship Id="rId64" Type="http://schemas.openxmlformats.org/officeDocument/2006/relationships/image" Target="../media/image10.png"/><Relationship Id="rId69" Type="http://schemas.openxmlformats.org/officeDocument/2006/relationships/image" Target="../media/image15.jpeg"/><Relationship Id="rId77" Type="http://schemas.openxmlformats.org/officeDocument/2006/relationships/image" Target="../media/image23.png"/><Relationship Id="rId8" Type="http://schemas.openxmlformats.org/officeDocument/2006/relationships/hyperlink" Target="#'Bolsa HGLG11 DT'!A1"/><Relationship Id="rId51" Type="http://schemas.openxmlformats.org/officeDocument/2006/relationships/image" Target="../media/image1.png"/><Relationship Id="rId72" Type="http://schemas.openxmlformats.org/officeDocument/2006/relationships/image" Target="../media/image18.png"/><Relationship Id="rId80" Type="http://schemas.openxmlformats.org/officeDocument/2006/relationships/hyperlink" Target="#Cota&#231;&#227;o!A2"/><Relationship Id="rId3" Type="http://schemas.openxmlformats.org/officeDocument/2006/relationships/hyperlink" Target="#'Bolsa PETR4F DT'!A1"/><Relationship Id="rId12" Type="http://schemas.openxmlformats.org/officeDocument/2006/relationships/hyperlink" Target="#'Bolsa BBSE3F DT'!A1"/><Relationship Id="rId17" Type="http://schemas.openxmlformats.org/officeDocument/2006/relationships/hyperlink" Target="#'Bolsa EMBR3 ST'!A1"/><Relationship Id="rId25" Type="http://schemas.openxmlformats.org/officeDocument/2006/relationships/hyperlink" Target="#'Bolsa VISA34 DT'!A1"/><Relationship Id="rId33" Type="http://schemas.openxmlformats.org/officeDocument/2006/relationships/hyperlink" Target="#'Bolsa KNCR11 ST'!A1"/><Relationship Id="rId38" Type="http://schemas.openxmlformats.org/officeDocument/2006/relationships/hyperlink" Target="#'Trades UpHold'!A1"/><Relationship Id="rId46" Type="http://schemas.openxmlformats.org/officeDocument/2006/relationships/hyperlink" Target="#'ARCA BitPre&#231;o'!A1"/><Relationship Id="rId59" Type="http://schemas.openxmlformats.org/officeDocument/2006/relationships/image" Target="../media/image8.png"/><Relationship Id="rId67" Type="http://schemas.openxmlformats.org/officeDocument/2006/relationships/image" Target="../media/image13.png"/><Relationship Id="rId20" Type="http://schemas.openxmlformats.org/officeDocument/2006/relationships/hyperlink" Target="#'Bolsa BBAS3 ST'!A1"/><Relationship Id="rId41" Type="http://schemas.openxmlformats.org/officeDocument/2006/relationships/hyperlink" Target="#'Trades Alter'!A1"/><Relationship Id="rId54" Type="http://schemas.openxmlformats.org/officeDocument/2006/relationships/image" Target="../media/image4.png"/><Relationship Id="rId62" Type="http://schemas.openxmlformats.org/officeDocument/2006/relationships/hyperlink" Target="#'Bolsa LREN3F DT'!A1"/><Relationship Id="rId70" Type="http://schemas.openxmlformats.org/officeDocument/2006/relationships/image" Target="../media/image16.png"/><Relationship Id="rId75" Type="http://schemas.openxmlformats.org/officeDocument/2006/relationships/image" Target="../media/image21.png"/><Relationship Id="rId1" Type="http://schemas.openxmlformats.org/officeDocument/2006/relationships/hyperlink" Target="#'Bolsa AZUL4F DT'!A1"/><Relationship Id="rId6" Type="http://schemas.openxmlformats.org/officeDocument/2006/relationships/hyperlink" Target="#'Bolsa JNJB34 DT'!A1"/><Relationship Id="rId15" Type="http://schemas.openxmlformats.org/officeDocument/2006/relationships/hyperlink" Target="#'Bolsa OIBR3 DT'!A1"/><Relationship Id="rId23" Type="http://schemas.openxmlformats.org/officeDocument/2006/relationships/hyperlink" Target="#'Bolsa BIDI3F ST'!A1"/><Relationship Id="rId28" Type="http://schemas.openxmlformats.org/officeDocument/2006/relationships/hyperlink" Target="#'Bolsa JNJB34 ST'!A1"/><Relationship Id="rId36" Type="http://schemas.openxmlformats.org/officeDocument/2006/relationships/hyperlink" Target="#'Trades BSC'!A1"/><Relationship Id="rId49" Type="http://schemas.openxmlformats.org/officeDocument/2006/relationships/hyperlink" Target="#'ARCA NovaDAX'!A1"/><Relationship Id="rId57" Type="http://schemas.openxmlformats.org/officeDocument/2006/relationships/image" Target="../media/image7.png"/><Relationship Id="rId10" Type="http://schemas.openxmlformats.org/officeDocument/2006/relationships/hyperlink" Target="#'Bolsa PETR3F DT'!A1"/><Relationship Id="rId31" Type="http://schemas.openxmlformats.org/officeDocument/2006/relationships/hyperlink" Target="#'Bolsa CRFF11 ST'!A1"/><Relationship Id="rId44" Type="http://schemas.openxmlformats.org/officeDocument/2006/relationships/hyperlink" Target="#'ARCA Binance'!A1"/><Relationship Id="rId52" Type="http://schemas.openxmlformats.org/officeDocument/2006/relationships/image" Target="../media/image2.png"/><Relationship Id="rId60" Type="http://schemas.openxmlformats.org/officeDocument/2006/relationships/hyperlink" Target="#'ARCA Clear'!A2"/><Relationship Id="rId65" Type="http://schemas.openxmlformats.org/officeDocument/2006/relationships/image" Target="../media/image11.png"/><Relationship Id="rId73" Type="http://schemas.openxmlformats.org/officeDocument/2006/relationships/image" Target="../media/image19.png"/><Relationship Id="rId78" Type="http://schemas.openxmlformats.org/officeDocument/2006/relationships/hyperlink" Target="#'Hist&#243;rico de aplica&#231;&#227;o'!A1"/><Relationship Id="rId81" Type="http://schemas.openxmlformats.org/officeDocument/2006/relationships/image" Target="../media/image25.png"/><Relationship Id="rId4" Type="http://schemas.openxmlformats.org/officeDocument/2006/relationships/hyperlink" Target="#'Bolsa TSLA34 DT'!A1"/><Relationship Id="rId9" Type="http://schemas.openxmlformats.org/officeDocument/2006/relationships/hyperlink" Target="#'Bolsa KNCR11 DT'!A1"/><Relationship Id="rId13" Type="http://schemas.openxmlformats.org/officeDocument/2006/relationships/hyperlink" Target="#'Bolsa BBDC4 DT'!A1"/><Relationship Id="rId18" Type="http://schemas.openxmlformats.org/officeDocument/2006/relationships/hyperlink" Target="#'Bolsa PETR4F ST'!A1"/><Relationship Id="rId39" Type="http://schemas.openxmlformats.org/officeDocument/2006/relationships/hyperlink" Target="#'Trades Exodus'!A1"/><Relationship Id="rId34" Type="http://schemas.openxmlformats.org/officeDocument/2006/relationships/hyperlink" Target="#'Bolsa MXRF11 ST'!A1"/><Relationship Id="rId50" Type="http://schemas.openxmlformats.org/officeDocument/2006/relationships/hyperlink" Target="#'ARCA Alter'!A1"/><Relationship Id="rId55" Type="http://schemas.openxmlformats.org/officeDocument/2006/relationships/image" Target="../media/image5.png"/><Relationship Id="rId76" Type="http://schemas.openxmlformats.org/officeDocument/2006/relationships/image" Target="../media/image22.png"/><Relationship Id="rId7" Type="http://schemas.openxmlformats.org/officeDocument/2006/relationships/hyperlink" Target="#'Bolsa CRFF11 DT'!A1"/><Relationship Id="rId71" Type="http://schemas.openxmlformats.org/officeDocument/2006/relationships/image" Target="../media/image17.png"/><Relationship Id="rId2" Type="http://schemas.openxmlformats.org/officeDocument/2006/relationships/hyperlink" Target="#'Bolsa EMBR3 DT'!A1"/><Relationship Id="rId29" Type="http://schemas.openxmlformats.org/officeDocument/2006/relationships/hyperlink" Target="#'Bolsa VISA34 ST'!A1"/><Relationship Id="rId24" Type="http://schemas.openxmlformats.org/officeDocument/2006/relationships/hyperlink" Target="#'Bolsa OIBR3 ST'!A1"/><Relationship Id="rId40" Type="http://schemas.openxmlformats.org/officeDocument/2006/relationships/hyperlink" Target="#'Trades NovaDAX'!A1"/><Relationship Id="rId45" Type="http://schemas.openxmlformats.org/officeDocument/2006/relationships/hyperlink" Target="#'ARCA BSC'!A1"/><Relationship Id="rId66" Type="http://schemas.openxmlformats.org/officeDocument/2006/relationships/image" Target="../media/image1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7326</xdr:rowOff>
    </xdr:from>
    <xdr:to>
      <xdr:col>1</xdr:col>
      <xdr:colOff>304269</xdr:colOff>
      <xdr:row>7</xdr:row>
      <xdr:rowOff>304268</xdr:rowOff>
    </xdr:to>
    <xdr:sp macro="" textlink="">
      <xdr:nvSpPr>
        <xdr:cNvPr id="2" name="Retângulo: Biselad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B73CD-078E-459B-8D37-B25872FBFB42}"/>
            </a:ext>
          </a:extLst>
        </xdr:cNvPr>
        <xdr:cNvSpPr/>
      </xdr:nvSpPr>
      <xdr:spPr>
        <a:xfrm>
          <a:off x="0" y="9217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0</xdr:colOff>
      <xdr:row>6</xdr:row>
      <xdr:rowOff>7327</xdr:rowOff>
    </xdr:from>
    <xdr:to>
      <xdr:col>3</xdr:col>
      <xdr:colOff>311597</xdr:colOff>
      <xdr:row>7</xdr:row>
      <xdr:rowOff>304269</xdr:rowOff>
    </xdr:to>
    <xdr:sp macro="" textlink="">
      <xdr:nvSpPr>
        <xdr:cNvPr id="3" name="Retângulo: Biselad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455DF15-25CF-4729-BC41-E809F2853E56}"/>
            </a:ext>
          </a:extLst>
        </xdr:cNvPr>
        <xdr:cNvSpPr/>
      </xdr:nvSpPr>
      <xdr:spPr>
        <a:xfrm>
          <a:off x="628650" y="92172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7326</xdr:colOff>
      <xdr:row>6</xdr:row>
      <xdr:rowOff>7327</xdr:rowOff>
    </xdr:from>
    <xdr:to>
      <xdr:col>5</xdr:col>
      <xdr:colOff>311596</xdr:colOff>
      <xdr:row>7</xdr:row>
      <xdr:rowOff>304269</xdr:rowOff>
    </xdr:to>
    <xdr:sp macro="" textlink="">
      <xdr:nvSpPr>
        <xdr:cNvPr id="4" name="Retângulo: Biselado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FA166D3-D91E-4DFD-9283-CE8ECD429144}"/>
            </a:ext>
          </a:extLst>
        </xdr:cNvPr>
        <xdr:cNvSpPr/>
      </xdr:nvSpPr>
      <xdr:spPr>
        <a:xfrm>
          <a:off x="1264626" y="92172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10</xdr:row>
      <xdr:rowOff>7326</xdr:rowOff>
    </xdr:from>
    <xdr:to>
      <xdr:col>1</xdr:col>
      <xdr:colOff>304269</xdr:colOff>
      <xdr:row>11</xdr:row>
      <xdr:rowOff>304268</xdr:rowOff>
    </xdr:to>
    <xdr:sp macro="" textlink="">
      <xdr:nvSpPr>
        <xdr:cNvPr id="5" name="Retângulo: Biselado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286EEC0-9DE7-45F0-83EA-1BE7148336B6}"/>
            </a:ext>
          </a:extLst>
        </xdr:cNvPr>
        <xdr:cNvSpPr/>
      </xdr:nvSpPr>
      <xdr:spPr>
        <a:xfrm>
          <a:off x="0" y="193137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0</xdr:colOff>
      <xdr:row>10</xdr:row>
      <xdr:rowOff>7327</xdr:rowOff>
    </xdr:from>
    <xdr:to>
      <xdr:col>3</xdr:col>
      <xdr:colOff>311597</xdr:colOff>
      <xdr:row>11</xdr:row>
      <xdr:rowOff>304269</xdr:rowOff>
    </xdr:to>
    <xdr:sp macro="" textlink="">
      <xdr:nvSpPr>
        <xdr:cNvPr id="6" name="Retângulo: Biselado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2107045-EA83-451A-A3C2-0D2FCBA46D89}"/>
            </a:ext>
          </a:extLst>
        </xdr:cNvPr>
        <xdr:cNvSpPr/>
      </xdr:nvSpPr>
      <xdr:spPr>
        <a:xfrm>
          <a:off x="628650" y="193137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7326</xdr:colOff>
      <xdr:row>10</xdr:row>
      <xdr:rowOff>7327</xdr:rowOff>
    </xdr:from>
    <xdr:to>
      <xdr:col>5</xdr:col>
      <xdr:colOff>311596</xdr:colOff>
      <xdr:row>11</xdr:row>
      <xdr:rowOff>304269</xdr:rowOff>
    </xdr:to>
    <xdr:sp macro="" textlink="">
      <xdr:nvSpPr>
        <xdr:cNvPr id="7" name="Retângulo: Biselad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EF676E8-81EF-4E30-8126-AFA539DB0A27}"/>
            </a:ext>
          </a:extLst>
        </xdr:cNvPr>
        <xdr:cNvSpPr/>
      </xdr:nvSpPr>
      <xdr:spPr>
        <a:xfrm>
          <a:off x="1264626" y="193137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14</xdr:row>
      <xdr:rowOff>7326</xdr:rowOff>
    </xdr:from>
    <xdr:to>
      <xdr:col>1</xdr:col>
      <xdr:colOff>304269</xdr:colOff>
      <xdr:row>15</xdr:row>
      <xdr:rowOff>304268</xdr:rowOff>
    </xdr:to>
    <xdr:sp macro="" textlink="">
      <xdr:nvSpPr>
        <xdr:cNvPr id="8" name="Retângulo: Biselado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FEB1564-305C-4ABA-8561-EFF279C4F905}"/>
            </a:ext>
          </a:extLst>
        </xdr:cNvPr>
        <xdr:cNvSpPr/>
      </xdr:nvSpPr>
      <xdr:spPr>
        <a:xfrm>
          <a:off x="0" y="29410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0</xdr:colOff>
      <xdr:row>14</xdr:row>
      <xdr:rowOff>7327</xdr:rowOff>
    </xdr:from>
    <xdr:to>
      <xdr:col>3</xdr:col>
      <xdr:colOff>311597</xdr:colOff>
      <xdr:row>15</xdr:row>
      <xdr:rowOff>304269</xdr:rowOff>
    </xdr:to>
    <xdr:sp macro="" textlink="">
      <xdr:nvSpPr>
        <xdr:cNvPr id="9" name="Retângulo: Biselado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E944B69-7DA0-4ABC-9AF0-7F51FAEB77A7}"/>
            </a:ext>
          </a:extLst>
        </xdr:cNvPr>
        <xdr:cNvSpPr/>
      </xdr:nvSpPr>
      <xdr:spPr>
        <a:xfrm>
          <a:off x="628650" y="294102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7326</xdr:colOff>
      <xdr:row>14</xdr:row>
      <xdr:rowOff>7327</xdr:rowOff>
    </xdr:from>
    <xdr:to>
      <xdr:col>5</xdr:col>
      <xdr:colOff>311596</xdr:colOff>
      <xdr:row>15</xdr:row>
      <xdr:rowOff>304269</xdr:rowOff>
    </xdr:to>
    <xdr:sp macro="" textlink="">
      <xdr:nvSpPr>
        <xdr:cNvPr id="10" name="Retângulo: Biselado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84BC397-A340-4835-9867-1AE4794BCC3F}"/>
            </a:ext>
          </a:extLst>
        </xdr:cNvPr>
        <xdr:cNvSpPr/>
      </xdr:nvSpPr>
      <xdr:spPr>
        <a:xfrm>
          <a:off x="1264626" y="294102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0</xdr:colOff>
      <xdr:row>6</xdr:row>
      <xdr:rowOff>7326</xdr:rowOff>
    </xdr:from>
    <xdr:to>
      <xdr:col>7</xdr:col>
      <xdr:colOff>304269</xdr:colOff>
      <xdr:row>7</xdr:row>
      <xdr:rowOff>304268</xdr:rowOff>
    </xdr:to>
    <xdr:sp macro="" textlink="">
      <xdr:nvSpPr>
        <xdr:cNvPr id="11" name="Retângulo: Biselado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94C28C4-5EF0-4FAD-8C66-4C0A99A1CDBC}"/>
            </a:ext>
          </a:extLst>
        </xdr:cNvPr>
        <xdr:cNvSpPr/>
      </xdr:nvSpPr>
      <xdr:spPr>
        <a:xfrm>
          <a:off x="1885950" y="9217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0</xdr:colOff>
      <xdr:row>6</xdr:row>
      <xdr:rowOff>7327</xdr:rowOff>
    </xdr:from>
    <xdr:to>
      <xdr:col>9</xdr:col>
      <xdr:colOff>311597</xdr:colOff>
      <xdr:row>7</xdr:row>
      <xdr:rowOff>304269</xdr:rowOff>
    </xdr:to>
    <xdr:sp macro="" textlink="">
      <xdr:nvSpPr>
        <xdr:cNvPr id="12" name="Retângulo: Biselado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56D198B-54BE-4744-B0A1-C93D23425E69}"/>
            </a:ext>
          </a:extLst>
        </xdr:cNvPr>
        <xdr:cNvSpPr/>
      </xdr:nvSpPr>
      <xdr:spPr>
        <a:xfrm>
          <a:off x="2514600" y="92172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7326</xdr:colOff>
      <xdr:row>6</xdr:row>
      <xdr:rowOff>7327</xdr:rowOff>
    </xdr:from>
    <xdr:to>
      <xdr:col>11</xdr:col>
      <xdr:colOff>311596</xdr:colOff>
      <xdr:row>7</xdr:row>
      <xdr:rowOff>304269</xdr:rowOff>
    </xdr:to>
    <xdr:sp macro="" textlink="">
      <xdr:nvSpPr>
        <xdr:cNvPr id="13" name="Retângulo: Biselado 1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2EBBDE2-18E9-4580-9555-894BE6FDE42A}"/>
            </a:ext>
          </a:extLst>
        </xdr:cNvPr>
        <xdr:cNvSpPr/>
      </xdr:nvSpPr>
      <xdr:spPr>
        <a:xfrm>
          <a:off x="3150576" y="92172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0</xdr:colOff>
      <xdr:row>6</xdr:row>
      <xdr:rowOff>7326</xdr:rowOff>
    </xdr:from>
    <xdr:to>
      <xdr:col>13</xdr:col>
      <xdr:colOff>304269</xdr:colOff>
      <xdr:row>7</xdr:row>
      <xdr:rowOff>304268</xdr:rowOff>
    </xdr:to>
    <xdr:sp macro="" textlink="">
      <xdr:nvSpPr>
        <xdr:cNvPr id="14" name="Retângulo: Biselado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8756D9-880F-4225-9A52-E87EFC67752A}"/>
            </a:ext>
          </a:extLst>
        </xdr:cNvPr>
        <xdr:cNvSpPr/>
      </xdr:nvSpPr>
      <xdr:spPr>
        <a:xfrm>
          <a:off x="3771900" y="9217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0</xdr:colOff>
      <xdr:row>6</xdr:row>
      <xdr:rowOff>7327</xdr:rowOff>
    </xdr:from>
    <xdr:to>
      <xdr:col>15</xdr:col>
      <xdr:colOff>311597</xdr:colOff>
      <xdr:row>7</xdr:row>
      <xdr:rowOff>304269</xdr:rowOff>
    </xdr:to>
    <xdr:sp macro="" textlink="">
      <xdr:nvSpPr>
        <xdr:cNvPr id="15" name="Retângulo: Biselado 1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CDA61A36-01E2-41DB-AEAA-B6ABE1434D76}"/>
            </a:ext>
          </a:extLst>
        </xdr:cNvPr>
        <xdr:cNvSpPr/>
      </xdr:nvSpPr>
      <xdr:spPr>
        <a:xfrm>
          <a:off x="4400550" y="92172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7326</xdr:colOff>
      <xdr:row>6</xdr:row>
      <xdr:rowOff>7327</xdr:rowOff>
    </xdr:from>
    <xdr:to>
      <xdr:col>17</xdr:col>
      <xdr:colOff>311596</xdr:colOff>
      <xdr:row>7</xdr:row>
      <xdr:rowOff>304269</xdr:rowOff>
    </xdr:to>
    <xdr:sp macro="" textlink="">
      <xdr:nvSpPr>
        <xdr:cNvPr id="16" name="Retângulo: Biselado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B6B8462-17FA-471F-AD15-F5D3E853FA1C}"/>
            </a:ext>
          </a:extLst>
        </xdr:cNvPr>
        <xdr:cNvSpPr/>
      </xdr:nvSpPr>
      <xdr:spPr>
        <a:xfrm>
          <a:off x="5036526" y="92172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0</xdr:colOff>
      <xdr:row>6</xdr:row>
      <xdr:rowOff>7326</xdr:rowOff>
    </xdr:from>
    <xdr:to>
      <xdr:col>21</xdr:col>
      <xdr:colOff>304269</xdr:colOff>
      <xdr:row>7</xdr:row>
      <xdr:rowOff>304268</xdr:rowOff>
    </xdr:to>
    <xdr:sp macro="" textlink="">
      <xdr:nvSpPr>
        <xdr:cNvPr id="17" name="Retângulo: Biselado 16">
          <a:extLst>
            <a:ext uri="{FF2B5EF4-FFF2-40B4-BE49-F238E27FC236}">
              <a16:creationId xmlns:a16="http://schemas.microsoft.com/office/drawing/2014/main" id="{6A56BE1F-02BB-475E-B5B7-811753F0E73D}"/>
            </a:ext>
          </a:extLst>
        </xdr:cNvPr>
        <xdr:cNvSpPr/>
      </xdr:nvSpPr>
      <xdr:spPr>
        <a:xfrm>
          <a:off x="5657850" y="9217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0</xdr:colOff>
      <xdr:row>6</xdr:row>
      <xdr:rowOff>7327</xdr:rowOff>
    </xdr:from>
    <xdr:to>
      <xdr:col>23</xdr:col>
      <xdr:colOff>311597</xdr:colOff>
      <xdr:row>7</xdr:row>
      <xdr:rowOff>304269</xdr:rowOff>
    </xdr:to>
    <xdr:sp macro="" textlink="">
      <xdr:nvSpPr>
        <xdr:cNvPr id="18" name="Retângulo: Biselado 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7049681C-C7FF-452A-89B3-C6C2094D42A5}"/>
            </a:ext>
          </a:extLst>
        </xdr:cNvPr>
        <xdr:cNvSpPr/>
      </xdr:nvSpPr>
      <xdr:spPr>
        <a:xfrm>
          <a:off x="6286500" y="9217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7326</xdr:colOff>
      <xdr:row>6</xdr:row>
      <xdr:rowOff>7327</xdr:rowOff>
    </xdr:from>
    <xdr:to>
      <xdr:col>25</xdr:col>
      <xdr:colOff>311596</xdr:colOff>
      <xdr:row>7</xdr:row>
      <xdr:rowOff>304269</xdr:rowOff>
    </xdr:to>
    <xdr:sp macro="" textlink="">
      <xdr:nvSpPr>
        <xdr:cNvPr id="19" name="Retângulo: Biselado 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9DDE5E9-13F4-4782-B25D-8CED77A77E5B}"/>
            </a:ext>
          </a:extLst>
        </xdr:cNvPr>
        <xdr:cNvSpPr/>
      </xdr:nvSpPr>
      <xdr:spPr>
        <a:xfrm>
          <a:off x="6922476" y="9217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26</xdr:col>
      <xdr:colOff>0</xdr:colOff>
      <xdr:row>6</xdr:row>
      <xdr:rowOff>7326</xdr:rowOff>
    </xdr:from>
    <xdr:to>
      <xdr:col>27</xdr:col>
      <xdr:colOff>304269</xdr:colOff>
      <xdr:row>7</xdr:row>
      <xdr:rowOff>304268</xdr:rowOff>
    </xdr:to>
    <xdr:sp macro="" textlink="">
      <xdr:nvSpPr>
        <xdr:cNvPr id="20" name="Retângulo: Biselado 1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CA33B324-B925-4B9E-A754-156FB5C2A721}"/>
            </a:ext>
          </a:extLst>
        </xdr:cNvPr>
        <xdr:cNvSpPr/>
      </xdr:nvSpPr>
      <xdr:spPr>
        <a:xfrm>
          <a:off x="7543800" y="921726"/>
          <a:ext cx="618594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28</xdr:col>
      <xdr:colOff>0</xdr:colOff>
      <xdr:row>6</xdr:row>
      <xdr:rowOff>7327</xdr:rowOff>
    </xdr:from>
    <xdr:to>
      <xdr:col>29</xdr:col>
      <xdr:colOff>311597</xdr:colOff>
      <xdr:row>7</xdr:row>
      <xdr:rowOff>304269</xdr:rowOff>
    </xdr:to>
    <xdr:sp macro="" textlink="">
      <xdr:nvSpPr>
        <xdr:cNvPr id="21" name="Retângulo: Biselado 2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2B40477-BCC9-4145-B7EA-17E23819C2BE}"/>
            </a:ext>
          </a:extLst>
        </xdr:cNvPr>
        <xdr:cNvSpPr/>
      </xdr:nvSpPr>
      <xdr:spPr>
        <a:xfrm>
          <a:off x="8172450" y="9217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30</xdr:col>
      <xdr:colOff>7326</xdr:colOff>
      <xdr:row>6</xdr:row>
      <xdr:rowOff>7327</xdr:rowOff>
    </xdr:from>
    <xdr:to>
      <xdr:col>31</xdr:col>
      <xdr:colOff>311596</xdr:colOff>
      <xdr:row>7</xdr:row>
      <xdr:rowOff>304269</xdr:rowOff>
    </xdr:to>
    <xdr:sp macro="" textlink="">
      <xdr:nvSpPr>
        <xdr:cNvPr id="22" name="Retângulo: Biselado 2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722C2063-BB76-4058-9F7E-F09926AD3745}"/>
            </a:ext>
          </a:extLst>
        </xdr:cNvPr>
        <xdr:cNvSpPr/>
      </xdr:nvSpPr>
      <xdr:spPr>
        <a:xfrm>
          <a:off x="8808426" y="9217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32</xdr:col>
      <xdr:colOff>0</xdr:colOff>
      <xdr:row>6</xdr:row>
      <xdr:rowOff>7326</xdr:rowOff>
    </xdr:from>
    <xdr:to>
      <xdr:col>33</xdr:col>
      <xdr:colOff>304269</xdr:colOff>
      <xdr:row>7</xdr:row>
      <xdr:rowOff>304268</xdr:rowOff>
    </xdr:to>
    <xdr:sp macro="" textlink="">
      <xdr:nvSpPr>
        <xdr:cNvPr id="23" name="Retângulo: Biselado 2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694327B-1C48-4009-A4F9-447D532A37C2}"/>
            </a:ext>
          </a:extLst>
        </xdr:cNvPr>
        <xdr:cNvSpPr/>
      </xdr:nvSpPr>
      <xdr:spPr>
        <a:xfrm>
          <a:off x="9429750" y="921726"/>
          <a:ext cx="618594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34</xdr:col>
      <xdr:colOff>0</xdr:colOff>
      <xdr:row>6</xdr:row>
      <xdr:rowOff>7327</xdr:rowOff>
    </xdr:from>
    <xdr:to>
      <xdr:col>35</xdr:col>
      <xdr:colOff>311597</xdr:colOff>
      <xdr:row>7</xdr:row>
      <xdr:rowOff>304269</xdr:rowOff>
    </xdr:to>
    <xdr:sp macro="" textlink="">
      <xdr:nvSpPr>
        <xdr:cNvPr id="24" name="Retângulo: Biselado 2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E01DF51E-4853-4598-8422-B660DFBA024C}"/>
            </a:ext>
          </a:extLst>
        </xdr:cNvPr>
        <xdr:cNvSpPr/>
      </xdr:nvSpPr>
      <xdr:spPr>
        <a:xfrm>
          <a:off x="10058400" y="9217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36</xdr:col>
      <xdr:colOff>7326</xdr:colOff>
      <xdr:row>6</xdr:row>
      <xdr:rowOff>7327</xdr:rowOff>
    </xdr:from>
    <xdr:to>
      <xdr:col>37</xdr:col>
      <xdr:colOff>311596</xdr:colOff>
      <xdr:row>7</xdr:row>
      <xdr:rowOff>304269</xdr:rowOff>
    </xdr:to>
    <xdr:sp macro="" textlink="">
      <xdr:nvSpPr>
        <xdr:cNvPr id="25" name="Retângulo: Biselado 2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E7F157E-6E9A-4C59-89F7-7411472BC042}"/>
            </a:ext>
          </a:extLst>
        </xdr:cNvPr>
        <xdr:cNvSpPr/>
      </xdr:nvSpPr>
      <xdr:spPr>
        <a:xfrm>
          <a:off x="10694376" y="9217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38</xdr:col>
      <xdr:colOff>0</xdr:colOff>
      <xdr:row>6</xdr:row>
      <xdr:rowOff>7327</xdr:rowOff>
    </xdr:from>
    <xdr:to>
      <xdr:col>39</xdr:col>
      <xdr:colOff>311597</xdr:colOff>
      <xdr:row>7</xdr:row>
      <xdr:rowOff>304269</xdr:rowOff>
    </xdr:to>
    <xdr:sp macro="" textlink="">
      <xdr:nvSpPr>
        <xdr:cNvPr id="26" name="Retângulo: Biselado 2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2BB3B3FA-99CD-457E-9CA8-06DC6B6487EC}"/>
            </a:ext>
          </a:extLst>
        </xdr:cNvPr>
        <xdr:cNvSpPr/>
      </xdr:nvSpPr>
      <xdr:spPr>
        <a:xfrm>
          <a:off x="11315700" y="9217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42</xdr:col>
      <xdr:colOff>7326</xdr:colOff>
      <xdr:row>6</xdr:row>
      <xdr:rowOff>7327</xdr:rowOff>
    </xdr:from>
    <xdr:to>
      <xdr:col>43</xdr:col>
      <xdr:colOff>311596</xdr:colOff>
      <xdr:row>7</xdr:row>
      <xdr:rowOff>304269</xdr:rowOff>
    </xdr:to>
    <xdr:sp macro="" textlink="">
      <xdr:nvSpPr>
        <xdr:cNvPr id="27" name="Retângulo: Biselado 26">
          <a:extLst>
            <a:ext uri="{FF2B5EF4-FFF2-40B4-BE49-F238E27FC236}">
              <a16:creationId xmlns:a16="http://schemas.microsoft.com/office/drawing/2014/main" id="{6C89D06A-7FFB-4B7E-8B6F-05846E814B33}"/>
            </a:ext>
          </a:extLst>
        </xdr:cNvPr>
        <xdr:cNvSpPr/>
      </xdr:nvSpPr>
      <xdr:spPr>
        <a:xfrm>
          <a:off x="11951676" y="9217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0</xdr:colOff>
      <xdr:row>10</xdr:row>
      <xdr:rowOff>7326</xdr:rowOff>
    </xdr:from>
    <xdr:to>
      <xdr:col>7</xdr:col>
      <xdr:colOff>304269</xdr:colOff>
      <xdr:row>11</xdr:row>
      <xdr:rowOff>304268</xdr:rowOff>
    </xdr:to>
    <xdr:sp macro="" textlink="">
      <xdr:nvSpPr>
        <xdr:cNvPr id="28" name="Retângulo: Biselado 27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4B32399-0594-48F5-90B1-D4E32F74050E}"/>
            </a:ext>
          </a:extLst>
        </xdr:cNvPr>
        <xdr:cNvSpPr/>
      </xdr:nvSpPr>
      <xdr:spPr>
        <a:xfrm>
          <a:off x="1885950" y="193137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0</xdr:colOff>
      <xdr:row>10</xdr:row>
      <xdr:rowOff>7327</xdr:rowOff>
    </xdr:from>
    <xdr:to>
      <xdr:col>9</xdr:col>
      <xdr:colOff>311597</xdr:colOff>
      <xdr:row>11</xdr:row>
      <xdr:rowOff>304269</xdr:rowOff>
    </xdr:to>
    <xdr:sp macro="" textlink="">
      <xdr:nvSpPr>
        <xdr:cNvPr id="29" name="Retângulo: Biselado 28">
          <a:extLst>
            <a:ext uri="{FF2B5EF4-FFF2-40B4-BE49-F238E27FC236}">
              <a16:creationId xmlns:a16="http://schemas.microsoft.com/office/drawing/2014/main" id="{DDCA381C-6CA8-43E2-9CB7-67A097DAC6CF}"/>
            </a:ext>
          </a:extLst>
        </xdr:cNvPr>
        <xdr:cNvSpPr/>
      </xdr:nvSpPr>
      <xdr:spPr>
        <a:xfrm>
          <a:off x="2514600" y="193137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7326</xdr:colOff>
      <xdr:row>10</xdr:row>
      <xdr:rowOff>7327</xdr:rowOff>
    </xdr:from>
    <xdr:to>
      <xdr:col>11</xdr:col>
      <xdr:colOff>311596</xdr:colOff>
      <xdr:row>11</xdr:row>
      <xdr:rowOff>304269</xdr:rowOff>
    </xdr:to>
    <xdr:sp macro="" textlink="">
      <xdr:nvSpPr>
        <xdr:cNvPr id="30" name="Retângulo: Biselado 29">
          <a:extLst>
            <a:ext uri="{FF2B5EF4-FFF2-40B4-BE49-F238E27FC236}">
              <a16:creationId xmlns:a16="http://schemas.microsoft.com/office/drawing/2014/main" id="{BBA92EB4-A5AC-43D4-B399-E730C6CE2760}"/>
            </a:ext>
          </a:extLst>
        </xdr:cNvPr>
        <xdr:cNvSpPr/>
      </xdr:nvSpPr>
      <xdr:spPr>
        <a:xfrm>
          <a:off x="3150576" y="193137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0</xdr:colOff>
      <xdr:row>10</xdr:row>
      <xdr:rowOff>7326</xdr:rowOff>
    </xdr:from>
    <xdr:to>
      <xdr:col>13</xdr:col>
      <xdr:colOff>304269</xdr:colOff>
      <xdr:row>11</xdr:row>
      <xdr:rowOff>304268</xdr:rowOff>
    </xdr:to>
    <xdr:sp macro="" textlink="">
      <xdr:nvSpPr>
        <xdr:cNvPr id="31" name="Retângulo: Biselado 30">
          <a:extLst>
            <a:ext uri="{FF2B5EF4-FFF2-40B4-BE49-F238E27FC236}">
              <a16:creationId xmlns:a16="http://schemas.microsoft.com/office/drawing/2014/main" id="{EF2FA1D8-1D43-48E9-916C-E67D3AE6C17B}"/>
            </a:ext>
          </a:extLst>
        </xdr:cNvPr>
        <xdr:cNvSpPr/>
      </xdr:nvSpPr>
      <xdr:spPr>
        <a:xfrm>
          <a:off x="3771900" y="193137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0</xdr:colOff>
      <xdr:row>10</xdr:row>
      <xdr:rowOff>7327</xdr:rowOff>
    </xdr:from>
    <xdr:to>
      <xdr:col>15</xdr:col>
      <xdr:colOff>311597</xdr:colOff>
      <xdr:row>11</xdr:row>
      <xdr:rowOff>304269</xdr:rowOff>
    </xdr:to>
    <xdr:sp macro="" textlink="">
      <xdr:nvSpPr>
        <xdr:cNvPr id="32" name="Retângulo: Biselado 31">
          <a:extLst>
            <a:ext uri="{FF2B5EF4-FFF2-40B4-BE49-F238E27FC236}">
              <a16:creationId xmlns:a16="http://schemas.microsoft.com/office/drawing/2014/main" id="{C33513D4-7431-415E-839E-9DA1D353968B}"/>
            </a:ext>
          </a:extLst>
        </xdr:cNvPr>
        <xdr:cNvSpPr/>
      </xdr:nvSpPr>
      <xdr:spPr>
        <a:xfrm>
          <a:off x="4400550" y="193137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7326</xdr:colOff>
      <xdr:row>10</xdr:row>
      <xdr:rowOff>7327</xdr:rowOff>
    </xdr:from>
    <xdr:to>
      <xdr:col>17</xdr:col>
      <xdr:colOff>311596</xdr:colOff>
      <xdr:row>11</xdr:row>
      <xdr:rowOff>304269</xdr:rowOff>
    </xdr:to>
    <xdr:sp macro="" textlink="">
      <xdr:nvSpPr>
        <xdr:cNvPr id="33" name="Retângulo: Biselado 32">
          <a:extLst>
            <a:ext uri="{FF2B5EF4-FFF2-40B4-BE49-F238E27FC236}">
              <a16:creationId xmlns:a16="http://schemas.microsoft.com/office/drawing/2014/main" id="{AEAAA345-B660-4357-BC14-85422F39D0FE}"/>
            </a:ext>
          </a:extLst>
        </xdr:cNvPr>
        <xdr:cNvSpPr/>
      </xdr:nvSpPr>
      <xdr:spPr>
        <a:xfrm>
          <a:off x="5036526" y="193137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0</xdr:colOff>
      <xdr:row>10</xdr:row>
      <xdr:rowOff>7326</xdr:rowOff>
    </xdr:from>
    <xdr:to>
      <xdr:col>21</xdr:col>
      <xdr:colOff>304269</xdr:colOff>
      <xdr:row>11</xdr:row>
      <xdr:rowOff>304268</xdr:rowOff>
    </xdr:to>
    <xdr:sp macro="" textlink="">
      <xdr:nvSpPr>
        <xdr:cNvPr id="34" name="Retângulo: Biselado 33">
          <a:extLst>
            <a:ext uri="{FF2B5EF4-FFF2-40B4-BE49-F238E27FC236}">
              <a16:creationId xmlns:a16="http://schemas.microsoft.com/office/drawing/2014/main" id="{1C7E8D4A-95F2-4D55-8738-429F47E30BBA}"/>
            </a:ext>
          </a:extLst>
        </xdr:cNvPr>
        <xdr:cNvSpPr/>
      </xdr:nvSpPr>
      <xdr:spPr>
        <a:xfrm>
          <a:off x="5657850" y="193137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0</xdr:colOff>
      <xdr:row>10</xdr:row>
      <xdr:rowOff>7327</xdr:rowOff>
    </xdr:from>
    <xdr:to>
      <xdr:col>23</xdr:col>
      <xdr:colOff>311597</xdr:colOff>
      <xdr:row>11</xdr:row>
      <xdr:rowOff>304269</xdr:rowOff>
    </xdr:to>
    <xdr:sp macro="" textlink="">
      <xdr:nvSpPr>
        <xdr:cNvPr id="35" name="Retângulo: Biselado 34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F5054D2C-F3EC-491E-8F12-B8188C6B8730}"/>
            </a:ext>
          </a:extLst>
        </xdr:cNvPr>
        <xdr:cNvSpPr/>
      </xdr:nvSpPr>
      <xdr:spPr>
        <a:xfrm>
          <a:off x="6286500" y="193137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7326</xdr:colOff>
      <xdr:row>10</xdr:row>
      <xdr:rowOff>7327</xdr:rowOff>
    </xdr:from>
    <xdr:to>
      <xdr:col>25</xdr:col>
      <xdr:colOff>311596</xdr:colOff>
      <xdr:row>11</xdr:row>
      <xdr:rowOff>304269</xdr:rowOff>
    </xdr:to>
    <xdr:sp macro="" textlink="">
      <xdr:nvSpPr>
        <xdr:cNvPr id="36" name="Retângulo: Biselado 35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6C096079-8AAC-4FAB-855B-646B73DD0E5C}"/>
            </a:ext>
          </a:extLst>
        </xdr:cNvPr>
        <xdr:cNvSpPr/>
      </xdr:nvSpPr>
      <xdr:spPr>
        <a:xfrm>
          <a:off x="6922476" y="193137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26</xdr:col>
      <xdr:colOff>0</xdr:colOff>
      <xdr:row>10</xdr:row>
      <xdr:rowOff>7326</xdr:rowOff>
    </xdr:from>
    <xdr:to>
      <xdr:col>27</xdr:col>
      <xdr:colOff>304269</xdr:colOff>
      <xdr:row>11</xdr:row>
      <xdr:rowOff>304268</xdr:rowOff>
    </xdr:to>
    <xdr:sp macro="" textlink="">
      <xdr:nvSpPr>
        <xdr:cNvPr id="37" name="Retângulo: Biselado 36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34ADD9C9-DB0E-44BF-B453-65A9F076EC15}"/>
            </a:ext>
          </a:extLst>
        </xdr:cNvPr>
        <xdr:cNvSpPr/>
      </xdr:nvSpPr>
      <xdr:spPr>
        <a:xfrm>
          <a:off x="7543800" y="1931376"/>
          <a:ext cx="618594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28</xdr:col>
      <xdr:colOff>0</xdr:colOff>
      <xdr:row>10</xdr:row>
      <xdr:rowOff>7327</xdr:rowOff>
    </xdr:from>
    <xdr:to>
      <xdr:col>29</xdr:col>
      <xdr:colOff>311597</xdr:colOff>
      <xdr:row>11</xdr:row>
      <xdr:rowOff>304269</xdr:rowOff>
    </xdr:to>
    <xdr:sp macro="" textlink="">
      <xdr:nvSpPr>
        <xdr:cNvPr id="38" name="Retângulo: Biselado 37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458008C8-3A8D-4569-8D59-64E73B54EFD3}"/>
            </a:ext>
          </a:extLst>
        </xdr:cNvPr>
        <xdr:cNvSpPr/>
      </xdr:nvSpPr>
      <xdr:spPr>
        <a:xfrm>
          <a:off x="8172450" y="193137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30</xdr:col>
      <xdr:colOff>7326</xdr:colOff>
      <xdr:row>10</xdr:row>
      <xdr:rowOff>7327</xdr:rowOff>
    </xdr:from>
    <xdr:to>
      <xdr:col>31</xdr:col>
      <xdr:colOff>311596</xdr:colOff>
      <xdr:row>11</xdr:row>
      <xdr:rowOff>304269</xdr:rowOff>
    </xdr:to>
    <xdr:sp macro="" textlink="">
      <xdr:nvSpPr>
        <xdr:cNvPr id="39" name="Retângulo: Biselado 38">
          <a:extLst>
            <a:ext uri="{FF2B5EF4-FFF2-40B4-BE49-F238E27FC236}">
              <a16:creationId xmlns:a16="http://schemas.microsoft.com/office/drawing/2014/main" id="{1B01BDED-656B-4597-B3D5-DFBA5FA8C6DA}"/>
            </a:ext>
          </a:extLst>
        </xdr:cNvPr>
        <xdr:cNvSpPr/>
      </xdr:nvSpPr>
      <xdr:spPr>
        <a:xfrm>
          <a:off x="8808426" y="193137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32</xdr:col>
      <xdr:colOff>0</xdr:colOff>
      <xdr:row>10</xdr:row>
      <xdr:rowOff>7326</xdr:rowOff>
    </xdr:from>
    <xdr:to>
      <xdr:col>33</xdr:col>
      <xdr:colOff>304269</xdr:colOff>
      <xdr:row>11</xdr:row>
      <xdr:rowOff>304268</xdr:rowOff>
    </xdr:to>
    <xdr:sp macro="" textlink="">
      <xdr:nvSpPr>
        <xdr:cNvPr id="40" name="Retângulo: Biselado 39">
          <a:extLst>
            <a:ext uri="{FF2B5EF4-FFF2-40B4-BE49-F238E27FC236}">
              <a16:creationId xmlns:a16="http://schemas.microsoft.com/office/drawing/2014/main" id="{FBB091F9-133B-4693-A0FA-7029B7CDF8B0}"/>
            </a:ext>
          </a:extLst>
        </xdr:cNvPr>
        <xdr:cNvSpPr/>
      </xdr:nvSpPr>
      <xdr:spPr>
        <a:xfrm>
          <a:off x="9429750" y="1931376"/>
          <a:ext cx="618594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34</xdr:col>
      <xdr:colOff>0</xdr:colOff>
      <xdr:row>10</xdr:row>
      <xdr:rowOff>7327</xdr:rowOff>
    </xdr:from>
    <xdr:to>
      <xdr:col>35</xdr:col>
      <xdr:colOff>311597</xdr:colOff>
      <xdr:row>11</xdr:row>
      <xdr:rowOff>304269</xdr:rowOff>
    </xdr:to>
    <xdr:sp macro="" textlink="">
      <xdr:nvSpPr>
        <xdr:cNvPr id="41" name="Retângulo: Biselado 40">
          <a:extLst>
            <a:ext uri="{FF2B5EF4-FFF2-40B4-BE49-F238E27FC236}">
              <a16:creationId xmlns:a16="http://schemas.microsoft.com/office/drawing/2014/main" id="{D4E38BED-CBA7-403F-A5DC-C2C07F7CE429}"/>
            </a:ext>
          </a:extLst>
        </xdr:cNvPr>
        <xdr:cNvSpPr/>
      </xdr:nvSpPr>
      <xdr:spPr>
        <a:xfrm>
          <a:off x="10058400" y="193137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36</xdr:col>
      <xdr:colOff>7326</xdr:colOff>
      <xdr:row>10</xdr:row>
      <xdr:rowOff>7327</xdr:rowOff>
    </xdr:from>
    <xdr:to>
      <xdr:col>37</xdr:col>
      <xdr:colOff>311596</xdr:colOff>
      <xdr:row>11</xdr:row>
      <xdr:rowOff>304269</xdr:rowOff>
    </xdr:to>
    <xdr:sp macro="" textlink="">
      <xdr:nvSpPr>
        <xdr:cNvPr id="42" name="Retângulo: Biselado 41">
          <a:extLst>
            <a:ext uri="{FF2B5EF4-FFF2-40B4-BE49-F238E27FC236}">
              <a16:creationId xmlns:a16="http://schemas.microsoft.com/office/drawing/2014/main" id="{86A4C8E4-E764-40CC-B8AA-C5235799712D}"/>
            </a:ext>
          </a:extLst>
        </xdr:cNvPr>
        <xdr:cNvSpPr/>
      </xdr:nvSpPr>
      <xdr:spPr>
        <a:xfrm>
          <a:off x="10694376" y="193137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38</xdr:col>
      <xdr:colOff>0</xdr:colOff>
      <xdr:row>10</xdr:row>
      <xdr:rowOff>7327</xdr:rowOff>
    </xdr:from>
    <xdr:to>
      <xdr:col>39</xdr:col>
      <xdr:colOff>311597</xdr:colOff>
      <xdr:row>11</xdr:row>
      <xdr:rowOff>304269</xdr:rowOff>
    </xdr:to>
    <xdr:sp macro="" textlink="">
      <xdr:nvSpPr>
        <xdr:cNvPr id="43" name="Retângulo: Biselado 42">
          <a:extLst>
            <a:ext uri="{FF2B5EF4-FFF2-40B4-BE49-F238E27FC236}">
              <a16:creationId xmlns:a16="http://schemas.microsoft.com/office/drawing/2014/main" id="{124F65B9-DB0E-4D18-8BE9-B237C52E4146}"/>
            </a:ext>
          </a:extLst>
        </xdr:cNvPr>
        <xdr:cNvSpPr/>
      </xdr:nvSpPr>
      <xdr:spPr>
        <a:xfrm>
          <a:off x="11315700" y="193137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42</xdr:col>
      <xdr:colOff>7326</xdr:colOff>
      <xdr:row>10</xdr:row>
      <xdr:rowOff>7327</xdr:rowOff>
    </xdr:from>
    <xdr:to>
      <xdr:col>43</xdr:col>
      <xdr:colOff>311596</xdr:colOff>
      <xdr:row>11</xdr:row>
      <xdr:rowOff>304269</xdr:rowOff>
    </xdr:to>
    <xdr:sp macro="" textlink="">
      <xdr:nvSpPr>
        <xdr:cNvPr id="44" name="Retângulo: Biselado 43">
          <a:extLst>
            <a:ext uri="{FF2B5EF4-FFF2-40B4-BE49-F238E27FC236}">
              <a16:creationId xmlns:a16="http://schemas.microsoft.com/office/drawing/2014/main" id="{05224C8C-7479-4D51-A536-F22558BDDC3D}"/>
            </a:ext>
          </a:extLst>
        </xdr:cNvPr>
        <xdr:cNvSpPr/>
      </xdr:nvSpPr>
      <xdr:spPr>
        <a:xfrm>
          <a:off x="11951676" y="193137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0</xdr:colOff>
      <xdr:row>14</xdr:row>
      <xdr:rowOff>7326</xdr:rowOff>
    </xdr:from>
    <xdr:to>
      <xdr:col>7</xdr:col>
      <xdr:colOff>304269</xdr:colOff>
      <xdr:row>15</xdr:row>
      <xdr:rowOff>304268</xdr:rowOff>
    </xdr:to>
    <xdr:sp macro="" textlink="">
      <xdr:nvSpPr>
        <xdr:cNvPr id="45" name="Retângulo: Biselado 44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74938C08-DCC6-498F-AA09-A2239150B11D}"/>
            </a:ext>
          </a:extLst>
        </xdr:cNvPr>
        <xdr:cNvSpPr/>
      </xdr:nvSpPr>
      <xdr:spPr>
        <a:xfrm>
          <a:off x="1885950" y="29410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0</xdr:colOff>
      <xdr:row>14</xdr:row>
      <xdr:rowOff>7327</xdr:rowOff>
    </xdr:from>
    <xdr:to>
      <xdr:col>9</xdr:col>
      <xdr:colOff>311597</xdr:colOff>
      <xdr:row>15</xdr:row>
      <xdr:rowOff>304269</xdr:rowOff>
    </xdr:to>
    <xdr:sp macro="" textlink="">
      <xdr:nvSpPr>
        <xdr:cNvPr id="46" name="Retângulo: Biselado 45">
          <a:extLst>
            <a:ext uri="{FF2B5EF4-FFF2-40B4-BE49-F238E27FC236}">
              <a16:creationId xmlns:a16="http://schemas.microsoft.com/office/drawing/2014/main" id="{35146150-9A7D-4154-A71D-C52EE88435CB}"/>
            </a:ext>
          </a:extLst>
        </xdr:cNvPr>
        <xdr:cNvSpPr/>
      </xdr:nvSpPr>
      <xdr:spPr>
        <a:xfrm>
          <a:off x="2514600" y="294102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7326</xdr:colOff>
      <xdr:row>14</xdr:row>
      <xdr:rowOff>7327</xdr:rowOff>
    </xdr:from>
    <xdr:to>
      <xdr:col>11</xdr:col>
      <xdr:colOff>311596</xdr:colOff>
      <xdr:row>15</xdr:row>
      <xdr:rowOff>304269</xdr:rowOff>
    </xdr:to>
    <xdr:sp macro="" textlink="">
      <xdr:nvSpPr>
        <xdr:cNvPr id="47" name="Retângulo: Biselado 46">
          <a:extLst>
            <a:ext uri="{FF2B5EF4-FFF2-40B4-BE49-F238E27FC236}">
              <a16:creationId xmlns:a16="http://schemas.microsoft.com/office/drawing/2014/main" id="{333DABF8-E9CA-469E-8065-8E32CB013FD4}"/>
            </a:ext>
          </a:extLst>
        </xdr:cNvPr>
        <xdr:cNvSpPr/>
      </xdr:nvSpPr>
      <xdr:spPr>
        <a:xfrm>
          <a:off x="3150576" y="294102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0</xdr:colOff>
      <xdr:row>14</xdr:row>
      <xdr:rowOff>7326</xdr:rowOff>
    </xdr:from>
    <xdr:to>
      <xdr:col>13</xdr:col>
      <xdr:colOff>304269</xdr:colOff>
      <xdr:row>15</xdr:row>
      <xdr:rowOff>304268</xdr:rowOff>
    </xdr:to>
    <xdr:sp macro="" textlink="">
      <xdr:nvSpPr>
        <xdr:cNvPr id="48" name="Retângulo: Biselado 47">
          <a:extLst>
            <a:ext uri="{FF2B5EF4-FFF2-40B4-BE49-F238E27FC236}">
              <a16:creationId xmlns:a16="http://schemas.microsoft.com/office/drawing/2014/main" id="{763DB5F6-159D-4D5B-A8E7-D088482795A5}"/>
            </a:ext>
          </a:extLst>
        </xdr:cNvPr>
        <xdr:cNvSpPr/>
      </xdr:nvSpPr>
      <xdr:spPr>
        <a:xfrm>
          <a:off x="3771900" y="29410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0</xdr:colOff>
      <xdr:row>14</xdr:row>
      <xdr:rowOff>7327</xdr:rowOff>
    </xdr:from>
    <xdr:to>
      <xdr:col>15</xdr:col>
      <xdr:colOff>311597</xdr:colOff>
      <xdr:row>15</xdr:row>
      <xdr:rowOff>304269</xdr:rowOff>
    </xdr:to>
    <xdr:sp macro="" textlink="">
      <xdr:nvSpPr>
        <xdr:cNvPr id="49" name="Retângulo: Biselado 48">
          <a:extLst>
            <a:ext uri="{FF2B5EF4-FFF2-40B4-BE49-F238E27FC236}">
              <a16:creationId xmlns:a16="http://schemas.microsoft.com/office/drawing/2014/main" id="{E477C002-F5A5-4354-8FFD-CB6523FA0CA1}"/>
            </a:ext>
          </a:extLst>
        </xdr:cNvPr>
        <xdr:cNvSpPr/>
      </xdr:nvSpPr>
      <xdr:spPr>
        <a:xfrm>
          <a:off x="4400550" y="294102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7326</xdr:colOff>
      <xdr:row>14</xdr:row>
      <xdr:rowOff>7327</xdr:rowOff>
    </xdr:from>
    <xdr:to>
      <xdr:col>17</xdr:col>
      <xdr:colOff>311596</xdr:colOff>
      <xdr:row>15</xdr:row>
      <xdr:rowOff>304269</xdr:rowOff>
    </xdr:to>
    <xdr:sp macro="" textlink="">
      <xdr:nvSpPr>
        <xdr:cNvPr id="50" name="Retângulo: Biselado 49">
          <a:extLst>
            <a:ext uri="{FF2B5EF4-FFF2-40B4-BE49-F238E27FC236}">
              <a16:creationId xmlns:a16="http://schemas.microsoft.com/office/drawing/2014/main" id="{296E9EF7-6487-4745-A738-B49B7B709473}"/>
            </a:ext>
          </a:extLst>
        </xdr:cNvPr>
        <xdr:cNvSpPr/>
      </xdr:nvSpPr>
      <xdr:spPr>
        <a:xfrm>
          <a:off x="5036526" y="294102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0</xdr:colOff>
      <xdr:row>14</xdr:row>
      <xdr:rowOff>7326</xdr:rowOff>
    </xdr:from>
    <xdr:to>
      <xdr:col>21</xdr:col>
      <xdr:colOff>304269</xdr:colOff>
      <xdr:row>15</xdr:row>
      <xdr:rowOff>304268</xdr:rowOff>
    </xdr:to>
    <xdr:sp macro="" textlink="">
      <xdr:nvSpPr>
        <xdr:cNvPr id="51" name="Retângulo: Biselado 50">
          <a:extLst>
            <a:ext uri="{FF2B5EF4-FFF2-40B4-BE49-F238E27FC236}">
              <a16:creationId xmlns:a16="http://schemas.microsoft.com/office/drawing/2014/main" id="{4F6E2C47-6E66-4F24-B59E-91D65DBC0C59}"/>
            </a:ext>
          </a:extLst>
        </xdr:cNvPr>
        <xdr:cNvSpPr/>
      </xdr:nvSpPr>
      <xdr:spPr>
        <a:xfrm>
          <a:off x="5657850" y="29410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0</xdr:colOff>
      <xdr:row>14</xdr:row>
      <xdr:rowOff>7327</xdr:rowOff>
    </xdr:from>
    <xdr:to>
      <xdr:col>23</xdr:col>
      <xdr:colOff>311597</xdr:colOff>
      <xdr:row>15</xdr:row>
      <xdr:rowOff>304269</xdr:rowOff>
    </xdr:to>
    <xdr:sp macro="" textlink="">
      <xdr:nvSpPr>
        <xdr:cNvPr id="52" name="Retângulo: Biselado 51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F5CCB2A-72A9-4E27-95FD-5D5A053852F8}"/>
            </a:ext>
          </a:extLst>
        </xdr:cNvPr>
        <xdr:cNvSpPr/>
      </xdr:nvSpPr>
      <xdr:spPr>
        <a:xfrm>
          <a:off x="6286500" y="29410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7326</xdr:colOff>
      <xdr:row>14</xdr:row>
      <xdr:rowOff>7327</xdr:rowOff>
    </xdr:from>
    <xdr:to>
      <xdr:col>25</xdr:col>
      <xdr:colOff>311596</xdr:colOff>
      <xdr:row>15</xdr:row>
      <xdr:rowOff>304269</xdr:rowOff>
    </xdr:to>
    <xdr:sp macro="" textlink="">
      <xdr:nvSpPr>
        <xdr:cNvPr id="53" name="Retângulo: Biselado 52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AA567A1F-2BC1-46B9-A9BC-D11ABF69C890}"/>
            </a:ext>
          </a:extLst>
        </xdr:cNvPr>
        <xdr:cNvSpPr/>
      </xdr:nvSpPr>
      <xdr:spPr>
        <a:xfrm>
          <a:off x="6922476" y="29410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26</xdr:col>
      <xdr:colOff>0</xdr:colOff>
      <xdr:row>14</xdr:row>
      <xdr:rowOff>7326</xdr:rowOff>
    </xdr:from>
    <xdr:to>
      <xdr:col>27</xdr:col>
      <xdr:colOff>304269</xdr:colOff>
      <xdr:row>15</xdr:row>
      <xdr:rowOff>304268</xdr:rowOff>
    </xdr:to>
    <xdr:sp macro="" textlink="">
      <xdr:nvSpPr>
        <xdr:cNvPr id="54" name="Retângulo: Biselado 53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6D512EB-976D-4B8B-9C99-28D11F3B4537}"/>
            </a:ext>
          </a:extLst>
        </xdr:cNvPr>
        <xdr:cNvSpPr/>
      </xdr:nvSpPr>
      <xdr:spPr>
        <a:xfrm>
          <a:off x="7543800" y="2941026"/>
          <a:ext cx="618594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28</xdr:col>
      <xdr:colOff>0</xdr:colOff>
      <xdr:row>14</xdr:row>
      <xdr:rowOff>7327</xdr:rowOff>
    </xdr:from>
    <xdr:to>
      <xdr:col>29</xdr:col>
      <xdr:colOff>311597</xdr:colOff>
      <xdr:row>15</xdr:row>
      <xdr:rowOff>304269</xdr:rowOff>
    </xdr:to>
    <xdr:sp macro="" textlink="">
      <xdr:nvSpPr>
        <xdr:cNvPr id="55" name="Retângulo: Biselado 54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F748132E-DCAE-4462-B056-3DD6888AA7E3}"/>
            </a:ext>
          </a:extLst>
        </xdr:cNvPr>
        <xdr:cNvSpPr/>
      </xdr:nvSpPr>
      <xdr:spPr>
        <a:xfrm>
          <a:off x="8172450" y="29410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30</xdr:col>
      <xdr:colOff>7326</xdr:colOff>
      <xdr:row>14</xdr:row>
      <xdr:rowOff>7327</xdr:rowOff>
    </xdr:from>
    <xdr:to>
      <xdr:col>31</xdr:col>
      <xdr:colOff>311596</xdr:colOff>
      <xdr:row>15</xdr:row>
      <xdr:rowOff>304269</xdr:rowOff>
    </xdr:to>
    <xdr:sp macro="" textlink="">
      <xdr:nvSpPr>
        <xdr:cNvPr id="56" name="Retângulo: Biselado 55">
          <a:extLst>
            <a:ext uri="{FF2B5EF4-FFF2-40B4-BE49-F238E27FC236}">
              <a16:creationId xmlns:a16="http://schemas.microsoft.com/office/drawing/2014/main" id="{BB4C4DC6-8B4D-493A-8489-BA2B9AEEA4DB}"/>
            </a:ext>
          </a:extLst>
        </xdr:cNvPr>
        <xdr:cNvSpPr/>
      </xdr:nvSpPr>
      <xdr:spPr>
        <a:xfrm>
          <a:off x="8808426" y="29410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32</xdr:col>
      <xdr:colOff>0</xdr:colOff>
      <xdr:row>14</xdr:row>
      <xdr:rowOff>7326</xdr:rowOff>
    </xdr:from>
    <xdr:to>
      <xdr:col>33</xdr:col>
      <xdr:colOff>304269</xdr:colOff>
      <xdr:row>15</xdr:row>
      <xdr:rowOff>304268</xdr:rowOff>
    </xdr:to>
    <xdr:sp macro="" textlink="">
      <xdr:nvSpPr>
        <xdr:cNvPr id="57" name="Retângulo: Biselado 56">
          <a:extLst>
            <a:ext uri="{FF2B5EF4-FFF2-40B4-BE49-F238E27FC236}">
              <a16:creationId xmlns:a16="http://schemas.microsoft.com/office/drawing/2014/main" id="{5DE4AE58-6C61-459E-8B8C-8493959D6B4F}"/>
            </a:ext>
          </a:extLst>
        </xdr:cNvPr>
        <xdr:cNvSpPr/>
      </xdr:nvSpPr>
      <xdr:spPr>
        <a:xfrm>
          <a:off x="9429750" y="2941026"/>
          <a:ext cx="618594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34</xdr:col>
      <xdr:colOff>0</xdr:colOff>
      <xdr:row>14</xdr:row>
      <xdr:rowOff>7327</xdr:rowOff>
    </xdr:from>
    <xdr:to>
      <xdr:col>35</xdr:col>
      <xdr:colOff>311597</xdr:colOff>
      <xdr:row>15</xdr:row>
      <xdr:rowOff>304269</xdr:rowOff>
    </xdr:to>
    <xdr:sp macro="" textlink="">
      <xdr:nvSpPr>
        <xdr:cNvPr id="58" name="Retângulo: Biselado 57">
          <a:extLst>
            <a:ext uri="{FF2B5EF4-FFF2-40B4-BE49-F238E27FC236}">
              <a16:creationId xmlns:a16="http://schemas.microsoft.com/office/drawing/2014/main" id="{9FC16D00-311B-4F15-A0AF-C62C108E6E66}"/>
            </a:ext>
          </a:extLst>
        </xdr:cNvPr>
        <xdr:cNvSpPr/>
      </xdr:nvSpPr>
      <xdr:spPr>
        <a:xfrm>
          <a:off x="10058400" y="29410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36</xdr:col>
      <xdr:colOff>7326</xdr:colOff>
      <xdr:row>14</xdr:row>
      <xdr:rowOff>7327</xdr:rowOff>
    </xdr:from>
    <xdr:to>
      <xdr:col>37</xdr:col>
      <xdr:colOff>311596</xdr:colOff>
      <xdr:row>15</xdr:row>
      <xdr:rowOff>304269</xdr:rowOff>
    </xdr:to>
    <xdr:sp macro="" textlink="">
      <xdr:nvSpPr>
        <xdr:cNvPr id="59" name="Retângulo: Biselado 58">
          <a:extLst>
            <a:ext uri="{FF2B5EF4-FFF2-40B4-BE49-F238E27FC236}">
              <a16:creationId xmlns:a16="http://schemas.microsoft.com/office/drawing/2014/main" id="{FCB40EB0-CC1F-4731-BB76-85BBA5DA5F79}"/>
            </a:ext>
          </a:extLst>
        </xdr:cNvPr>
        <xdr:cNvSpPr/>
      </xdr:nvSpPr>
      <xdr:spPr>
        <a:xfrm>
          <a:off x="10694376" y="29410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38</xdr:col>
      <xdr:colOff>0</xdr:colOff>
      <xdr:row>14</xdr:row>
      <xdr:rowOff>7327</xdr:rowOff>
    </xdr:from>
    <xdr:to>
      <xdr:col>39</xdr:col>
      <xdr:colOff>311597</xdr:colOff>
      <xdr:row>15</xdr:row>
      <xdr:rowOff>304269</xdr:rowOff>
    </xdr:to>
    <xdr:sp macro="" textlink="">
      <xdr:nvSpPr>
        <xdr:cNvPr id="60" name="Retângulo: Biselado 59">
          <a:extLst>
            <a:ext uri="{FF2B5EF4-FFF2-40B4-BE49-F238E27FC236}">
              <a16:creationId xmlns:a16="http://schemas.microsoft.com/office/drawing/2014/main" id="{9455FEDD-1F90-4CAC-B5BD-97F8BCB29D3E}"/>
            </a:ext>
          </a:extLst>
        </xdr:cNvPr>
        <xdr:cNvSpPr/>
      </xdr:nvSpPr>
      <xdr:spPr>
        <a:xfrm>
          <a:off x="11315700" y="29410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42</xdr:col>
      <xdr:colOff>7326</xdr:colOff>
      <xdr:row>14</xdr:row>
      <xdr:rowOff>7327</xdr:rowOff>
    </xdr:from>
    <xdr:to>
      <xdr:col>43</xdr:col>
      <xdr:colOff>311596</xdr:colOff>
      <xdr:row>15</xdr:row>
      <xdr:rowOff>304269</xdr:rowOff>
    </xdr:to>
    <xdr:sp macro="" textlink="">
      <xdr:nvSpPr>
        <xdr:cNvPr id="61" name="Retângulo: Biselado 60">
          <a:extLst>
            <a:ext uri="{FF2B5EF4-FFF2-40B4-BE49-F238E27FC236}">
              <a16:creationId xmlns:a16="http://schemas.microsoft.com/office/drawing/2014/main" id="{7AB112AD-89C0-4120-A506-131DEB6E3B83}"/>
            </a:ext>
          </a:extLst>
        </xdr:cNvPr>
        <xdr:cNvSpPr/>
      </xdr:nvSpPr>
      <xdr:spPr>
        <a:xfrm>
          <a:off x="11951676" y="29410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20</xdr:row>
      <xdr:rowOff>7326</xdr:rowOff>
    </xdr:from>
    <xdr:to>
      <xdr:col>1</xdr:col>
      <xdr:colOff>304269</xdr:colOff>
      <xdr:row>21</xdr:row>
      <xdr:rowOff>304268</xdr:rowOff>
    </xdr:to>
    <xdr:sp macro="" textlink="">
      <xdr:nvSpPr>
        <xdr:cNvPr id="82" name="Retângulo: Biselado 81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348899A7-D2CE-40BA-AAF1-1A3B1E929DE2}"/>
            </a:ext>
          </a:extLst>
        </xdr:cNvPr>
        <xdr:cNvSpPr/>
      </xdr:nvSpPr>
      <xdr:spPr>
        <a:xfrm>
          <a:off x="0" y="923191"/>
          <a:ext cx="619327" cy="612000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0</xdr:colOff>
      <xdr:row>20</xdr:row>
      <xdr:rowOff>7326</xdr:rowOff>
    </xdr:from>
    <xdr:to>
      <xdr:col>3</xdr:col>
      <xdr:colOff>304269</xdr:colOff>
      <xdr:row>21</xdr:row>
      <xdr:rowOff>304268</xdr:rowOff>
    </xdr:to>
    <xdr:sp macro="" textlink="">
      <xdr:nvSpPr>
        <xdr:cNvPr id="63" name="Retângulo: Biselado 62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13DABA54-9F08-4FCA-B9EF-F66013DA6620}"/>
            </a:ext>
          </a:extLst>
        </xdr:cNvPr>
        <xdr:cNvSpPr/>
      </xdr:nvSpPr>
      <xdr:spPr>
        <a:xfrm>
          <a:off x="0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0</xdr:colOff>
      <xdr:row>20</xdr:row>
      <xdr:rowOff>7326</xdr:rowOff>
    </xdr:from>
    <xdr:to>
      <xdr:col>5</xdr:col>
      <xdr:colOff>304269</xdr:colOff>
      <xdr:row>21</xdr:row>
      <xdr:rowOff>304268</xdr:rowOff>
    </xdr:to>
    <xdr:sp macro="" textlink="">
      <xdr:nvSpPr>
        <xdr:cNvPr id="64" name="Retângulo: Biselado 63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C3267AEA-6500-4762-A8BC-3DFD9E00186C}"/>
            </a:ext>
          </a:extLst>
        </xdr:cNvPr>
        <xdr:cNvSpPr/>
      </xdr:nvSpPr>
      <xdr:spPr>
        <a:xfrm>
          <a:off x="0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0</xdr:colOff>
      <xdr:row>20</xdr:row>
      <xdr:rowOff>7326</xdr:rowOff>
    </xdr:from>
    <xdr:to>
      <xdr:col>7</xdr:col>
      <xdr:colOff>304269</xdr:colOff>
      <xdr:row>21</xdr:row>
      <xdr:rowOff>304268</xdr:rowOff>
    </xdr:to>
    <xdr:sp macro="" textlink="">
      <xdr:nvSpPr>
        <xdr:cNvPr id="65" name="Retângulo: Biselado 64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D1DE97DD-8F52-44B2-BFAC-8CFD591FE469}"/>
            </a:ext>
          </a:extLst>
        </xdr:cNvPr>
        <xdr:cNvSpPr/>
      </xdr:nvSpPr>
      <xdr:spPr>
        <a:xfrm>
          <a:off x="630115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0</xdr:colOff>
      <xdr:row>20</xdr:row>
      <xdr:rowOff>7326</xdr:rowOff>
    </xdr:from>
    <xdr:to>
      <xdr:col>9</xdr:col>
      <xdr:colOff>304269</xdr:colOff>
      <xdr:row>21</xdr:row>
      <xdr:rowOff>304268</xdr:rowOff>
    </xdr:to>
    <xdr:sp macro="" textlink="">
      <xdr:nvSpPr>
        <xdr:cNvPr id="66" name="Retângulo: Biselado 65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C31CC3E1-D055-47DC-ADC1-6B942CBF8A05}"/>
            </a:ext>
          </a:extLst>
        </xdr:cNvPr>
        <xdr:cNvSpPr/>
      </xdr:nvSpPr>
      <xdr:spPr>
        <a:xfrm>
          <a:off x="0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0</xdr:colOff>
      <xdr:row>20</xdr:row>
      <xdr:rowOff>7326</xdr:rowOff>
    </xdr:from>
    <xdr:to>
      <xdr:col>11</xdr:col>
      <xdr:colOff>304269</xdr:colOff>
      <xdr:row>21</xdr:row>
      <xdr:rowOff>304268</xdr:rowOff>
    </xdr:to>
    <xdr:sp macro="" textlink="">
      <xdr:nvSpPr>
        <xdr:cNvPr id="67" name="Retângulo: Biselado 66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B3B58869-E8E5-4E81-910A-7C516D966C4C}"/>
            </a:ext>
          </a:extLst>
        </xdr:cNvPr>
        <xdr:cNvSpPr/>
      </xdr:nvSpPr>
      <xdr:spPr>
        <a:xfrm>
          <a:off x="630115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0</xdr:colOff>
      <xdr:row>20</xdr:row>
      <xdr:rowOff>7326</xdr:rowOff>
    </xdr:from>
    <xdr:to>
      <xdr:col>13</xdr:col>
      <xdr:colOff>304269</xdr:colOff>
      <xdr:row>21</xdr:row>
      <xdr:rowOff>304268</xdr:rowOff>
    </xdr:to>
    <xdr:sp macro="" textlink="">
      <xdr:nvSpPr>
        <xdr:cNvPr id="68" name="Retângulo: Biselado 67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B3880F17-B474-43FA-AE03-596CDA7B2558}"/>
            </a:ext>
          </a:extLst>
        </xdr:cNvPr>
        <xdr:cNvSpPr/>
      </xdr:nvSpPr>
      <xdr:spPr>
        <a:xfrm>
          <a:off x="0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0</xdr:colOff>
      <xdr:row>20</xdr:row>
      <xdr:rowOff>7326</xdr:rowOff>
    </xdr:from>
    <xdr:to>
      <xdr:col>15</xdr:col>
      <xdr:colOff>304269</xdr:colOff>
      <xdr:row>21</xdr:row>
      <xdr:rowOff>304268</xdr:rowOff>
    </xdr:to>
    <xdr:sp macro="" textlink="">
      <xdr:nvSpPr>
        <xdr:cNvPr id="69" name="Retângulo: Biselado 68">
          <a:extLst>
            <a:ext uri="{FF2B5EF4-FFF2-40B4-BE49-F238E27FC236}">
              <a16:creationId xmlns:a16="http://schemas.microsoft.com/office/drawing/2014/main" id="{61D832FA-1BA6-4802-8C38-4BF98CC10FB7}"/>
            </a:ext>
          </a:extLst>
        </xdr:cNvPr>
        <xdr:cNvSpPr/>
      </xdr:nvSpPr>
      <xdr:spPr>
        <a:xfrm>
          <a:off x="630115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0</xdr:colOff>
      <xdr:row>20</xdr:row>
      <xdr:rowOff>7326</xdr:rowOff>
    </xdr:from>
    <xdr:to>
      <xdr:col>17</xdr:col>
      <xdr:colOff>304269</xdr:colOff>
      <xdr:row>21</xdr:row>
      <xdr:rowOff>304268</xdr:rowOff>
    </xdr:to>
    <xdr:sp macro="" textlink="">
      <xdr:nvSpPr>
        <xdr:cNvPr id="70" name="Retângulo: Biselado 69">
          <a:extLst>
            <a:ext uri="{FF2B5EF4-FFF2-40B4-BE49-F238E27FC236}">
              <a16:creationId xmlns:a16="http://schemas.microsoft.com/office/drawing/2014/main" id="{AEA758EB-B6EA-493A-9BE1-021AED2CCFDF}"/>
            </a:ext>
          </a:extLst>
        </xdr:cNvPr>
        <xdr:cNvSpPr/>
      </xdr:nvSpPr>
      <xdr:spPr>
        <a:xfrm>
          <a:off x="0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0</xdr:colOff>
      <xdr:row>20</xdr:row>
      <xdr:rowOff>7326</xdr:rowOff>
    </xdr:from>
    <xdr:to>
      <xdr:col>23</xdr:col>
      <xdr:colOff>304269</xdr:colOff>
      <xdr:row>21</xdr:row>
      <xdr:rowOff>304268</xdr:rowOff>
    </xdr:to>
    <xdr:sp macro="" textlink="">
      <xdr:nvSpPr>
        <xdr:cNvPr id="72" name="Retângulo: Biselado 71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88841F43-ABAB-482C-BA1B-4FA1907DA032}"/>
            </a:ext>
          </a:extLst>
        </xdr:cNvPr>
        <xdr:cNvSpPr/>
      </xdr:nvSpPr>
      <xdr:spPr>
        <a:xfrm>
          <a:off x="6875859" y="4554025"/>
          <a:ext cx="616808" cy="609481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0</xdr:colOff>
      <xdr:row>20</xdr:row>
      <xdr:rowOff>7326</xdr:rowOff>
    </xdr:from>
    <xdr:to>
      <xdr:col>25</xdr:col>
      <xdr:colOff>304269</xdr:colOff>
      <xdr:row>21</xdr:row>
      <xdr:rowOff>304268</xdr:rowOff>
    </xdr:to>
    <xdr:sp macro="" textlink="">
      <xdr:nvSpPr>
        <xdr:cNvPr id="73" name="Retângulo: Biselado 72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E17B3CF2-85EE-49F2-BE51-9B61AB233E41}"/>
            </a:ext>
          </a:extLst>
        </xdr:cNvPr>
        <xdr:cNvSpPr/>
      </xdr:nvSpPr>
      <xdr:spPr>
        <a:xfrm>
          <a:off x="630115" y="4689230"/>
          <a:ext cx="619327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26</xdr:col>
      <xdr:colOff>0</xdr:colOff>
      <xdr:row>20</xdr:row>
      <xdr:rowOff>7326</xdr:rowOff>
    </xdr:from>
    <xdr:to>
      <xdr:col>27</xdr:col>
      <xdr:colOff>304269</xdr:colOff>
      <xdr:row>21</xdr:row>
      <xdr:rowOff>304268</xdr:rowOff>
    </xdr:to>
    <xdr:sp macro="" textlink="">
      <xdr:nvSpPr>
        <xdr:cNvPr id="74" name="Retângulo: Biselado 73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1EDABB70-A151-4FCF-AA51-0AB5A89D770D}"/>
            </a:ext>
          </a:extLst>
        </xdr:cNvPr>
        <xdr:cNvSpPr/>
      </xdr:nvSpPr>
      <xdr:spPr>
        <a:xfrm>
          <a:off x="1260231" y="4689230"/>
          <a:ext cx="619326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28</xdr:col>
      <xdr:colOff>0</xdr:colOff>
      <xdr:row>20</xdr:row>
      <xdr:rowOff>7326</xdr:rowOff>
    </xdr:from>
    <xdr:to>
      <xdr:col>29</xdr:col>
      <xdr:colOff>304269</xdr:colOff>
      <xdr:row>21</xdr:row>
      <xdr:rowOff>304268</xdr:rowOff>
    </xdr:to>
    <xdr:sp macro="" textlink="">
      <xdr:nvSpPr>
        <xdr:cNvPr id="75" name="Retângulo: Biselado 74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F73951D-6391-456E-8B88-5814DC827E14}"/>
            </a:ext>
          </a:extLst>
        </xdr:cNvPr>
        <xdr:cNvSpPr/>
      </xdr:nvSpPr>
      <xdr:spPr>
        <a:xfrm>
          <a:off x="1890346" y="4689230"/>
          <a:ext cx="619327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30</xdr:col>
      <xdr:colOff>0</xdr:colOff>
      <xdr:row>20</xdr:row>
      <xdr:rowOff>7326</xdr:rowOff>
    </xdr:from>
    <xdr:to>
      <xdr:col>31</xdr:col>
      <xdr:colOff>304269</xdr:colOff>
      <xdr:row>21</xdr:row>
      <xdr:rowOff>304268</xdr:rowOff>
    </xdr:to>
    <xdr:sp macro="" textlink="">
      <xdr:nvSpPr>
        <xdr:cNvPr id="76" name="Retângulo: Biselado 75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8F5511B8-EBCF-4CDC-A9FB-0F8B635DB9F9}"/>
            </a:ext>
          </a:extLst>
        </xdr:cNvPr>
        <xdr:cNvSpPr/>
      </xdr:nvSpPr>
      <xdr:spPr>
        <a:xfrm>
          <a:off x="2520462" y="4689230"/>
          <a:ext cx="619326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32</xdr:col>
      <xdr:colOff>0</xdr:colOff>
      <xdr:row>20</xdr:row>
      <xdr:rowOff>7326</xdr:rowOff>
    </xdr:from>
    <xdr:to>
      <xdr:col>33</xdr:col>
      <xdr:colOff>304269</xdr:colOff>
      <xdr:row>21</xdr:row>
      <xdr:rowOff>304268</xdr:rowOff>
    </xdr:to>
    <xdr:sp macro="" textlink="">
      <xdr:nvSpPr>
        <xdr:cNvPr id="77" name="Retângulo: Biselado 76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67132EBF-F20B-4E4C-9A35-E0FF75809EDC}"/>
            </a:ext>
          </a:extLst>
        </xdr:cNvPr>
        <xdr:cNvSpPr/>
      </xdr:nvSpPr>
      <xdr:spPr>
        <a:xfrm>
          <a:off x="3150577" y="4689230"/>
          <a:ext cx="619327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34</xdr:col>
      <xdr:colOff>0</xdr:colOff>
      <xdr:row>20</xdr:row>
      <xdr:rowOff>7326</xdr:rowOff>
    </xdr:from>
    <xdr:to>
      <xdr:col>35</xdr:col>
      <xdr:colOff>304269</xdr:colOff>
      <xdr:row>21</xdr:row>
      <xdr:rowOff>304268</xdr:rowOff>
    </xdr:to>
    <xdr:sp macro="" textlink="">
      <xdr:nvSpPr>
        <xdr:cNvPr id="78" name="Retângulo: Biselado 77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76D15A7F-2AFE-4096-A851-934A17B962F8}"/>
            </a:ext>
          </a:extLst>
        </xdr:cNvPr>
        <xdr:cNvSpPr/>
      </xdr:nvSpPr>
      <xdr:spPr>
        <a:xfrm>
          <a:off x="3780692" y="4689230"/>
          <a:ext cx="619327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36</xdr:col>
      <xdr:colOff>0</xdr:colOff>
      <xdr:row>20</xdr:row>
      <xdr:rowOff>7326</xdr:rowOff>
    </xdr:from>
    <xdr:to>
      <xdr:col>37</xdr:col>
      <xdr:colOff>304269</xdr:colOff>
      <xdr:row>21</xdr:row>
      <xdr:rowOff>304268</xdr:rowOff>
    </xdr:to>
    <xdr:sp macro="" textlink="">
      <xdr:nvSpPr>
        <xdr:cNvPr id="79" name="Retângulo: Biselado 78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623D043E-470A-42E3-BD25-1B4D8DEAA839}"/>
            </a:ext>
          </a:extLst>
        </xdr:cNvPr>
        <xdr:cNvSpPr/>
      </xdr:nvSpPr>
      <xdr:spPr>
        <a:xfrm>
          <a:off x="4410808" y="4689230"/>
          <a:ext cx="619326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38</xdr:col>
      <xdr:colOff>0</xdr:colOff>
      <xdr:row>20</xdr:row>
      <xdr:rowOff>7326</xdr:rowOff>
    </xdr:from>
    <xdr:to>
      <xdr:col>39</xdr:col>
      <xdr:colOff>304269</xdr:colOff>
      <xdr:row>21</xdr:row>
      <xdr:rowOff>304268</xdr:rowOff>
    </xdr:to>
    <xdr:sp macro="" textlink="">
      <xdr:nvSpPr>
        <xdr:cNvPr id="80" name="Retângulo: Biselado 79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430327F-EC1E-4DA4-8121-B3C0136178AF}"/>
            </a:ext>
          </a:extLst>
        </xdr:cNvPr>
        <xdr:cNvSpPr/>
      </xdr:nvSpPr>
      <xdr:spPr>
        <a:xfrm>
          <a:off x="5040923" y="4689230"/>
          <a:ext cx="619327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42</xdr:col>
      <xdr:colOff>0</xdr:colOff>
      <xdr:row>20</xdr:row>
      <xdr:rowOff>7326</xdr:rowOff>
    </xdr:from>
    <xdr:to>
      <xdr:col>43</xdr:col>
      <xdr:colOff>304269</xdr:colOff>
      <xdr:row>21</xdr:row>
      <xdr:rowOff>304268</xdr:rowOff>
    </xdr:to>
    <xdr:sp macro="" textlink="">
      <xdr:nvSpPr>
        <xdr:cNvPr id="81" name="Retângulo: Biselado 80">
          <a:extLst>
            <a:ext uri="{FF2B5EF4-FFF2-40B4-BE49-F238E27FC236}">
              <a16:creationId xmlns:a16="http://schemas.microsoft.com/office/drawing/2014/main" id="{94E062D5-25E1-4E71-AC31-676EBCF9F22A}"/>
            </a:ext>
          </a:extLst>
        </xdr:cNvPr>
        <xdr:cNvSpPr/>
      </xdr:nvSpPr>
      <xdr:spPr>
        <a:xfrm>
          <a:off x="5671038" y="4689230"/>
          <a:ext cx="619327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95250</xdr:colOff>
      <xdr:row>20</xdr:row>
      <xdr:rowOff>102053</xdr:rowOff>
    </xdr:from>
    <xdr:to>
      <xdr:col>1</xdr:col>
      <xdr:colOff>203486</xdr:colOff>
      <xdr:row>21</xdr:row>
      <xdr:rowOff>210290</xdr:rowOff>
    </xdr:to>
    <xdr:pic>
      <xdr:nvPicPr>
        <xdr:cNvPr id="83" name="Imagem 82" descr="ícone Binance Livre de Aegi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59F8908-298C-42C5-9BEA-563F9060517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765901"/>
          <a:ext cx="421200" cy="421200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98652</xdr:colOff>
      <xdr:row>20</xdr:row>
      <xdr:rowOff>102053</xdr:rowOff>
    </xdr:from>
    <xdr:to>
      <xdr:col>3</xdr:col>
      <xdr:colOff>206888</xdr:colOff>
      <xdr:row>21</xdr:row>
      <xdr:rowOff>210290</xdr:rowOff>
    </xdr:to>
    <xdr:pic>
      <xdr:nvPicPr>
        <xdr:cNvPr id="84" name="Imagem 83" descr="Binance Dex Exchange live Markets and Listings | CryptoRank.io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6A1437E9-2C1E-420A-954A-1F63D761AE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19" t="19282" r="24215" b="20179"/>
        <a:stretch/>
      </xdr:blipFill>
      <xdr:spPr bwMode="auto">
        <a:xfrm>
          <a:off x="724581" y="4765901"/>
          <a:ext cx="421200" cy="421200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98652</xdr:colOff>
      <xdr:row>20</xdr:row>
      <xdr:rowOff>102054</xdr:rowOff>
    </xdr:from>
    <xdr:to>
      <xdr:col>5</xdr:col>
      <xdr:colOff>206888</xdr:colOff>
      <xdr:row>21</xdr:row>
      <xdr:rowOff>210291</xdr:rowOff>
    </xdr:to>
    <xdr:pic>
      <xdr:nvPicPr>
        <xdr:cNvPr id="85" name="Imagem 84" descr="Vídeo Animado Explicativo - BitPreço - YouTube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A7B68706-BF7C-4E27-8426-551ECBDCA4E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07" t="13826" r="34526" b="8682"/>
        <a:stretch/>
      </xdr:blipFill>
      <xdr:spPr bwMode="auto">
        <a:xfrm>
          <a:off x="1350509" y="4765902"/>
          <a:ext cx="421200" cy="421200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98652</xdr:colOff>
      <xdr:row>20</xdr:row>
      <xdr:rowOff>102053</xdr:rowOff>
    </xdr:from>
    <xdr:to>
      <xdr:col>7</xdr:col>
      <xdr:colOff>206888</xdr:colOff>
      <xdr:row>21</xdr:row>
      <xdr:rowOff>210290</xdr:rowOff>
    </xdr:to>
    <xdr:pic>
      <xdr:nvPicPr>
        <xdr:cNvPr id="86" name="Imagem 85" descr="Uphold Card – Apps on Google Play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D0E5DDED-D1C4-421E-AF75-357A30CBD2B4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83" t="11289" r="23095" b="8983"/>
        <a:stretch/>
      </xdr:blipFill>
      <xdr:spPr bwMode="auto">
        <a:xfrm>
          <a:off x="1976438" y="4765901"/>
          <a:ext cx="421200" cy="421200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98651</xdr:colOff>
      <xdr:row>20</xdr:row>
      <xdr:rowOff>102054</xdr:rowOff>
    </xdr:from>
    <xdr:to>
      <xdr:col>9</xdr:col>
      <xdr:colOff>206886</xdr:colOff>
      <xdr:row>21</xdr:row>
      <xdr:rowOff>210291</xdr:rowOff>
    </xdr:to>
    <xdr:pic>
      <xdr:nvPicPr>
        <xdr:cNvPr id="87" name="Imagem 86" descr="Exodus: Crypto Bitcoin Wallet - אפליקציות ב-Google Play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906BE523-6EE2-4D83-824C-DE194B542916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06" t="17606" r="17254" b="17253"/>
        <a:stretch/>
      </xdr:blipFill>
      <xdr:spPr bwMode="auto">
        <a:xfrm>
          <a:off x="2602365" y="4765902"/>
          <a:ext cx="421200" cy="421200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98652</xdr:colOff>
      <xdr:row>20</xdr:row>
      <xdr:rowOff>102054</xdr:rowOff>
    </xdr:from>
    <xdr:to>
      <xdr:col>11</xdr:col>
      <xdr:colOff>206888</xdr:colOff>
      <xdr:row>21</xdr:row>
      <xdr:rowOff>210291</xdr:rowOff>
    </xdr:to>
    <xdr:pic>
      <xdr:nvPicPr>
        <xdr:cNvPr id="88" name="Imagem 87" descr="NovaDAX (@Nova_DAX) | Twitte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4634F814-3C6B-455C-938A-57993750B86B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49" t="15500" r="15500" b="15500"/>
        <a:stretch/>
      </xdr:blipFill>
      <xdr:spPr bwMode="auto">
        <a:xfrm>
          <a:off x="3228295" y="4765902"/>
          <a:ext cx="421200" cy="421200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98653</xdr:colOff>
      <xdr:row>20</xdr:row>
      <xdr:rowOff>102053</xdr:rowOff>
    </xdr:from>
    <xdr:to>
      <xdr:col>13</xdr:col>
      <xdr:colOff>206888</xdr:colOff>
      <xdr:row>21</xdr:row>
      <xdr:rowOff>210290</xdr:rowOff>
    </xdr:to>
    <xdr:pic>
      <xdr:nvPicPr>
        <xdr:cNvPr id="89" name="Imagem 88" descr="Alter - Compre e venda bitcoin sem taxas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2F3C4BF-A348-4C24-97D9-48C3E63939C5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117"/>
        <a:stretch/>
      </xdr:blipFill>
      <xdr:spPr bwMode="auto">
        <a:xfrm>
          <a:off x="3854224" y="4765901"/>
          <a:ext cx="421200" cy="421200"/>
        </a:xfrm>
        <a:prstGeom prst="rect">
          <a:avLst/>
        </a:prstGeom>
        <a:solidFill>
          <a:schemeClr val="bg1"/>
        </a:solidFill>
        <a:ln w="12700">
          <a:solidFill>
            <a:srgbClr val="FFFF00"/>
          </a:solidFill>
        </a:ln>
      </xdr:spPr>
    </xdr:pic>
    <xdr:clientData/>
  </xdr:twoCellAnchor>
  <xdr:twoCellAnchor editAs="oneCell">
    <xdr:from>
      <xdr:col>26</xdr:col>
      <xdr:colOff>95387</xdr:colOff>
      <xdr:row>20</xdr:row>
      <xdr:rowOff>105840</xdr:rowOff>
    </xdr:from>
    <xdr:to>
      <xdr:col>27</xdr:col>
      <xdr:colOff>203623</xdr:colOff>
      <xdr:row>21</xdr:row>
      <xdr:rowOff>214077</xdr:rowOff>
    </xdr:to>
    <xdr:pic>
      <xdr:nvPicPr>
        <xdr:cNvPr id="90" name="Imagem 89" descr="ícone Binance Livre de Aegis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D695F674-6661-4A60-BD58-1D26A2DB142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368" y="4767698"/>
          <a:ext cx="420945" cy="420943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98789</xdr:colOff>
      <xdr:row>20</xdr:row>
      <xdr:rowOff>105840</xdr:rowOff>
    </xdr:from>
    <xdr:to>
      <xdr:col>29</xdr:col>
      <xdr:colOff>207025</xdr:colOff>
      <xdr:row>21</xdr:row>
      <xdr:rowOff>214077</xdr:rowOff>
    </xdr:to>
    <xdr:pic>
      <xdr:nvPicPr>
        <xdr:cNvPr id="91" name="Imagem 90" descr="Binance Dex Exchange live Markets and Listings | CryptoRank.io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8E555E18-B239-45B8-8F8E-BD0FC209AA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19" t="19282" r="24215" b="20179"/>
        <a:stretch/>
      </xdr:blipFill>
      <xdr:spPr bwMode="auto">
        <a:xfrm>
          <a:off x="8229185" y="4767698"/>
          <a:ext cx="420944" cy="420943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98790</xdr:colOff>
      <xdr:row>20</xdr:row>
      <xdr:rowOff>105841</xdr:rowOff>
    </xdr:from>
    <xdr:to>
      <xdr:col>31</xdr:col>
      <xdr:colOff>207026</xdr:colOff>
      <xdr:row>21</xdr:row>
      <xdr:rowOff>214078</xdr:rowOff>
    </xdr:to>
    <xdr:pic>
      <xdr:nvPicPr>
        <xdr:cNvPr id="92" name="Imagem 91" descr="Vídeo Animado Explicativo - BitPreço - YouTube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2028AC36-F096-4F47-B889-018461C3AC5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07" t="13826" r="34526" b="8682"/>
        <a:stretch/>
      </xdr:blipFill>
      <xdr:spPr bwMode="auto">
        <a:xfrm>
          <a:off x="8854601" y="4767699"/>
          <a:ext cx="420943" cy="420943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98789</xdr:colOff>
      <xdr:row>20</xdr:row>
      <xdr:rowOff>105840</xdr:rowOff>
    </xdr:from>
    <xdr:to>
      <xdr:col>33</xdr:col>
      <xdr:colOff>207025</xdr:colOff>
      <xdr:row>21</xdr:row>
      <xdr:rowOff>214077</xdr:rowOff>
    </xdr:to>
    <xdr:pic>
      <xdr:nvPicPr>
        <xdr:cNvPr id="93" name="Imagem 92" descr="Uphold Card – Apps on Google Play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DD2455D-43FC-4B32-AF1B-2FC1CE29988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83" t="11289" r="23095" b="8983"/>
        <a:stretch/>
      </xdr:blipFill>
      <xdr:spPr bwMode="auto">
        <a:xfrm>
          <a:off x="9480015" y="4767698"/>
          <a:ext cx="420945" cy="420943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98789</xdr:colOff>
      <xdr:row>20</xdr:row>
      <xdr:rowOff>105841</xdr:rowOff>
    </xdr:from>
    <xdr:to>
      <xdr:col>35</xdr:col>
      <xdr:colOff>207024</xdr:colOff>
      <xdr:row>21</xdr:row>
      <xdr:rowOff>214078</xdr:rowOff>
    </xdr:to>
    <xdr:pic>
      <xdr:nvPicPr>
        <xdr:cNvPr id="94" name="Imagem 93" descr="Exodus: Crypto Bitcoin Wallet - אפליקציות ב-Google Play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CC44C29-91D1-4938-9BA8-0D8ED1EF8256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06" t="17606" r="17254" b="17253"/>
        <a:stretch/>
      </xdr:blipFill>
      <xdr:spPr bwMode="auto">
        <a:xfrm>
          <a:off x="10105431" y="4767699"/>
          <a:ext cx="420941" cy="420943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98789</xdr:colOff>
      <xdr:row>20</xdr:row>
      <xdr:rowOff>105841</xdr:rowOff>
    </xdr:from>
    <xdr:to>
      <xdr:col>37</xdr:col>
      <xdr:colOff>207025</xdr:colOff>
      <xdr:row>21</xdr:row>
      <xdr:rowOff>214078</xdr:rowOff>
    </xdr:to>
    <xdr:pic>
      <xdr:nvPicPr>
        <xdr:cNvPr id="95" name="Imagem 94" descr="NovaDAX (@Nova_DAX) | Twitter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FE6EA530-B0F2-4888-A755-5B92E9E9B55D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49" t="15500" r="15500" b="15500"/>
        <a:stretch/>
      </xdr:blipFill>
      <xdr:spPr bwMode="auto">
        <a:xfrm>
          <a:off x="10730846" y="4767699"/>
          <a:ext cx="420944" cy="420943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98790</xdr:colOff>
      <xdr:row>20</xdr:row>
      <xdr:rowOff>105840</xdr:rowOff>
    </xdr:from>
    <xdr:to>
      <xdr:col>39</xdr:col>
      <xdr:colOff>207025</xdr:colOff>
      <xdr:row>21</xdr:row>
      <xdr:rowOff>214077</xdr:rowOff>
    </xdr:to>
    <xdr:pic>
      <xdr:nvPicPr>
        <xdr:cNvPr id="96" name="Imagem 95" descr="Alter - Compre e venda bitcoin sem taxas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EDE9843B-5540-4032-A2E8-94F071363ACA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117"/>
        <a:stretch/>
      </xdr:blipFill>
      <xdr:spPr bwMode="auto">
        <a:xfrm>
          <a:off x="11356262" y="4767698"/>
          <a:ext cx="420942" cy="420943"/>
        </a:xfrm>
        <a:prstGeom prst="rect">
          <a:avLst/>
        </a:prstGeom>
        <a:solidFill>
          <a:schemeClr val="bg1"/>
        </a:solidFill>
        <a:ln w="12700">
          <a:solidFill>
            <a:srgbClr val="FFFF00"/>
          </a:solidFill>
        </a:ln>
      </xdr:spPr>
    </xdr:pic>
    <xdr:clientData/>
  </xdr:twoCellAnchor>
  <xdr:twoCellAnchor editAs="oneCell">
    <xdr:from>
      <xdr:col>22</xdr:col>
      <xdr:colOff>97413</xdr:colOff>
      <xdr:row>20</xdr:row>
      <xdr:rowOff>100642</xdr:rowOff>
    </xdr:from>
    <xdr:to>
      <xdr:col>23</xdr:col>
      <xdr:colOff>205906</xdr:colOff>
      <xdr:row>21</xdr:row>
      <xdr:rowOff>209136</xdr:rowOff>
    </xdr:to>
    <xdr:pic>
      <xdr:nvPicPr>
        <xdr:cNvPr id="97" name="Imagem 96" descr="Easynvest · GitHub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185BE381-11B8-4260-8866-70124DEB9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1311" y="4766278"/>
          <a:ext cx="421688" cy="421687"/>
        </a:xfrm>
        <a:prstGeom prst="rect">
          <a:avLst/>
        </a:prstGeom>
        <a:solidFill>
          <a:schemeClr val="bg1"/>
        </a:solidFill>
        <a:ln>
          <a:solidFill>
            <a:srgbClr val="FFFF00"/>
          </a:solidFill>
        </a:ln>
      </xdr:spPr>
    </xdr:pic>
    <xdr:clientData/>
  </xdr:twoCellAnchor>
  <xdr:twoCellAnchor editAs="oneCell">
    <xdr:from>
      <xdr:col>24</xdr:col>
      <xdr:colOff>96863</xdr:colOff>
      <xdr:row>20</xdr:row>
      <xdr:rowOff>100093</xdr:rowOff>
    </xdr:from>
    <xdr:to>
      <xdr:col>25</xdr:col>
      <xdr:colOff>204869</xdr:colOff>
      <xdr:row>21</xdr:row>
      <xdr:rowOff>208100</xdr:rowOff>
    </xdr:to>
    <xdr:pic>
      <xdr:nvPicPr>
        <xdr:cNvPr id="98" name="Imagem 97" descr="Clear Investimentos: Amazon.com.br: Amazon Appstore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70692BEA-1A08-4725-8DE2-5D89B381A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7151" y="4765729"/>
          <a:ext cx="421200" cy="421200"/>
        </a:xfrm>
        <a:prstGeom prst="rect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0</xdr:colOff>
      <xdr:row>20</xdr:row>
      <xdr:rowOff>7326</xdr:rowOff>
    </xdr:from>
    <xdr:to>
      <xdr:col>41</xdr:col>
      <xdr:colOff>304269</xdr:colOff>
      <xdr:row>21</xdr:row>
      <xdr:rowOff>304268</xdr:rowOff>
    </xdr:to>
    <xdr:sp macro="" textlink="">
      <xdr:nvSpPr>
        <xdr:cNvPr id="120" name="Retângulo: Biselado 119">
          <a:extLst>
            <a:ext uri="{FF2B5EF4-FFF2-40B4-BE49-F238E27FC236}">
              <a16:creationId xmlns:a16="http://schemas.microsoft.com/office/drawing/2014/main" id="{394B7316-AEB7-431B-A171-00B1784DBB64}"/>
            </a:ext>
          </a:extLst>
        </xdr:cNvPr>
        <xdr:cNvSpPr/>
      </xdr:nvSpPr>
      <xdr:spPr>
        <a:xfrm>
          <a:off x="13126641" y="4531701"/>
          <a:ext cx="616808" cy="609481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7326</xdr:colOff>
      <xdr:row>6</xdr:row>
      <xdr:rowOff>7327</xdr:rowOff>
    </xdr:from>
    <xdr:to>
      <xdr:col>19</xdr:col>
      <xdr:colOff>311596</xdr:colOff>
      <xdr:row>7</xdr:row>
      <xdr:rowOff>304269</xdr:rowOff>
    </xdr:to>
    <xdr:sp macro="" textlink="">
      <xdr:nvSpPr>
        <xdr:cNvPr id="121" name="Retângulo: Biselado 120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A498DD61-605B-4AFD-9949-129E6705872C}"/>
            </a:ext>
          </a:extLst>
        </xdr:cNvPr>
        <xdr:cNvSpPr/>
      </xdr:nvSpPr>
      <xdr:spPr>
        <a:xfrm>
          <a:off x="5007951" y="2143011"/>
          <a:ext cx="616809" cy="609481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7326</xdr:colOff>
      <xdr:row>10</xdr:row>
      <xdr:rowOff>7327</xdr:rowOff>
    </xdr:from>
    <xdr:to>
      <xdr:col>19</xdr:col>
      <xdr:colOff>311596</xdr:colOff>
      <xdr:row>11</xdr:row>
      <xdr:rowOff>304269</xdr:rowOff>
    </xdr:to>
    <xdr:sp macro="" textlink="">
      <xdr:nvSpPr>
        <xdr:cNvPr id="122" name="Retângulo: Biselado 121">
          <a:extLst>
            <a:ext uri="{FF2B5EF4-FFF2-40B4-BE49-F238E27FC236}">
              <a16:creationId xmlns:a16="http://schemas.microsoft.com/office/drawing/2014/main" id="{E4276868-C309-4488-A66C-98F6154DFC31}"/>
            </a:ext>
          </a:extLst>
        </xdr:cNvPr>
        <xdr:cNvSpPr/>
      </xdr:nvSpPr>
      <xdr:spPr>
        <a:xfrm>
          <a:off x="5007951" y="2143011"/>
          <a:ext cx="616809" cy="609481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7326</xdr:colOff>
      <xdr:row>14</xdr:row>
      <xdr:rowOff>7327</xdr:rowOff>
    </xdr:from>
    <xdr:to>
      <xdr:col>19</xdr:col>
      <xdr:colOff>311596</xdr:colOff>
      <xdr:row>15</xdr:row>
      <xdr:rowOff>304269</xdr:rowOff>
    </xdr:to>
    <xdr:sp macro="" textlink="">
      <xdr:nvSpPr>
        <xdr:cNvPr id="123" name="Retângulo: Biselado 122">
          <a:extLst>
            <a:ext uri="{FF2B5EF4-FFF2-40B4-BE49-F238E27FC236}">
              <a16:creationId xmlns:a16="http://schemas.microsoft.com/office/drawing/2014/main" id="{A0AC0409-3ACA-4C11-900E-BA17C0B25C07}"/>
            </a:ext>
          </a:extLst>
        </xdr:cNvPr>
        <xdr:cNvSpPr/>
      </xdr:nvSpPr>
      <xdr:spPr>
        <a:xfrm>
          <a:off x="5007951" y="2143011"/>
          <a:ext cx="616809" cy="609481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40</xdr:col>
      <xdr:colOff>0</xdr:colOff>
      <xdr:row>6</xdr:row>
      <xdr:rowOff>7327</xdr:rowOff>
    </xdr:from>
    <xdr:to>
      <xdr:col>41</xdr:col>
      <xdr:colOff>311597</xdr:colOff>
      <xdr:row>7</xdr:row>
      <xdr:rowOff>304269</xdr:rowOff>
    </xdr:to>
    <xdr:sp macro="" textlink="">
      <xdr:nvSpPr>
        <xdr:cNvPr id="124" name="Retângulo: Biselado 123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5E2C0C54-AB27-4B2B-801D-D642E969FBB3}"/>
            </a:ext>
          </a:extLst>
        </xdr:cNvPr>
        <xdr:cNvSpPr/>
      </xdr:nvSpPr>
      <xdr:spPr>
        <a:xfrm>
          <a:off x="11876484" y="3155042"/>
          <a:ext cx="624136" cy="609481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40</xdr:col>
      <xdr:colOff>0</xdr:colOff>
      <xdr:row>10</xdr:row>
      <xdr:rowOff>7327</xdr:rowOff>
    </xdr:from>
    <xdr:to>
      <xdr:col>41</xdr:col>
      <xdr:colOff>311597</xdr:colOff>
      <xdr:row>11</xdr:row>
      <xdr:rowOff>304269</xdr:rowOff>
    </xdr:to>
    <xdr:sp macro="" textlink="">
      <xdr:nvSpPr>
        <xdr:cNvPr id="125" name="Retângulo: Biselado 124">
          <a:extLst>
            <a:ext uri="{FF2B5EF4-FFF2-40B4-BE49-F238E27FC236}">
              <a16:creationId xmlns:a16="http://schemas.microsoft.com/office/drawing/2014/main" id="{91592BFE-42AC-4A30-A7A3-DC4308DF5E1A}"/>
            </a:ext>
          </a:extLst>
        </xdr:cNvPr>
        <xdr:cNvSpPr/>
      </xdr:nvSpPr>
      <xdr:spPr>
        <a:xfrm>
          <a:off x="11876484" y="3155042"/>
          <a:ext cx="624136" cy="609481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40</xdr:col>
      <xdr:colOff>0</xdr:colOff>
      <xdr:row>14</xdr:row>
      <xdr:rowOff>7327</xdr:rowOff>
    </xdr:from>
    <xdr:to>
      <xdr:col>41</xdr:col>
      <xdr:colOff>311597</xdr:colOff>
      <xdr:row>15</xdr:row>
      <xdr:rowOff>304269</xdr:rowOff>
    </xdr:to>
    <xdr:sp macro="" textlink="">
      <xdr:nvSpPr>
        <xdr:cNvPr id="126" name="Retângulo: Biselado 125">
          <a:extLst>
            <a:ext uri="{FF2B5EF4-FFF2-40B4-BE49-F238E27FC236}">
              <a16:creationId xmlns:a16="http://schemas.microsoft.com/office/drawing/2014/main" id="{F0872B8E-C048-4399-9C0E-A705CF445332}"/>
            </a:ext>
          </a:extLst>
        </xdr:cNvPr>
        <xdr:cNvSpPr/>
      </xdr:nvSpPr>
      <xdr:spPr>
        <a:xfrm>
          <a:off x="11876484" y="3155042"/>
          <a:ext cx="624136" cy="609481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22</xdr:col>
      <xdr:colOff>88940</xdr:colOff>
      <xdr:row>10</xdr:row>
      <xdr:rowOff>96559</xdr:rowOff>
    </xdr:from>
    <xdr:to>
      <xdr:col>23</xdr:col>
      <xdr:colOff>228600</xdr:colOff>
      <xdr:row>11</xdr:row>
      <xdr:rowOff>224790</xdr:rowOff>
    </xdr:to>
    <xdr:pic>
      <xdr:nvPicPr>
        <xdr:cNvPr id="106" name="Imagem 105" descr="Logo Tesla Ícone - Download Grátis, PNG e Vetore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1AC988D3-9EAB-433B-96B0-47D15E275815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35" t="7645" r="5637" b="5465"/>
        <a:stretch/>
      </xdr:blipFill>
      <xdr:spPr bwMode="auto">
        <a:xfrm>
          <a:off x="7046000" y="2230159"/>
          <a:ext cx="455890" cy="444461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0</xdr:col>
      <xdr:colOff>88940</xdr:colOff>
      <xdr:row>10</xdr:row>
      <xdr:rowOff>96559</xdr:rowOff>
    </xdr:from>
    <xdr:to>
      <xdr:col>1</xdr:col>
      <xdr:colOff>228600</xdr:colOff>
      <xdr:row>11</xdr:row>
      <xdr:rowOff>224790</xdr:rowOff>
    </xdr:to>
    <xdr:pic>
      <xdr:nvPicPr>
        <xdr:cNvPr id="107" name="Imagem 106" descr="Logo Tesla Ícone - Download Grátis, PNG e Vetore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9AC5A96-E991-4A7C-B977-0BA708D2D2A7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35" t="7645" r="5637" b="5465"/>
        <a:stretch/>
      </xdr:blipFill>
      <xdr:spPr bwMode="auto">
        <a:xfrm>
          <a:off x="88940" y="2230159"/>
          <a:ext cx="455890" cy="444461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2</xdr:col>
      <xdr:colOff>87629</xdr:colOff>
      <xdr:row>10</xdr:row>
      <xdr:rowOff>95251</xdr:rowOff>
    </xdr:from>
    <xdr:to>
      <xdr:col>3</xdr:col>
      <xdr:colOff>228599</xdr:colOff>
      <xdr:row>11</xdr:row>
      <xdr:rowOff>225421</xdr:rowOff>
    </xdr:to>
    <xdr:pic>
      <xdr:nvPicPr>
        <xdr:cNvPr id="108" name="Imagem 10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72670F2-2AB4-40B4-A367-83BA7F97FCE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62" t="12379" r="15296" b="14058"/>
        <a:stretch/>
      </xdr:blipFill>
      <xdr:spPr bwMode="auto">
        <a:xfrm>
          <a:off x="720089" y="2228851"/>
          <a:ext cx="457200" cy="4464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24</xdr:col>
      <xdr:colOff>91439</xdr:colOff>
      <xdr:row>10</xdr:row>
      <xdr:rowOff>91441</xdr:rowOff>
    </xdr:from>
    <xdr:to>
      <xdr:col>25</xdr:col>
      <xdr:colOff>232409</xdr:colOff>
      <xdr:row>11</xdr:row>
      <xdr:rowOff>221611</xdr:rowOff>
    </xdr:to>
    <xdr:pic>
      <xdr:nvPicPr>
        <xdr:cNvPr id="109" name="Imagem 108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46C227B-3C7C-4F27-BE7B-9F7209213B7A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62" t="12379" r="15296" b="14058"/>
        <a:stretch/>
      </xdr:blipFill>
      <xdr:spPr bwMode="auto">
        <a:xfrm>
          <a:off x="7680959" y="2225041"/>
          <a:ext cx="457200" cy="4464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4</xdr:col>
      <xdr:colOff>91440</xdr:colOff>
      <xdr:row>10</xdr:row>
      <xdr:rowOff>95250</xdr:rowOff>
    </xdr:from>
    <xdr:to>
      <xdr:col>5</xdr:col>
      <xdr:colOff>232410</xdr:colOff>
      <xdr:row>11</xdr:row>
      <xdr:rowOff>225420</xdr:rowOff>
    </xdr:to>
    <xdr:pic>
      <xdr:nvPicPr>
        <xdr:cNvPr id="110" name="Imagem 109" descr="Johnson &amp;amp; Johnson Logo - PNG e Vetor - Download de Log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4990833-23D9-4D57-876B-71424E864E4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0" y="2228850"/>
          <a:ext cx="457200" cy="44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83820</xdr:colOff>
      <xdr:row>10</xdr:row>
      <xdr:rowOff>91440</xdr:rowOff>
    </xdr:from>
    <xdr:to>
      <xdr:col>27</xdr:col>
      <xdr:colOff>224790</xdr:colOff>
      <xdr:row>11</xdr:row>
      <xdr:rowOff>221610</xdr:rowOff>
    </xdr:to>
    <xdr:pic>
      <xdr:nvPicPr>
        <xdr:cNvPr id="111" name="Imagem 110" descr="Johnson &amp;amp; Johnson Logo - PNG e Vetor - Download de Logo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F853B71C-3B0C-4479-A292-0E5E101F7F8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2225040"/>
          <a:ext cx="457200" cy="44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83820</xdr:colOff>
      <xdr:row>10</xdr:row>
      <xdr:rowOff>95250</xdr:rowOff>
    </xdr:from>
    <xdr:to>
      <xdr:col>7</xdr:col>
      <xdr:colOff>224790</xdr:colOff>
      <xdr:row>11</xdr:row>
      <xdr:rowOff>225420</xdr:rowOff>
    </xdr:to>
    <xdr:pic>
      <xdr:nvPicPr>
        <xdr:cNvPr id="117" name="Imagem 116" descr="Eva Ngigi appointed Visa&amp;#39;s new Kenya Country Head – TechMoran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E9B145F9-0157-4101-BDA4-C12C026F42B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676"/>
        <a:stretch/>
      </xdr:blipFill>
      <xdr:spPr bwMode="auto">
        <a:xfrm>
          <a:off x="1981200" y="2228850"/>
          <a:ext cx="457200" cy="44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83820</xdr:colOff>
      <xdr:row>10</xdr:row>
      <xdr:rowOff>91440</xdr:rowOff>
    </xdr:from>
    <xdr:to>
      <xdr:col>29</xdr:col>
      <xdr:colOff>224790</xdr:colOff>
      <xdr:row>11</xdr:row>
      <xdr:rowOff>221610</xdr:rowOff>
    </xdr:to>
    <xdr:pic>
      <xdr:nvPicPr>
        <xdr:cNvPr id="118" name="Imagem 117" descr="Eva Ngigi appointed Visa&amp;#39;s new Kenya Country Head – TechMora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E1F7FC4-F22A-49F1-B67B-F2A6E5C898D5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676"/>
        <a:stretch/>
      </xdr:blipFill>
      <xdr:spPr bwMode="auto">
        <a:xfrm>
          <a:off x="8938260" y="2225040"/>
          <a:ext cx="457200" cy="44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82826</xdr:colOff>
      <xdr:row>14</xdr:row>
      <xdr:rowOff>91884</xdr:rowOff>
    </xdr:from>
    <xdr:to>
      <xdr:col>1</xdr:col>
      <xdr:colOff>225287</xdr:colOff>
      <xdr:row>15</xdr:row>
      <xdr:rowOff>221992</xdr:rowOff>
    </xdr:to>
    <xdr:pic>
      <xdr:nvPicPr>
        <xdr:cNvPr id="127" name="Imagem 126" descr="Icon real estate Royalty Free Vector Image - VectorStock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93434C0-603F-4F2D-9E60-A73B71F8F04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26" y="3230993"/>
          <a:ext cx="457200" cy="444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86421</xdr:colOff>
      <xdr:row>14</xdr:row>
      <xdr:rowOff>93136</xdr:rowOff>
    </xdr:from>
    <xdr:to>
      <xdr:col>3</xdr:col>
      <xdr:colOff>228882</xdr:colOff>
      <xdr:row>15</xdr:row>
      <xdr:rowOff>223244</xdr:rowOff>
    </xdr:to>
    <xdr:pic>
      <xdr:nvPicPr>
        <xdr:cNvPr id="128" name="Imagem 127" descr="Icon real estate Royalty Free Vector Image - VectorStock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42EC01D-12FC-4220-A213-926F412C4DD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836" y="3220211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87857</xdr:colOff>
      <xdr:row>14</xdr:row>
      <xdr:rowOff>90979</xdr:rowOff>
    </xdr:from>
    <xdr:to>
      <xdr:col>5</xdr:col>
      <xdr:colOff>230318</xdr:colOff>
      <xdr:row>15</xdr:row>
      <xdr:rowOff>221087</xdr:rowOff>
    </xdr:to>
    <xdr:pic>
      <xdr:nvPicPr>
        <xdr:cNvPr id="129" name="Imagem 128" descr="Icon real estate Royalty Free Vector Image - VectorStock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D58D2FC-92D8-433A-8E4F-F1DDE270E4D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687" y="3218054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82108</xdr:colOff>
      <xdr:row>14</xdr:row>
      <xdr:rowOff>88822</xdr:rowOff>
    </xdr:from>
    <xdr:to>
      <xdr:col>7</xdr:col>
      <xdr:colOff>224569</xdr:colOff>
      <xdr:row>15</xdr:row>
      <xdr:rowOff>218930</xdr:rowOff>
    </xdr:to>
    <xdr:pic>
      <xdr:nvPicPr>
        <xdr:cNvPr id="130" name="Imagem 129" descr="Icon real estate Royalty Free Vector Image - VectorStock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DBF6B674-E482-4DDC-BD7B-758EAFA0762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8353" y="3215897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83545</xdr:colOff>
      <xdr:row>14</xdr:row>
      <xdr:rowOff>93853</xdr:rowOff>
    </xdr:from>
    <xdr:to>
      <xdr:col>23</xdr:col>
      <xdr:colOff>226006</xdr:colOff>
      <xdr:row>15</xdr:row>
      <xdr:rowOff>223961</xdr:rowOff>
    </xdr:to>
    <xdr:pic>
      <xdr:nvPicPr>
        <xdr:cNvPr id="131" name="Imagem 130" descr="Icon real estate Royalty Free Vector Image - VectorStock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FE39B4DD-5685-4F91-920A-AD07EBC6CE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3111" y="3220928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88578</xdr:colOff>
      <xdr:row>14</xdr:row>
      <xdr:rowOff>91696</xdr:rowOff>
    </xdr:from>
    <xdr:to>
      <xdr:col>25</xdr:col>
      <xdr:colOff>231039</xdr:colOff>
      <xdr:row>15</xdr:row>
      <xdr:rowOff>221804</xdr:rowOff>
    </xdr:to>
    <xdr:pic>
      <xdr:nvPicPr>
        <xdr:cNvPr id="132" name="Imagem 131" descr="Icon real estate Royalty Free Vector Image - VectorStock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C7E08579-9E10-495A-9707-B7328C12E6F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3559" y="3218771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82827</xdr:colOff>
      <xdr:row>14</xdr:row>
      <xdr:rowOff>93135</xdr:rowOff>
    </xdr:from>
    <xdr:to>
      <xdr:col>27</xdr:col>
      <xdr:colOff>225288</xdr:colOff>
      <xdr:row>15</xdr:row>
      <xdr:rowOff>223243</xdr:rowOff>
    </xdr:to>
    <xdr:pic>
      <xdr:nvPicPr>
        <xdr:cNvPr id="133" name="Imagem 132" descr="Icon real estate Royalty Free Vector Image - VectorStock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E6F053D0-11F8-4019-B3F1-264E674C4B3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3223" y="3220210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84265</xdr:colOff>
      <xdr:row>14</xdr:row>
      <xdr:rowOff>94573</xdr:rowOff>
    </xdr:from>
    <xdr:to>
      <xdr:col>29</xdr:col>
      <xdr:colOff>226726</xdr:colOff>
      <xdr:row>15</xdr:row>
      <xdr:rowOff>224681</xdr:rowOff>
    </xdr:to>
    <xdr:pic>
      <xdr:nvPicPr>
        <xdr:cNvPr id="134" name="Imagem 133" descr="Icon real estate Royalty Free Vector Image - VectorStock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D343DA47-A7B8-430E-915D-80E4A18613E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0076" y="3221648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91735</xdr:colOff>
      <xdr:row>6</xdr:row>
      <xdr:rowOff>96739</xdr:rowOff>
    </xdr:from>
    <xdr:to>
      <xdr:col>1</xdr:col>
      <xdr:colOff>225678</xdr:colOff>
      <xdr:row>7</xdr:row>
      <xdr:rowOff>219882</xdr:rowOff>
    </xdr:to>
    <xdr:pic>
      <xdr:nvPicPr>
        <xdr:cNvPr id="142" name="Imagem 141" descr="AZUL4 (Azul) - Indicadores, Cotação, Dividendos - Investidor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C44746-D533-46E4-B416-A66C9E5ADFB3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782" t="12216" r="2184" b="18848"/>
        <a:stretch/>
      </xdr:blipFill>
      <xdr:spPr bwMode="auto">
        <a:xfrm>
          <a:off x="91735" y="1209432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92601</xdr:colOff>
      <xdr:row>6</xdr:row>
      <xdr:rowOff>93274</xdr:rowOff>
    </xdr:from>
    <xdr:to>
      <xdr:col>23</xdr:col>
      <xdr:colOff>226544</xdr:colOff>
      <xdr:row>7</xdr:row>
      <xdr:rowOff>216417</xdr:rowOff>
    </xdr:to>
    <xdr:pic>
      <xdr:nvPicPr>
        <xdr:cNvPr id="144" name="Imagem 143" descr="AZUL4 (Azul) - Indicadores, Cotação, Dividendos - Investidor10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A30331D-BDC3-4762-A12A-419BD2851780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782" t="12216" r="2184" b="18848"/>
        <a:stretch/>
      </xdr:blipFill>
      <xdr:spPr bwMode="auto">
        <a:xfrm>
          <a:off x="7045851" y="1205967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95247</xdr:colOff>
      <xdr:row>6</xdr:row>
      <xdr:rowOff>99579</xdr:rowOff>
    </xdr:from>
    <xdr:to>
      <xdr:col>3</xdr:col>
      <xdr:colOff>229191</xdr:colOff>
      <xdr:row>7</xdr:row>
      <xdr:rowOff>222722</xdr:rowOff>
    </xdr:to>
    <xdr:pic>
      <xdr:nvPicPr>
        <xdr:cNvPr id="145" name="Imagem 14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8A112B-5A9F-48DB-A420-806137322A02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6" t="41182" r="79652" b="41215"/>
        <a:stretch/>
      </xdr:blipFill>
      <xdr:spPr bwMode="auto">
        <a:xfrm>
          <a:off x="727361" y="1212272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96115</xdr:colOff>
      <xdr:row>6</xdr:row>
      <xdr:rowOff>96116</xdr:rowOff>
    </xdr:from>
    <xdr:to>
      <xdr:col>25</xdr:col>
      <xdr:colOff>230059</xdr:colOff>
      <xdr:row>7</xdr:row>
      <xdr:rowOff>219259</xdr:rowOff>
    </xdr:to>
    <xdr:pic>
      <xdr:nvPicPr>
        <xdr:cNvPr id="146" name="Imagem 14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0F14FE-A7B8-4C46-BE48-9B2ACFFCA0B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6" t="41182" r="79652" b="41215"/>
        <a:stretch/>
      </xdr:blipFill>
      <xdr:spPr bwMode="auto">
        <a:xfrm>
          <a:off x="7681479" y="1208809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95251</xdr:colOff>
      <xdr:row>6</xdr:row>
      <xdr:rowOff>99579</xdr:rowOff>
    </xdr:from>
    <xdr:to>
      <xdr:col>5</xdr:col>
      <xdr:colOff>229194</xdr:colOff>
      <xdr:row>7</xdr:row>
      <xdr:rowOff>222722</xdr:rowOff>
    </xdr:to>
    <xdr:pic>
      <xdr:nvPicPr>
        <xdr:cNvPr id="147" name="Imagem 146" descr="Petrobras lança Localizador de Postos para iPhone com busca por realidade  aumentada – MacMagazine.com.b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4D827E8-0C1A-4390-B216-411C99AA52C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9478" y="1212272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6</xdr:col>
      <xdr:colOff>87456</xdr:colOff>
      <xdr:row>6</xdr:row>
      <xdr:rowOff>96114</xdr:rowOff>
    </xdr:from>
    <xdr:to>
      <xdr:col>7</xdr:col>
      <xdr:colOff>221399</xdr:colOff>
      <xdr:row>7</xdr:row>
      <xdr:rowOff>219257</xdr:rowOff>
    </xdr:to>
    <xdr:pic>
      <xdr:nvPicPr>
        <xdr:cNvPr id="148" name="Imagem 147" descr="Petrobras lança Localizador de Postos para iPhone com busca por realidade  aumentada – MacMagazine.com.br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54D7BBA-91FE-4BEF-BECE-FC718D7AE74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3797" y="1208807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26</xdr:col>
      <xdr:colOff>88324</xdr:colOff>
      <xdr:row>6</xdr:row>
      <xdr:rowOff>96982</xdr:rowOff>
    </xdr:from>
    <xdr:to>
      <xdr:col>27</xdr:col>
      <xdr:colOff>222267</xdr:colOff>
      <xdr:row>7</xdr:row>
      <xdr:rowOff>220125</xdr:rowOff>
    </xdr:to>
    <xdr:pic>
      <xdr:nvPicPr>
        <xdr:cNvPr id="149" name="Imagem 148" descr="Petrobras lança Localizador de Postos para iPhone com busca por realidade  aumentada – MacMagazine.com.b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A60A51F5-AEDB-42F0-AFFD-B4510FAAFD7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1" y="1209675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28</xdr:col>
      <xdr:colOff>89190</xdr:colOff>
      <xdr:row>6</xdr:row>
      <xdr:rowOff>93519</xdr:rowOff>
    </xdr:from>
    <xdr:to>
      <xdr:col>29</xdr:col>
      <xdr:colOff>223133</xdr:colOff>
      <xdr:row>7</xdr:row>
      <xdr:rowOff>216662</xdr:rowOff>
    </xdr:to>
    <xdr:pic>
      <xdr:nvPicPr>
        <xdr:cNvPr id="150" name="Imagem 149" descr="Petrobras lança Localizador de Postos para iPhone com busca por realidade  aumentada – MacMagazine.com.br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C41EF9D-BBD1-4E38-B6CA-8AB4C5C5BB8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8781" y="1206212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8</xdr:col>
      <xdr:colOff>90920</xdr:colOff>
      <xdr:row>6</xdr:row>
      <xdr:rowOff>99581</xdr:rowOff>
    </xdr:from>
    <xdr:to>
      <xdr:col>9</xdr:col>
      <xdr:colOff>224864</xdr:colOff>
      <xdr:row>7</xdr:row>
      <xdr:rowOff>222724</xdr:rowOff>
    </xdr:to>
    <xdr:pic>
      <xdr:nvPicPr>
        <xdr:cNvPr id="151" name="Imagem 150" descr="Apps do Banco do Brasil para iOS ganham leitor de código de barras no  iPhone, multitarefa no iPad – MacMagazine.com.br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B4B29DC-0ADC-41BF-A72B-A4938592FB3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1212274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30</xdr:col>
      <xdr:colOff>96115</xdr:colOff>
      <xdr:row>6</xdr:row>
      <xdr:rowOff>96117</xdr:rowOff>
    </xdr:from>
    <xdr:to>
      <xdr:col>31</xdr:col>
      <xdr:colOff>230059</xdr:colOff>
      <xdr:row>7</xdr:row>
      <xdr:rowOff>219260</xdr:rowOff>
    </xdr:to>
    <xdr:pic>
      <xdr:nvPicPr>
        <xdr:cNvPr id="152" name="Imagem 151" descr="Apps do Banco do Brasil para iOS ganham leitor de código de barras no  iPhone, multitarefa no iPad – MacMagazine.com.b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28C366E6-E60C-4956-BF5A-F7A96068196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7820" y="1208810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32</xdr:col>
      <xdr:colOff>86591</xdr:colOff>
      <xdr:row>6</xdr:row>
      <xdr:rowOff>95250</xdr:rowOff>
    </xdr:from>
    <xdr:to>
      <xdr:col>33</xdr:col>
      <xdr:colOff>220534</xdr:colOff>
      <xdr:row>7</xdr:row>
      <xdr:rowOff>218393</xdr:rowOff>
    </xdr:to>
    <xdr:pic>
      <xdr:nvPicPr>
        <xdr:cNvPr id="153" name="Imagem 152" descr="BB Seguridade – Relações com Investidore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0578EDF-9B11-43FF-B4A7-43DCC6A2DE80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45" b="15223"/>
        <a:stretch/>
      </xdr:blipFill>
      <xdr:spPr bwMode="auto">
        <a:xfrm>
          <a:off x="10200409" y="1207943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96117</xdr:colOff>
      <xdr:row>6</xdr:row>
      <xdr:rowOff>96116</xdr:rowOff>
    </xdr:from>
    <xdr:to>
      <xdr:col>11</xdr:col>
      <xdr:colOff>230060</xdr:colOff>
      <xdr:row>7</xdr:row>
      <xdr:rowOff>219259</xdr:rowOff>
    </xdr:to>
    <xdr:pic>
      <xdr:nvPicPr>
        <xdr:cNvPr id="154" name="Imagem 153" descr="BB Seguridade – Relações com Investidore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4D45978-BF29-417D-8B38-2D202AF1004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45" b="15223"/>
        <a:stretch/>
      </xdr:blipFill>
      <xdr:spPr bwMode="auto">
        <a:xfrm>
          <a:off x="3256685" y="1208809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92252</xdr:colOff>
      <xdr:row>6</xdr:row>
      <xdr:rowOff>96583</xdr:rowOff>
    </xdr:from>
    <xdr:to>
      <xdr:col>35</xdr:col>
      <xdr:colOff>227195</xdr:colOff>
      <xdr:row>7</xdr:row>
      <xdr:rowOff>220725</xdr:rowOff>
    </xdr:to>
    <xdr:pic>
      <xdr:nvPicPr>
        <xdr:cNvPr id="155" name="Imagem 154" descr="Bradesco 3.6.1 (3 Variants) APK for Android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1676E4FF-0BAA-4473-8CB8-6CACE0A73C04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2" t="15590" r="14406" b="15155"/>
        <a:stretch/>
      </xdr:blipFill>
      <xdr:spPr bwMode="auto">
        <a:xfrm>
          <a:off x="10838184" y="1209276"/>
          <a:ext cx="451000" cy="440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85124</xdr:colOff>
      <xdr:row>6</xdr:row>
      <xdr:rowOff>95448</xdr:rowOff>
    </xdr:from>
    <xdr:to>
      <xdr:col>13</xdr:col>
      <xdr:colOff>220066</xdr:colOff>
      <xdr:row>7</xdr:row>
      <xdr:rowOff>219590</xdr:rowOff>
    </xdr:to>
    <xdr:pic>
      <xdr:nvPicPr>
        <xdr:cNvPr id="156" name="Imagem 155" descr="Bradesco 3.6.1 (3 Variants) APK for Android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80A7A07-A4B5-4BCE-8D07-0E6F3B783A4A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2" t="15590" r="14406" b="15155"/>
        <a:stretch/>
      </xdr:blipFill>
      <xdr:spPr bwMode="auto">
        <a:xfrm>
          <a:off x="3877806" y="1208141"/>
          <a:ext cx="450999" cy="440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90920</xdr:colOff>
      <xdr:row>6</xdr:row>
      <xdr:rowOff>95249</xdr:rowOff>
    </xdr:from>
    <xdr:to>
      <xdr:col>37</xdr:col>
      <xdr:colOff>229193</xdr:colOff>
      <xdr:row>7</xdr:row>
      <xdr:rowOff>222722</xdr:rowOff>
    </xdr:to>
    <xdr:pic>
      <xdr:nvPicPr>
        <xdr:cNvPr id="157" name="Imagem 156" descr="Banco Inter chega a 2 milhões de correntistas e divulga prévia do trimestre  | Poder36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C9B6D1C-21C1-4E22-9B42-669817003BCB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928" t="15713" r="31867" b="15612"/>
        <a:stretch/>
      </xdr:blipFill>
      <xdr:spPr bwMode="auto">
        <a:xfrm>
          <a:off x="11468965" y="1207942"/>
          <a:ext cx="454330" cy="44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91785</xdr:colOff>
      <xdr:row>6</xdr:row>
      <xdr:rowOff>91784</xdr:rowOff>
    </xdr:from>
    <xdr:to>
      <xdr:col>15</xdr:col>
      <xdr:colOff>230058</xdr:colOff>
      <xdr:row>7</xdr:row>
      <xdr:rowOff>219257</xdr:rowOff>
    </xdr:to>
    <xdr:pic>
      <xdr:nvPicPr>
        <xdr:cNvPr id="158" name="Imagem 157" descr="Banco Inter chega a 2 milhões de correntistas e divulga prévia do trimestre  | Poder36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3E773C56-C6FC-4D5A-B70D-359F7B837EBF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928" t="15713" r="31867" b="15612"/>
        <a:stretch/>
      </xdr:blipFill>
      <xdr:spPr bwMode="auto">
        <a:xfrm>
          <a:off x="4516580" y="1204477"/>
          <a:ext cx="454330" cy="44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90919</xdr:colOff>
      <xdr:row>6</xdr:row>
      <xdr:rowOff>95249</xdr:rowOff>
    </xdr:from>
    <xdr:to>
      <xdr:col>39</xdr:col>
      <xdr:colOff>224862</xdr:colOff>
      <xdr:row>7</xdr:row>
      <xdr:rowOff>218392</xdr:rowOff>
    </xdr:to>
    <xdr:pic>
      <xdr:nvPicPr>
        <xdr:cNvPr id="160" name="Imagem 159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EB97944-E57C-44F8-8C1D-3554F2EAB01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1078" y="1207942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16</xdr:col>
      <xdr:colOff>96116</xdr:colOff>
      <xdr:row>6</xdr:row>
      <xdr:rowOff>96115</xdr:rowOff>
    </xdr:from>
    <xdr:to>
      <xdr:col>17</xdr:col>
      <xdr:colOff>230059</xdr:colOff>
      <xdr:row>7</xdr:row>
      <xdr:rowOff>219258</xdr:rowOff>
    </xdr:to>
    <xdr:pic>
      <xdr:nvPicPr>
        <xdr:cNvPr id="161" name="Imagem 16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504DC6A-5943-4FD9-8C0D-457093556E5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208808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40</xdr:col>
      <xdr:colOff>90919</xdr:colOff>
      <xdr:row>6</xdr:row>
      <xdr:rowOff>95250</xdr:rowOff>
    </xdr:from>
    <xdr:to>
      <xdr:col>41</xdr:col>
      <xdr:colOff>224862</xdr:colOff>
      <xdr:row>7</xdr:row>
      <xdr:rowOff>218393</xdr:rowOff>
    </xdr:to>
    <xdr:pic>
      <xdr:nvPicPr>
        <xdr:cNvPr id="162" name="Imagem 161" descr="Renner - Photos | Facebook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E21D7CB6-9C82-4844-BAAA-C5C2EF4A3CA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3192" y="1207943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96113</xdr:colOff>
      <xdr:row>6</xdr:row>
      <xdr:rowOff>96115</xdr:rowOff>
    </xdr:from>
    <xdr:to>
      <xdr:col>19</xdr:col>
      <xdr:colOff>230056</xdr:colOff>
      <xdr:row>7</xdr:row>
      <xdr:rowOff>219258</xdr:rowOff>
    </xdr:to>
    <xdr:pic>
      <xdr:nvPicPr>
        <xdr:cNvPr id="163" name="Imagem 162" descr="Renner - Photos | Facebook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D78CF151-37B8-41F5-B72F-3E92FD24C69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5136" y="1208808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1947</xdr:colOff>
      <xdr:row>20</xdr:row>
      <xdr:rowOff>4395</xdr:rowOff>
    </xdr:from>
    <xdr:to>
      <xdr:col>19</xdr:col>
      <xdr:colOff>308002</xdr:colOff>
      <xdr:row>21</xdr:row>
      <xdr:rowOff>301772</xdr:rowOff>
    </xdr:to>
    <xdr:sp macro="" textlink="">
      <xdr:nvSpPr>
        <xdr:cNvPr id="143" name="Retângulo: Biselado 142">
          <a:extLst>
            <a:ext uri="{FF2B5EF4-FFF2-40B4-BE49-F238E27FC236}">
              <a16:creationId xmlns:a16="http://schemas.microsoft.com/office/drawing/2014/main" id="{BB773156-9BFD-4A5D-8DC6-FBFF2EB052B4}"/>
            </a:ext>
          </a:extLst>
        </xdr:cNvPr>
        <xdr:cNvSpPr/>
      </xdr:nvSpPr>
      <xdr:spPr>
        <a:xfrm>
          <a:off x="5627650" y="4759454"/>
          <a:ext cx="618594" cy="609916"/>
        </a:xfrm>
        <a:prstGeom prst="bevel">
          <a:avLst/>
        </a:prstGeom>
        <a:solidFill>
          <a:srgbClr val="7030A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5245</xdr:colOff>
      <xdr:row>20</xdr:row>
      <xdr:rowOff>4395</xdr:rowOff>
    </xdr:from>
    <xdr:to>
      <xdr:col>21</xdr:col>
      <xdr:colOff>311301</xdr:colOff>
      <xdr:row>21</xdr:row>
      <xdr:rowOff>301772</xdr:rowOff>
    </xdr:to>
    <xdr:sp macro="" textlink="">
      <xdr:nvSpPr>
        <xdr:cNvPr id="159" name="Retângulo: Biselado 158">
          <a:extLst>
            <a:ext uri="{FF2B5EF4-FFF2-40B4-BE49-F238E27FC236}">
              <a16:creationId xmlns:a16="http://schemas.microsoft.com/office/drawing/2014/main" id="{0F04A3DD-73AB-4FBB-AA4A-ECA209B612BC}"/>
            </a:ext>
          </a:extLst>
        </xdr:cNvPr>
        <xdr:cNvSpPr/>
      </xdr:nvSpPr>
      <xdr:spPr>
        <a:xfrm>
          <a:off x="6256026" y="4759454"/>
          <a:ext cx="618595" cy="609916"/>
        </a:xfrm>
        <a:prstGeom prst="bevel">
          <a:avLst/>
        </a:prstGeom>
        <a:solidFill>
          <a:srgbClr val="7030A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18</xdr:col>
      <xdr:colOff>91678</xdr:colOff>
      <xdr:row>20</xdr:row>
      <xdr:rowOff>91381</xdr:rowOff>
    </xdr:from>
    <xdr:to>
      <xdr:col>19</xdr:col>
      <xdr:colOff>222562</xdr:colOff>
      <xdr:row>21</xdr:row>
      <xdr:rowOff>215335</xdr:rowOff>
    </xdr:to>
    <xdr:pic>
      <xdr:nvPicPr>
        <xdr:cNvPr id="165" name="Imagem 164" descr="Extrato Bancário Vetores e Ilustrações de Stock - iStock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DFF3015-235C-4186-86B2-168872E33DAD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30" t="19725" r="21373" b="28758"/>
        <a:stretch/>
      </xdr:blipFill>
      <xdr:spPr bwMode="auto">
        <a:xfrm>
          <a:off x="5717381" y="4846440"/>
          <a:ext cx="443423" cy="436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90306</xdr:colOff>
      <xdr:row>20</xdr:row>
      <xdr:rowOff>92809</xdr:rowOff>
    </xdr:from>
    <xdr:to>
      <xdr:col>21</xdr:col>
      <xdr:colOff>225221</xdr:colOff>
      <xdr:row>21</xdr:row>
      <xdr:rowOff>217770</xdr:rowOff>
    </xdr:to>
    <xdr:pic>
      <xdr:nvPicPr>
        <xdr:cNvPr id="62" name="Imagem 61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B4E3E260-F2C6-4029-943C-34173B508EA3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1"/>
        <a:srcRect l="1" r="-1" b="8000"/>
        <a:stretch/>
      </xdr:blipFill>
      <xdr:spPr>
        <a:xfrm>
          <a:off x="6341087" y="4847868"/>
          <a:ext cx="447454" cy="43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4</xdr:row>
      <xdr:rowOff>30764</xdr:rowOff>
    </xdr:from>
    <xdr:to>
      <xdr:col>12</xdr:col>
      <xdr:colOff>446843</xdr:colOff>
      <xdr:row>9</xdr:row>
      <xdr:rowOff>167887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B7F2EBA-7E11-433C-BE56-82D441C9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24900" y="802289"/>
          <a:ext cx="4437818" cy="108962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782968-9D7E-44AC-BC90-37A6AA73D8A1}" name="TbContaCorrente" displayName="TbContaCorrente" ref="A1:D2" totalsRowShown="0" headerRowDxfId="2901" dataDxfId="2900">
  <autoFilter ref="A1:D2" xr:uid="{F2782968-9D7E-44AC-BC90-37A6AA73D8A1}">
    <filterColumn colId="0" hiddenButton="1"/>
    <filterColumn colId="1" hiddenButton="1"/>
    <filterColumn colId="2" hiddenButton="1"/>
    <filterColumn colId="3" hiddenButton="1"/>
  </autoFilter>
  <tableColumns count="4">
    <tableColumn id="1" xr3:uid="{3CFCD32B-4263-46BB-B02A-D7C1A7757D34}" name="Bradesco" dataDxfId="2899"/>
    <tableColumn id="2" xr3:uid="{4BC6ACC4-4FE8-45AB-B7FD-641DFCA24E50}" name="Inter" dataDxfId="2898"/>
    <tableColumn id="3" xr3:uid="{8ACAEC93-3359-40AE-906A-AEE8AA7F1713}" name="Merc. Pago" dataDxfId="2897"/>
    <tableColumn id="4" xr3:uid="{A8BF614C-E7A5-467F-B9E1-A7A82B83E5BE}" name="Alter" dataDxfId="2896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7F357FB-CD1E-4951-939F-84EDBB6282FC}" name="TbMontanteInicial" displayName="TbMontanteInicial" ref="E1:M24" totalsRowShown="0" headerRowDxfId="2895" dataDxfId="2894">
  <autoFilter ref="E1:M24" xr:uid="{87F357FB-CD1E-4951-939F-84EDBB6282F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FBE5F093-1193-487E-8425-068A393B9F17}" name="Montante Inicial Easynvest" dataDxfId="2893"/>
    <tableColumn id="2" xr3:uid="{597713E1-7279-48BF-AFEE-D6FBB04EBE43}" name="Montante Inicial Clear" dataDxfId="2892"/>
    <tableColumn id="3" xr3:uid="{8D1E9534-DF8F-4D12-9C6C-E8487C564FD8}" name="Montante Inicial NovaDAX" dataDxfId="2891"/>
    <tableColumn id="4" xr3:uid="{A0A8C24C-B9B7-456F-8826-D1CBB5CCBB39}" name="Montante Inicial BitPreço" dataDxfId="2890"/>
    <tableColumn id="5" xr3:uid="{BB0E90DF-E6DE-40D1-A09E-63F031279E96}" name="Montante Inicial Binance" dataDxfId="2889"/>
    <tableColumn id="6" xr3:uid="{0051FF9B-D8A7-488F-A000-F21FD2C0E0D5}" name="Montante Inicial BSC" dataDxfId="2888"/>
    <tableColumn id="7" xr3:uid="{A83F3494-9AD6-4252-BED7-A5F2D9DF3F41}" name="Montante Inicial UpHold" dataDxfId="2887"/>
    <tableColumn id="8" xr3:uid="{4BA8F45A-45D4-4A36-A101-417E9F46FB82}" name="Montante Inicial Exodus" dataDxfId="2886"/>
    <tableColumn id="9" xr3:uid="{E60924EE-B5E7-4011-882A-2A118B37E918}" name="Montante Inicial Alter" dataDxfId="2885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B54111A-5F33-4E52-9C1D-35F478702D57}" name="TbCotaçãoMoeda" displayName="TbCotaçãoMoeda" ref="A1:C21" totalsRowShown="0">
  <autoFilter ref="A1:C21" xr:uid="{3B54111A-5F33-4E52-9C1D-35F478702D57}">
    <filterColumn colId="0" hiddenButton="1"/>
    <filterColumn colId="1" hiddenButton="1"/>
    <filterColumn colId="2" hiddenButton="1"/>
  </autoFilter>
  <sortState xmlns:xlrd2="http://schemas.microsoft.com/office/spreadsheetml/2017/richdata2" ref="A2:B21">
    <sortCondition ref="A1:A21"/>
  </sortState>
  <tableColumns count="3">
    <tableColumn id="1" xr3:uid="{5B7620A7-7B53-413E-90CB-CD6A7DBC724B}" name="Moeda" dataDxfId="2884"/>
    <tableColumn id="2" xr3:uid="{29F32051-CFBB-4D76-A169-CAF90E89FDA5}" name="BRL" dataDxfId="2883">
      <calculatedColumnFormula>TbCotaçãoMoeda[[#This Row],[USDT]]*$B$20</calculatedColumnFormula>
    </tableColumn>
    <tableColumn id="3" xr3:uid="{DAB59C40-88D8-4EC5-925F-73B7B967F80D}" name="USDT" dataDxfId="2882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A63264C-A015-4CEB-8F9F-197EC32F0BC2}" name="TbCotaçãoAtivoNacional" displayName="TbCotaçãoAtivoNacional" ref="E1:F5" totalsRowShown="0">
  <autoFilter ref="E1:F5" xr:uid="{6A63264C-A015-4CEB-8F9F-197EC32F0BC2}">
    <filterColumn colId="0" hiddenButton="1"/>
    <filterColumn colId="1" hiddenButton="1"/>
  </autoFilter>
  <tableColumns count="2">
    <tableColumn id="1" xr3:uid="{57FD1699-2578-4396-90F0-2AC79B24943C}" name="Ativo Nacional" dataDxfId="2881"/>
    <tableColumn id="2" xr3:uid="{97DB406E-30C3-4548-B41B-F84B620F63F0}" name="Cotação RVn (R$)" dataDxfId="2880"/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F700D8F-D1EC-4EC9-A2D2-6D0724268175}" name="TbCotaçãoAtivoInternacional" displayName="TbCotaçãoAtivoInternacional" ref="H1:I5" totalsRowShown="0">
  <autoFilter ref="H1:I5" xr:uid="{7F700D8F-D1EC-4EC9-A2D2-6D0724268175}">
    <filterColumn colId="0" hiddenButton="1"/>
    <filterColumn colId="1" hiddenButton="1"/>
  </autoFilter>
  <tableColumns count="2">
    <tableColumn id="1" xr3:uid="{72082702-DE2D-4DDB-A342-12CAB5576FD4}" name="Ativo Internacional" dataDxfId="2879"/>
    <tableColumn id="2" xr3:uid="{86030D64-061C-4A49-A219-37EED977B5F4}" name="Cotação RVi (R$)" dataDxfId="2878"/>
  </tableColumns>
  <tableStyleInfo name="TableStyleLight2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A8D9DFC-00EF-4AF5-ACC4-DEA3627F03D2}" name="TbCotaçãoAtivoRealEstate" displayName="TbCotaçãoAtivoRealEstate" ref="K1:L5" totalsRowShown="0">
  <autoFilter ref="K1:L5" xr:uid="{CA8D9DFC-00EF-4AF5-ACC4-DEA3627F03D2}">
    <filterColumn colId="0" hiddenButton="1"/>
    <filterColumn colId="1" hiddenButton="1"/>
  </autoFilter>
  <tableColumns count="2">
    <tableColumn id="1" xr3:uid="{7D9F02D4-9398-4FA1-96B7-1CB2DB791311}" name="Ativo RE" dataDxfId="2877"/>
    <tableColumn id="2" xr3:uid="{0F9BFF23-EB9E-4F02-83EF-7BCC93E2B74D}" name="Cotação RE (R$)" dataDxfId="2876"/>
  </tableColumns>
  <tableStyleInfo name="TableStyleLight2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F0DBB92-7778-4A49-AA60-D531401D49BD}" name="TbResumoSTBolsa" displayName="TbResumoSTBolsa" ref="A1:H23" totalsRowShown="0">
  <autoFilter ref="A1:H23" xr:uid="{DF0DBB92-7778-4A49-AA60-D531401D49BD}"/>
  <tableColumns count="8">
    <tableColumn id="1" xr3:uid="{85038339-FEB9-40A9-9BCC-64ADBB5D78D9}" name="Mês/Ano" dataDxfId="2875"/>
    <tableColumn id="2" xr3:uid="{24A878A4-1864-4A10-911A-E43C29F5A593}" name="Resultado" dataDxfId="2874"/>
    <tableColumn id="3" xr3:uid="{CA125A53-CFC5-4455-B70D-5524933FA62A}" name="Prejuizo acumulado" dataDxfId="2873">
      <calculatedColumnFormula>IF(C1="Prejuízo Acumulado",0,IF(B2="","",IF(B1=0,C1,IF(D1&lt;=0, D1, 0))))</calculatedColumnFormula>
    </tableColumn>
    <tableColumn id="4" xr3:uid="{8FDECAB6-A6DA-4BD7-A3B3-760FCB211247}" name="Resultado Final" dataDxfId="2872">
      <calculatedColumnFormula>IF(B2="","",IF(B2=0,0,B2+C2))</calculatedColumnFormula>
    </tableColumn>
    <tableColumn id="5" xr3:uid="{97939521-01D2-436F-8FA6-22EEA31F449F}" name="Alíquota" dataDxfId="2871" dataCellStyle="Porcentagem"/>
    <tableColumn id="6" xr3:uid="{8500C870-C531-4579-A960-7F5901CB9B95}" name="Lucro mínimo taxável" dataDxfId="2870"/>
    <tableColumn id="7" xr3:uid="{79DB713C-1452-4569-A75B-8FE84CCDF646}" name="Imposto devido" dataDxfId="2869" dataCellStyle="Moeda">
      <calculatedColumnFormula>IF(B2="","",IF(D2&gt;=F2, D2*E2, 0))</calculatedColumnFormula>
    </tableColumn>
    <tableColumn id="8" xr3:uid="{56CA600C-9B11-4D1E-B87F-EC8037983297}" name="Resultado Líquido" dataDxfId="2868">
      <calculatedColumnFormula>IF(D2="","",D2-G2)</calculatedColumnFormula>
    </tableColumn>
  </tableColumns>
  <tableStyleInfo name="TableStyleMedium11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744E5B-3EFA-424F-B7F7-8774E757B74D}" name="TbResumoDTBolsa" displayName="TbResumoDTBolsa" ref="A1:H23">
  <autoFilter ref="A1:H23" xr:uid="{00744E5B-3EFA-424F-B7F7-8774E757B74D}"/>
  <tableColumns count="8">
    <tableColumn id="1" xr3:uid="{1BC0263B-52AB-4372-809B-0BE803436596}" name="Mês/Ano" totalsRowLabel="Total" dataDxfId="2867" totalsRowDxfId="2866"/>
    <tableColumn id="2" xr3:uid="{57185899-3CC5-4B0E-93BE-2242CB3FFD1A}" name="Resultado" dataDxfId="2865" totalsRowDxfId="2864"/>
    <tableColumn id="3" xr3:uid="{A511A425-AB32-4713-B32D-90655EB2D4CE}" name="Prejuízo Acumulado" dataDxfId="2863" totalsRowDxfId="2862">
      <calculatedColumnFormula>IF(C1="Prejuízo Acumulado",0,IF(B2="","",IF(B1=0,C1,IF(D1&lt;=0, D1, 0))))</calculatedColumnFormula>
    </tableColumn>
    <tableColumn id="4" xr3:uid="{882FD71C-CCDD-4131-AEC5-D5E6A22B33C3}" name="Resultado Final" dataDxfId="2861" totalsRowDxfId="2860">
      <calculatedColumnFormula>IF(B2="","",IF(B2=0,0,B2+C2))</calculatedColumnFormula>
    </tableColumn>
    <tableColumn id="5" xr3:uid="{8EDDFD0D-A34E-489B-99CC-1C8C50578D50}" name="Alíquota" dataDxfId="2859" totalsRowDxfId="2858" dataCellStyle="Porcentagem"/>
    <tableColumn id="6" xr3:uid="{6ED715E6-91E1-46DA-9E5C-1F455C0DEDC8}" name="Lucro mínimo taxável" dataDxfId="2857" totalsRowDxfId="2856"/>
    <tableColumn id="7" xr3:uid="{2EF09019-6820-4E67-918F-C28CBC101C60}" name="Imposto devido" totalsRowFunction="sum" dataDxfId="2855" totalsRowDxfId="2854" dataCellStyle="Moeda">
      <calculatedColumnFormula>IF(B2="","",IF(D2&gt;=F2, D2*E2, 0))</calculatedColumnFormula>
    </tableColumn>
    <tableColumn id="8" xr3:uid="{A321CB35-0E7A-4427-A03F-5A3FB18BEB5C}" name="Resultado Líquido" totalsRowFunction="sum" dataDxfId="2853" totalsRowDxfId="2852"/>
  </tableColumns>
  <tableStyleInfo name="TableStyleMedium11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7819652-56CD-4693-A23B-B9A6C2A8D93F}" name="Tabela27" displayName="Tabela27" ref="A1:H23" totalsRowShown="0">
  <autoFilter ref="A1:H23" xr:uid="{47819652-56CD-4693-A23B-B9A6C2A8D93F}"/>
  <tableColumns count="8">
    <tableColumn id="1" xr3:uid="{0FFC1F5B-B59B-4EE7-A46E-205576A4F9DF}" name="Mês/Ano" dataDxfId="2851"/>
    <tableColumn id="3" xr3:uid="{E9B29EDE-62B9-440E-A5CF-DBCB115E76E6}" name="Resultado" dataDxfId="2850"/>
    <tableColumn id="4" xr3:uid="{E3EF09A2-5130-4D10-8F33-BB09054EF812}" name="Prejuizo acumulado" dataDxfId="2849">
      <calculatedColumnFormula>IF(C1="Prejuízo Acumulado",0,IF(B2="","",IF(B1=0,C1,IF(D1&lt;=0, D1, 0))))</calculatedColumnFormula>
    </tableColumn>
    <tableColumn id="5" xr3:uid="{775068D5-0405-4C06-B30F-766B06244F82}" name="Resultado Final" dataDxfId="2848">
      <calculatedColumnFormula>IF(B2="","",IF(B2=0,0,B2+C2))</calculatedColumnFormula>
    </tableColumn>
    <tableColumn id="6" xr3:uid="{3393CD63-33B2-488E-9FE9-3A56F19E3878}" name="Alíquota" dataDxfId="2847" dataCellStyle="Porcentagem"/>
    <tableColumn id="7" xr3:uid="{20EF91D7-83D6-437C-BF1E-E2F0B8175968}" name="Lucro mínimo taxável" dataDxfId="2846"/>
    <tableColumn id="8" xr3:uid="{A2F327B0-830F-439A-8A10-0F03FA9BA973}" name="Imposto devido" dataDxfId="2845" dataCellStyle="Moeda">
      <calculatedColumnFormula>IF(B2="","",IF(D2&gt;=F2, D2*E2, 0))</calculatedColumnFormula>
    </tableColumn>
    <tableColumn id="9" xr3:uid="{3617A934-AA96-4958-A8E5-F85C253CC626}" name="Resultado Líquido" dataDxfId="2844">
      <calculatedColumnFormula>IF(D2="","",B2-G2)</calculatedColumnFormula>
    </tableColumn>
  </tableColumns>
  <tableStyleInfo name="TableStyleMedium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B19FB39-DB02-4CDF-9B13-DB992796F08D}" name="Tabela28" displayName="Tabela28" ref="A1:H23" totalsRowShown="0">
  <autoFilter ref="A1:H23" xr:uid="{0B19FB39-DB02-4CDF-9B13-DB992796F08D}"/>
  <tableColumns count="8">
    <tableColumn id="1" xr3:uid="{77CB6A0A-004C-483B-B84D-91D08E96F876}" name="Mês/Ano" dataDxfId="2843"/>
    <tableColumn id="2" xr3:uid="{D71C815F-6BFB-497C-B841-0D2A6F202FA3}" name="Resultado" dataDxfId="2842"/>
    <tableColumn id="3" xr3:uid="{29B2034E-195E-431E-826D-1A373FF30E34}" name="Prejuizo acumulado" dataDxfId="2841">
      <calculatedColumnFormula>IF(C1="Prejuízo Acumulado",0,IF(B2="","",IF(B1=0,C1,IF(D1&lt;=0, D1, 0))))</calculatedColumnFormula>
    </tableColumn>
    <tableColumn id="4" xr3:uid="{A8D8AF75-27EE-4A21-83A4-12A098FEF5A3}" name="Resultado Final" dataDxfId="2840">
      <calculatedColumnFormula>IF(B2="","",IF(B2=0,0,B2+C2))</calculatedColumnFormula>
    </tableColumn>
    <tableColumn id="5" xr3:uid="{4B0F8A7B-AA25-4391-BA96-6F7FCE0AC4F5}" name="Alíquota" dataDxfId="2839" dataCellStyle="Porcentagem"/>
    <tableColumn id="6" xr3:uid="{46E14554-03D3-45FC-8523-6723F6C4EE69}" name="Lucro mínimo taxável" dataDxfId="2838"/>
    <tableColumn id="7" xr3:uid="{AAE15CFF-C5DC-43B3-A47A-C94DD9B4ADD8}" name="Imposto devido" dataDxfId="2837" dataCellStyle="Moeda">
      <calculatedColumnFormula>IF(B2="","",IF(D2&gt;=F2, D2*E2, 0))</calculatedColumnFormula>
    </tableColumn>
    <tableColumn id="8" xr3:uid="{A07FDC0F-0A6D-4804-BE88-C72F688B8ED7}" name="Resultado Líquido" dataDxfId="2836">
      <calculatedColumnFormula>IF(D2="","",D2-G2)</calculatedColumnFormula>
    </tableColumn>
  </tableColumns>
  <tableStyleInfo name="TableStyleMedium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7B2121-16A3-41A3-9A13-B1A423FB0FDE}" name="TbARCAEasynvest" displayName="TbARCAEasynvest" ref="B1:W5" totalsRowShown="0" headerRowDxfId="2835" dataDxfId="2834">
  <autoFilter ref="B1:W5" xr:uid="{197B2121-16A3-41A3-9A13-B1A423FB0FD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</autoFilter>
  <tableColumns count="22">
    <tableColumn id="1" xr3:uid="{2307C904-F343-4E9A-82F8-BAC5392D7195}" name="Tesouro Direto e Títulos Públicos" dataDxfId="2833"/>
    <tableColumn id="2" xr3:uid="{D77F7163-B2BA-4916-9330-A43AB71A4FB9}" name="Tesouro Direto e Títulos Públicos (R$)" dataDxfId="2832"/>
    <tableColumn id="3" xr3:uid="{9DDA9D0A-01A4-4615-82E4-1D41C4649480}" name="Renda Fixa Privada" dataDxfId="2831"/>
    <tableColumn id="4" xr3:uid="{18EE8807-FB7C-48CF-97BA-FE8F8492DE47}" name="Renda Fixa Privada (R$)" dataDxfId="2830"/>
    <tableColumn id="5" xr3:uid="{0154B0A6-94C1-4A34-A46B-F025EC80C5FE}" name="Fundos de Investimentos: Renda Fixa" dataDxfId="2829"/>
    <tableColumn id="6" xr3:uid="{92C0A5F8-BC38-4BA0-85C6-A31CA08C171A}" name="Fundos de Investimentos: Renda Fixa (R$)" dataDxfId="2828"/>
    <tableColumn id="7" xr3:uid="{081897A2-6941-4C1B-ABC6-F1EEFADB3FBD}" name="Fundos de Investimentos: Real Estate" dataDxfId="2827"/>
    <tableColumn id="8" xr3:uid="{46BED62C-2491-4FF2-8E7E-DC039A36BA75}" name="Fundos de Investimentos: Real Estate (R$)" dataDxfId="2826"/>
    <tableColumn id="9" xr3:uid="{8D317E55-4D39-4DA1-95A0-94D182211978}" name="Fundos de Investimentos: Ações Nacionais" dataDxfId="2825"/>
    <tableColumn id="10" xr3:uid="{F17352C4-B1A0-46AF-8CF2-7FCA9A9D1AB8}" name="Fundos de Investimentos: Ações Nacionais (R$)" dataDxfId="2824"/>
    <tableColumn id="11" xr3:uid="{2B4906BE-7CB2-4A3F-98C5-61702DC461CD}" name="Fundos de Investimentos: Ações Internacionais" dataDxfId="2823"/>
    <tableColumn id="12" xr3:uid="{8B57E62C-D83A-4567-9923-CF0A1F565659}" name="Fundos de Investimentos: Ações Internacionais (R$)" dataDxfId="2822"/>
    <tableColumn id="13" xr3:uid="{60214202-27B6-40FC-99B5-1314C2B69006}" name="COE" dataDxfId="2821"/>
    <tableColumn id="14" xr3:uid="{7C84123B-965F-4799-9F25-BE3EA6E6D12B}" name="COE (R$)" dataDxfId="2820"/>
    <tableColumn id="15" xr3:uid="{8FA93C33-C431-4445-B762-2FF13BF3D342}" name="Previdência Privada" dataDxfId="2819"/>
    <tableColumn id="16" xr3:uid="{5EB3FA41-06AB-4176-80DB-A70DC0575329}" name="Previdência Privada (R$)" dataDxfId="2818"/>
    <tableColumn id="17" xr3:uid="{8339FFC0-C497-4D92-B1B5-8F2DFC6C613F}" name="Renda Variável Nacional" dataDxfId="2817"/>
    <tableColumn id="18" xr3:uid="{F7BF7512-3F49-451B-BDFC-D135953C9159}" name="Renda Variável Nacional (R$)" dataDxfId="2816">
      <calculatedColumnFormula>VLOOKUP(TbARCAEasynvest[[#This Row],[Renda Variável Nacional]],TbCotaçãoAtivoNacional[],2)*TbARCAEasynvest[[#This Row],[QQT]]</calculatedColumnFormula>
    </tableColumn>
    <tableColumn id="19" xr3:uid="{58E97063-E62E-4FA9-A687-CC34AF0EBCA3}" name="QQT" dataDxfId="2815">
      <calculatedColumnFormula array="1">LOOKUP(2,1/(LEN(TbBBAS3_ST[Estoque])&gt;0),TbBBAS3_ST[Estoque])</calculatedColumnFormula>
    </tableColumn>
    <tableColumn id="20" xr3:uid="{A5299CD6-5834-434F-A1E6-FB16A4FFE484}" name="Renda Variável Internacional" dataDxfId="2814"/>
    <tableColumn id="21" xr3:uid="{609D2AE3-A2FE-4BC1-BCA8-800CA31527E7}" name="Renda Variável Internacional (R$)" dataDxfId="2813">
      <calculatedColumnFormula>VLOOKUP(TbARCAEasynvest[[#This Row],[Renda Variável Internacional]],TbCotaçãoAtivoInternacional[],2)*TbARCAEasynvest[[#This Row],[QQT2]]</calculatedColumnFormula>
    </tableColumn>
    <tableColumn id="22" xr3:uid="{E789DB78-A2A9-4F33-9AE3-A93C12A4E6E4}" name="QQT2" dataDxfId="2812">
      <calculatedColumnFormula array="1">LOOKUP(2,1/(LEN(TbBBAS3_ST[Estoque])&gt;0),TbBBAS3_ST[Estoque])</calculatedColumnFormula>
    </tableColumn>
  </tableColumns>
  <tableStyleInfo name="TableStyleMedium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B7E9D21-64F5-4208-9D03-58947EC7F7F7}" name="TbCCEasynvest" displayName="TbCCEasynvest" ref="A1:A2" totalsRowShown="0" headerRowDxfId="2811" dataDxfId="2810">
  <autoFilter ref="A1:A2" xr:uid="{CB7E9D21-64F5-4208-9D03-58947EC7F7F7}">
    <filterColumn colId="0" hiddenButton="1"/>
  </autoFilter>
  <tableColumns count="1">
    <tableColumn id="1" xr3:uid="{3B8424F1-D534-4AD0-ACE8-B411415F27E4}" name="Conta-Corrente (R$)" dataDxfId="280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25EC6E-C271-42CD-86D4-B0E7AFA43433}" name="TbARCAClear" displayName="TbARCAClear" ref="B1:V5" totalsRowShown="0" headerRowDxfId="2808" dataDxfId="2807">
  <autoFilter ref="B1:V5" xr:uid="{3A25EC6E-C271-42CD-86D4-B0E7AFA4343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9879EFCD-7890-4A5A-99E6-32FE9F3A6D73}" name="Tesouro Direto e Títulos Públicos" dataDxfId="2806"/>
    <tableColumn id="2" xr3:uid="{303BBF7F-041C-4446-9244-A6D7464639E6}" name="Tesouro Direto e Títulos Públicos (R$)" dataDxfId="2805"/>
    <tableColumn id="3" xr3:uid="{A42E34D1-0CA1-43B3-805D-926EB155BC06}" name="Renda Fixa Privada" dataDxfId="2804"/>
    <tableColumn id="4" xr3:uid="{9521C0E2-C0C4-4BB7-B24F-C6A7CAF48609}" name="Renda Fixa Privada (R$)" dataDxfId="2803"/>
    <tableColumn id="5" xr3:uid="{6B1EB462-71BD-4D4D-87D7-4300EDF0F080}" name="Fundos de Investimentos: Renda Fixa" dataDxfId="2802"/>
    <tableColumn id="6" xr3:uid="{2E5697F7-7562-435E-965C-B0284D642685}" name="Fundos de Investimentos: Renda Fixa (R$)" dataDxfId="2801"/>
    <tableColumn id="7" xr3:uid="{7C801F24-AF9D-46CB-9FBC-B49279D6A115}" name="Fundos de Investimentos: Real Estate" dataDxfId="2800"/>
    <tableColumn id="8" xr3:uid="{7900A5BA-43FF-4793-8550-70CB8A2147F8}" name="Fundos de Investimentos: Real Estate (R$)" dataDxfId="2799">
      <calculatedColumnFormula>VLOOKUP(TbARCAClear[[#This Row],[Fundos de Investimentos: Real Estate]],TbCotaçãoAtivoRealEstate[],2)*TbARCAClear[[#This Row],[QQT]]</calculatedColumnFormula>
    </tableColumn>
    <tableColumn id="9" xr3:uid="{9B457D6E-B7DC-458E-AF7E-15F4FB1B6D0A}" name="QQT" dataDxfId="2798">
      <calculatedColumnFormula array="1">LOOKUP(2,1/(LEN(TbKNCR11_ST[Estoque])&gt;0),TbKNCR11_ST[Estoque])</calculatedColumnFormula>
    </tableColumn>
    <tableColumn id="10" xr3:uid="{B7F5E8B9-E082-4364-A461-157672ED413D}" name="Fundos de Investimentos: Ações Nacionais" dataDxfId="2797"/>
    <tableColumn id="11" xr3:uid="{EEDA914E-D246-4098-BD88-76A759A16382}" name="Fundos de Investimentos: Ações Nacionais (R$)" dataDxfId="2796"/>
    <tableColumn id="12" xr3:uid="{5796C326-0724-4442-B5B6-ADB2FE95AC8E}" name="Fundos de Investimentos: Ações Internacionais" dataDxfId="2795"/>
    <tableColumn id="13" xr3:uid="{7E50B15A-91CB-4931-8842-28DCB3093973}" name="Fundos de Investimentos: Ações Internacionais (R$)" dataDxfId="2794"/>
    <tableColumn id="14" xr3:uid="{26D2424A-AFD8-4F1C-81C2-9C18234AADE4}" name="COE" dataDxfId="2793"/>
    <tableColumn id="15" xr3:uid="{4F834927-AFB9-43A3-9143-2428CAF5B97A}" name="COE (R$)" dataDxfId="2792"/>
    <tableColumn id="16" xr3:uid="{FCDD2822-12B0-4A10-BECE-CDB76CF79959}" name="Previdência Privada" dataDxfId="2791"/>
    <tableColumn id="17" xr3:uid="{160F8EF8-E94F-4774-837C-3A94DC554ADB}" name="Previdência Privada (R$)" dataDxfId="2790"/>
    <tableColumn id="18" xr3:uid="{57B38D53-0D60-4FD8-9D44-BFAFC4699DE0}" name="Renda Variável Nacional" dataDxfId="2789"/>
    <tableColumn id="19" xr3:uid="{A32DE2E0-E077-4EC2-AAD9-112DCADB6CEB}" name="Renda Variável Nacional (R$)" dataDxfId="2788"/>
    <tableColumn id="20" xr3:uid="{CBFB667A-A098-4482-AB0B-3F2AA74F73FA}" name="Renda Variável Internacional" dataDxfId="2787"/>
    <tableColumn id="21" xr3:uid="{8649CE32-1F31-4EA6-94BB-6E433DFC4EC3}" name="Renda Variável Internacional (R$)" dataDxfId="2786"/>
  </tableColumns>
  <tableStyleInfo name="TableStyleMedium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A7B47DA-BB77-4F6B-B73B-B2F4AAB2AEB3}" name="TbCCClear" displayName="TbCCClear" ref="A1:A2" totalsRowShown="0" headerRowDxfId="2785" dataDxfId="2784">
  <autoFilter ref="A1:A2" xr:uid="{6A7B47DA-BB77-4F6B-B73B-B2F4AAB2AEB3}">
    <filterColumn colId="0" hiddenButton="1"/>
  </autoFilter>
  <tableColumns count="1">
    <tableColumn id="1" xr3:uid="{9F30F880-D16C-4C62-BD5E-9FFEDA7428BE}" name="Conta-Corrente (R$)" dataDxfId="278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4F4524-6233-49C1-9824-FB9A1FC97F0A}" name="TbARCABinance" displayName="TbARCABinance" ref="B1:E7" totalsRowShown="0" headerRowDxfId="2782" headerRowCellStyle="Moeda">
  <autoFilter ref="B1:E7" xr:uid="{F74F4524-6233-49C1-9824-FB9A1FC97F0A}">
    <filterColumn colId="0" hiddenButton="1"/>
    <filterColumn colId="1" hiddenButton="1"/>
    <filterColumn colId="2" hiddenButton="1"/>
    <filterColumn colId="3" hiddenButton="1"/>
  </autoFilter>
  <tableColumns count="4">
    <tableColumn id="1" xr3:uid="{821F7DD7-4AEA-4DA3-AC65-02D39DC3F000}" name="Moeda" dataDxfId="2781"/>
    <tableColumn id="2" xr3:uid="{DF190421-948C-4B57-9112-F806C486FB52}" name="Trade" dataDxfId="2780">
      <calculatedColumnFormula array="1">LOOKUP(2,1/(LEN(TbTradesBinance[Estoque BRL])&gt;0),TbTradesBinance[Estoque BRL])</calculatedColumnFormula>
    </tableColumn>
    <tableColumn id="3" xr3:uid="{8B0348F5-2AE5-4298-9BCD-69264D3C6FA0}" name="Stake" dataDxfId="2779" dataCellStyle="Moeda"/>
    <tableColumn id="4" xr3:uid="{058CF798-79EB-4D55-A50F-9A19C1DC8554}" name="Hold" dataDxfId="2778" dataCellStyle="Moeda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DEDE38A-271D-40F2-8EF4-D7A723008944}" name="TbARCABSC" displayName="TbARCABSC" ref="B1:E3" totalsRowShown="0" headerRowDxfId="2777" headerRowCellStyle="Moeda">
  <autoFilter ref="B1:E3" xr:uid="{8DEDE38A-271D-40F2-8EF4-D7A723008944}">
    <filterColumn colId="0" hiddenButton="1"/>
    <filterColumn colId="1" hiddenButton="1"/>
    <filterColumn colId="2" hiddenButton="1"/>
    <filterColumn colId="3" hiddenButton="1"/>
  </autoFilter>
  <tableColumns count="4">
    <tableColumn id="1" xr3:uid="{95321CB0-B40D-4D2A-88F2-07F4F7771EF5}" name="Moeda"/>
    <tableColumn id="2" xr3:uid="{8945F7E1-3CC1-475F-8FAE-C53D62622964}" name="Trade"/>
    <tableColumn id="3" xr3:uid="{B63911DF-5AB3-4E6C-933F-9438CCF70ED3}" name="Stake"/>
    <tableColumn id="4" xr3:uid="{DE489591-9E2A-4311-8532-F09EB2A07705}" name="Hold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1B36F5A-193A-45C1-B0F9-4B2BCF5D9242}" name="TbARCABitPreço" displayName="TbARCABitPreço" ref="B1:E4" totalsRowShown="0" headerRowDxfId="2776" headerRowCellStyle="Moeda">
  <autoFilter ref="B1:E4" xr:uid="{51B36F5A-193A-45C1-B0F9-4B2BCF5D9242}">
    <filterColumn colId="0" hiddenButton="1"/>
    <filterColumn colId="1" hiddenButton="1"/>
    <filterColumn colId="2" hiddenButton="1"/>
    <filterColumn colId="3" hiddenButton="1"/>
  </autoFilter>
  <tableColumns count="4">
    <tableColumn id="1" xr3:uid="{849132C4-6103-49EB-9BC6-451311E676C5}" name="Moeda"/>
    <tableColumn id="2" xr3:uid="{F62BEBD0-1D84-4165-A2B6-1B43FEA08832}" name="Trade"/>
    <tableColumn id="3" xr3:uid="{60BAF82A-865B-4BFF-832C-995E154A2749}" name="Stake"/>
    <tableColumn id="4" xr3:uid="{689CC783-3268-463A-98B5-988ECB5F220C}" name="Hold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673AE69-9325-422C-B5F4-B7FEFB26FDC6}" name="TbARCAUpHold" displayName="TbARCAUpHold" ref="B1:E4" totalsRowShown="0" headerRowDxfId="2775" headerRowCellStyle="Moeda">
  <autoFilter ref="B1:E4" xr:uid="{1673AE69-9325-422C-B5F4-B7FEFB26FDC6}">
    <filterColumn colId="0" hiddenButton="1"/>
    <filterColumn colId="1" hiddenButton="1"/>
    <filterColumn colId="2" hiddenButton="1"/>
    <filterColumn colId="3" hiddenButton="1"/>
  </autoFilter>
  <tableColumns count="4">
    <tableColumn id="1" xr3:uid="{4B22F8C0-5B5E-4164-9FC1-981A0C9043C4}" name="Moeda"/>
    <tableColumn id="2" xr3:uid="{AA134710-CD9A-4BB8-939C-2641145906E1}" name="Trade"/>
    <tableColumn id="3" xr3:uid="{5025B351-F2AC-4FF8-AAC7-B26609291B70}" name="Stake"/>
    <tableColumn id="4" xr3:uid="{D6538D69-C932-4D14-B0DE-8C83115B0731}" name="Hold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BEA74E0-CB7F-4BCE-9C10-29D13A9BD32A}" name="TbARCAExodus" displayName="TbARCAExodus" ref="B1:E4" totalsRowShown="0" headerRowDxfId="2774" headerRowCellStyle="Moeda">
  <autoFilter ref="B1:E4" xr:uid="{6BEA74E0-CB7F-4BCE-9C10-29D13A9BD32A}">
    <filterColumn colId="0" hiddenButton="1"/>
    <filterColumn colId="1" hiddenButton="1"/>
    <filterColumn colId="2" hiddenButton="1"/>
    <filterColumn colId="3" hiddenButton="1"/>
  </autoFilter>
  <tableColumns count="4">
    <tableColumn id="1" xr3:uid="{F250AE0B-2918-4FE0-9BAC-FDB42D948EBF}" name="Moeda"/>
    <tableColumn id="2" xr3:uid="{C71C180C-7C19-4FC6-9AD4-D1932259EA29}" name="Trade"/>
    <tableColumn id="3" xr3:uid="{25A09635-63C8-4477-BF31-496D0309BBBC}" name="Stake"/>
    <tableColumn id="4" xr3:uid="{D34AC1D7-3A9D-4226-92A1-DE53970F37B9}" name="Hold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39793AA-C68F-486A-AA6E-D201FC05B2BE}" name="TbARCANovaDAX" displayName="TbARCANovaDAX" ref="B1:E11" totalsRowShown="0" headerRowDxfId="2773" headerRowCellStyle="Moeda">
  <autoFilter ref="B1:E11" xr:uid="{E39793AA-C68F-486A-AA6E-D201FC05B2BE}">
    <filterColumn colId="0" hiddenButton="1"/>
    <filterColumn colId="1" hiddenButton="1"/>
    <filterColumn colId="2" hiddenButton="1"/>
    <filterColumn colId="3" hiddenButton="1"/>
  </autoFilter>
  <tableColumns count="4">
    <tableColumn id="1" xr3:uid="{5FC1A454-C5D2-4B03-BE3C-4859A4E0973D}" name="Moeda" dataDxfId="2772"/>
    <tableColumn id="2" xr3:uid="{EBA27603-2269-4E1C-99C3-CDBC5B823B0A}" name="Trade" dataDxfId="2771"/>
    <tableColumn id="3" xr3:uid="{CE3D420C-40C2-4F2D-8FB8-DE95735EDF8E}" name="Stake" dataDxfId="2770" dataCellStyle="Moeda"/>
    <tableColumn id="4" xr3:uid="{A8087391-B829-428B-9E68-B8B4D10080EF}" name="Hold" dataDxfId="2769" dataCellStyle="Moeda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4FA7563-287D-4C90-AB7F-70D17310A016}" name="TbARCAAlter" displayName="TbARCAAlter" ref="B1:E3" totalsRowShown="0" headerRowDxfId="2768" headerRowCellStyle="Moeda">
  <autoFilter ref="B1:E3" xr:uid="{64FA7563-287D-4C90-AB7F-70D17310A016}">
    <filterColumn colId="0" hiddenButton="1"/>
    <filterColumn colId="1" hiddenButton="1"/>
    <filterColumn colId="2" hiddenButton="1"/>
    <filterColumn colId="3" hiddenButton="1"/>
  </autoFilter>
  <tableColumns count="4">
    <tableColumn id="1" xr3:uid="{8632D724-C552-4FAE-A8E1-FA82F9451869}" name="Moeda"/>
    <tableColumn id="2" xr3:uid="{3DD9C02E-FA20-4DE7-8AF9-7F804C1841EA}" name="Trade"/>
    <tableColumn id="3" xr3:uid="{88FBC71A-6B4A-4890-8572-1926FA48E511}" name="Stake"/>
    <tableColumn id="4" xr3:uid="{C9B3A36D-AB9B-4D2C-9D0D-9F1390438840}" name="Hold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9A3A63-7B75-4D80-BCD6-D87CC47AE5AF}" name="TbTradesBinance" displayName="TbTradesBinance" ref="B1:BO232" totalsRowCount="1" headerRowDxfId="2767" dataDxfId="2766" totalsRowDxfId="2765">
  <autoFilter ref="B1:BO231" xr:uid="{2E9A3A63-7B75-4D80-BCD6-D87CC47AE5AF}"/>
  <tableColumns count="66">
    <tableColumn id="1" xr3:uid="{E50C18C6-5D54-44B8-860F-80360CBEDEE4}" name="Observação" totalsRowLabel="Total" dataDxfId="2764" totalsRowDxfId="2763"/>
    <tableColumn id="2" xr3:uid="{89CCD577-A35F-4859-A2B4-5A542B843D98}" name="Resultado" totalsRowFunction="sum" dataDxfId="2762" totalsRowDxfId="2761"/>
    <tableColumn id="3" xr3:uid="{6786924D-0F29-481B-B268-9C16F1BA0052}" name="Data (UTC-3)" dataDxfId="2760" totalsRowDxfId="2759"/>
    <tableColumn id="4" xr3:uid="{CD320374-A9C5-4D02-8F7D-1456A201EE22}" name="Par" dataDxfId="2758" totalsRowDxfId="2757"/>
    <tableColumn id="5" xr3:uid="{487951E5-CF3A-42EF-96EA-3C89A3E21133}" name="Tipo" dataDxfId="2756" totalsRowDxfId="2755"/>
    <tableColumn id="6" xr3:uid="{68D561F3-CACF-4E81-9606-BA1D7A6688CD}" name="Preço" dataDxfId="2754" totalsRowDxfId="2753"/>
    <tableColumn id="7" xr3:uid="{228B606F-1B8B-4B00-BE89-6EF4893C85A6}" name="Qtt" dataDxfId="2752" totalsRowDxfId="2751"/>
    <tableColumn id="8" xr3:uid="{968071F4-14F8-4DAB-BC29-D92A5D9760EF}" name="Taxa" dataDxfId="2750" totalsRowDxfId="2749"/>
    <tableColumn id="9" xr3:uid="{FC20ED56-E54E-4875-B3FE-53736049AF12}" name="Moeda da Taxa" dataDxfId="2748" totalsRowDxfId="2747"/>
    <tableColumn id="10" xr3:uid="{BDBDD816-9608-4BC5-8BB8-E8923F0ED58A}" name="Conversão" dataDxfId="2746" totalsRowDxfId="2745"/>
    <tableColumn id="11" xr3:uid="{FBDE1152-F3DC-4F12-B6B1-61E32D364E0A}" name="Cotação BRL" dataDxfId="2744" totalsRowDxfId="2743">
      <calculatedColumnFormula>TRUNC(K2*G2,2)</calculatedColumnFormula>
    </tableColumn>
    <tableColumn id="12" xr3:uid="{44589673-391F-4A99-ABB7-C8612CB0507B}" name="Volume" totalsRowFunction="stdDev" dataDxfId="2742" totalsRowDxfId="2741">
      <calculatedColumnFormula>IF(OR(TbTradesBinance[[#This Row],[Tipo]]="BUY",TbTradesBinance[[#This Row],[Tipo]]="RECEIVE",TbTradesBinance[[#This Row],[Tipo]]="DROP"),L2*H2,-L2*H2)</calculatedColumnFormula>
    </tableColumn>
    <tableColumn id="13" xr3:uid="{796165CF-6D33-4F56-8892-0E3C04B624B6}" name="Estoque BRL" dataDxfId="2740" totalsRowDxfId="2739">
      <calculatedColumnFormula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Row],[Tipo]]="DROP"),N1+TbTradesBinance[[#This Row],[Qtt]],N1-TbTradesBinance[[#This Row],[Qtt]]),IF(TbTradesBinance[[#This Row],[Tipo]]="BUY",N1-TbTradesBinance[[#This Row],[Qtt]]*TbTradesBinance[[#This Row],[Preço]],N1+TbTradesBinance[[#This Row],[Qtt]]*TbTradesBinance[[#This Row],[Preço]])),N1)-IF(TbTradesBinance[[#This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Row],[Tipo]]="DROP"),N1+TbTradesBinance[[#This Row],[Qtt]],N1-TbTradesBinance[[#This Row],[Qtt]]),IF(TbTradesBinance[[#This Row],[Tipo]]="BUY",N1-TbTradesBinance[[#This Row],[Qtt]]*TbTradesBinance[[#This Row],[Preço]],N1+TbTradesBinance[[#This Row],[Qtt]]*TbTradesBinance[[#This Row],[Preço]])),N1)-IF(TbTradesBinance[[#This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Row],[Tipo]]="DROP"),N1+TbTradesBinance[[#This Row],[Qtt]],N1-TbTradesBinance[[#This Row],[Qtt]]),IF(TbTradesBinance[[#This Row],[Tipo]]="BUY",N1-TbTradesBinance[[#This Row],[Qtt]]*TbTradesBinance[[#This Row],[Preço]],N1+TbTradesBinance[[#This Row],[Qtt]]*TbTradesBinance[[#This Row],[Preço]])),N1)-IF(TbTradesBinance[[#This Row],[Moeda da Taxa]]=MID(N$1,9,5),TbTradesBinance[[#This Row],[Taxa]],0),8)))</calculatedColumnFormula>
    </tableColumn>
    <tableColumn id="14" xr3:uid="{0B861530-E90D-4341-87D1-EB45694ED6B1}" name="Custo de BRL" dataDxfId="2738" totalsRowDxfId="2737">
      <calculatedColumnFormula array="1">IF(TbTradesBinance[[#This Row],[Tipo]]="EMPTY",0,O1+IF(TbTradesBinance[[#This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Row],[Par]]))),$1:$1,0)),-(N1-N2)/N1*O1),0),0)+IF(TbTradesBinance[[#This Row],[Tipo]]="SELL",IF(ISNUMBER(FIND(MID(O$1,10,5),TbTradesBinance[[#This Row],[Par]])),IF(FIND(MID(O$1,10,5),TbTradesBinance[[#This Row],[Par]])=1, -(N1-N2)/N1*O1,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Row],[Par]])),(-(N1-N2)/N1*O1)+IF(TbTradesBinance[[#This Row],[Resultado]]&gt;0,0,TbTradesBinance[[#This Row],[Taxa]]),0),0))</calculatedColumnFormula>
    </tableColumn>
    <tableColumn id="15" xr3:uid="{307A63D1-527D-426C-85EC-C2E1046E0D54}" name="Preço Médio BRL" dataDxfId="2736" totalsRowDxfId="2735">
      <calculatedColumnFormula>IF(N2=0,0,O2/N2)</calculatedColumnFormula>
    </tableColumn>
    <tableColumn id="16" xr3:uid="{F9E6BED2-4E58-4C5C-B07C-6D25CEB66B40}" name="Estoque USDT" dataDxfId="2734" totalsRowDxfId="2733">
      <calculatedColumnFormula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Row],[Tipo]]="DROP"),Q1+TbTradesBinance[[#This Row],[Qtt]],Q1-TbTradesBinance[[#This Row],[Qtt]]),IF(TbTradesBinance[[#This Row],[Tipo]]="BUY",Q1-TbTradesBinance[[#This Row],[Qtt]]*TbTradesBinance[[#This Row],[Preço]],Q1+TbTradesBinance[[#This Row],[Qtt]]*TbTradesBinance[[#This Row],[Preço]])),Q1)-IF(TbTradesBinance[[#This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Row],[Tipo]]="DROP"),Q1+TbTradesBinance[[#This Row],[Qtt]],Q1-TbTradesBinance[[#This Row],[Qtt]]),IF(TbTradesBinance[[#This Row],[Tipo]]="BUY",Q1-TbTradesBinance[[#This Row],[Qtt]]*TbTradesBinance[[#This Row],[Preço]],Q1+TbTradesBinance[[#This Row],[Qtt]]*TbTradesBinance[[#This Row],[Preço]])),Q1)-IF(TbTradesBinance[[#This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Row],[Tipo]]="DROP"),Q1+TbTradesBinance[[#This Row],[Qtt]],Q1-TbTradesBinance[[#This Row],[Qtt]]),IF(TbTradesBinance[[#This Row],[Tipo]]="BUY",Q1-TbTradesBinance[[#This Row],[Qtt]]*TbTradesBinance[[#This Row],[Preço]],Q1+TbTradesBinance[[#This Row],[Qtt]]*TbTradesBinance[[#This Row],[Preço]])),Q1)-IF(TbTradesBinance[[#This Row],[Moeda da Taxa]]=MID(Q$1,9,5),TbTradesBinance[[#This Row],[Taxa]],0),8)))</calculatedColumnFormula>
    </tableColumn>
    <tableColumn id="17" xr3:uid="{D7A8D2B1-106D-4B6B-BC43-4FF2FDD85B5E}" name="Custo de USDT" dataDxfId="2732" totalsRowDxfId="2731">
      <calculatedColumnFormula array="1">IF(TbTradesBinance[[#This Row],[Tipo]]="EMPTY",0,R1+IF(TbTradesBinance[[#This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Row],[Par]]))),$1:$1,0)),-(Q1-Q2)/Q1*R1),0),0)+IF(TbTradesBinance[[#This Row],[Tipo]]="SELL",IF(ISNUMBER(FIND(MID(R$1,10,5),TbTradesBinance[[#This Row],[Par]])),IF(FIND(MID(R$1,10,5),TbTradesBinance[[#This Row],[Par]])=1, -(Q1-Q2)/Q1*R1,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Row],[Par]])),(-(Q1-Q2)/Q1*R1)+IF(TbTradesBinance[[#This Row],[Resultado]]&gt;0,0,TbTradesBinance[[#This Row],[Taxa]]),0),0))</calculatedColumnFormula>
    </tableColumn>
    <tableColumn id="18" xr3:uid="{3099E270-0C8B-4F46-AFF6-99FA9A2B2892}" name="Preço Médio USDT" dataDxfId="2730" totalsRowDxfId="2729">
      <calculatedColumnFormula>IF(Q2=0,0,R2/Q2)</calculatedColumnFormula>
    </tableColumn>
    <tableColumn id="19" xr3:uid="{13ED1D17-B79B-4ACA-B3D4-135C1EF782CE}" name="Estoque EUR" dataDxfId="2728" totalsRowDxfId="2727">
      <calculatedColumnFormula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Row],[Tipo]]="DROP"),T1+TbTradesBinance[[#This Row],[Qtt]],T1-TbTradesBinance[[#This Row],[Qtt]]),IF(TbTradesBinance[[#This Row],[Tipo]]="BUY",T1-TbTradesBinance[[#This Row],[Qtt]]*TbTradesBinance[[#This Row],[Preço]],T1+TbTradesBinance[[#This Row],[Qtt]]*TbTradesBinance[[#This Row],[Preço]])),T1)-IF(TbTradesBinance[[#This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Row],[Tipo]]="DROP"),T1+TbTradesBinance[[#This Row],[Qtt]],T1-TbTradesBinance[[#This Row],[Qtt]]),IF(TbTradesBinance[[#This Row],[Tipo]]="BUY",T1-TbTradesBinance[[#This Row],[Qtt]]*TbTradesBinance[[#This Row],[Preço]],T1+TbTradesBinance[[#This Row],[Qtt]]*TbTradesBinance[[#This Row],[Preço]])),T1)-IF(TbTradesBinance[[#This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Row],[Tipo]]="DROP"),T1+TbTradesBinance[[#This Row],[Qtt]],T1-TbTradesBinance[[#This Row],[Qtt]]),IF(TbTradesBinance[[#This Row],[Tipo]]="BUY",T1-TbTradesBinance[[#This Row],[Qtt]]*TbTradesBinance[[#This Row],[Preço]],T1+TbTradesBinance[[#This Row],[Qtt]]*TbTradesBinance[[#This Row],[Preço]])),T1)-IF(TbTradesBinance[[#This Row],[Moeda da Taxa]]=MID(T$1,9,5),TbTradesBinance[[#This Row],[Taxa]],0),8)))</calculatedColumnFormula>
    </tableColumn>
    <tableColumn id="20" xr3:uid="{58BD4470-D140-41EE-BDEF-07166EC996AA}" name="Custo de EUR" dataDxfId="2726" totalsRowDxfId="2725">
      <calculatedColumnFormula array="1">IF(TbTradesBinance[[#This Row],[Tipo]]="EMPTY",0,U1+IF(TbTradesBinance[[#This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Row],[Par]]))),$1:$1,0)),-(T1-T2)/T1*U1),0),0)+IF(TbTradesBinance[[#This Row],[Tipo]]="SELL",IF(ISNUMBER(FIND(MID(U$1,10,5),TbTradesBinance[[#This Row],[Par]])),IF(FIND(MID(U$1,10,5),TbTradesBinance[[#This Row],[Par]])=1, -(T1-T2)/T1*U1,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Row],[Par]])),(-(T1-T2)/T1*U1)+IF(TbTradesBinance[[#This Row],[Resultado]]&gt;0,0,TbTradesBinance[[#This Row],[Taxa]]),0),0))</calculatedColumnFormula>
    </tableColumn>
    <tableColumn id="21" xr3:uid="{1F0FA0A9-3662-45E5-B500-F62F9B26414C}" name="Preço Médio EUR" dataDxfId="2724" totalsRowDxfId="2723">
      <calculatedColumnFormula>IF(T2=0,0,U2/T2)</calculatedColumnFormula>
    </tableColumn>
    <tableColumn id="22" xr3:uid="{A2E673CD-1945-47A2-A078-73B18F4EC4A6}" name="Estoque BTC" dataDxfId="2722" totalsRowDxfId="2721">
      <calculatedColumnFormula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Row],[Tipo]]="DROP"),W1+TbTradesBinance[[#This Row],[Qtt]],W1-TbTradesBinance[[#This Row],[Qtt]]),IF(TbTradesBinance[[#This Row],[Tipo]]="BUY",W1-TbTradesBinance[[#This Row],[Qtt]]*TbTradesBinance[[#This Row],[Preço]],W1+TbTradesBinance[[#This Row],[Qtt]]*TbTradesBinance[[#This Row],[Preço]])),W1)-IF(TbTradesBinance[[#This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Row],[Tipo]]="DROP"),W1+TbTradesBinance[[#This Row],[Qtt]],W1-TbTradesBinance[[#This Row],[Qtt]]),IF(TbTradesBinance[[#This Row],[Tipo]]="BUY",W1-TbTradesBinance[[#This Row],[Qtt]]*TbTradesBinance[[#This Row],[Preço]],W1+TbTradesBinance[[#This Row],[Qtt]]*TbTradesBinance[[#This Row],[Preço]])),W1)-IF(TbTradesBinance[[#This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Row],[Tipo]]="DROP"),W1+TbTradesBinance[[#This Row],[Qtt]],W1-TbTradesBinance[[#This Row],[Qtt]]),IF(TbTradesBinance[[#This Row],[Tipo]]="BUY",W1-TbTradesBinance[[#This Row],[Qtt]]*TbTradesBinance[[#This Row],[Preço]],W1+TbTradesBinance[[#This Row],[Qtt]]*TbTradesBinance[[#This Row],[Preço]])),W1)-IF(TbTradesBinance[[#This Row],[Moeda da Taxa]]=MID(W$1,9,5),TbTradesBinance[[#This Row],[Taxa]],0),8)))</calculatedColumnFormula>
    </tableColumn>
    <tableColumn id="23" xr3:uid="{D365F754-7A1E-497E-A4EF-4ABDB7D0AF5D}" name="Custo de BTC" dataDxfId="2720" totalsRowDxfId="2719">
      <calculatedColumnFormula array="1">IF(TbTradesBinance[[#This Row],[Tipo]]="EMPTY",0,X1+IF(TbTradesBinance[[#This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Row],[Par]]))),$1:$1,0)),-(W1-W2)/W1*X1),0),0)+IF(TbTradesBinance[[#This Row],[Tipo]]="SELL",IF(ISNUMBER(FIND(MID(X$1,10,5),TbTradesBinance[[#This Row],[Par]])),IF(FIND(MID(X$1,10,5),TbTradesBinance[[#This Row],[Par]])=1, -(W1-W2)/W1*X1,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Row],[Par]])),(-(W1-W2)/W1*X1)+IF(TbTradesBinance[[#This Row],[Resultado]]&gt;0,0,TbTradesBinance[[#This Row],[Taxa]]),0),0))</calculatedColumnFormula>
    </tableColumn>
    <tableColumn id="24" xr3:uid="{E653806E-91A8-40D9-B894-1C3D1F72FE46}" name="Preço Médio BTC" dataDxfId="2718" totalsRowDxfId="2717">
      <calculatedColumnFormula>IF(W2=0,0,X2/W2)</calculatedColumnFormula>
    </tableColumn>
    <tableColumn id="25" xr3:uid="{0002D94B-0957-4C2A-A6F8-4E5A9FFAAB31}" name="Estoque ETH" dataDxfId="2716" totalsRowDxfId="2715">
      <calculatedColumnFormula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Row],[Tipo]]="DROP"),Z1+TbTradesBinance[[#This Row],[Qtt]],Z1-TbTradesBinance[[#This Row],[Qtt]]),IF(TbTradesBinance[[#This Row],[Tipo]]="BUY",Z1-TbTradesBinance[[#This Row],[Qtt]]*TbTradesBinance[[#This Row],[Preço]],Z1+TbTradesBinance[[#This Row],[Qtt]]*TbTradesBinance[[#This Row],[Preço]])),Z1)-IF(TbTradesBinance[[#This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Row],[Tipo]]="DROP"),Z1+TbTradesBinance[[#This Row],[Qtt]],Z1-TbTradesBinance[[#This Row],[Qtt]]),IF(TbTradesBinance[[#This Row],[Tipo]]="BUY",Z1-TbTradesBinance[[#This Row],[Qtt]]*TbTradesBinance[[#This Row],[Preço]],Z1+TbTradesBinance[[#This Row],[Qtt]]*TbTradesBinance[[#This Row],[Preço]])),Z1)-IF(TbTradesBinance[[#This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Row],[Tipo]]="DROP"),Z1+TbTradesBinance[[#This Row],[Qtt]],Z1-TbTradesBinance[[#This Row],[Qtt]]),IF(TbTradesBinance[[#This Row],[Tipo]]="BUY",Z1-TbTradesBinance[[#This Row],[Qtt]]*TbTradesBinance[[#This Row],[Preço]],Z1+TbTradesBinance[[#This Row],[Qtt]]*TbTradesBinance[[#This Row],[Preço]])),Z1)-IF(TbTradesBinance[[#This Row],[Moeda da Taxa]]=MID(Z$1,9,5),TbTradesBinance[[#This Row],[Taxa]],0),8)))</calculatedColumnFormula>
    </tableColumn>
    <tableColumn id="26" xr3:uid="{1BD0FE8D-BFA3-4C3A-BA93-6179C955B763}" name="Custo de ETH" dataDxfId="2714" totalsRowDxfId="2713">
      <calculatedColumnFormula array="1">IF(TbTradesBinance[[#This Row],[Tipo]]="EMPTY",0,AA1+IF(TbTradesBinance[[#This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Row],[Par]]))),$1:$1,0)),-(Z1-Z2)/Z1*AA1),0),0)+IF(TbTradesBinance[[#This Row],[Tipo]]="SELL",IF(ISNUMBER(FIND(MID(AA$1,10,5),TbTradesBinance[[#This Row],[Par]])),IF(FIND(MID(AA$1,10,5),TbTradesBinance[[#This Row],[Par]])=1, -(Z1-Z2)/Z1*AA1,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Row],[Par]])),(-(Z1-Z2)/Z1*AA1)+IF(TbTradesBinance[[#This Row],[Resultado]]&gt;0,0,TbTradesBinance[[#This Row],[Taxa]]),0),0))</calculatedColumnFormula>
    </tableColumn>
    <tableColumn id="27" xr3:uid="{8C4FFFB6-814D-4C78-9C05-6A9844DAD1B4}" name="Preço Médio ETH" dataDxfId="2712" totalsRowDxfId="2711">
      <calculatedColumnFormula>IF(Z2=0,0,AA2/Z2)</calculatedColumnFormula>
    </tableColumn>
    <tableColumn id="28" xr3:uid="{AECC494A-B421-4A44-A609-10A091715AD5}" name="Estoque AAVE" dataDxfId="2710" totalsRowDxfId="2709">
      <calculatedColumnFormula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Row],[Tipo]]="DROP"),AC1+TbTradesBinance[[#This Row],[Qtt]],AC1-TbTradesBinance[[#This Row],[Qtt]]),IF(TbTradesBinance[[#This Row],[Tipo]]="BUY",AC1-TbTradesBinance[[#This Row],[Qtt]]*TbTradesBinance[[#This Row],[Preço]],AC1+TbTradesBinance[[#This Row],[Qtt]]*TbTradesBinance[[#This Row],[Preço]])),AC1)-IF(TbTradesBinance[[#This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Row],[Tipo]]="DROP"),AC1+TbTradesBinance[[#This Row],[Qtt]],AC1-TbTradesBinance[[#This Row],[Qtt]]),IF(TbTradesBinance[[#This Row],[Tipo]]="BUY",AC1-TbTradesBinance[[#This Row],[Qtt]]*TbTradesBinance[[#This Row],[Preço]],AC1+TbTradesBinance[[#This Row],[Qtt]]*TbTradesBinance[[#This Row],[Preço]])),AC1)-IF(TbTradesBinance[[#This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Row],[Tipo]]="DROP"),AC1+TbTradesBinance[[#This Row],[Qtt]],AC1-TbTradesBinance[[#This Row],[Qtt]]),IF(TbTradesBinance[[#This Row],[Tipo]]="BUY",AC1-TbTradesBinance[[#This Row],[Qtt]]*TbTradesBinance[[#This Row],[Preço]],AC1+TbTradesBinance[[#This Row],[Qtt]]*TbTradesBinance[[#This Row],[Preço]])),AC1)-IF(TbTradesBinance[[#This Row],[Moeda da Taxa]]=MID(AC$1,9,5),TbTradesBinance[[#This Row],[Taxa]],0),8)))</calculatedColumnFormula>
    </tableColumn>
    <tableColumn id="29" xr3:uid="{82E9332A-D283-4FFF-8F18-E2C2F7403D9F}" name="Custo de AAVE" dataDxfId="2708" totalsRowDxfId="2707">
      <calculatedColumnFormula array="1">IF(TbTradesBinance[[#This Row],[Tipo]]="EMPTY",0,AD1+IF(TbTradesBinance[[#This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Row],[Par]]))),$1:$1,0)),-(AC1-AC2)/AC1*AD1),0),0)+IF(TbTradesBinance[[#This Row],[Tipo]]="SELL",IF(ISNUMBER(FIND(MID(AD$1,10,5),TbTradesBinance[[#This Row],[Par]])),IF(FIND(MID(AD$1,10,5),TbTradesBinance[[#This Row],[Par]])=1, -(AC1-AC2)/AC1*AD1,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Row],[Par]])),(-(AC1-AC2)/AC1*AD1)+IF(TbTradesBinance[[#This Row],[Resultado]]&gt;0,0,TbTradesBinance[[#This Row],[Taxa]]),0),0))</calculatedColumnFormula>
    </tableColumn>
    <tableColumn id="30" xr3:uid="{A6A31170-A80F-41DC-B6E9-5DCCA331A429}" name="Preço Médio AAVE" dataDxfId="2706" totalsRowDxfId="2705">
      <calculatedColumnFormula>IF(AC2=0,0,AD2/AC2)</calculatedColumnFormula>
    </tableColumn>
    <tableColumn id="31" xr3:uid="{65916339-C2A4-44A4-A3AB-C647B23111EB}" name="Estoque ADA" dataDxfId="2704" totalsRowDxfId="2703">
      <calculatedColumnFormula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Row],[Tipo]]="DROP"),AF1+TbTradesBinance[[#This Row],[Qtt]],AF1-TbTradesBinance[[#This Row],[Qtt]]),IF(TbTradesBinance[[#This Row],[Tipo]]="BUY",AF1-TbTradesBinance[[#This Row],[Qtt]]*TbTradesBinance[[#This Row],[Preço]],AF1+TbTradesBinance[[#This Row],[Qtt]]*TbTradesBinance[[#This Row],[Preço]])),AF1)-IF(TbTradesBinance[[#This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Row],[Tipo]]="DROP"),AF1+TbTradesBinance[[#This Row],[Qtt]],AF1-TbTradesBinance[[#This Row],[Qtt]]),IF(TbTradesBinance[[#This Row],[Tipo]]="BUY",AF1-TbTradesBinance[[#This Row],[Qtt]]*TbTradesBinance[[#This Row],[Preço]],AF1+TbTradesBinance[[#This Row],[Qtt]]*TbTradesBinance[[#This Row],[Preço]])),AF1)-IF(TbTradesBinance[[#This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Row],[Tipo]]="DROP"),AF1+TbTradesBinance[[#This Row],[Qtt]],AF1-TbTradesBinance[[#This Row],[Qtt]]),IF(TbTradesBinance[[#This Row],[Tipo]]="BUY",AF1-TbTradesBinance[[#This Row],[Qtt]]*TbTradesBinance[[#This Row],[Preço]],AF1+TbTradesBinance[[#This Row],[Qtt]]*TbTradesBinance[[#This Row],[Preço]])),AF1)-IF(TbTradesBinance[[#This Row],[Moeda da Taxa]]=MID(AF$1,9,5),TbTradesBinance[[#This Row],[Taxa]],0),8)))</calculatedColumnFormula>
    </tableColumn>
    <tableColumn id="32" xr3:uid="{73C7031D-45BD-4C94-BC4E-959A61CA84F0}" name="Custo de ADA" dataDxfId="2702" totalsRowDxfId="2701">
      <calculatedColumnFormula array="1">IF(TbTradesBinance[[#This Row],[Tipo]]="EMPTY",0,AG1+IF(TbTradesBinance[[#This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Row],[Par]]))),$1:$1,0)),-(AF1-AF2)/AF1*AG1),0),0)+IF(TbTradesBinance[[#This Row],[Tipo]]="SELL",IF(ISNUMBER(FIND(MID(AG$1,10,5),TbTradesBinance[[#This Row],[Par]])),IF(FIND(MID(AG$1,10,5),TbTradesBinance[[#This Row],[Par]])=1, -(AF1-AF2)/AF1*AG1,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Row],[Par]])),(-(AF1-AF2)/AF1*AG1)+IF(TbTradesBinance[[#This Row],[Resultado]]&gt;0,0,TbTradesBinance[[#This Row],[Taxa]]),0),0))</calculatedColumnFormula>
    </tableColumn>
    <tableColumn id="33" xr3:uid="{19F4132D-5A20-40B1-8EA1-ED57E42D19E5}" name="Preço Médio ADA" dataDxfId="2700" totalsRowDxfId="2699">
      <calculatedColumnFormula>IF(AF2=0,0,AG2/AF2)</calculatedColumnFormula>
    </tableColumn>
    <tableColumn id="34" xr3:uid="{A7EC3A52-2512-4222-AAB5-4D2F200BED05}" name="Estoque ATOM" dataDxfId="2698" totalsRowDxfId="2697">
      <calculatedColumnFormula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Row],[Tipo]]="DROP"),AI1+TbTradesBinance[[#This Row],[Qtt]],AI1-TbTradesBinance[[#This Row],[Qtt]]),IF(TbTradesBinance[[#This Row],[Tipo]]="BUY",AI1-TbTradesBinance[[#This Row],[Qtt]]*TbTradesBinance[[#This Row],[Preço]],AI1+TbTradesBinance[[#This Row],[Qtt]]*TbTradesBinance[[#This Row],[Preço]])),AI1)-IF(TbTradesBinance[[#This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Row],[Tipo]]="DROP"),AI1+TbTradesBinance[[#This Row],[Qtt]],AI1-TbTradesBinance[[#This Row],[Qtt]]),IF(TbTradesBinance[[#This Row],[Tipo]]="BUY",AI1-TbTradesBinance[[#This Row],[Qtt]]*TbTradesBinance[[#This Row],[Preço]],AI1+TbTradesBinance[[#This Row],[Qtt]]*TbTradesBinance[[#This Row],[Preço]])),AI1)-IF(TbTradesBinance[[#This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Row],[Tipo]]="DROP"),AI1+TbTradesBinance[[#This Row],[Qtt]],AI1-TbTradesBinance[[#This Row],[Qtt]]),IF(TbTradesBinance[[#This Row],[Tipo]]="BUY",AI1-TbTradesBinance[[#This Row],[Qtt]]*TbTradesBinance[[#This Row],[Preço]],AI1+TbTradesBinance[[#This Row],[Qtt]]*TbTradesBinance[[#This Row],[Preço]])),AI1)-IF(TbTradesBinance[[#This Row],[Moeda da Taxa]]=MID(AI$1,9,5),TbTradesBinance[[#This Row],[Taxa]],0),8)))</calculatedColumnFormula>
    </tableColumn>
    <tableColumn id="35" xr3:uid="{7F8E53F1-4C3C-4EBD-B251-A06580E8177D}" name="Custo de ATOM" dataDxfId="2696" totalsRowDxfId="2695">
      <calculatedColumnFormula array="1">IF(TbTradesBinance[[#This Row],[Tipo]]="EMPTY",0,AJ1+IF(TbTradesBinance[[#This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Row],[Par]]))),$1:$1,0)),-(AI1-AI2)/AI1*AJ1),0),0)+IF(TbTradesBinance[[#This Row],[Tipo]]="SELL",IF(ISNUMBER(FIND(MID(AJ$1,10,5),TbTradesBinance[[#This Row],[Par]])),IF(FIND(MID(AJ$1,10,5),TbTradesBinance[[#This Row],[Par]])=1, -(AI1-AI2)/AI1*AJ1,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Row],[Par]])),(-(AI1-AI2)/AI1*AJ1)+IF(TbTradesBinance[[#This Row],[Resultado]]&gt;0,0,TbTradesBinance[[#This Row],[Taxa]]),0),0))</calculatedColumnFormula>
    </tableColumn>
    <tableColumn id="36" xr3:uid="{D9AFCF69-4885-4371-BDEC-4EE293C932BC}" name="Preço Médio ATOM" dataDxfId="2694" totalsRowDxfId="2693">
      <calculatedColumnFormula>IF(AI2=0,0,AJ2/AI2)</calculatedColumnFormula>
    </tableColumn>
    <tableColumn id="37" xr3:uid="{74649086-D2CB-4375-ACB1-2335273B989F}" name="Estoque BAND" dataDxfId="2692" totalsRowDxfId="2691">
      <calculatedColumnFormula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Row],[Tipo]]="DROP"),AL1+TbTradesBinance[[#This Row],[Qtt]],AL1-TbTradesBinance[[#This Row],[Qtt]]),IF(TbTradesBinance[[#This Row],[Tipo]]="BUY",AL1-TbTradesBinance[[#This Row],[Qtt]]*TbTradesBinance[[#This Row],[Preço]],AL1+TbTradesBinance[[#This Row],[Qtt]]*TbTradesBinance[[#This Row],[Preço]])),AL1)-IF(TbTradesBinance[[#This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Row],[Tipo]]="DROP"),AL1+TbTradesBinance[[#This Row],[Qtt]],AL1-TbTradesBinance[[#This Row],[Qtt]]),IF(TbTradesBinance[[#This Row],[Tipo]]="BUY",AL1-TbTradesBinance[[#This Row],[Qtt]]*TbTradesBinance[[#This Row],[Preço]],AL1+TbTradesBinance[[#This Row],[Qtt]]*TbTradesBinance[[#This Row],[Preço]])),AL1)-IF(TbTradesBinance[[#This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Row],[Tipo]]="DROP"),AL1+TbTradesBinance[[#This Row],[Qtt]],AL1-TbTradesBinance[[#This Row],[Qtt]]),IF(TbTradesBinance[[#This Row],[Tipo]]="BUY",AL1-TbTradesBinance[[#This Row],[Qtt]]*TbTradesBinance[[#This Row],[Preço]],AL1+TbTradesBinance[[#This Row],[Qtt]]*TbTradesBinance[[#This Row],[Preço]])),AL1)-IF(TbTradesBinance[[#This Row],[Moeda da Taxa]]=MID(AL$1,9,5),TbTradesBinance[[#This Row],[Taxa]],0),8)))</calculatedColumnFormula>
    </tableColumn>
    <tableColumn id="38" xr3:uid="{4AE19435-1BA1-4927-9A17-60E7A60C4284}" name="Custo de BAND" dataDxfId="2690" totalsRowDxfId="2689">
      <calculatedColumnFormula array="1">IF(TbTradesBinance[[#This Row],[Tipo]]="EMPTY",0,AM1+IF(TbTradesBinance[[#This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Row],[Par]]))),$1:$1,0)),-(AL1-AL2)/AL1*AM1),0),0)+IF(TbTradesBinance[[#This Row],[Tipo]]="SELL",IF(ISNUMBER(FIND(MID(AM$1,10,5),TbTradesBinance[[#This Row],[Par]])),IF(FIND(MID(AM$1,10,5),TbTradesBinance[[#This Row],[Par]])=1, -(AL1-AL2)/AL1*AM1,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Row],[Par]])),(-(AL1-AL2)/AL1*AM1)+IF(TbTradesBinance[[#This Row],[Resultado]]&gt;0,0,TbTradesBinance[[#This Row],[Taxa]]),0),0))</calculatedColumnFormula>
    </tableColumn>
    <tableColumn id="39" xr3:uid="{89B5F5B3-203C-413B-8ABD-9BCBAC266898}" name="Preço Médio BAND" dataDxfId="2688" totalsRowDxfId="2687">
      <calculatedColumnFormula>IF(AL2=0,0,AM2/AL2)</calculatedColumnFormula>
    </tableColumn>
    <tableColumn id="40" xr3:uid="{76A7AE53-0B4B-47F9-A648-C53E27E076AB}" name="Estoque BNB" dataDxfId="2686" totalsRowDxfId="2685">
      <calculatedColumnFormula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Row],[Tipo]]="DROP"),AO1+TbTradesBinance[[#This Row],[Qtt]],AO1-TbTradesBinance[[#This Row],[Qtt]]),IF(TbTradesBinance[[#This Row],[Tipo]]="BUY",AO1-TbTradesBinance[[#This Row],[Qtt]]*TbTradesBinance[[#This Row],[Preço]],AO1+TbTradesBinance[[#This Row],[Qtt]]*TbTradesBinance[[#This Row],[Preço]])),AO1)-IF(TbTradesBinance[[#This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Row],[Tipo]]="DROP"),AO1+TbTradesBinance[[#This Row],[Qtt]],AO1-TbTradesBinance[[#This Row],[Qtt]]),IF(TbTradesBinance[[#This Row],[Tipo]]="BUY",AO1-TbTradesBinance[[#This Row],[Qtt]]*TbTradesBinance[[#This Row],[Preço]],AO1+TbTradesBinance[[#This Row],[Qtt]]*TbTradesBinance[[#This Row],[Preço]])),AO1)-IF(TbTradesBinance[[#This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Row],[Tipo]]="DROP"),AO1+TbTradesBinance[[#This Row],[Qtt]],AO1-TbTradesBinance[[#This Row],[Qtt]]),IF(TbTradesBinance[[#This Row],[Tipo]]="BUY",AO1-TbTradesBinance[[#This Row],[Qtt]]*TbTradesBinance[[#This Row],[Preço]],AO1+TbTradesBinance[[#This Row],[Qtt]]*TbTradesBinance[[#This Row],[Preço]])),AO1)-IF(TbTradesBinance[[#This Row],[Moeda da Taxa]]=MID(AO$1,9,5),TbTradesBinance[[#This Row],[Taxa]],0),8)))</calculatedColumnFormula>
    </tableColumn>
    <tableColumn id="41" xr3:uid="{3C4DD28C-0205-4F1B-8C51-A0FFDF2AB0C2}" name="Custo de BNB" dataDxfId="2684" totalsRowDxfId="2683">
      <calculatedColumnFormula array="1">IF(TbTradesBinance[[#This Row],[Tipo]]="EMPTY",0,AP1+IF(TbTradesBinance[[#This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Row],[Par]]))),$1:$1,0)),-(AO1-AO2)/AO1*AP1),0),0)+IF(TbTradesBinance[[#This Row],[Tipo]]="SELL",IF(ISNUMBER(FIND(MID(AP$1,10,5),TbTradesBinance[[#This Row],[Par]])),IF(FIND(MID(AP$1,10,5),TbTradesBinance[[#This Row],[Par]])=1, -(AO1-AO2)/AO1*AP1,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Row],[Par]])),(-(AO1-AO2)/AO1*AP1)+IF(TbTradesBinance[[#This Row],[Resultado]]&gt;0,0,TbTradesBinance[[#This Row],[Taxa]]),0),0))</calculatedColumnFormula>
    </tableColumn>
    <tableColumn id="42" xr3:uid="{872C71B2-1026-4D07-9835-DE654FBB1A0C}" name="Preço Médio BNB" dataDxfId="2682" totalsRowDxfId="2681">
      <calculatedColumnFormula>IF(AO2=0,0,AP2/AO2)</calculatedColumnFormula>
    </tableColumn>
    <tableColumn id="43" xr3:uid="{ED9AE723-3752-4094-B9E6-71B326AB0DAD}" name="Estoque CHZ" dataDxfId="2680" totalsRowDxfId="2679">
      <calculatedColumnFormula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Row],[Tipo]]="DROP"),AR1+TbTradesBinance[[#This Row],[Qtt]],AR1-TbTradesBinance[[#This Row],[Qtt]]),IF(TbTradesBinance[[#This Row],[Tipo]]="BUY",AR1-TbTradesBinance[[#This Row],[Qtt]]*TbTradesBinance[[#This Row],[Preço]],AR1+TbTradesBinance[[#This Row],[Qtt]]*TbTradesBinance[[#This Row],[Preço]])),AR1)-IF(TbTradesBinance[[#This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Row],[Tipo]]="DROP"),AR1+TbTradesBinance[[#This Row],[Qtt]],AR1-TbTradesBinance[[#This Row],[Qtt]]),IF(TbTradesBinance[[#This Row],[Tipo]]="BUY",AR1-TbTradesBinance[[#This Row],[Qtt]]*TbTradesBinance[[#This Row],[Preço]],AR1+TbTradesBinance[[#This Row],[Qtt]]*TbTradesBinance[[#This Row],[Preço]])),AR1)-IF(TbTradesBinance[[#This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Row],[Tipo]]="DROP"),AR1+TbTradesBinance[[#This Row],[Qtt]],AR1-TbTradesBinance[[#This Row],[Qtt]]),IF(TbTradesBinance[[#This Row],[Tipo]]="BUY",AR1-TbTradesBinance[[#This Row],[Qtt]]*TbTradesBinance[[#This Row],[Preço]],AR1+TbTradesBinance[[#This Row],[Qtt]]*TbTradesBinance[[#This Row],[Preço]])),AR1)-IF(TbTradesBinance[[#This Row],[Moeda da Taxa]]=MID(AR$1,9,5),TbTradesBinance[[#This Row],[Taxa]],0),8)))</calculatedColumnFormula>
    </tableColumn>
    <tableColumn id="44" xr3:uid="{3593293E-C604-4365-AD48-4B6B971ECCB7}" name="Custo de CHZ" dataDxfId="2678" totalsRowDxfId="2677">
      <calculatedColumnFormula array="1">IF(TbTradesBinance[[#This Row],[Tipo]]="EMPTY",0,AS1+IF(TbTradesBinance[[#This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Row],[Par]]))),$1:$1,0)),-(AR1-AR2)/AR1*AS1),0),0)+IF(TbTradesBinance[[#This Row],[Tipo]]="SELL",IF(ISNUMBER(FIND(MID(AS$1,10,5),TbTradesBinance[[#This Row],[Par]])),IF(FIND(MID(AS$1,10,5),TbTradesBinance[[#This Row],[Par]])=1, -(AR1-AR2)/AR1*AS1,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Row],[Par]])),(-(AR1-AR2)/AR1*AS1)+IF(TbTradesBinance[[#This Row],[Resultado]]&gt;0,0,TbTradesBinance[[#This Row],[Taxa]]),0),0))</calculatedColumnFormula>
    </tableColumn>
    <tableColumn id="45" xr3:uid="{EEC5449B-19E2-4D3E-A6B6-AC0D73FE832E}" name="Preço Médio CHZ" dataDxfId="2676" totalsRowDxfId="2675">
      <calculatedColumnFormula>IF(AR2=0,0,AS2/AR2)</calculatedColumnFormula>
    </tableColumn>
    <tableColumn id="46" xr3:uid="{BDDB2CDE-46E0-4385-9816-75BB53524A7D}" name="Estoque DOT" dataDxfId="2674" totalsRowDxfId="2673">
      <calculatedColumnFormula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Row],[Tipo]]="DROP"),AU1+TbTradesBinance[[#This Row],[Qtt]],AU1-TbTradesBinance[[#This Row],[Qtt]]),IF(TbTradesBinance[[#This Row],[Tipo]]="BUY",AU1-TbTradesBinance[[#This Row],[Qtt]]*TbTradesBinance[[#This Row],[Preço]],AU1+TbTradesBinance[[#This Row],[Qtt]]*TbTradesBinance[[#This Row],[Preço]])),AU1)-IF(TbTradesBinance[[#This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Row],[Tipo]]="DROP"),AU1+TbTradesBinance[[#This Row],[Qtt]],AU1-TbTradesBinance[[#This Row],[Qtt]]),IF(TbTradesBinance[[#This Row],[Tipo]]="BUY",AU1-TbTradesBinance[[#This Row],[Qtt]]*TbTradesBinance[[#This Row],[Preço]],AU1+TbTradesBinance[[#This Row],[Qtt]]*TbTradesBinance[[#This Row],[Preço]])),AU1)-IF(TbTradesBinance[[#This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Row],[Tipo]]="DROP"),AU1+TbTradesBinance[[#This Row],[Qtt]],AU1-TbTradesBinance[[#This Row],[Qtt]]),IF(TbTradesBinance[[#This Row],[Tipo]]="BUY",AU1-TbTradesBinance[[#This Row],[Qtt]]*TbTradesBinance[[#This Row],[Preço]],AU1+TbTradesBinance[[#This Row],[Qtt]]*TbTradesBinance[[#This Row],[Preço]])),AU1)-IF(TbTradesBinance[[#This Row],[Moeda da Taxa]]=MID(AU$1,9,5),TbTradesBinance[[#This Row],[Taxa]],0),8)))</calculatedColumnFormula>
    </tableColumn>
    <tableColumn id="47" xr3:uid="{C93052B7-3421-4B1B-B571-7FA764F958DB}" name="Custo de DOT" dataDxfId="2672" totalsRowDxfId="2671">
      <calculatedColumnFormula array="1">IF(TbTradesBinance[[#This Row],[Tipo]]="EMPTY",0,AV1+IF(TbTradesBinance[[#This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Row],[Par]]))),$1:$1,0)),-(AU1-AU2)/AU1*AV1),0),0)+IF(TbTradesBinance[[#This Row],[Tipo]]="SELL",IF(ISNUMBER(FIND(MID(AV$1,10,5),TbTradesBinance[[#This Row],[Par]])),IF(FIND(MID(AV$1,10,5),TbTradesBinance[[#This Row],[Par]])=1, -(AU1-AU2)/AU1*AV1,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Row],[Par]])),(-(AU1-AU2)/AU1*AV1)+IF(TbTradesBinance[[#This Row],[Resultado]]&gt;0,0,TbTradesBinance[[#This Row],[Taxa]]),0),0))</calculatedColumnFormula>
    </tableColumn>
    <tableColumn id="48" xr3:uid="{A8C20A00-FFF0-40C1-B855-6ACA040497D5}" name="Preço Médio DOT" dataDxfId="2670" totalsRowDxfId="2669">
      <calculatedColumnFormula>IF(AU2=0,0,AV2/AU2)</calculatedColumnFormula>
    </tableColumn>
    <tableColumn id="49" xr3:uid="{FA2DDA90-7C8C-4EAF-BBE8-41262EB9D8F4}" name="Estoque LINK" dataDxfId="2668" totalsRowDxfId="2667">
      <calculatedColumnFormula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Row],[Tipo]]="DROP"),AX1+TbTradesBinance[[#This Row],[Qtt]],AX1-TbTradesBinance[[#This Row],[Qtt]]),IF(TbTradesBinance[[#This Row],[Tipo]]="BUY",AX1-TbTradesBinance[[#This Row],[Qtt]]*TbTradesBinance[[#This Row],[Preço]],AX1+TbTradesBinance[[#This Row],[Qtt]]*TbTradesBinance[[#This Row],[Preço]])),AX1)-IF(TbTradesBinance[[#This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Row],[Tipo]]="DROP"),AX1+TbTradesBinance[[#This Row],[Qtt]],AX1-TbTradesBinance[[#This Row],[Qtt]]),IF(TbTradesBinance[[#This Row],[Tipo]]="BUY",AX1-TbTradesBinance[[#This Row],[Qtt]]*TbTradesBinance[[#This Row],[Preço]],AX1+TbTradesBinance[[#This Row],[Qtt]]*TbTradesBinance[[#This Row],[Preço]])),AX1)-IF(TbTradesBinance[[#This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Row],[Tipo]]="DROP"),AX1+TbTradesBinance[[#This Row],[Qtt]],AX1-TbTradesBinance[[#This Row],[Qtt]]),IF(TbTradesBinance[[#This Row],[Tipo]]="BUY",AX1-TbTradesBinance[[#This Row],[Qtt]]*TbTradesBinance[[#This Row],[Preço]],AX1+TbTradesBinance[[#This Row],[Qtt]]*TbTradesBinance[[#This Row],[Preço]])),AX1)-IF(TbTradesBinance[[#This Row],[Moeda da Taxa]]=MID(AX$1,9,5),TbTradesBinance[[#This Row],[Taxa]],0),8)))</calculatedColumnFormula>
    </tableColumn>
    <tableColumn id="50" xr3:uid="{81680822-135F-4BBF-85AD-23B861046C7D}" name="Custo de LINK" dataDxfId="2666" totalsRowDxfId="2665">
      <calculatedColumnFormula array="1">IF(TbTradesBinance[[#This Row],[Tipo]]="EMPTY",0,AY1+IF(TbTradesBinance[[#This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Row],[Par]]))),$1:$1,0)),-(AX1-AX2)/AX1*AY1),0),0)+IF(TbTradesBinance[[#This Row],[Tipo]]="SELL",IF(ISNUMBER(FIND(MID(AY$1,10,5),TbTradesBinance[[#This Row],[Par]])),IF(FIND(MID(AY$1,10,5),TbTradesBinance[[#This Row],[Par]])=1, -(AX1-AX2)/AX1*AY1,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Row],[Par]])),(-(AX1-AX2)/AX1*AY1)+IF(TbTradesBinance[[#This Row],[Resultado]]&gt;0,0,TbTradesBinance[[#This Row],[Taxa]]),0),0))</calculatedColumnFormula>
    </tableColumn>
    <tableColumn id="51" xr3:uid="{EB49EB6E-7617-49B6-874B-7CD9838F5E65}" name="Preço Médio LINK" dataDxfId="2664" totalsRowDxfId="2663">
      <calculatedColumnFormula>IF(AX2=0,0,AY2/AX2)</calculatedColumnFormula>
    </tableColumn>
    <tableColumn id="52" xr3:uid="{10D36368-5ABF-4A85-9BF8-4F3DF988C556}" name="Estoque LTC" dataDxfId="2662" totalsRowDxfId="2661">
      <calculatedColumnFormula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Row],[Tipo]]="DROP"),BA1+TbTradesBinance[[#This Row],[Qtt]],BA1-TbTradesBinance[[#This Row],[Qtt]]),IF(TbTradesBinance[[#This Row],[Tipo]]="BUY",BA1-TbTradesBinance[[#This Row],[Qtt]]*TbTradesBinance[[#This Row],[Preço]],BA1+TbTradesBinance[[#This Row],[Qtt]]*TbTradesBinance[[#This Row],[Preço]])),BA1)-IF(TbTradesBinance[[#This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Row],[Tipo]]="DROP"),BA1+TbTradesBinance[[#This Row],[Qtt]],BA1-TbTradesBinance[[#This Row],[Qtt]]),IF(TbTradesBinance[[#This Row],[Tipo]]="BUY",BA1-TbTradesBinance[[#This Row],[Qtt]]*TbTradesBinance[[#This Row],[Preço]],BA1+TbTradesBinance[[#This Row],[Qtt]]*TbTradesBinance[[#This Row],[Preço]])),BA1)-IF(TbTradesBinance[[#This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Row],[Tipo]]="DROP"),BA1+TbTradesBinance[[#This Row],[Qtt]],BA1-TbTradesBinance[[#This Row],[Qtt]]),IF(TbTradesBinance[[#This Row],[Tipo]]="BUY",BA1-TbTradesBinance[[#This Row],[Qtt]]*TbTradesBinance[[#This Row],[Preço]],BA1+TbTradesBinance[[#This Row],[Qtt]]*TbTradesBinance[[#This Row],[Preço]])),BA1)-IF(TbTradesBinance[[#This Row],[Moeda da Taxa]]=MID(BA$1,9,5),TbTradesBinance[[#This Row],[Taxa]],0),8)))</calculatedColumnFormula>
    </tableColumn>
    <tableColumn id="53" xr3:uid="{FCCE420B-3715-4445-B183-55945755A9C4}" name="Custo de LTC" dataDxfId="2660" totalsRowDxfId="2659">
      <calculatedColumnFormula array="1">IF(TbTradesBinance[[#This Row],[Tipo]]="EMPTY",0,BB1+IF(TbTradesBinance[[#This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Row],[Par]]))),$1:$1,0)),-(BA1-BA2)/BA1*BB1),0),0)+IF(TbTradesBinance[[#This Row],[Tipo]]="SELL",IF(ISNUMBER(FIND(MID(BB$1,10,5),TbTradesBinance[[#This Row],[Par]])),IF(FIND(MID(BB$1,10,5),TbTradesBinance[[#This Row],[Par]])=1, -(BA1-BA2)/BA1*BB1,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Row],[Par]])),(-(BA1-BA2)/BA1*BB1)+IF(TbTradesBinance[[#This Row],[Resultado]]&gt;0,0,TbTradesBinance[[#This Row],[Taxa]]),0),0))</calculatedColumnFormula>
    </tableColumn>
    <tableColumn id="54" xr3:uid="{F20D3D4B-7222-4C8D-9095-0DCFF2E47F47}" name="Preço Médio LTC" dataDxfId="2658" totalsRowDxfId="2657">
      <calculatedColumnFormula>IF(BA2=0,0,BB2/BA2)</calculatedColumnFormula>
    </tableColumn>
    <tableColumn id="55" xr3:uid="{472ABB4D-9F23-4662-A4FD-155378765730}" name="Estoque UNFI" dataDxfId="2656" totalsRowDxfId="2655">
      <calculatedColumnFormula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Row],[Tipo]]="DROP"),BD1+TbTradesBinance[[#This Row],[Qtt]],BD1-TbTradesBinance[[#This Row],[Qtt]]),IF(TbTradesBinance[[#This Row],[Tipo]]="BUY",BD1-TbTradesBinance[[#This Row],[Qtt]]*TbTradesBinance[[#This Row],[Preço]],BD1+TbTradesBinance[[#This Row],[Qtt]]*TbTradesBinance[[#This Row],[Preço]])),BD1)-IF(TbTradesBinance[[#This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Row],[Tipo]]="DROP"),BD1+TbTradesBinance[[#This Row],[Qtt]],BD1-TbTradesBinance[[#This Row],[Qtt]]),IF(TbTradesBinance[[#This Row],[Tipo]]="BUY",BD1-TbTradesBinance[[#This Row],[Qtt]]*TbTradesBinance[[#This Row],[Preço]],BD1+TbTradesBinance[[#This Row],[Qtt]]*TbTradesBinance[[#This Row],[Preço]])),BD1)-IF(TbTradesBinance[[#This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Row],[Tipo]]="DROP"),BD1+TbTradesBinance[[#This Row],[Qtt]],BD1-TbTradesBinance[[#This Row],[Qtt]]),IF(TbTradesBinance[[#This Row],[Tipo]]="BUY",BD1-TbTradesBinance[[#This Row],[Qtt]]*TbTradesBinance[[#This Row],[Preço]],BD1+TbTradesBinance[[#This Row],[Qtt]]*TbTradesBinance[[#This Row],[Preço]])),BD1)-IF(TbTradesBinance[[#This Row],[Moeda da Taxa]]=MID(BD$1,9,5),TbTradesBinance[[#This Row],[Taxa]],0),8)))</calculatedColumnFormula>
    </tableColumn>
    <tableColumn id="56" xr3:uid="{A99C5067-17EB-4E91-91D4-239B5037B8CC}" name="Custo de UNFI" dataDxfId="2654" totalsRowDxfId="2653">
      <calculatedColumnFormula array="1">IF(TbTradesBinance[[#This Row],[Tipo]]="EMPTY",0,BE1+IF(TbTradesBinance[[#This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Row],[Par]]))),$1:$1,0)),-(BD1-BD2)/BD1*BE1),0),0)+IF(TbTradesBinance[[#This Row],[Tipo]]="SELL",IF(ISNUMBER(FIND(MID(BE$1,10,5),TbTradesBinance[[#This Row],[Par]])),IF(FIND(MID(BE$1,10,5),TbTradesBinance[[#This Row],[Par]])=1, -(BD1-BD2)/BD1*BE1,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Row],[Par]])),(-(BD1-BD2)/BD1*BE1)+IF(TbTradesBinance[[#This Row],[Resultado]]&gt;0,0,TbTradesBinance[[#This Row],[Taxa]]),0),0))</calculatedColumnFormula>
    </tableColumn>
    <tableColumn id="57" xr3:uid="{5B93AF39-1832-4D81-86EA-530D44842103}" name="Preço Médio UNFI" dataDxfId="2652" totalsRowDxfId="2651">
      <calculatedColumnFormula>IF(BD2=0,0,BE2/BD2)</calculatedColumnFormula>
    </tableColumn>
    <tableColumn id="58" xr3:uid="{C96A48C0-8117-4F6A-921E-E638D85EE5AC}" name="Estoque XEM" dataDxfId="2650" totalsRowDxfId="2649">
      <calculatedColumnFormula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Row],[Tipo]]="DROP"),BG1+TbTradesBinance[[#This Row],[Qtt]],BG1-TbTradesBinance[[#This Row],[Qtt]]),IF(TbTradesBinance[[#This Row],[Tipo]]="BUY",BG1-TbTradesBinance[[#This Row],[Qtt]]*TbTradesBinance[[#This Row],[Preço]],BG1+TbTradesBinance[[#This Row],[Qtt]]*TbTradesBinance[[#This Row],[Preço]])),BG1)-IF(TbTradesBinance[[#This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Row],[Tipo]]="DROP"),BG1+TbTradesBinance[[#This Row],[Qtt]],BG1-TbTradesBinance[[#This Row],[Qtt]]),IF(TbTradesBinance[[#This Row],[Tipo]]="BUY",BG1-TbTradesBinance[[#This Row],[Qtt]]*TbTradesBinance[[#This Row],[Preço]],BG1+TbTradesBinance[[#This Row],[Qtt]]*TbTradesBinance[[#This Row],[Preço]])),BG1)-IF(TbTradesBinance[[#This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Row],[Tipo]]="DROP"),BG1+TbTradesBinance[[#This Row],[Qtt]],BG1-TbTradesBinance[[#This Row],[Qtt]]),IF(TbTradesBinance[[#This Row],[Tipo]]="BUY",BG1-TbTradesBinance[[#This Row],[Qtt]]*TbTradesBinance[[#This Row],[Preço]],BG1+TbTradesBinance[[#This Row],[Qtt]]*TbTradesBinance[[#This Row],[Preço]])),BG1)-IF(TbTradesBinance[[#This Row],[Moeda da Taxa]]=MID(BG$1,9,5),TbTradesBinance[[#This Row],[Taxa]],0),8)))</calculatedColumnFormula>
    </tableColumn>
    <tableColumn id="59" xr3:uid="{671D4BEC-A015-4B73-911B-4F9F5783F156}" name="Custo de XEM" dataDxfId="2648" totalsRowDxfId="2647">
      <calculatedColumnFormula array="1">IF(TbTradesBinance[[#This Row],[Tipo]]="EMPTY",0,BH1+IF(TbTradesBinance[[#This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Row],[Par]]))),$1:$1,0)),-(BG1-BG2)/BG1*BH1),0),0)+IF(TbTradesBinance[[#This Row],[Tipo]]="SELL",IF(ISNUMBER(FIND(MID(BH$1,10,5),TbTradesBinance[[#This Row],[Par]])),IF(FIND(MID(BH$1,10,5),TbTradesBinance[[#This Row],[Par]])=1, -(BG1-BG2)/BG1*BH1,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Row],[Par]])),(-(BG1-BG2)/BG1*BH1)+IF(TbTradesBinance[[#This Row],[Resultado]]&gt;0,0,TbTradesBinance[[#This Row],[Taxa]]),0),0))</calculatedColumnFormula>
    </tableColumn>
    <tableColumn id="60" xr3:uid="{8CF27A62-F2C1-4677-84CF-923C16F4E071}" name="Preço Médio XEM" dataDxfId="2646" totalsRowDxfId="2645">
      <calculatedColumnFormula>IF(BG2=0,0,BH2/BG2)</calculatedColumnFormula>
    </tableColumn>
    <tableColumn id="61" xr3:uid="{48AA07E8-B9B4-4B57-A0D6-8C4C0D240B69}" name="Estoque ALICE" dataDxfId="2644" totalsRowDxfId="2643">
      <calculatedColumnFormula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Row],[Tipo]]="DROP"),BJ1+TbTradesBinance[[#This Row],[Qtt]],BJ1-TbTradesBinance[[#This Row],[Qtt]]),IF(TbTradesBinance[[#This Row],[Tipo]]="BUY",BJ1-TbTradesBinance[[#This Row],[Qtt]]*TbTradesBinance[[#This Row],[Preço]],BJ1+TbTradesBinance[[#This Row],[Qtt]]*TbTradesBinance[[#This Row],[Preço]])),BJ1)-IF(TbTradesBinance[[#This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Row],[Tipo]]="DROP"),BJ1+TbTradesBinance[[#This Row],[Qtt]],BJ1-TbTradesBinance[[#This Row],[Qtt]]),IF(TbTradesBinance[[#This Row],[Tipo]]="BUY",BJ1-TbTradesBinance[[#This Row],[Qtt]]*TbTradesBinance[[#This Row],[Preço]],BJ1+TbTradesBinance[[#This Row],[Qtt]]*TbTradesBinance[[#This Row],[Preço]])),BJ1)-IF(TbTradesBinance[[#This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Row],[Tipo]]="DROP"),BJ1+TbTradesBinance[[#This Row],[Qtt]],BJ1-TbTradesBinance[[#This Row],[Qtt]]),IF(TbTradesBinance[[#This Row],[Tipo]]="BUY",BJ1-TbTradesBinance[[#This Row],[Qtt]]*TbTradesBinance[[#This Row],[Preço]],BJ1+TbTradesBinance[[#This Row],[Qtt]]*TbTradesBinance[[#This Row],[Preço]])),BJ1)-IF(TbTradesBinance[[#This Row],[Moeda da Taxa]]=MID(BJ$1,9,5),TbTradesBinance[[#This Row],[Taxa]],0),8)))</calculatedColumnFormula>
    </tableColumn>
    <tableColumn id="62" xr3:uid="{E77F1C24-2687-4C23-8F9A-D3DA2DCCC0B3}" name="Custo de ALICE" dataDxfId="2642" totalsRowDxfId="2641">
      <calculatedColumnFormula array="1">IF(TbTradesBinance[[#This Row],[Tipo]]="EMPTY",0,BK1+IF(TbTradesBinance[[#This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Row],[Par]]))),$1:$1,0)),-(BJ1-BJ2)/BJ1*BK1),0),0)+IF(TbTradesBinance[[#This Row],[Tipo]]="SELL",IF(ISNUMBER(FIND(MID(BK$1,10,5),TbTradesBinance[[#This Row],[Par]])),IF(FIND(MID(BK$1,10,5),TbTradesBinance[[#This Row],[Par]])=1, -(BJ1-BJ2)/BJ1*BK1,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Row],[Par]])),(-(BJ1-BJ2)/BJ1*BK1)+IF(TbTradesBinance[[#This Row],[Resultado]]&gt;0,0,TbTradesBinance[[#This Row],[Taxa]]),0),0))</calculatedColumnFormula>
    </tableColumn>
    <tableColumn id="63" xr3:uid="{650314F2-F403-449B-9FC2-5E958E7BBE58}" name="Preço Médio ALICE" dataDxfId="2640" totalsRowDxfId="2639">
      <calculatedColumnFormula>IF(BJ2=0,0,BK2/BJ2)</calculatedColumnFormula>
    </tableColumn>
    <tableColumn id="64" xr3:uid="{30EFDB6E-3902-419E-9D32-49D9C25F5C30}" name="Estoque TLM" dataDxfId="2638" totalsRowDxfId="2637">
      <calculatedColumnFormula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Row],[Tipo]]="DROP"),BM1+TbTradesBinance[[#This Row],[Qtt]],BM1-TbTradesBinance[[#This Row],[Qtt]]),IF(TbTradesBinance[[#This Row],[Tipo]]="BUY",BM1-TbTradesBinance[[#This Row],[Qtt]]*TbTradesBinance[[#This Row],[Preço]],BM1+TbTradesBinance[[#This Row],[Qtt]]*TbTradesBinance[[#This Row],[Preço]])),BM1)-IF(TbTradesBinance[[#This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Row],[Tipo]]="DROP"),BM1+TbTradesBinance[[#This Row],[Qtt]],BM1-TbTradesBinance[[#This Row],[Qtt]]),IF(TbTradesBinance[[#This Row],[Tipo]]="BUY",BM1-TbTradesBinance[[#This Row],[Qtt]]*TbTradesBinance[[#This Row],[Preço]],BM1+TbTradesBinance[[#This Row],[Qtt]]*TbTradesBinance[[#This Row],[Preço]])),BM1)-IF(TbTradesBinance[[#This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Row],[Tipo]]="DROP"),BM1+TbTradesBinance[[#This Row],[Qtt]],BM1-TbTradesBinance[[#This Row],[Qtt]]),IF(TbTradesBinance[[#This Row],[Tipo]]="BUY",BM1-TbTradesBinance[[#This Row],[Qtt]]*TbTradesBinance[[#This Row],[Preço]],BM1+TbTradesBinance[[#This Row],[Qtt]]*TbTradesBinance[[#This Row],[Preço]])),BM1)-IF(TbTradesBinance[[#This Row],[Moeda da Taxa]]=MID(BM$1,9,5),TbTradesBinance[[#This Row],[Taxa]],0),8)))</calculatedColumnFormula>
    </tableColumn>
    <tableColumn id="65" xr3:uid="{8112C713-6657-4D4E-88C9-33D76FC30462}" name="Custo de TLM" dataDxfId="2636" totalsRowDxfId="2635">
      <calculatedColumnFormula array="1">IF(TbTradesBinance[[#This Row],[Tipo]]="EMPTY",0,BN1+IF(TbTradesBinance[[#This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Row],[Par]]))),$1:$1,0)),-(BM1-BM2)/BM1*BN1),0),0)+IF(TbTradesBinance[[#This Row],[Tipo]]="SELL",IF(ISNUMBER(FIND(MID(BN$1,10,5),TbTradesBinance[[#This Row],[Par]])),IF(FIND(MID(BN$1,10,5),TbTradesBinance[[#This Row],[Par]])=1, -(BM1-BM2)/BM1*BN1,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Row],[Par]])),(-(BM1-BM2)/BM1*BN1)+IF(TbTradesBinance[[#This Row],[Resultado]]&gt;0,0,TbTradesBinance[[#This Row],[Taxa]]),0),0))</calculatedColumnFormula>
    </tableColumn>
    <tableColumn id="66" xr3:uid="{98A914E3-1EF6-4734-AAD3-BA9B51946D97}" name="Preço Médio TLM" dataDxfId="2634" totalsRowDxfId="2633">
      <calculatedColumnFormula>IF(BM2=0,0,BN2/BM2)</calculatedColumnFormula>
    </tableColumn>
  </tableColumns>
  <tableStyleInfo name="TableStyleMedium2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DD5637-BE7C-4398-9675-09826970C805}" name="TbTradesBSC" displayName="TbTradesBSC" ref="B1:S4" totalsRowCount="1" headerRowDxfId="2632" dataDxfId="2630" headerRowBorderDxfId="2631" tableBorderDxfId="2629" totalsRowBorderDxfId="2628">
  <autoFilter ref="B1:S3" xr:uid="{961FFBC4-F644-4388-9F67-C4351C8B76B8}"/>
  <tableColumns count="18">
    <tableColumn id="12" xr3:uid="{6EC91CD3-AD25-419F-9F0C-0581166A7F10}" name="Observação" totalsRowLabel="Total" dataDxfId="2627" totalsRowDxfId="2626"/>
    <tableColumn id="50" xr3:uid="{C9FCC792-81CD-4FCA-B05A-1E30133BA4B3}" name="Resultado" totalsRowFunction="sum" dataDxfId="2625" totalsRowDxfId="2624">
      <calculatedColumnFormula>TRUNC(IF(AND(TbTradesBSC[[#This Row],[Tipo]]="SEND",TbTradesBSC[[#This Row],[Par]]="BRL"),TbTradesBSC[[#This Row],[Qtt]]*(1-P1)-IF(TbTradesBSC[[#This Row],[Moeda da Taxa]]="BRL",TbTradesBSC[[#This Row],[Taxa]],0),0)+IF(AND(TbTradesBSC[[#This Row],[Tipo]]="BURN",TbTradesBSC[[#This Row],[Par]]="BRL"),-TbTradesBSC[[#This Row],[Qtt]]*P1,0),2)</calculatedColumnFormula>
    </tableColumn>
    <tableColumn id="1" xr3:uid="{9F49C266-C437-4366-A507-99942D45A61D}" name="Data (UTC-3)" dataDxfId="2623" totalsRowDxfId="2622"/>
    <tableColumn id="32" xr3:uid="{5D36A3A6-A17C-487C-8427-C02941AD8AB7}" name="Par" dataDxfId="2621" totalsRowDxfId="2620"/>
    <tableColumn id="2" xr3:uid="{4961CE73-8F2E-44EE-9E22-D41E1000CBC4}" name="Tipo" dataDxfId="2619" totalsRowDxfId="2618"/>
    <tableColumn id="3" xr3:uid="{F6C1126D-ED87-42AB-9342-E2584F91A4F2}" name="Preço" dataDxfId="2617" totalsRowDxfId="2616">
      <calculatedColumnFormula>#REF!</calculatedColumnFormula>
    </tableColumn>
    <tableColumn id="4" xr3:uid="{59845540-7715-48C7-85C4-C2CD58D2AD43}" name="Qtt" dataDxfId="2615" totalsRowDxfId="2614"/>
    <tableColumn id="5" xr3:uid="{FCAFAAE3-A31B-4303-B007-DDE332E03023}" name="Taxa" dataDxfId="2613" totalsRowDxfId="2612"/>
    <tableColumn id="6" xr3:uid="{142BD8B1-DEB7-47F9-8148-5EDF87543057}" name="Moeda da Taxa" dataDxfId="2611" totalsRowDxfId="2610"/>
    <tableColumn id="7" xr3:uid="{F3A7FF54-C34B-4F81-8932-740832F7E8AF}" name="Conversão" dataDxfId="2609" totalsRowDxfId="2608"/>
    <tableColumn id="8" xr3:uid="{0682A686-1A1A-493B-845F-4E5A09CCA8EB}" name="Cotação BRL" dataDxfId="2607" totalsRowDxfId="2606">
      <calculatedColumnFormula>TRUNC(K2*G2,2)</calculatedColumnFormula>
    </tableColumn>
    <tableColumn id="9" xr3:uid="{734B0064-675B-4144-973B-8DCFB2959013}" name="Volume" totalsRowFunction="stdDev" dataDxfId="2605" totalsRowDxfId="2604">
      <calculatedColumnFormula>IF(OR(TbTradesBSC[[#This Row],[Tipo]]="BUY",TbTradesBSC[[#This Row],[Tipo]]="RECEIVE",TbTradesBSC[[#This Row],[Tipo]]="DROP"),L2*H2,-L2*H2)</calculatedColumnFormula>
    </tableColumn>
    <tableColumn id="23" xr3:uid="{00ED0E73-4C71-4619-98BE-EC4F6B8FA537}" name="Estoque BRL" dataDxfId="2603" totalsRowDxfId="2602">
      <calculatedColumnFormula>IF(AND(IF(TbTradesBSC[[#This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Row],[Tipo]]="DROP"),N1+TbTradesBSC[[#This Row],[Qtt]],N1-TbTradesBSC[[#This Row],[Qtt]]),IF(TbTradesBSC[[#This Row],[Tipo]]="BUY",N1-TbTradesBSC[[#This Row],[Qtt]]*TbTradesBSC[[#This Row],[Preço]],N1+TbTradesBSC[[#This Row],[Qtt]]*TbTradesBSC[[#This Row],[Preço]])),N1)-IF(TbTradesBSC[[#This Row],[Moeda da Taxa]]=MID(N$1,9,5),TbTradesBSC[[#This Row],[Taxa]],0),8))&lt;0.0000001,IF(TbTradesBSC[[#This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Row],[Tipo]]="DROP"),N1+TbTradesBSC[[#This Row],[Qtt]],N1-TbTradesBSC[[#This Row],[Qtt]]),IF(TbTradesBSC[[#This Row],[Tipo]]="BUY",N1-TbTradesBSC[[#This Row],[Qtt]]*TbTradesBSC[[#This Row],[Preço]],N1+TbTradesBSC[[#This Row],[Qtt]]*TbTradesBSC[[#This Row],[Preço]])),N1)-IF(TbTradesBSC[[#This Row],[Moeda da Taxa]]=MID(N$1,9,5),TbTradesBSC[[#This Row],[Taxa]],0),8))&gt;-0.0000001),0,IF(TbTradesBSC[[#This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Row],[Tipo]]="DROP"),N1+TbTradesBSC[[#This Row],[Qtt]],N1-TbTradesBSC[[#This Row],[Qtt]]),IF(TbTradesBSC[[#This Row],[Tipo]]="BUY",N1-TbTradesBSC[[#This Row],[Qtt]]*TbTradesBSC[[#This Row],[Preço]],N1+TbTradesBSC[[#This Row],[Qtt]]*TbTradesBSC[[#This Row],[Preço]])),N1)-IF(TbTradesBSC[[#This Row],[Moeda da Taxa]]=MID(N$1,9,5),TbTradesBSC[[#This Row],[Taxa]],0),8)))</calculatedColumnFormula>
    </tableColumn>
    <tableColumn id="24" xr3:uid="{6A84CC6B-F94C-41D9-BE92-EBA1E52EF5D5}" name="Custo de BRL" dataDxfId="2601" totalsRowDxfId="2600">
      <calculatedColumnFormula array="1">IF(TbTradesBSC[[#This Row],[Tipo]]="EMPTY",0,O1+IF(TbTradesBSC[[#This Row],[Tipo]]="DROP",0,0)+IF(TbTradesBSC[[#This Row],[Tipo]]="BURN",0,0)+IF(TbTradesBSC[[#This Row],[Tipo]]="BUY",IF(ISNUMBER(FIND(MID(O$1,10,5),TbTradesBSC[[#This Row],[Par]])),IF(FIND(MID(O$1,10,5),TbTradesBSC[[#This Row],[Par]])=1, (INDEX($1:$1048576,ROW(TbTradesBSC[[#This Row],[Par]])-1,MATCH(CONCATENATE("Estoque ",MID(TbTradesBSC[[#This Row],[Par]],LEN(MID(N$1,9,5))+1,LEN(TbTradesBSC[[#This Row],[Par]]))),$1:$1,0))-INDEX($1:$1048576,ROW(TbTradesBSC[[#This Row],[Par]]),MATCH(CONCATENATE("Estoque ",MID(TbTradesBSC[[#This Row],[Par]],LEN(MID(N$1,9,5))+1,LEN(TbTradesBSC[[#This Row],[Par]]))),$1:$1,0)))/ INDEX($1:$1048576,ROW(TbTradesBSC[[#This Row],[Par]])-1,MATCH(CONCATENATE("Estoque ",MID(TbTradesBSC[[#This Row],[Par]],LEN(MID(N$1,9,5))+1,LEN(TbTradesBSC[[#This Row],[Par]]))),$1:$1,0))*INDEX($1:$1048576,ROW(TbTradesBSC[[#This Row],[Par]])-1,MATCH(CONCATENATE("Custo de ",MID(TbTradesBSC[[#This Row],[Par]],LEN(MID(N$1,9,5))+1,LEN(TbTradesBSC[[#This Row],[Par]]))),$1:$1,0)),-(N1-N2)/N1*O1),0),0)+IF(TbTradesBSC[[#This Row],[Tipo]]="SELL",IF(ISNUMBER(FIND(MID(O$1,10,5),TbTradesBSC[[#This Row],[Par]])),IF(FIND(MID(O$1,10,5),TbTradesBSC[[#This Row],[Par]])=1, -(N1-N2)/N1*O1, (INDEX($1:$1048576,ROW(TbTradesBSC[[#This Row],[Par]])-1,MATCH(CONCATENATE("Estoque ",MID(TbTradesBSC[[#This Row],[Par]],1,FIND(MID(N$1,9,5),TbTradesBSC[[#This Row],[Par]])-1)),$1:$1,0))-INDEX($1:$1048576,ROW(TbTradesBSC[[#This Row],[Par]]),MATCH(CONCATENATE("Estoque ",MID(TbTradesBSC[[#This Row],[Par]],1,FIND(MID(N$1,9,5),TbTradesBSC[[#This Row],[Par]])-1)),$1:$1,0)))/ INDEX($1:$1048576,ROW(TbTradesBSC[[#This Row],[Par]])-1,MATCH(CONCATENATE("Estoque ",MID(TbTradesBSC[[#This Row],[Par]],1,FIND(MID(N$1,9,5),TbTradesBSC[[#This Row],[Par]])-1)),$1:$1,0))*INDEX($1:$1048576,ROW(TbTradesBSC[[#This Row],[Par]])-1,MATCH(CONCATENATE("Custo de ",MID(TbTradesBSC[[#This Row],[Par]],1,FIND(MID(N$1,9,5),TbTradesBSC[[#This Row],[Par]])-1)),$1:$1,0))),0),0)+IF(TbTradesBSC[[#This Row],[Tipo]]="RECEIVE",IF(ISNUMBER(FIND(MID(O$1,10,5),TbTradesBSC[[#This Row],[Par]])), TbTradesBSC[[#This Row],[Qtt]]*TbTradesBSC[[#This Row],[Cotação BRL]],0),0)+IF(TbTradesBSC[[#This Row],[Tipo]]="SEND",IF(ISNUMBER(FIND(MID(O$1,10,5),TbTradesBSC[[#This Row],[Par]])),(-(N1-N2)/N1*O1)+IF(TbTradesBSC[[#This Row],[Resultado]]&gt;0,0,TbTradesBSC[[#This Row],[Taxa]]),0),0))</calculatedColumnFormula>
    </tableColumn>
    <tableColumn id="25" xr3:uid="{36E5A9A7-602A-4196-B6D8-430064F0C25A}" name="Preço Médio BRL" dataDxfId="2599" totalsRowDxfId="2598">
      <calculatedColumnFormula>IF(N2=0,0,O2/N2)</calculatedColumnFormula>
    </tableColumn>
    <tableColumn id="10" xr3:uid="{E20DDABB-FBAD-4E24-A8EE-5F272B2C73C0}" name="Estoque BTC" dataDxfId="2597" totalsRowDxfId="2596">
      <calculatedColumnFormula>IF(AND(IF(TbTradesBSC[[#This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Row],[Tipo]]="DROP"),Q1+TbTradesBSC[[#This Row],[Qtt]],Q1-TbTradesBSC[[#This Row],[Qtt]]),IF(TbTradesBSC[[#This Row],[Tipo]]="BUY",Q1-TbTradesBSC[[#This Row],[Qtt]]*TbTradesBSC[[#This Row],[Preço]],Q1+TbTradesBSC[[#This Row],[Qtt]]*TbTradesBSC[[#This Row],[Preço]])),Q1)-IF(TbTradesBSC[[#This Row],[Moeda da Taxa]]=MID(Q$1,9,5),TbTradesBSC[[#This Row],[Taxa]],0),8))&lt;0.0000001,IF(TbTradesBSC[[#This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Row],[Tipo]]="DROP"),Q1+TbTradesBSC[[#This Row],[Qtt]],Q1-TbTradesBSC[[#This Row],[Qtt]]),IF(TbTradesBSC[[#This Row],[Tipo]]="BUY",Q1-TbTradesBSC[[#This Row],[Qtt]]*TbTradesBSC[[#This Row],[Preço]],Q1+TbTradesBSC[[#This Row],[Qtt]]*TbTradesBSC[[#This Row],[Preço]])),Q1)-IF(TbTradesBSC[[#This Row],[Moeda da Taxa]]=MID(Q$1,9,5),TbTradesBSC[[#This Row],[Taxa]],0),8))&gt;-0.0000001),0,IF(TbTradesBSC[[#This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Row],[Tipo]]="DROP"),Q1+TbTradesBSC[[#This Row],[Qtt]],Q1-TbTradesBSC[[#This Row],[Qtt]]),IF(TbTradesBSC[[#This Row],[Tipo]]="BUY",Q1-TbTradesBSC[[#This Row],[Qtt]]*TbTradesBSC[[#This Row],[Preço]],Q1+TbTradesBSC[[#This Row],[Qtt]]*TbTradesBSC[[#This Row],[Preço]])),Q1)-IF(TbTradesBSC[[#This Row],[Moeda da Taxa]]=MID(Q$1,9,5),TbTradesBSC[[#This Row],[Taxa]],0),8)))</calculatedColumnFormula>
    </tableColumn>
    <tableColumn id="21" xr3:uid="{D55157E7-EF5B-4C8F-A83A-08D498191346}" name="Custo de BTC" dataDxfId="2595" totalsRowDxfId="2594">
      <calculatedColumnFormula array="1">IF(TbTradesBSC[[#This Row],[Tipo]]="EMPTY",0,R1+IF(TbTradesBSC[[#This Row],[Tipo]]="DROP",0,0)+IF(TbTradesBSC[[#This Row],[Tipo]]="BURN",0,0)+IF(TbTradesBSC[[#This Row],[Tipo]]="BUY",IF(ISNUMBER(FIND(MID(R$1,10,5),TbTradesBSC[[#This Row],[Par]])),IF(FIND(MID(R$1,10,5),TbTradesBSC[[#This Row],[Par]])=1, (INDEX($1:$1048576,ROW(TbTradesBSC[[#This Row],[Par]])-1,MATCH(CONCATENATE("Estoque ",MID(TbTradesBSC[[#This Row],[Par]],LEN(MID(Q$1,9,5))+1,LEN(TbTradesBSC[[#This Row],[Par]]))),$1:$1,0))-INDEX($1:$1048576,ROW(TbTradesBSC[[#This Row],[Par]]),MATCH(CONCATENATE("Estoque ",MID(TbTradesBSC[[#This Row],[Par]],LEN(MID(Q$1,9,5))+1,LEN(TbTradesBSC[[#This Row],[Par]]))),$1:$1,0)))/ INDEX($1:$1048576,ROW(TbTradesBSC[[#This Row],[Par]])-1,MATCH(CONCATENATE("Estoque ",MID(TbTradesBSC[[#This Row],[Par]],LEN(MID(Q$1,9,5))+1,LEN(TbTradesBSC[[#This Row],[Par]]))),$1:$1,0))*INDEX($1:$1048576,ROW(TbTradesBSC[[#This Row],[Par]])-1,MATCH(CONCATENATE("Custo de ",MID(TbTradesBSC[[#This Row],[Par]],LEN(MID(Q$1,9,5))+1,LEN(TbTradesBSC[[#This Row],[Par]]))),$1:$1,0)),-(Q1-Q2)/Q1*R1),0),0)+IF(TbTradesBSC[[#This Row],[Tipo]]="SELL",IF(ISNUMBER(FIND(MID(R$1,10,5),TbTradesBSC[[#This Row],[Par]])),IF(FIND(MID(R$1,10,5),TbTradesBSC[[#This Row],[Par]])=1, -(Q1-Q2)/Q1*R1, (INDEX($1:$1048576,ROW(TbTradesBSC[[#This Row],[Par]])-1,MATCH(CONCATENATE("Estoque ",MID(TbTradesBSC[[#This Row],[Par]],1,FIND(MID(Q$1,9,5),TbTradesBSC[[#This Row],[Par]])-1)),$1:$1,0))-INDEX($1:$1048576,ROW(TbTradesBSC[[#This Row],[Par]]),MATCH(CONCATENATE("Estoque ",MID(TbTradesBSC[[#This Row],[Par]],1,FIND(MID(Q$1,9,5),TbTradesBSC[[#This Row],[Par]])-1)),$1:$1,0)))/ INDEX($1:$1048576,ROW(TbTradesBSC[[#This Row],[Par]])-1,MATCH(CONCATENATE("Estoque ",MID(TbTradesBSC[[#This Row],[Par]],1,FIND(MID(Q$1,9,5),TbTradesBSC[[#This Row],[Par]])-1)),$1:$1,0))*INDEX($1:$1048576,ROW(TbTradesBSC[[#This Row],[Par]])-1,MATCH(CONCATENATE("Custo de ",MID(TbTradesBSC[[#This Row],[Par]],1,FIND(MID(Q$1,9,5),TbTradesBSC[[#This Row],[Par]])-1)),$1:$1,0))),0),0)+IF(TbTradesBSC[[#This Row],[Tipo]]="RECEIVE",IF(ISNUMBER(FIND(MID(R$1,10,5),TbTradesBSC[[#This Row],[Par]])), TbTradesBSC[[#This Row],[Qtt]]*TbTradesBSC[[#This Row],[Cotação BRL]],0),0)+IF(TbTradesBSC[[#This Row],[Tipo]]="SEND",IF(ISNUMBER(FIND(MID(R$1,10,5),TbTradesBSC[[#This Row],[Par]])),(-(Q1-Q2)/Q1*R1)+IF(TbTradesBSC[[#This Row],[Resultado]]&gt;0,0,TbTradesBSC[[#This Row],[Taxa]]),0),0))</calculatedColumnFormula>
    </tableColumn>
    <tableColumn id="11" xr3:uid="{6B25A7BF-4BF3-4A78-B688-03A4B615D905}" name="Preço Médio BTC" dataDxfId="2593" totalsRowDxfId="2592">
      <calculatedColumnFormula>IF(Q2=0,0,R2/Q2)</calculatedColumnFormula>
    </tableColumn>
  </tableColumns>
  <tableStyleInfo name="TableStyleMedium2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B67947-47D5-4BE7-B4D1-4A955A50DF5E}" name="TbTradesBitPreço" displayName="TbTradesBitPreço" ref="B1:Y21" totalsRowCount="1" headerRowDxfId="2591" dataDxfId="2589" totalsRowDxfId="2587" headerRowBorderDxfId="2590" tableBorderDxfId="2588" totalsRowBorderDxfId="2586">
  <autoFilter ref="B1:Y20" xr:uid="{961FFBC4-F644-4388-9F67-C4351C8B76B8}"/>
  <tableColumns count="24">
    <tableColumn id="19" xr3:uid="{4CA870A7-F89D-4FA0-8EDF-E0A6985FE0F1}" name="Observação" totalsRowLabel="Total" dataDxfId="2585" totalsRowDxfId="2584"/>
    <tableColumn id="50" xr3:uid="{88559F98-A657-479B-A225-0E8915DFD88E}" name="Resultado" totalsRowFunction="sum" dataDxfId="2583" totalsRowDxfId="2582">
      <calculatedColumnFormula>TRUNC(IF(AND(TbTradesBitPreço[[#This Row],[Tipo]]="SEND",TbTradesBitPreço[[#This Row],[Par]]="BRL"),TbTradesBitPreço[[#This Row],[Qtt]]*(1-P1)-IF(TbTradesBitPreço[[#This Row],[Moeda da Taxa]]="BRL",TbTradesBitPreço[[#This Row],[Taxa]],0),0)+IF(AND(TbTradesBitPreço[[#This Row],[Tipo]]="BURN",TbTradesBitPreço[[#This Row],[Par]]="BRL"),-TbTradesBitPreço[[#This Row],[Qtt]]*P1,0),2)</calculatedColumnFormula>
    </tableColumn>
    <tableColumn id="1" xr3:uid="{4537BFB5-7634-477D-B942-F00E301F54F0}" name="Data (UTC-3)" dataDxfId="2581" totalsRowDxfId="2580"/>
    <tableColumn id="32" xr3:uid="{257CDF81-8884-4B84-91E8-372FC5A1875A}" name="Par" dataDxfId="2579" totalsRowDxfId="2578"/>
    <tableColumn id="2" xr3:uid="{52B37039-CBBF-45B3-946D-BC2009A82278}" name="Tipo" dataDxfId="2577" totalsRowDxfId="2576"/>
    <tableColumn id="3" xr3:uid="{18F1A175-DE8F-4B7C-9D0B-71441BEE55C7}" name="Preço" dataDxfId="2575" totalsRowDxfId="2574"/>
    <tableColumn id="4" xr3:uid="{D98DCB5E-D9A8-4F52-90DC-995A23332946}" name="Qtt" dataDxfId="2573" totalsRowDxfId="2572"/>
    <tableColumn id="5" xr3:uid="{43D881D3-114C-4239-9796-213F642480E5}" name="Taxa" dataDxfId="2571" totalsRowDxfId="2570"/>
    <tableColumn id="6" xr3:uid="{C8925E5A-73FA-436B-8F85-2A5BBA3C4B3C}" name="Moeda da Taxa" dataDxfId="2569" totalsRowDxfId="2568"/>
    <tableColumn id="7" xr3:uid="{16C6ABF7-E291-48CA-B9C4-ECBBC860F5CF}" name="Conversão" dataDxfId="2567" totalsRowDxfId="2566"/>
    <tableColumn id="8" xr3:uid="{E0EBC12D-C782-4BB0-94B4-E516B0BB6CDA}" name="Cotação BRL" dataDxfId="2565" totalsRowDxfId="2564"/>
    <tableColumn id="9" xr3:uid="{7FEAA1BF-76C8-4EF6-98DE-AB2FCB8DEC4E}" name="Volume" totalsRowFunction="stdDev" dataDxfId="2563" totalsRowDxfId="2562">
      <calculatedColumnFormula>IF(OR(TbTradesBitPreço[[#This Row],[Tipo]]="BUY",TbTradesBitPreço[[#This Row],[Tipo]]="RECEIVE",TbTradesBitPreço[[#This Row],[Tipo]]="DROP"),L2*H2,-L2*H2)</calculatedColumnFormula>
    </tableColumn>
    <tableColumn id="13" xr3:uid="{A08EF1C3-8404-4B90-83FC-C2D52DC03D56}" name="Estoque BRL" dataDxfId="2561" totalsRowDxfId="2560">
      <calculatedColumnFormula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Row],[Tipo]]="DROP"),N1+TbTradesBitPreço[[#This Row],[Qtt]],N1-TbTradesBitPreço[[#This Row],[Qtt]]),IF(TbTradesBitPreço[[#This Row],[Tipo]]="BUY",N1-TbTradesBitPreço[[#This Row],[Qtt]]*TbTradesBitPreço[[#This Row],[Preço]],N1+TbTradesBitPreço[[#This Row],[Qtt]]*TbTradesBitPreço[[#This Row],[Preço]])),N1)-IF(TbTradesBitPreço[[#This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Row],[Tipo]]="DROP"),N1+TbTradesBitPreço[[#This Row],[Qtt]],N1-TbTradesBitPreço[[#This Row],[Qtt]]),IF(TbTradesBitPreço[[#This Row],[Tipo]]="BUY",N1-TbTradesBitPreço[[#This Row],[Qtt]]*TbTradesBitPreço[[#This Row],[Preço]],N1+TbTradesBitPreço[[#This Row],[Qtt]]*TbTradesBitPreço[[#This Row],[Preço]])),N1)-IF(TbTradesBitPreço[[#This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Row],[Tipo]]="DROP"),N1+TbTradesBitPreço[[#This Row],[Qtt]],N1-TbTradesBitPreço[[#This Row],[Qtt]]),IF(TbTradesBitPreço[[#This Row],[Tipo]]="BUY",N1-TbTradesBitPreço[[#This Row],[Qtt]]*TbTradesBitPreço[[#This Row],[Preço]],N1+TbTradesBitPreço[[#This Row],[Qtt]]*TbTradesBitPreço[[#This Row],[Preço]])),N1)-IF(TbTradesBitPreço[[#This Row],[Moeda da Taxa]]=MID(N$1,9,5),TbTradesBitPreço[[#This Row],[Taxa]],0),8)))</calculatedColumnFormula>
    </tableColumn>
    <tableColumn id="14" xr3:uid="{2A91C14F-88B0-4614-AC56-0135EBE18606}" name="Custo de BRL" dataDxfId="2559" totalsRowDxfId="2558">
      <calculatedColumnFormula array="1">IF(TbTradesBitPreço[[#This Row],[Tipo]]="EMPTY",0,O1+IF(TbTradesBitPreço[[#This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Row],[Par]]))),$1:$1,0)),-(N1-N2)/N1*O1),0),0)+IF(TbTradesBitPreço[[#This Row],[Tipo]]="SELL",IF(ISNUMBER(FIND(MID(O$1,10,5),TbTradesBitPreço[[#This Row],[Par]])),IF(FIND(MID(O$1,10,5),TbTradesBitPreço[[#This Row],[Par]])=1, -(N1-N2)/N1*O1,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Row],[Par]])),(-(N1-N2)/N1*O1)+IF(TbTradesBitPreço[[#This Row],[Resultado]]&gt;0,0,TbTradesBitPreço[[#This Row],[Taxa]]),0),0))</calculatedColumnFormula>
    </tableColumn>
    <tableColumn id="15" xr3:uid="{56E4DEF1-1FF9-4965-8FD5-DBEA620AFA66}" name="Preço Médio BRL" dataDxfId="2557" totalsRowDxfId="2556">
      <calculatedColumnFormula>IF(N2=0,0,O2/N2)</calculatedColumnFormula>
    </tableColumn>
    <tableColumn id="16" xr3:uid="{5D3B0BA9-7559-4F61-BF3B-F5AB45790772}" name="Estoque USDT" dataDxfId="2555" totalsRowDxfId="2554">
      <calculatedColumnFormula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Row],[Tipo]]="DROP"),Q1+TbTradesBitPreço[[#This Row],[Qtt]],Q1-TbTradesBitPreço[[#This Row],[Qtt]]),IF(TbTradesBitPreço[[#This Row],[Tipo]]="BUY",Q1-TbTradesBitPreço[[#This Row],[Qtt]]*TbTradesBitPreço[[#This Row],[Preço]],Q1+TbTradesBitPreço[[#This Row],[Qtt]]*TbTradesBitPreço[[#This Row],[Preço]])),Q1)-IF(TbTradesBitPreço[[#This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Row],[Tipo]]="DROP"),Q1+TbTradesBitPreço[[#This Row],[Qtt]],Q1-TbTradesBitPreço[[#This Row],[Qtt]]),IF(TbTradesBitPreço[[#This Row],[Tipo]]="BUY",Q1-TbTradesBitPreço[[#This Row],[Qtt]]*TbTradesBitPreço[[#This Row],[Preço]],Q1+TbTradesBitPreço[[#This Row],[Qtt]]*TbTradesBitPreço[[#This Row],[Preço]])),Q1)-IF(TbTradesBitPreço[[#This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Row],[Tipo]]="DROP"),Q1+TbTradesBitPreço[[#This Row],[Qtt]],Q1-TbTradesBitPreço[[#This Row],[Qtt]]),IF(TbTradesBitPreço[[#This Row],[Tipo]]="BUY",Q1-TbTradesBitPreço[[#This Row],[Qtt]]*TbTradesBitPreço[[#This Row],[Preço]],Q1+TbTradesBitPreço[[#This Row],[Qtt]]*TbTradesBitPreço[[#This Row],[Preço]])),Q1)-IF(TbTradesBitPreço[[#This Row],[Moeda da Taxa]]=MID(Q$1,9,5),TbTradesBitPreço[[#This Row],[Taxa]],0),8)))</calculatedColumnFormula>
    </tableColumn>
    <tableColumn id="17" xr3:uid="{B9656F92-CB0A-48AA-854B-3FE7ABC68C97}" name="Custo de USDT" dataDxfId="2553" totalsRowDxfId="2552">
      <calculatedColumnFormula array="1">IF(TbTradesBitPreço[[#This Row],[Tipo]]="EMPTY",0,R1+IF(TbTradesBitPreço[[#This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Row],[Par]]))),$1:$1,0)),-(Q1-Q2)/Q1*R1),0),0)+IF(TbTradesBitPreço[[#This Row],[Tipo]]="SELL",IF(ISNUMBER(FIND(MID(R$1,10,5),TbTradesBitPreço[[#This Row],[Par]])),IF(FIND(MID(R$1,10,5),TbTradesBitPreço[[#This Row],[Par]])=1, -(Q1-Q2)/Q1*R1,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Row],[Par]])),(-(Q1-Q2)/Q1*R1)+IF(TbTradesBitPreço[[#This Row],[Resultado]]&gt;0,0,TbTradesBitPreço[[#This Row],[Taxa]]),0),0))</calculatedColumnFormula>
    </tableColumn>
    <tableColumn id="18" xr3:uid="{1165E97C-F20C-4900-A8D8-B9AB00DF0EC9}" name="Preço Médio USDT" dataDxfId="2551" totalsRowDxfId="2550">
      <calculatedColumnFormula>IF(Q2=0,0,R2/Q2)</calculatedColumnFormula>
    </tableColumn>
    <tableColumn id="10" xr3:uid="{449B3941-61FE-478B-8790-1EE232806AF9}" name="Estoque BTC" dataDxfId="2549" totalsRowDxfId="2548">
      <calculatedColumnFormula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Row],[Tipo]]="DROP"),T1+TbTradesBitPreço[[#This Row],[Qtt]],T1-TbTradesBitPreço[[#This Row],[Qtt]]),IF(TbTradesBitPreço[[#This Row],[Tipo]]="BUY",T1-TbTradesBitPreço[[#This Row],[Qtt]]*TbTradesBitPreço[[#This Row],[Preço]],T1+TbTradesBitPreço[[#This Row],[Qtt]]*TbTradesBitPreço[[#This Row],[Preço]])),T1)-IF(TbTradesBitPreço[[#This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Row],[Tipo]]="DROP"),T1+TbTradesBitPreço[[#This Row],[Qtt]],T1-TbTradesBitPreço[[#This Row],[Qtt]]),IF(TbTradesBitPreço[[#This Row],[Tipo]]="BUY",T1-TbTradesBitPreço[[#This Row],[Qtt]]*TbTradesBitPreço[[#This Row],[Preço]],T1+TbTradesBitPreço[[#This Row],[Qtt]]*TbTradesBitPreço[[#This Row],[Preço]])),T1)-IF(TbTradesBitPreço[[#This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Row],[Tipo]]="DROP"),T1+TbTradesBitPreço[[#This Row],[Qtt]],T1-TbTradesBitPreço[[#This Row],[Qtt]]),IF(TbTradesBitPreço[[#This Row],[Tipo]]="BUY",T1-TbTradesBitPreço[[#This Row],[Qtt]]*TbTradesBitPreço[[#This Row],[Preço]],T1+TbTradesBitPreço[[#This Row],[Qtt]]*TbTradesBitPreço[[#This Row],[Preço]])),T1)-IF(TbTradesBitPreço[[#This Row],[Moeda da Taxa]]=MID(T$1,9,5),TbTradesBitPreço[[#This Row],[Taxa]],0),8)))</calculatedColumnFormula>
    </tableColumn>
    <tableColumn id="21" xr3:uid="{AF3A565D-B0B1-48B0-AE59-F989BF786194}" name="Custo de BTC" dataDxfId="2547" totalsRowDxfId="2546">
      <calculatedColumnFormula array="1">IF(TbTradesBitPreço[[#This Row],[Tipo]]="EMPTY",0,U1+IF(TbTradesBitPreço[[#This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Row],[Par]]))),$1:$1,0)),-(T1-T2)/T1*U1),0),0)+IF(TbTradesBitPreço[[#This Row],[Tipo]]="SELL",IF(ISNUMBER(FIND(MID(U$1,10,5),TbTradesBitPreço[[#This Row],[Par]])),IF(FIND(MID(U$1,10,5),TbTradesBitPreço[[#This Row],[Par]])=1, -(T1-T2)/T1*U1,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Row],[Par]])),(-(T1-T2)/T1*U1)+IF(TbTradesBitPreço[[#This Row],[Resultado]]&gt;0,0,TbTradesBitPreço[[#This Row],[Taxa]]),0),0))</calculatedColumnFormula>
    </tableColumn>
    <tableColumn id="11" xr3:uid="{D2E75CE1-7742-4313-B8BB-F7E39D51C8DD}" name="Preço Médio BTC" dataDxfId="2545" totalsRowDxfId="2544">
      <calculatedColumnFormula>IF(T2=0,0,U2/T2)</calculatedColumnFormula>
    </tableColumn>
    <tableColumn id="31" xr3:uid="{AB5BECE1-F142-4CC7-BDB6-8901F8C98C75}" name="Estoque ETH" dataDxfId="2543" totalsRowDxfId="2542">
      <calculatedColumnFormula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Row],[Tipo]]="DROP"),W1+TbTradesBitPreço[[#This Row],[Qtt]],W1-TbTradesBitPreço[[#This Row],[Qtt]]),IF(TbTradesBitPreço[[#This Row],[Tipo]]="BUY",W1-TbTradesBitPreço[[#This Row],[Qtt]]*TbTradesBitPreço[[#This Row],[Preço]],W1+TbTradesBitPreço[[#This Row],[Qtt]]*TbTradesBitPreço[[#This Row],[Preço]])),W1)-IF(TbTradesBitPreço[[#This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Row],[Tipo]]="DROP"),W1+TbTradesBitPreço[[#This Row],[Qtt]],W1-TbTradesBitPreço[[#This Row],[Qtt]]),IF(TbTradesBitPreço[[#This Row],[Tipo]]="BUY",W1-TbTradesBitPreço[[#This Row],[Qtt]]*TbTradesBitPreço[[#This Row],[Preço]],W1+TbTradesBitPreço[[#This Row],[Qtt]]*TbTradesBitPreço[[#This Row],[Preço]])),W1)-IF(TbTradesBitPreço[[#This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Row],[Tipo]]="DROP"),W1+TbTradesBitPreço[[#This Row],[Qtt]],W1-TbTradesBitPreço[[#This Row],[Qtt]]),IF(TbTradesBitPreço[[#This Row],[Tipo]]="BUY",W1-TbTradesBitPreço[[#This Row],[Qtt]]*TbTradesBitPreço[[#This Row],[Preço]],W1+TbTradesBitPreço[[#This Row],[Qtt]]*TbTradesBitPreço[[#This Row],[Preço]])),W1)-IF(TbTradesBitPreço[[#This Row],[Moeda da Taxa]]=MID(W$1,9,5),TbTradesBitPreço[[#This Row],[Taxa]],0),8)))</calculatedColumnFormula>
    </tableColumn>
    <tableColumn id="36" xr3:uid="{7328C8F3-9463-44BA-812B-42DD69259C82}" name="Custo de ETH" dataDxfId="2541" totalsRowDxfId="2540">
      <calculatedColumnFormula array="1">IF(TbTradesBitPreço[[#This Row],[Tipo]]="EMPTY",0,X1+IF(TbTradesBitPreço[[#This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Row],[Par]]))),$1:$1,0)),-(W1-W2)/W1*X1),0),0)+IF(TbTradesBitPreço[[#This Row],[Tipo]]="SELL",IF(ISNUMBER(FIND(MID(X$1,10,5),TbTradesBitPreço[[#This Row],[Par]])),IF(FIND(MID(X$1,10,5),TbTradesBitPreço[[#This Row],[Par]])=1, -(W1-W2)/W1*X1,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Row],[Par]])),(-(W1-W2)/W1*X1)+IF(TbTradesBitPreço[[#This Row],[Resultado]]&gt;0,0,TbTradesBitPreço[[#This Row],[Taxa]]),0),0))</calculatedColumnFormula>
    </tableColumn>
    <tableColumn id="37" xr3:uid="{F8A337E5-1DDA-42DE-8D8A-38C7C4152779}" name="Preço Médio ETH" dataDxfId="2539" totalsRowDxfId="2538">
      <calculatedColumnFormula>IF(W2=0,0,X2/W2)</calculatedColumnFormula>
    </tableColumn>
  </tableColumns>
  <tableStyleInfo name="TableStyleMedium2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110102D-9888-41DA-B91F-6DDE09D6996F}" name="TbTradesUpHold" displayName="TbTradesUpHold" ref="B1:AH13" totalsRowCount="1" headerRowDxfId="2537" dataDxfId="2535" headerRowBorderDxfId="2536" tableBorderDxfId="2534" totalsRowBorderDxfId="2533">
  <autoFilter ref="B1:AH12" xr:uid="{961FFBC4-F644-4388-9F67-C4351C8B76B8}"/>
  <tableColumns count="33">
    <tableColumn id="29" xr3:uid="{8CF6B356-1D63-40CA-9981-7499CE312661}" name="Observação" totalsRowLabel="Total" dataDxfId="2532" totalsRowDxfId="2531"/>
    <tableColumn id="50" xr3:uid="{8E10C62A-4F1A-45E0-A08C-9F4D2ABBDA48}" name="Resultado" totalsRowFunction="sum" dataDxfId="2530" totalsRowDxfId="2529">
      <calculatedColumnFormula>TRUNC(IF(AND(TbTradesUpHold[[#This Row],[Tipo]]="SEND",TbTradesUpHold[[#This Row],[Par]]="BRL"),TbTradesUpHold[[#This Row],[Qtt]]*(1-P1)-IF(TbTradesUpHold[[#This Row],[Moeda da Taxa]]="BRL",TbTradesUpHold[[#This Row],[Taxa]],0),0)+IF(AND(TbTradesUpHold[[#This Row],[Tipo]]="BURN",TbTradesUpHold[[#This Row],[Par]]="BRL"),-TbTradesUpHold[[#This Row],[Qtt]]*P1,0),2)</calculatedColumnFormula>
    </tableColumn>
    <tableColumn id="1" xr3:uid="{1952F110-227E-424B-A2F2-66C73D6E958B}" name="Data (UTC-3)" dataDxfId="2528" totalsRowDxfId="2527"/>
    <tableColumn id="32" xr3:uid="{6A17CFF6-C507-4C0F-97F3-6B4F0100040A}" name="Par" dataDxfId="2526" totalsRowDxfId="2525"/>
    <tableColumn id="2" xr3:uid="{469D247E-395B-4D4F-9D6A-378093928BEF}" name="Tipo" dataDxfId="2524" totalsRowDxfId="2523"/>
    <tableColumn id="3" xr3:uid="{2620B281-9267-429C-9504-B26829E3CA5D}" name="Preço" dataDxfId="2522" totalsRowDxfId="2521"/>
    <tableColumn id="4" xr3:uid="{F5ECBF6A-7B88-4CA8-A03D-8F1CE0B87026}" name="Qtt" dataDxfId="2520" totalsRowDxfId="2519"/>
    <tableColumn id="5" xr3:uid="{8E97F88D-B7F8-4148-98E0-3E7C5E6D3881}" name="Taxa" dataDxfId="2518" totalsRowDxfId="2517"/>
    <tableColumn id="6" xr3:uid="{CD0E59A5-B2BC-4577-A496-F925EC28F967}" name="Moeda da Taxa" dataDxfId="2516" totalsRowDxfId="2515"/>
    <tableColumn id="7" xr3:uid="{487170E8-9D1F-4F4C-B7EA-779D3C741EDB}" name="Conversão" dataDxfId="2514" totalsRowDxfId="2513"/>
    <tableColumn id="8" xr3:uid="{C047729F-3C2B-4CB9-A1A3-A15114A3123E}" name="Cotação BRL" dataDxfId="2512" totalsRowDxfId="2511">
      <calculatedColumnFormula>TRUNC(K2*G2,2)</calculatedColumnFormula>
    </tableColumn>
    <tableColumn id="9" xr3:uid="{E7E1C921-B4AA-4D68-ACFD-06ECB332F223}" name="Volume" totalsRowFunction="stdDev" dataDxfId="2510" totalsRowDxfId="2509">
      <calculatedColumnFormula>IF(OR(TbTradesUpHold[[#This Row],[Tipo]]="BUY",TbTradesUpHold[[#This Row],[Tipo]]="RECEIVE",TbTradesUpHold[[#This Row],[Tipo]]="DROP"),L2*H2,-L2*H2)</calculatedColumnFormula>
    </tableColumn>
    <tableColumn id="23" xr3:uid="{44FADE4A-4693-476D-B27F-2578184A185C}" name="Estoque BRL" dataDxfId="2508" totalsRowDxfId="2507">
      <calculatedColumnFormula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Row],[Tipo]]="DROP"),N1+TbTradesUpHold[[#This Row],[Qtt]],N1-TbTradesUpHold[[#This Row],[Qtt]]),IF(TbTradesUpHold[[#This Row],[Tipo]]="BUY",N1-TbTradesUpHold[[#This Row],[Qtt]]*TbTradesUpHold[[#This Row],[Preço]],N1+TbTradesUpHold[[#This Row],[Qtt]]*TbTradesUpHold[[#This Row],[Preço]])),N1)-IF(TbTradesUpHold[[#This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Row],[Tipo]]="DROP"),N1+TbTradesUpHold[[#This Row],[Qtt]],N1-TbTradesUpHold[[#This Row],[Qtt]]),IF(TbTradesUpHold[[#This Row],[Tipo]]="BUY",N1-TbTradesUpHold[[#This Row],[Qtt]]*TbTradesUpHold[[#This Row],[Preço]],N1+TbTradesUpHold[[#This Row],[Qtt]]*TbTradesUpHold[[#This Row],[Preço]])),N1)-IF(TbTradesUpHold[[#This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Row],[Tipo]]="DROP"),N1+TbTradesUpHold[[#This Row],[Qtt]],N1-TbTradesUpHold[[#This Row],[Qtt]]),IF(TbTradesUpHold[[#This Row],[Tipo]]="BUY",N1-TbTradesUpHold[[#This Row],[Qtt]]*TbTradesUpHold[[#This Row],[Preço]],N1+TbTradesUpHold[[#This Row],[Qtt]]*TbTradesUpHold[[#This Row],[Preço]])),N1)-IF(TbTradesUpHold[[#This Row],[Moeda da Taxa]]=MID(N$1,9,5),TbTradesUpHold[[#This Row],[Taxa]],0),8)))</calculatedColumnFormula>
    </tableColumn>
    <tableColumn id="24" xr3:uid="{23751CFB-B852-4701-A0D1-13998C6EB498}" name="Custo de BRL" dataDxfId="2506" totalsRowDxfId="2505">
      <calculatedColumnFormula array="1">IF(TbTradesUpHold[[#This Row],[Tipo]]="EMPTY",0,O1+IF(TbTradesUpHold[[#This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Row],[Par]]))),$1:$1,0)),-(N1-N2)/N1*O1),0),0)+IF(TbTradesUpHold[[#This Row],[Tipo]]="SELL",IF(ISNUMBER(FIND(MID(O$1,10,5),TbTradesUpHold[[#This Row],[Par]])),IF(FIND(MID(O$1,10,5),TbTradesUpHold[[#This Row],[Par]])=1, -(N1-N2)/N1*O1,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Row],[Par]])),(-(N1-N2)/N1*O1)+IF(TbTradesUpHold[[#This Row],[Resultado]]&gt;0,0,TbTradesUpHold[[#This Row],[Taxa]]),0),0))</calculatedColumnFormula>
    </tableColumn>
    <tableColumn id="25" xr3:uid="{52CD7795-15D7-4F05-9FE8-4F2DEA047F6F}" name="Preço Médio BRL" dataDxfId="2504" totalsRowDxfId="2503">
      <calculatedColumnFormula>IF(N2=0,0,O2/N2)</calculatedColumnFormula>
    </tableColumn>
    <tableColumn id="26" xr3:uid="{3EA6BDA6-6BAA-42C0-9F56-E23D80A449B9}" name="Estoque USDT" dataDxfId="2502" totalsRowDxfId="2501">
      <calculatedColumnFormula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Row],[Tipo]]="DROP"),Q1+TbTradesUpHold[[#This Row],[Qtt]],Q1-TbTradesUpHold[[#This Row],[Qtt]]),IF(TbTradesUpHold[[#This Row],[Tipo]]="BUY",Q1-TbTradesUpHold[[#This Row],[Qtt]]*TbTradesUpHold[[#This Row],[Preço]],Q1+TbTradesUpHold[[#This Row],[Qtt]]*TbTradesUpHold[[#This Row],[Preço]])),Q1)-IF(TbTradesUpHold[[#This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Row],[Tipo]]="DROP"),Q1+TbTradesUpHold[[#This Row],[Qtt]],Q1-TbTradesUpHold[[#This Row],[Qtt]]),IF(TbTradesUpHold[[#This Row],[Tipo]]="BUY",Q1-TbTradesUpHold[[#This Row],[Qtt]]*TbTradesUpHold[[#This Row],[Preço]],Q1+TbTradesUpHold[[#This Row],[Qtt]]*TbTradesUpHold[[#This Row],[Preço]])),Q1)-IF(TbTradesUpHold[[#This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Row],[Tipo]]="DROP"),Q1+TbTradesUpHold[[#This Row],[Qtt]],Q1-TbTradesUpHold[[#This Row],[Qtt]]),IF(TbTradesUpHold[[#This Row],[Tipo]]="BUY",Q1-TbTradesUpHold[[#This Row],[Qtt]]*TbTradesUpHold[[#This Row],[Preço]],Q1+TbTradesUpHold[[#This Row],[Qtt]]*TbTradesUpHold[[#This Row],[Preço]])),Q1)-IF(TbTradesUpHold[[#This Row],[Moeda da Taxa]]=MID(Q$1,9,5),TbTradesUpHold[[#This Row],[Taxa]],0),8)))</calculatedColumnFormula>
    </tableColumn>
    <tableColumn id="27" xr3:uid="{15E434CD-A659-4D55-88B1-1954ED846666}" name="Custo de USDT" dataDxfId="2500" totalsRowDxfId="2499">
      <calculatedColumnFormula array="1">IF(TbTradesUpHold[[#This Row],[Tipo]]="EMPTY",0,R1+IF(TbTradesUpHold[[#This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Row],[Par]]))),$1:$1,0)),-(Q1-Q2)/Q1*R1),0),0)+IF(TbTradesUpHold[[#This Row],[Tipo]]="SELL",IF(ISNUMBER(FIND(MID(R$1,10,5),TbTradesUpHold[[#This Row],[Par]])),IF(FIND(MID(R$1,10,5),TbTradesUpHold[[#This Row],[Par]])=1, -(Q1-Q2)/Q1*R1,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Row],[Par]])),(-(Q1-Q2)/Q1*R1)+IF(TbTradesUpHold[[#This Row],[Resultado]]&gt;0,0,TbTradesUpHold[[#This Row],[Taxa]]),0),0))</calculatedColumnFormula>
    </tableColumn>
    <tableColumn id="28" xr3:uid="{5574DC11-EA16-4C53-AA9A-2EF723E63DD9}" name="Preço Médio USDT" dataDxfId="2498" totalsRowDxfId="2497">
      <calculatedColumnFormula>IF(Q2=0,0,R2/Q2)</calculatedColumnFormula>
    </tableColumn>
    <tableColumn id="10" xr3:uid="{CA51AE28-A0A0-46B5-9DB8-9824885BCD19}" name="Estoque BTC" dataDxfId="2496" totalsRowDxfId="2495">
      <calculatedColumnFormula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Row],[Tipo]]="DROP"),T1+TbTradesUpHold[[#This Row],[Qtt]],T1-TbTradesUpHold[[#This Row],[Qtt]]),IF(TbTradesUpHold[[#This Row],[Tipo]]="BUY",T1-TbTradesUpHold[[#This Row],[Qtt]]*TbTradesUpHold[[#This Row],[Preço]],T1+TbTradesUpHold[[#This Row],[Qtt]]*TbTradesUpHold[[#This Row],[Preço]])),T1)-IF(TbTradesUpHold[[#This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Row],[Tipo]]="DROP"),T1+TbTradesUpHold[[#This Row],[Qtt]],T1-TbTradesUpHold[[#This Row],[Qtt]]),IF(TbTradesUpHold[[#This Row],[Tipo]]="BUY",T1-TbTradesUpHold[[#This Row],[Qtt]]*TbTradesUpHold[[#This Row],[Preço]],T1+TbTradesUpHold[[#This Row],[Qtt]]*TbTradesUpHold[[#This Row],[Preço]])),T1)-IF(TbTradesUpHold[[#This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Row],[Tipo]]="DROP"),T1+TbTradesUpHold[[#This Row],[Qtt]],T1-TbTradesUpHold[[#This Row],[Qtt]]),IF(TbTradesUpHold[[#This Row],[Tipo]]="BUY",T1-TbTradesUpHold[[#This Row],[Qtt]]*TbTradesUpHold[[#This Row],[Preço]],T1+TbTradesUpHold[[#This Row],[Qtt]]*TbTradesUpHold[[#This Row],[Preço]])),T1)-IF(TbTradesUpHold[[#This Row],[Moeda da Taxa]]=MID(T$1,9,5),TbTradesUpHold[[#This Row],[Taxa]],0),8)))</calculatedColumnFormula>
    </tableColumn>
    <tableColumn id="21" xr3:uid="{E137FE17-0A3B-426F-953A-DB1C961CAEDE}" name="Custo de BTC" dataDxfId="2494" totalsRowDxfId="2493">
      <calculatedColumnFormula array="1">IF(TbTradesUpHold[[#This Row],[Tipo]]="EMPTY",0,U1+IF(TbTradesUpHold[[#This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Row],[Par]]))),$1:$1,0)),-(T1-T2)/T1*U1),0),0)+IF(TbTradesUpHold[[#This Row],[Tipo]]="SELL",IF(ISNUMBER(FIND(MID(U$1,10,5),TbTradesUpHold[[#This Row],[Par]])),IF(FIND(MID(U$1,10,5),TbTradesUpHold[[#This Row],[Par]])=1, -(T1-T2)/T1*U1,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Row],[Par]])),(-(T1-T2)/T1*U1)+IF(TbTradesUpHold[[#This Row],[Resultado]]&gt;0,0,TbTradesUpHold[[#This Row],[Taxa]]),0),0))</calculatedColumnFormula>
    </tableColumn>
    <tableColumn id="11" xr3:uid="{51F4CB77-B6C2-4F4A-9866-6D662C9611B3}" name="Preço Médio BTC" dataDxfId="2492" totalsRowDxfId="2491">
      <calculatedColumnFormula>IF(T2=0,0,U2/T2)</calculatedColumnFormula>
    </tableColumn>
    <tableColumn id="31" xr3:uid="{CA2FBAE9-B431-4D4A-AEAE-2D1D2BAAEF92}" name="Estoque ETH" dataDxfId="2490" totalsRowDxfId="2489">
      <calculatedColumnFormula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Row],[Tipo]]="DROP"),W1+TbTradesUpHold[[#This Row],[Qtt]],W1-TbTradesUpHold[[#This Row],[Qtt]]),IF(TbTradesUpHold[[#This Row],[Tipo]]="BUY",W1-TbTradesUpHold[[#This Row],[Qtt]]*TbTradesUpHold[[#This Row],[Preço]],W1+TbTradesUpHold[[#This Row],[Qtt]]*TbTradesUpHold[[#This Row],[Preço]])),W1)-IF(TbTradesUpHold[[#This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Row],[Tipo]]="DROP"),W1+TbTradesUpHold[[#This Row],[Qtt]],W1-TbTradesUpHold[[#This Row],[Qtt]]),IF(TbTradesUpHold[[#This Row],[Tipo]]="BUY",W1-TbTradesUpHold[[#This Row],[Qtt]]*TbTradesUpHold[[#This Row],[Preço]],W1+TbTradesUpHold[[#This Row],[Qtt]]*TbTradesUpHold[[#This Row],[Preço]])),W1)-IF(TbTradesUpHold[[#This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Row],[Tipo]]="DROP"),W1+TbTradesUpHold[[#This Row],[Qtt]],W1-TbTradesUpHold[[#This Row],[Qtt]]),IF(TbTradesUpHold[[#This Row],[Tipo]]="BUY",W1-TbTradesUpHold[[#This Row],[Qtt]]*TbTradesUpHold[[#This Row],[Preço]],W1+TbTradesUpHold[[#This Row],[Qtt]]*TbTradesUpHold[[#This Row],[Preço]])),W1)-IF(TbTradesUpHold[[#This Row],[Moeda da Taxa]]=MID(W$1,9,5),TbTradesUpHold[[#This Row],[Taxa]],0),8)))</calculatedColumnFormula>
    </tableColumn>
    <tableColumn id="36" xr3:uid="{AA927CB7-0C83-4438-9A5F-1F57BC64343B}" name="Custo de ETH" dataDxfId="2488" totalsRowDxfId="2487">
      <calculatedColumnFormula array="1">IF(TbTradesUpHold[[#This Row],[Tipo]]="EMPTY",0,X1+IF(TbTradesUpHold[[#This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Row],[Par]]))),$1:$1,0)),-(W1-W2)/W1*X1),0),0)+IF(TbTradesUpHold[[#This Row],[Tipo]]="SELL",IF(ISNUMBER(FIND(MID(X$1,10,5),TbTradesUpHold[[#This Row],[Par]])),IF(FIND(MID(X$1,10,5),TbTradesUpHold[[#This Row],[Par]])=1, -(W1-W2)/W1*X1,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Row],[Par]])),(-(W1-W2)/W1*X1)+IF(TbTradesUpHold[[#This Row],[Resultado]]&gt;0,0,TbTradesUpHold[[#This Row],[Taxa]]),0),0))</calculatedColumnFormula>
    </tableColumn>
    <tableColumn id="37" xr3:uid="{D5E53612-B3C4-4B90-8666-FC7AB123A6C7}" name="Preço Médio ETH" dataDxfId="2486" totalsRowDxfId="2485">
      <calculatedColumnFormula>IF(W2=0,0,X2/W2)</calculatedColumnFormula>
    </tableColumn>
    <tableColumn id="12" xr3:uid="{251AFBFB-793D-48A4-9671-B3E82BB59FE4}" name="Estoque ADA" dataDxfId="2484" totalsRowDxfId="2483">
      <calculatedColumnFormula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Row],[Tipo]]="DROP"),Z1+TbTradesUpHold[[#This Row],[Qtt]],Z1-TbTradesUpHold[[#This Row],[Qtt]]),IF(TbTradesUpHold[[#This Row],[Tipo]]="BUY",Z1-TbTradesUpHold[[#This Row],[Qtt]]*TbTradesUpHold[[#This Row],[Preço]],Z1+TbTradesUpHold[[#This Row],[Qtt]]*TbTradesUpHold[[#This Row],[Preço]])),Z1)-IF(TbTradesUpHold[[#This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Row],[Tipo]]="DROP"),Z1+TbTradesUpHold[[#This Row],[Qtt]],Z1-TbTradesUpHold[[#This Row],[Qtt]]),IF(TbTradesUpHold[[#This Row],[Tipo]]="BUY",Z1-TbTradesUpHold[[#This Row],[Qtt]]*TbTradesUpHold[[#This Row],[Preço]],Z1+TbTradesUpHold[[#This Row],[Qtt]]*TbTradesUpHold[[#This Row],[Preço]])),Z1)-IF(TbTradesUpHold[[#This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Row],[Tipo]]="DROP"),Z1+TbTradesUpHold[[#This Row],[Qtt]],Z1-TbTradesUpHold[[#This Row],[Qtt]]),IF(TbTradesUpHold[[#This Row],[Tipo]]="BUY",Z1-TbTradesUpHold[[#This Row],[Qtt]]*TbTradesUpHold[[#This Row],[Preço]],Z1+TbTradesUpHold[[#This Row],[Qtt]]*TbTradesUpHold[[#This Row],[Preço]])),Z1)-IF(TbTradesUpHold[[#This Row],[Moeda da Taxa]]=MID(Z$1,9,5),TbTradesUpHold[[#This Row],[Taxa]],0),8)))</calculatedColumnFormula>
    </tableColumn>
    <tableColumn id="13" xr3:uid="{DE737142-F1E5-4D40-A85A-01A2318A2D24}" name="Custo de ADA" dataDxfId="2482" totalsRowDxfId="2481">
      <calculatedColumnFormula array="1">IF(TbTradesUpHold[[#This Row],[Tipo]]="EMPTY",0,AA1+IF(TbTradesUpHold[[#This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Row],[Par]]))),$1:$1,0)),-(Z1-Z2)/Z1*AA1),0),0)+IF(TbTradesUpHold[[#This Row],[Tipo]]="SELL",IF(ISNUMBER(FIND(MID(AA$1,10,5),TbTradesUpHold[[#This Row],[Par]])),IF(FIND(MID(AA$1,10,5),TbTradesUpHold[[#This Row],[Par]])=1, -(Z1-Z2)/Z1*AA1,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Row],[Par]])),(-(Z1-Z2)/Z1*AA1)+IF(TbTradesUpHold[[#This Row],[Resultado]]&gt;0,0,TbTradesUpHold[[#This Row],[Taxa]]),0),0))</calculatedColumnFormula>
    </tableColumn>
    <tableColumn id="14" xr3:uid="{952555B8-E5A9-4D25-B326-FFD1FAA66439}" name="Preço Médio ADA" dataDxfId="2480" totalsRowDxfId="2479">
      <calculatedColumnFormula>IF(Z2=0,0,AA2/Z2)</calculatedColumnFormula>
    </tableColumn>
    <tableColumn id="15" xr3:uid="{D92D6B78-24D8-458F-82CB-D126217BDF4F}" name="Estoque BAT" dataDxfId="2478" totalsRowDxfId="2477">
      <calculatedColumnFormula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Row],[Tipo]]="DROP"),AC1+TbTradesUpHold[[#This Row],[Qtt]],AC1-TbTradesUpHold[[#This Row],[Qtt]]),IF(TbTradesUpHold[[#This Row],[Tipo]]="BUY",AC1-TbTradesUpHold[[#This Row],[Qtt]]*TbTradesUpHold[[#This Row],[Preço]],AC1+TbTradesUpHold[[#This Row],[Qtt]]*TbTradesUpHold[[#This Row],[Preço]])),AC1)-IF(TbTradesUpHold[[#This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Row],[Tipo]]="DROP"),AC1+TbTradesUpHold[[#This Row],[Qtt]],AC1-TbTradesUpHold[[#This Row],[Qtt]]),IF(TbTradesUpHold[[#This Row],[Tipo]]="BUY",AC1-TbTradesUpHold[[#This Row],[Qtt]]*TbTradesUpHold[[#This Row],[Preço]],AC1+TbTradesUpHold[[#This Row],[Qtt]]*TbTradesUpHold[[#This Row],[Preço]])),AC1)-IF(TbTradesUpHold[[#This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Row],[Tipo]]="DROP"),AC1+TbTradesUpHold[[#This Row],[Qtt]],AC1-TbTradesUpHold[[#This Row],[Qtt]]),IF(TbTradesUpHold[[#This Row],[Tipo]]="BUY",AC1-TbTradesUpHold[[#This Row],[Qtt]]*TbTradesUpHold[[#This Row],[Preço]],AC1+TbTradesUpHold[[#This Row],[Qtt]]*TbTradesUpHold[[#This Row],[Preço]])),AC1)-IF(TbTradesUpHold[[#This Row],[Moeda da Taxa]]=MID(AC$1,9,5),TbTradesUpHold[[#This Row],[Taxa]],0),8)))</calculatedColumnFormula>
    </tableColumn>
    <tableColumn id="16" xr3:uid="{2D760BB9-A017-4779-B5DF-1300C6991C36}" name="Custo de BAT" dataDxfId="2476" totalsRowDxfId="2475">
      <calculatedColumnFormula array="1">IF(TbTradesUpHold[[#This Row],[Tipo]]="EMPTY",0,AD1+IF(TbTradesUpHold[[#This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Row],[Par]]))),$1:$1,0)),-(AC1-AC2)/AC1*AD1),0),0)+IF(TbTradesUpHold[[#This Row],[Tipo]]="SELL",IF(ISNUMBER(FIND(MID(AD$1,10,5),TbTradesUpHold[[#This Row],[Par]])),IF(FIND(MID(AD$1,10,5),TbTradesUpHold[[#This Row],[Par]])=1, -(AC1-AC2)/AC1*AD1,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Row],[Par]])),(-(AC1-AC2)/AC1*AD1)+IF(TbTradesUpHold[[#This Row],[Resultado]]&gt;0,0,TbTradesUpHold[[#This Row],[Taxa]]),0),0))</calculatedColumnFormula>
    </tableColumn>
    <tableColumn id="17" xr3:uid="{03EA6D28-DF44-4C65-A94B-B548B352CECF}" name="Preço Médio BAT" dataDxfId="2474" totalsRowDxfId="2473">
      <calculatedColumnFormula>IF(AC2=0,0,AD2/AC2)</calculatedColumnFormula>
    </tableColumn>
    <tableColumn id="19" xr3:uid="{66D3E20A-DE59-4484-9A91-4C4CD7243C01}" name="Estoque BCH" dataDxfId="2472" totalsRowDxfId="2471">
      <calculatedColumnFormula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Row],[Tipo]]="DROP"),AF1+TbTradesUpHold[[#This Row],[Qtt]],AF1-TbTradesUpHold[[#This Row],[Qtt]]),IF(TbTradesUpHold[[#This Row],[Tipo]]="BUY",AF1-TbTradesUpHold[[#This Row],[Qtt]]*TbTradesUpHold[[#This Row],[Preço]],AF1+TbTradesUpHold[[#This Row],[Qtt]]*TbTradesUpHold[[#This Row],[Preço]])),AF1)-IF(TbTradesUpHold[[#This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Row],[Tipo]]="DROP"),AF1+TbTradesUpHold[[#This Row],[Qtt]],AF1-TbTradesUpHold[[#This Row],[Qtt]]),IF(TbTradesUpHold[[#This Row],[Tipo]]="BUY",AF1-TbTradesUpHold[[#This Row],[Qtt]]*TbTradesUpHold[[#This Row],[Preço]],AF1+TbTradesUpHold[[#This Row],[Qtt]]*TbTradesUpHold[[#This Row],[Preço]])),AF1)-IF(TbTradesUpHold[[#This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Row],[Tipo]]="DROP"),AF1+TbTradesUpHold[[#This Row],[Qtt]],AF1-TbTradesUpHold[[#This Row],[Qtt]]),IF(TbTradesUpHold[[#This Row],[Tipo]]="BUY",AF1-TbTradesUpHold[[#This Row],[Qtt]]*TbTradesUpHold[[#This Row],[Preço]],AF1+TbTradesUpHold[[#This Row],[Qtt]]*TbTradesUpHold[[#This Row],[Preço]])),AF1)-IF(TbTradesUpHold[[#This Row],[Moeda da Taxa]]=MID(AF$1,9,5),TbTradesUpHold[[#This Row],[Taxa]],0),8)))</calculatedColumnFormula>
    </tableColumn>
    <tableColumn id="20" xr3:uid="{D51F4B45-4F07-4357-BBAE-28C0E6EB1F3B}" name="Custo de BCH" dataDxfId="2470" totalsRowDxfId="2469">
      <calculatedColumnFormula array="1">IF(TbTradesUpHold[[#This Row],[Tipo]]="EMPTY",0,AG1+IF(TbTradesUpHold[[#This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Row],[Par]]))),$1:$1,0)),-(AF1-AF2)/AF1*AG1),0),0)+IF(TbTradesUpHold[[#This Row],[Tipo]]="SELL",IF(ISNUMBER(FIND(MID(AG$1,10,5),TbTradesUpHold[[#This Row],[Par]])),IF(FIND(MID(AG$1,10,5),TbTradesUpHold[[#This Row],[Par]])=1, -(AF1-AF2)/AF1*AG1,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Row],[Par]])),(-(AF1-AF2)/AF1*AG1)+IF(TbTradesUpHold[[#This Row],[Resultado]]&gt;0,0,TbTradesUpHold[[#This Row],[Taxa]]),0),0))</calculatedColumnFormula>
    </tableColumn>
    <tableColumn id="22" xr3:uid="{B295931D-3B51-4E64-9373-37BCC1ACF0D3}" name="Preço Médio BCH" dataDxfId="2468" totalsRowDxfId="2467">
      <calculatedColumnFormula>IF(AF2=0,0,AG2/AF2)</calculatedColumnFormula>
    </tableColumn>
  </tableColumns>
  <tableStyleInfo name="TableStyleMedium2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1CE5685-5070-48FB-9F08-1E31651E23FF}" name="TbTradesExodus" displayName="TbTradesExodus" ref="B1:AE5" totalsRowCount="1" headerRowDxfId="2466" dataDxfId="2464" headerRowBorderDxfId="2465" tableBorderDxfId="2463" totalsRowBorderDxfId="2462">
  <autoFilter ref="B1:AE4" xr:uid="{961FFBC4-F644-4388-9F67-C4351C8B76B8}"/>
  <tableColumns count="30">
    <tableColumn id="26" xr3:uid="{0180542D-810C-43E5-8AC8-776BB3134158}" name="Observação" totalsRowLabel="Total" dataDxfId="2461" totalsRowDxfId="2460"/>
    <tableColumn id="50" xr3:uid="{E39F5B34-FCFC-42AA-A206-B5469F069F07}" name="Resultado" totalsRowFunction="sum" dataDxfId="2459" totalsRowDxfId="2458">
      <calculatedColumnFormula>TRUNC(IF(AND(TbTradesExodus[[#This Row],[Tipo]]="SEND",TbTradesExodus[[#This Row],[Par]]="BRL"),TbTradesExodus[[#This Row],[Qtt]]*(1-P1)-IF(TbTradesExodus[[#This Row],[Moeda da Taxa]]="BRL",TbTradesExodus[[#This Row],[Taxa]],0),0)+IF(AND(TbTradesExodus[[#This Row],[Tipo]]="BURN",TbTradesExodus[[#This Row],[Par]]="BRL"),-TbTradesExodus[[#This Row],[Qtt]]*P1,0),2)</calculatedColumnFormula>
    </tableColumn>
    <tableColumn id="1" xr3:uid="{5DC19F8B-2570-4F45-9E80-251C4A11E5A2}" name="Data (UTC-3)" dataDxfId="2457" totalsRowDxfId="2456"/>
    <tableColumn id="32" xr3:uid="{0FE67540-5F1D-410D-92A6-C41680A22454}" name="Par" dataDxfId="2455" totalsRowDxfId="2454"/>
    <tableColumn id="2" xr3:uid="{301D8E23-9F0F-479B-A5D8-84755C8C386B}" name="Tipo" dataDxfId="2453" totalsRowDxfId="2452"/>
    <tableColumn id="3" xr3:uid="{53A309F1-2407-4088-B73D-EE423759568B}" name="Preço" dataDxfId="2451" totalsRowDxfId="2450">
      <calculatedColumnFormula>#REF!</calculatedColumnFormula>
    </tableColumn>
    <tableColumn id="4" xr3:uid="{04C712EF-A1AC-45CC-8473-DE25B7FA57D7}" name="Qtt" dataDxfId="2449" totalsRowDxfId="2448"/>
    <tableColumn id="5" xr3:uid="{036F2740-7B76-4517-9545-7F3FD5301755}" name="Taxa" dataDxfId="2447" totalsRowDxfId="2446"/>
    <tableColumn id="6" xr3:uid="{2B8CBD03-A19E-4A10-B8AF-FFB022D6FEAB}" name="Moeda da Taxa" dataDxfId="2445" totalsRowDxfId="2444"/>
    <tableColumn id="7" xr3:uid="{E97C37C8-3C1C-4093-B8D1-B56904D0EB46}" name="Conversão" dataDxfId="2443" totalsRowDxfId="2442"/>
    <tableColumn id="8" xr3:uid="{B2AEC183-1F5B-4C16-B11C-E83BA12C779F}" name="Cotação BRL" dataDxfId="2441" totalsRowDxfId="2440">
      <calculatedColumnFormula>TRUNC(K2*G2,2)</calculatedColumnFormula>
    </tableColumn>
    <tableColumn id="9" xr3:uid="{98BCCC92-216D-4B2D-B0CF-385668AB5EAB}" name="Volume" totalsRowFunction="stdDev" dataDxfId="2439" totalsRowDxfId="2438">
      <calculatedColumnFormula>IF(OR(TbTradesExodus[[#This Row],[Tipo]]="BUY",TbTradesExodus[[#This Row],[Tipo]]="RECEIVE",TbTradesExodus[[#This Row],[Tipo]]="DROP"),L2*H2,-L2*H2)</calculatedColumnFormula>
    </tableColumn>
    <tableColumn id="19" xr3:uid="{C88D90B4-3CBD-49E7-B3C8-4DB1F56A93AA}" name="Estoque BRL" dataDxfId="2437" totalsRowDxfId="2436">
      <calculatedColumnFormula>IF(AND(IF(TbTradesExodus[[#This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Row],[Tipo]]="DROP"),N1+TbTradesExodus[[#This Row],[Qtt]],N1-TbTradesExodus[[#This Row],[Qtt]]),IF(TbTradesExodus[[#This Row],[Tipo]]="BUY",N1-TbTradesExodus[[#This Row],[Qtt]]*TbTradesExodus[[#This Row],[Preço]],N1+TbTradesExodus[[#This Row],[Qtt]]*TbTradesExodus[[#This Row],[Preço]])),N1)-IF(TbTradesExodus[[#This Row],[Moeda da Taxa]]=MID(N$1,9,5),TbTradesExodus[[#This Row],[Taxa]],0),8))&lt;0.0000001,IF(TbTradesExodus[[#This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Row],[Tipo]]="DROP"),N1+TbTradesExodus[[#This Row],[Qtt]],N1-TbTradesExodus[[#This Row],[Qtt]]),IF(TbTradesExodus[[#This Row],[Tipo]]="BUY",N1-TbTradesExodus[[#This Row],[Qtt]]*TbTradesExodus[[#This Row],[Preço]],N1+TbTradesExodus[[#This Row],[Qtt]]*TbTradesExodus[[#This Row],[Preço]])),N1)-IF(TbTradesExodus[[#This Row],[Moeda da Taxa]]=MID(N$1,9,5),TbTradesExodus[[#This Row],[Taxa]],0),8))&gt;-0.0000001),0,IF(TbTradesExodus[[#This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Row],[Tipo]]="DROP"),N1+TbTradesExodus[[#This Row],[Qtt]],N1-TbTradesExodus[[#This Row],[Qtt]]),IF(TbTradesExodus[[#This Row],[Tipo]]="BUY",N1-TbTradesExodus[[#This Row],[Qtt]]*TbTradesExodus[[#This Row],[Preço]],N1+TbTradesExodus[[#This Row],[Qtt]]*TbTradesExodus[[#This Row],[Preço]])),N1)-IF(TbTradesExodus[[#This Row],[Moeda da Taxa]]=MID(N$1,9,5),TbTradesExodus[[#This Row],[Taxa]],0),8)))</calculatedColumnFormula>
    </tableColumn>
    <tableColumn id="20" xr3:uid="{818052A5-2A9D-45AF-A558-0BBE5B3C9BEE}" name="Custo de BRL" dataDxfId="2435" totalsRowDxfId="2434">
      <calculatedColumnFormula array="1">IF(TbTradesExodus[[#This Row],[Tipo]]="EMPTY",0,O1+IF(TbTradesExodus[[#This Row],[Tipo]]="DROP",0,0)+IF(TbTradesExodus[[#This Row],[Tipo]]="BURN",0,0)+IF(TbTradesExodus[[#This Row],[Tipo]]="BUY",IF(ISNUMBER(FIND(MID(O$1,10,5),TbTradesExodus[[#This Row],[Par]])),IF(FIND(MID(O$1,10,5),TbTradesExodus[[#This Row],[Par]])=1, (INDEX($1:$1048576,ROW(TbTradesExodus[[#This Row],[Par]])-1,MATCH(CONCATENATE("Estoque ",MID(TbTradesExodus[[#This Row],[Par]],LEN(MID(N$1,9,5))+1,LEN(TbTradesExodus[[#This Row],[Par]]))),$1:$1,0))-INDEX($1:$1048576,ROW(TbTradesExodus[[#This Row],[Par]]),MATCH(CONCATENATE("Estoque ",MID(TbTradesExodus[[#This Row],[Par]],LEN(MID(N$1,9,5))+1,LEN(TbTradesExodus[[#This Row],[Par]]))),$1:$1,0)))/ INDEX($1:$1048576,ROW(TbTradesExodus[[#This Row],[Par]])-1,MATCH(CONCATENATE("Estoque ",MID(TbTradesExodus[[#This Row],[Par]],LEN(MID(N$1,9,5))+1,LEN(TbTradesExodus[[#This Row],[Par]]))),$1:$1,0))*INDEX($1:$1048576,ROW(TbTradesExodus[[#This Row],[Par]])-1,MATCH(CONCATENATE("Custo de ",MID(TbTradesExodus[[#This Row],[Par]],LEN(MID(N$1,9,5))+1,LEN(TbTradesExodus[[#This Row],[Par]]))),$1:$1,0)),-(N1-N2)/N1*O1),0),0)+IF(TbTradesExodus[[#This Row],[Tipo]]="SELL",IF(ISNUMBER(FIND(MID(O$1,10,5),TbTradesExodus[[#This Row],[Par]])),IF(FIND(MID(O$1,10,5),TbTradesExodus[[#This Row],[Par]])=1, -(N1-N2)/N1*O1, (INDEX($1:$1048576,ROW(TbTradesExodus[[#This Row],[Par]])-1,MATCH(CONCATENATE("Estoque ",MID(TbTradesExodus[[#This Row],[Par]],1,FIND(MID(N$1,9,5),TbTradesExodus[[#This Row],[Par]])-1)),$1:$1,0))-INDEX($1:$1048576,ROW(TbTradesExodus[[#This Row],[Par]]),MATCH(CONCATENATE("Estoque ",MID(TbTradesExodus[[#This Row],[Par]],1,FIND(MID(N$1,9,5),TbTradesExodus[[#This Row],[Par]])-1)),$1:$1,0)))/ INDEX($1:$1048576,ROW(TbTradesExodus[[#This Row],[Par]])-1,MATCH(CONCATENATE("Estoque ",MID(TbTradesExodus[[#This Row],[Par]],1,FIND(MID(N$1,9,5),TbTradesExodus[[#This Row],[Par]])-1)),$1:$1,0))*INDEX($1:$1048576,ROW(TbTradesExodus[[#This Row],[Par]])-1,MATCH(CONCATENATE("Custo de ",MID(TbTradesExodus[[#This Row],[Par]],1,FIND(MID(N$1,9,5),TbTradesExodus[[#This Row],[Par]])-1)),$1:$1,0))),0),0)+IF(TbTradesExodus[[#This Row],[Tipo]]="RECEIVE",IF(ISNUMBER(FIND(MID(O$1,10,5),TbTradesExodus[[#This Row],[Par]])), TbTradesExodus[[#This Row],[Qtt]]*TbTradesExodus[[#This Row],[Cotação BRL]],0),0)+IF(TbTradesExodus[[#This Row],[Tipo]]="SEND",IF(ISNUMBER(FIND(MID(O$1,10,5),TbTradesExodus[[#This Row],[Par]])),(-(N1-N2)/N1*O1)+IF(TbTradesExodus[[#This Row],[Resultado]]&gt;0,0,TbTradesExodus[[#This Row],[Taxa]]),0),0))</calculatedColumnFormula>
    </tableColumn>
    <tableColumn id="22" xr3:uid="{550B663A-734B-4B7D-A32A-FF3DB6700915}" name="Preço Médio BRL" dataDxfId="2433" totalsRowDxfId="2432">
      <calculatedColumnFormula>IF(N2=0,0,O2/N2)</calculatedColumnFormula>
    </tableColumn>
    <tableColumn id="23" xr3:uid="{0D1F0762-25C9-4D02-8BD7-DF87E5888A86}" name="Estoque USDT" dataDxfId="2431" totalsRowDxfId="2430">
      <calculatedColumnFormula>IF(AND(IF(TbTradesExodus[[#This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Row],[Tipo]]="DROP"),Q1+TbTradesExodus[[#This Row],[Qtt]],Q1-TbTradesExodus[[#This Row],[Qtt]]),IF(TbTradesExodus[[#This Row],[Tipo]]="BUY",Q1-TbTradesExodus[[#This Row],[Qtt]]*TbTradesExodus[[#This Row],[Preço]],Q1+TbTradesExodus[[#This Row],[Qtt]]*TbTradesExodus[[#This Row],[Preço]])),Q1)-IF(TbTradesExodus[[#This Row],[Moeda da Taxa]]=MID(Q$1,9,5),TbTradesExodus[[#This Row],[Taxa]],0),8))&lt;0.0000001,IF(TbTradesExodus[[#This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Row],[Tipo]]="DROP"),Q1+TbTradesExodus[[#This Row],[Qtt]],Q1-TbTradesExodus[[#This Row],[Qtt]]),IF(TbTradesExodus[[#This Row],[Tipo]]="BUY",Q1-TbTradesExodus[[#This Row],[Qtt]]*TbTradesExodus[[#This Row],[Preço]],Q1+TbTradesExodus[[#This Row],[Qtt]]*TbTradesExodus[[#This Row],[Preço]])),Q1)-IF(TbTradesExodus[[#This Row],[Moeda da Taxa]]=MID(Q$1,9,5),TbTradesExodus[[#This Row],[Taxa]],0),8))&gt;-0.0000001),0,IF(TbTradesExodus[[#This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Row],[Tipo]]="DROP"),Q1+TbTradesExodus[[#This Row],[Qtt]],Q1-TbTradesExodus[[#This Row],[Qtt]]),IF(TbTradesExodus[[#This Row],[Tipo]]="BUY",Q1-TbTradesExodus[[#This Row],[Qtt]]*TbTradesExodus[[#This Row],[Preço]],Q1+TbTradesExodus[[#This Row],[Qtt]]*TbTradesExodus[[#This Row],[Preço]])),Q1)-IF(TbTradesExodus[[#This Row],[Moeda da Taxa]]=MID(Q$1,9,5),TbTradesExodus[[#This Row],[Taxa]],0),8)))</calculatedColumnFormula>
    </tableColumn>
    <tableColumn id="24" xr3:uid="{A681E10F-F097-49D7-BAF9-4C4601B37C04}" name="Custo de USDT" dataDxfId="2429" totalsRowDxfId="2428">
      <calculatedColumnFormula array="1">IF(TbTradesExodus[[#This Row],[Tipo]]="EMPTY",0,R1+IF(TbTradesExodus[[#This Row],[Tipo]]="DROP",0,0)+IF(TbTradesExodus[[#This Row],[Tipo]]="BURN",0,0)+IF(TbTradesExodus[[#This Row],[Tipo]]="BUY",IF(ISNUMBER(FIND(MID(R$1,10,5),TbTradesExodus[[#This Row],[Par]])),IF(FIND(MID(R$1,10,5),TbTradesExodus[[#This Row],[Par]])=1, (INDEX($1:$1048576,ROW(TbTradesExodus[[#This Row],[Par]])-1,MATCH(CONCATENATE("Estoque ",MID(TbTradesExodus[[#This Row],[Par]],LEN(MID(Q$1,9,5))+1,LEN(TbTradesExodus[[#This Row],[Par]]))),$1:$1,0))-INDEX($1:$1048576,ROW(TbTradesExodus[[#This Row],[Par]]),MATCH(CONCATENATE("Estoque ",MID(TbTradesExodus[[#This Row],[Par]],LEN(MID(Q$1,9,5))+1,LEN(TbTradesExodus[[#This Row],[Par]]))),$1:$1,0)))/ INDEX($1:$1048576,ROW(TbTradesExodus[[#This Row],[Par]])-1,MATCH(CONCATENATE("Estoque ",MID(TbTradesExodus[[#This Row],[Par]],LEN(MID(Q$1,9,5))+1,LEN(TbTradesExodus[[#This Row],[Par]]))),$1:$1,0))*INDEX($1:$1048576,ROW(TbTradesExodus[[#This Row],[Par]])-1,MATCH(CONCATENATE("Custo de ",MID(TbTradesExodus[[#This Row],[Par]],LEN(MID(Q$1,9,5))+1,LEN(TbTradesExodus[[#This Row],[Par]]))),$1:$1,0)),-(Q1-Q2)/Q1*R1),0),0)+IF(TbTradesExodus[[#This Row],[Tipo]]="SELL",IF(ISNUMBER(FIND(MID(R$1,10,5),TbTradesExodus[[#This Row],[Par]])),IF(FIND(MID(R$1,10,5),TbTradesExodus[[#This Row],[Par]])=1, -(Q1-Q2)/Q1*R1, (INDEX($1:$1048576,ROW(TbTradesExodus[[#This Row],[Par]])-1,MATCH(CONCATENATE("Estoque ",MID(TbTradesExodus[[#This Row],[Par]],1,FIND(MID(Q$1,9,5),TbTradesExodus[[#This Row],[Par]])-1)),$1:$1,0))-INDEX($1:$1048576,ROW(TbTradesExodus[[#This Row],[Par]]),MATCH(CONCATENATE("Estoque ",MID(TbTradesExodus[[#This Row],[Par]],1,FIND(MID(Q$1,9,5),TbTradesExodus[[#This Row],[Par]])-1)),$1:$1,0)))/ INDEX($1:$1048576,ROW(TbTradesExodus[[#This Row],[Par]])-1,MATCH(CONCATENATE("Estoque ",MID(TbTradesExodus[[#This Row],[Par]],1,FIND(MID(Q$1,9,5),TbTradesExodus[[#This Row],[Par]])-1)),$1:$1,0))*INDEX($1:$1048576,ROW(TbTradesExodus[[#This Row],[Par]])-1,MATCH(CONCATENATE("Custo de ",MID(TbTradesExodus[[#This Row],[Par]],1,FIND(MID(Q$1,9,5),TbTradesExodus[[#This Row],[Par]])-1)),$1:$1,0))),0),0)+IF(TbTradesExodus[[#This Row],[Tipo]]="RECEIVE",IF(ISNUMBER(FIND(MID(R$1,10,5),TbTradesExodus[[#This Row],[Par]])), TbTradesExodus[[#This Row],[Qtt]]*TbTradesExodus[[#This Row],[Cotação BRL]],0),0)+IF(TbTradesExodus[[#This Row],[Tipo]]="SEND",IF(ISNUMBER(FIND(MID(R$1,10,5),TbTradesExodus[[#This Row],[Par]])),(-(Q1-Q2)/Q1*R1)+IF(TbTradesExodus[[#This Row],[Resultado]]&gt;0,0,TbTradesExodus[[#This Row],[Taxa]]),0),0))</calculatedColumnFormula>
    </tableColumn>
    <tableColumn id="25" xr3:uid="{007336B2-ADA1-4BA3-A1AD-7B3EE6BDAFCA}" name="Preço Médio USDT" dataDxfId="2427" totalsRowDxfId="2426">
      <calculatedColumnFormula>IF(Q2=0,0,R2/Q2)</calculatedColumnFormula>
    </tableColumn>
    <tableColumn id="10" xr3:uid="{9ADED48B-A5E7-4FF0-ACFE-1BE14F278A48}" name="Estoque BTC" dataDxfId="2425" totalsRowDxfId="2424">
      <calculatedColumnFormula>IF(AND(IF(TbTradesExodus[[#This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Row],[Tipo]]="DROP"),T1+TbTradesExodus[[#This Row],[Qtt]],T1-TbTradesExodus[[#This Row],[Qtt]]),IF(TbTradesExodus[[#This Row],[Tipo]]="BUY",T1-TbTradesExodus[[#This Row],[Qtt]]*TbTradesExodus[[#This Row],[Preço]],T1+TbTradesExodus[[#This Row],[Qtt]]*TbTradesExodus[[#This Row],[Preço]])),T1)-IF(TbTradesExodus[[#This Row],[Moeda da Taxa]]=MID(T$1,9,5),TbTradesExodus[[#This Row],[Taxa]],0),8))&lt;0.0000001,IF(TbTradesExodus[[#This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Row],[Tipo]]="DROP"),T1+TbTradesExodus[[#This Row],[Qtt]],T1-TbTradesExodus[[#This Row],[Qtt]]),IF(TbTradesExodus[[#This Row],[Tipo]]="BUY",T1-TbTradesExodus[[#This Row],[Qtt]]*TbTradesExodus[[#This Row],[Preço]],T1+TbTradesExodus[[#This Row],[Qtt]]*TbTradesExodus[[#This Row],[Preço]])),T1)-IF(TbTradesExodus[[#This Row],[Moeda da Taxa]]=MID(T$1,9,5),TbTradesExodus[[#This Row],[Taxa]],0),8))&gt;-0.0000001),0,IF(TbTradesExodus[[#This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Row],[Tipo]]="DROP"),T1+TbTradesExodus[[#This Row],[Qtt]],T1-TbTradesExodus[[#This Row],[Qtt]]),IF(TbTradesExodus[[#This Row],[Tipo]]="BUY",T1-TbTradesExodus[[#This Row],[Qtt]]*TbTradesExodus[[#This Row],[Preço]],T1+TbTradesExodus[[#This Row],[Qtt]]*TbTradesExodus[[#This Row],[Preço]])),T1)-IF(TbTradesExodus[[#This Row],[Moeda da Taxa]]=MID(T$1,9,5),TbTradesExodus[[#This Row],[Taxa]],0),8)))</calculatedColumnFormula>
    </tableColumn>
    <tableColumn id="21" xr3:uid="{EBE82C80-947C-4758-882E-E2564BD2FCCF}" name="Custo de BTC" dataDxfId="2423" totalsRowDxfId="2422">
      <calculatedColumnFormula array="1">IF(TbTradesExodus[[#This Row],[Tipo]]="EMPTY",0,U1+IF(TbTradesExodus[[#This Row],[Tipo]]="DROP",0,0)+IF(TbTradesExodus[[#This Row],[Tipo]]="BURN",0,0)+IF(TbTradesExodus[[#This Row],[Tipo]]="BUY",IF(ISNUMBER(FIND(MID(U$1,10,5),TbTradesExodus[[#This Row],[Par]])),IF(FIND(MID(U$1,10,5),TbTradesExodus[[#This Row],[Par]])=1, (INDEX($1:$1048576,ROW(TbTradesExodus[[#This Row],[Par]])-1,MATCH(CONCATENATE("Estoque ",MID(TbTradesExodus[[#This Row],[Par]],LEN(MID(T$1,9,5))+1,LEN(TbTradesExodus[[#This Row],[Par]]))),$1:$1,0))-INDEX($1:$1048576,ROW(TbTradesExodus[[#This Row],[Par]]),MATCH(CONCATENATE("Estoque ",MID(TbTradesExodus[[#This Row],[Par]],LEN(MID(T$1,9,5))+1,LEN(TbTradesExodus[[#This Row],[Par]]))),$1:$1,0)))/ INDEX($1:$1048576,ROW(TbTradesExodus[[#This Row],[Par]])-1,MATCH(CONCATENATE("Estoque ",MID(TbTradesExodus[[#This Row],[Par]],LEN(MID(T$1,9,5))+1,LEN(TbTradesExodus[[#This Row],[Par]]))),$1:$1,0))*INDEX($1:$1048576,ROW(TbTradesExodus[[#This Row],[Par]])-1,MATCH(CONCATENATE("Custo de ",MID(TbTradesExodus[[#This Row],[Par]],LEN(MID(T$1,9,5))+1,LEN(TbTradesExodus[[#This Row],[Par]]))),$1:$1,0)),-(T1-T2)/T1*U1),0),0)+IF(TbTradesExodus[[#This Row],[Tipo]]="SELL",IF(ISNUMBER(FIND(MID(U$1,10,5),TbTradesExodus[[#This Row],[Par]])),IF(FIND(MID(U$1,10,5),TbTradesExodus[[#This Row],[Par]])=1, -(T1-T2)/T1*U1, (INDEX($1:$1048576,ROW(TbTradesExodus[[#This Row],[Par]])-1,MATCH(CONCATENATE("Estoque ",MID(TbTradesExodus[[#This Row],[Par]],1,FIND(MID(T$1,9,5),TbTradesExodus[[#This Row],[Par]])-1)),$1:$1,0))-INDEX($1:$1048576,ROW(TbTradesExodus[[#This Row],[Par]]),MATCH(CONCATENATE("Estoque ",MID(TbTradesExodus[[#This Row],[Par]],1,FIND(MID(T$1,9,5),TbTradesExodus[[#This Row],[Par]])-1)),$1:$1,0)))/ INDEX($1:$1048576,ROW(TbTradesExodus[[#This Row],[Par]])-1,MATCH(CONCATENATE("Estoque ",MID(TbTradesExodus[[#This Row],[Par]],1,FIND(MID(T$1,9,5),TbTradesExodus[[#This Row],[Par]])-1)),$1:$1,0))*INDEX($1:$1048576,ROW(TbTradesExodus[[#This Row],[Par]])-1,MATCH(CONCATENATE("Custo de ",MID(TbTradesExodus[[#This Row],[Par]],1,FIND(MID(T$1,9,5),TbTradesExodus[[#This Row],[Par]])-1)),$1:$1,0))),0),0)+IF(TbTradesExodus[[#This Row],[Tipo]]="RECEIVE",IF(ISNUMBER(FIND(MID(U$1,10,5),TbTradesExodus[[#This Row],[Par]])), TbTradesExodus[[#This Row],[Qtt]]*TbTradesExodus[[#This Row],[Cotação BRL]],0),0)+IF(TbTradesExodus[[#This Row],[Tipo]]="SEND",IF(ISNUMBER(FIND(MID(U$1,10,5),TbTradesExodus[[#This Row],[Par]])),(-(T1-T2)/T1*U1)+IF(TbTradesExodus[[#This Row],[Resultado]]&gt;0,0,TbTradesExodus[[#This Row],[Taxa]]),0),0))</calculatedColumnFormula>
    </tableColumn>
    <tableColumn id="11" xr3:uid="{87344A4C-DA55-4668-8A88-C4900AFF9307}" name="Preço Médio BTC" dataDxfId="2421" totalsRowDxfId="2420">
      <calculatedColumnFormula>IF(T2=0,0,U2/T2)</calculatedColumnFormula>
    </tableColumn>
    <tableColumn id="31" xr3:uid="{96AE52F3-BD25-44DD-A791-99DDEDD813CA}" name="Estoque ETH" dataDxfId="2419" totalsRowDxfId="2418">
      <calculatedColumnFormula>IF(AND(IF(TbTradesExodus[[#This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Row],[Tipo]]="DROP"),W1+TbTradesExodus[[#This Row],[Qtt]],W1-TbTradesExodus[[#This Row],[Qtt]]),IF(TbTradesExodus[[#This Row],[Tipo]]="BUY",W1-TbTradesExodus[[#This Row],[Qtt]]*TbTradesExodus[[#This Row],[Preço]],W1+TbTradesExodus[[#This Row],[Qtt]]*TbTradesExodus[[#This Row],[Preço]])),W1)-IF(TbTradesExodus[[#This Row],[Moeda da Taxa]]=MID(W$1,9,5),TbTradesExodus[[#This Row],[Taxa]],0),8))&lt;0.0000001,IF(TbTradesExodus[[#This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Row],[Tipo]]="DROP"),W1+TbTradesExodus[[#This Row],[Qtt]],W1-TbTradesExodus[[#This Row],[Qtt]]),IF(TbTradesExodus[[#This Row],[Tipo]]="BUY",W1-TbTradesExodus[[#This Row],[Qtt]]*TbTradesExodus[[#This Row],[Preço]],W1+TbTradesExodus[[#This Row],[Qtt]]*TbTradesExodus[[#This Row],[Preço]])),W1)-IF(TbTradesExodus[[#This Row],[Moeda da Taxa]]=MID(W$1,9,5),TbTradesExodus[[#This Row],[Taxa]],0),8))&gt;-0.0000001),0,IF(TbTradesExodus[[#This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Row],[Tipo]]="DROP"),W1+TbTradesExodus[[#This Row],[Qtt]],W1-TbTradesExodus[[#This Row],[Qtt]]),IF(TbTradesExodus[[#This Row],[Tipo]]="BUY",W1-TbTradesExodus[[#This Row],[Qtt]]*TbTradesExodus[[#This Row],[Preço]],W1+TbTradesExodus[[#This Row],[Qtt]]*TbTradesExodus[[#This Row],[Preço]])),W1)-IF(TbTradesExodus[[#This Row],[Moeda da Taxa]]=MID(W$1,9,5),TbTradesExodus[[#This Row],[Taxa]],0),8)))</calculatedColumnFormula>
    </tableColumn>
    <tableColumn id="36" xr3:uid="{D30B0010-0983-40B7-AA37-38B29C9ECE58}" name="Custo de ETH" dataDxfId="2417" totalsRowDxfId="2416">
      <calculatedColumnFormula array="1">IF(TbTradesExodus[[#This Row],[Tipo]]="EMPTY",0,X1+IF(TbTradesExodus[[#This Row],[Tipo]]="DROP",0,0)+IF(TbTradesExodus[[#This Row],[Tipo]]="BURN",0,0)+IF(TbTradesExodus[[#This Row],[Tipo]]="BUY",IF(ISNUMBER(FIND(MID(X$1,10,5),TbTradesExodus[[#This Row],[Par]])),IF(FIND(MID(X$1,10,5),TbTradesExodus[[#This Row],[Par]])=1, (INDEX($1:$1048576,ROW(TbTradesExodus[[#This Row],[Par]])-1,MATCH(CONCATENATE("Estoque ",MID(TbTradesExodus[[#This Row],[Par]],LEN(MID(W$1,9,5))+1,LEN(TbTradesExodus[[#This Row],[Par]]))),$1:$1,0))-INDEX($1:$1048576,ROW(TbTradesExodus[[#This Row],[Par]]),MATCH(CONCATENATE("Estoque ",MID(TbTradesExodus[[#This Row],[Par]],LEN(MID(W$1,9,5))+1,LEN(TbTradesExodus[[#This Row],[Par]]))),$1:$1,0)))/ INDEX($1:$1048576,ROW(TbTradesExodus[[#This Row],[Par]])-1,MATCH(CONCATENATE("Estoque ",MID(TbTradesExodus[[#This Row],[Par]],LEN(MID(W$1,9,5))+1,LEN(TbTradesExodus[[#This Row],[Par]]))),$1:$1,0))*INDEX($1:$1048576,ROW(TbTradesExodus[[#This Row],[Par]])-1,MATCH(CONCATENATE("Custo de ",MID(TbTradesExodus[[#This Row],[Par]],LEN(MID(W$1,9,5))+1,LEN(TbTradesExodus[[#This Row],[Par]]))),$1:$1,0)),-(W1-W2)/W1*X1),0),0)+IF(TbTradesExodus[[#This Row],[Tipo]]="SELL",IF(ISNUMBER(FIND(MID(X$1,10,5),TbTradesExodus[[#This Row],[Par]])),IF(FIND(MID(X$1,10,5),TbTradesExodus[[#This Row],[Par]])=1, -(W1-W2)/W1*X1, (INDEX($1:$1048576,ROW(TbTradesExodus[[#This Row],[Par]])-1,MATCH(CONCATENATE("Estoque ",MID(TbTradesExodus[[#This Row],[Par]],1,FIND(MID(W$1,9,5),TbTradesExodus[[#This Row],[Par]])-1)),$1:$1,0))-INDEX($1:$1048576,ROW(TbTradesExodus[[#This Row],[Par]]),MATCH(CONCATENATE("Estoque ",MID(TbTradesExodus[[#This Row],[Par]],1,FIND(MID(W$1,9,5),TbTradesExodus[[#This Row],[Par]])-1)),$1:$1,0)))/ INDEX($1:$1048576,ROW(TbTradesExodus[[#This Row],[Par]])-1,MATCH(CONCATENATE("Estoque ",MID(TbTradesExodus[[#This Row],[Par]],1,FIND(MID(W$1,9,5),TbTradesExodus[[#This Row],[Par]])-1)),$1:$1,0))*INDEX($1:$1048576,ROW(TbTradesExodus[[#This Row],[Par]])-1,MATCH(CONCATENATE("Custo de ",MID(TbTradesExodus[[#This Row],[Par]],1,FIND(MID(W$1,9,5),TbTradesExodus[[#This Row],[Par]])-1)),$1:$1,0))),0),0)+IF(TbTradesExodus[[#This Row],[Tipo]]="RECEIVE",IF(ISNUMBER(FIND(MID(X$1,10,5),TbTradesExodus[[#This Row],[Par]])), TbTradesExodus[[#This Row],[Qtt]]*TbTradesExodus[[#This Row],[Cotação BRL]],0),0)+IF(TbTradesExodus[[#This Row],[Tipo]]="SEND",IF(ISNUMBER(FIND(MID(X$1,10,5),TbTradesExodus[[#This Row],[Par]])),(-(W1-W2)/W1*X1)+IF(TbTradesExodus[[#This Row],[Resultado]]&gt;0,0,TbTradesExodus[[#This Row],[Taxa]]),0),0))</calculatedColumnFormula>
    </tableColumn>
    <tableColumn id="37" xr3:uid="{D2C9DEE3-8AD6-48D2-8BAD-494975852389}" name="Preço Médio ETH" dataDxfId="2415" totalsRowDxfId="2414">
      <calculatedColumnFormula>IF(W2=0,0,X2/W2)</calculatedColumnFormula>
    </tableColumn>
    <tableColumn id="12" xr3:uid="{FD8BA004-924F-4B59-A73D-2DFC9F1BD96E}" name="Estoque ADA" dataDxfId="2413" totalsRowDxfId="2412">
      <calculatedColumnFormula>IF(AND(IF(TbTradesExodus[[#This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Row],[Tipo]]="DROP"),Z1+TbTradesExodus[[#This Row],[Qtt]],Z1-TbTradesExodus[[#This Row],[Qtt]]),IF(TbTradesExodus[[#This Row],[Tipo]]="BUY",Z1-TbTradesExodus[[#This Row],[Qtt]]*TbTradesExodus[[#This Row],[Preço]],Z1+TbTradesExodus[[#This Row],[Qtt]]*TbTradesExodus[[#This Row],[Preço]])),Z1)-IF(TbTradesExodus[[#This Row],[Moeda da Taxa]]=MID(Z$1,9,5),TbTradesExodus[[#This Row],[Taxa]],0),8))&lt;0.0000001,IF(TbTradesExodus[[#This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Row],[Tipo]]="DROP"),Z1+TbTradesExodus[[#This Row],[Qtt]],Z1-TbTradesExodus[[#This Row],[Qtt]]),IF(TbTradesExodus[[#This Row],[Tipo]]="BUY",Z1-TbTradesExodus[[#This Row],[Qtt]]*TbTradesExodus[[#This Row],[Preço]],Z1+TbTradesExodus[[#This Row],[Qtt]]*TbTradesExodus[[#This Row],[Preço]])),Z1)-IF(TbTradesExodus[[#This Row],[Moeda da Taxa]]=MID(Z$1,9,5),TbTradesExodus[[#This Row],[Taxa]],0),8))&gt;-0.0000001),0,IF(TbTradesExodus[[#This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Row],[Tipo]]="DROP"),Z1+TbTradesExodus[[#This Row],[Qtt]],Z1-TbTradesExodus[[#This Row],[Qtt]]),IF(TbTradesExodus[[#This Row],[Tipo]]="BUY",Z1-TbTradesExodus[[#This Row],[Qtt]]*TbTradesExodus[[#This Row],[Preço]],Z1+TbTradesExodus[[#This Row],[Qtt]]*TbTradesExodus[[#This Row],[Preço]])),Z1)-IF(TbTradesExodus[[#This Row],[Moeda da Taxa]]=MID(Z$1,9,5),TbTradesExodus[[#This Row],[Taxa]],0),8)))</calculatedColumnFormula>
    </tableColumn>
    <tableColumn id="13" xr3:uid="{392E3B78-9475-43D4-87E4-43CEE91DCAED}" name="Custo de ADA" dataDxfId="2411" totalsRowDxfId="2410">
      <calculatedColumnFormula array="1">IF(TbTradesExodus[[#This Row],[Tipo]]="EMPTY",0,AA1+IF(TbTradesExodus[[#This Row],[Tipo]]="DROP",0,0)+IF(TbTradesExodus[[#This Row],[Tipo]]="BURN",0,0)+IF(TbTradesExodus[[#This Row],[Tipo]]="BUY",IF(ISNUMBER(FIND(MID(AA$1,10,5),TbTradesExodus[[#This Row],[Par]])),IF(FIND(MID(AA$1,10,5),TbTradesExodus[[#This Row],[Par]])=1, (INDEX($1:$1048576,ROW(TbTradesExodus[[#This Row],[Par]])-1,MATCH(CONCATENATE("Estoque ",MID(TbTradesExodus[[#This Row],[Par]],LEN(MID(Z$1,9,5))+1,LEN(TbTradesExodus[[#This Row],[Par]]))),$1:$1,0))-INDEX($1:$1048576,ROW(TbTradesExodus[[#This Row],[Par]]),MATCH(CONCATENATE("Estoque ",MID(TbTradesExodus[[#This Row],[Par]],LEN(MID(Z$1,9,5))+1,LEN(TbTradesExodus[[#This Row],[Par]]))),$1:$1,0)))/ INDEX($1:$1048576,ROW(TbTradesExodus[[#This Row],[Par]])-1,MATCH(CONCATENATE("Estoque ",MID(TbTradesExodus[[#This Row],[Par]],LEN(MID(Z$1,9,5))+1,LEN(TbTradesExodus[[#This Row],[Par]]))),$1:$1,0))*INDEX($1:$1048576,ROW(TbTradesExodus[[#This Row],[Par]])-1,MATCH(CONCATENATE("Custo de ",MID(TbTradesExodus[[#This Row],[Par]],LEN(MID(Z$1,9,5))+1,LEN(TbTradesExodus[[#This Row],[Par]]))),$1:$1,0)),-(Z1-Z2)/Z1*AA1),0),0)+IF(TbTradesExodus[[#This Row],[Tipo]]="SELL",IF(ISNUMBER(FIND(MID(AA$1,10,5),TbTradesExodus[[#This Row],[Par]])),IF(FIND(MID(AA$1,10,5),TbTradesExodus[[#This Row],[Par]])=1, -(Z1-Z2)/Z1*AA1, (INDEX($1:$1048576,ROW(TbTradesExodus[[#This Row],[Par]])-1,MATCH(CONCATENATE("Estoque ",MID(TbTradesExodus[[#This Row],[Par]],1,FIND(MID(Z$1,9,5),TbTradesExodus[[#This Row],[Par]])-1)),$1:$1,0))-INDEX($1:$1048576,ROW(TbTradesExodus[[#This Row],[Par]]),MATCH(CONCATENATE("Estoque ",MID(TbTradesExodus[[#This Row],[Par]],1,FIND(MID(Z$1,9,5),TbTradesExodus[[#This Row],[Par]])-1)),$1:$1,0)))/ INDEX($1:$1048576,ROW(TbTradesExodus[[#This Row],[Par]])-1,MATCH(CONCATENATE("Estoque ",MID(TbTradesExodus[[#This Row],[Par]],1,FIND(MID(Z$1,9,5),TbTradesExodus[[#This Row],[Par]])-1)),$1:$1,0))*INDEX($1:$1048576,ROW(TbTradesExodus[[#This Row],[Par]])-1,MATCH(CONCATENATE("Custo de ",MID(TbTradesExodus[[#This Row],[Par]],1,FIND(MID(Z$1,9,5),TbTradesExodus[[#This Row],[Par]])-1)),$1:$1,0))),0),0)+IF(TbTradesExodus[[#This Row],[Tipo]]="RECEIVE",IF(ISNUMBER(FIND(MID(AA$1,10,5),TbTradesExodus[[#This Row],[Par]])), TbTradesExodus[[#This Row],[Qtt]]*TbTradesExodus[[#This Row],[Cotação BRL]],0),0)+IF(TbTradesExodus[[#This Row],[Tipo]]="SEND",IF(ISNUMBER(FIND(MID(AA$1,10,5),TbTradesExodus[[#This Row],[Par]])),(-(Z1-Z2)/Z1*AA1)+IF(TbTradesExodus[[#This Row],[Resultado]]&gt;0,0,TbTradesExodus[[#This Row],[Taxa]]),0),0))</calculatedColumnFormula>
    </tableColumn>
    <tableColumn id="14" xr3:uid="{640EC55F-E6B6-46CB-8B11-F216CE5F8ADB}" name="Preço Médio ADA" dataDxfId="2409" totalsRowDxfId="2408">
      <calculatedColumnFormula>IF(Z2=0,0,AA2/Z2)</calculatedColumnFormula>
    </tableColumn>
    <tableColumn id="15" xr3:uid="{47FE1D29-582B-49AE-8B96-6DB529FDDB8D}" name="Estoque ATOM" dataDxfId="2407" totalsRowDxfId="2406">
      <calculatedColumnFormula>IF(AND(IF(TbTradesExodus[[#This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Row],[Tipo]]="DROP"),AC1+TbTradesExodus[[#This Row],[Qtt]],AC1-TbTradesExodus[[#This Row],[Qtt]]),IF(TbTradesExodus[[#This Row],[Tipo]]="BUY",AC1-TbTradesExodus[[#This Row],[Qtt]]*TbTradesExodus[[#This Row],[Preço]],AC1+TbTradesExodus[[#This Row],[Qtt]]*TbTradesExodus[[#This Row],[Preço]])),AC1)-IF(TbTradesExodus[[#This Row],[Moeda da Taxa]]=MID(AC$1,9,5),TbTradesExodus[[#This Row],[Taxa]],0),8))&lt;0.0000001,IF(TbTradesExodus[[#This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Row],[Tipo]]="DROP"),AC1+TbTradesExodus[[#This Row],[Qtt]],AC1-TbTradesExodus[[#This Row],[Qtt]]),IF(TbTradesExodus[[#This Row],[Tipo]]="BUY",AC1-TbTradesExodus[[#This Row],[Qtt]]*TbTradesExodus[[#This Row],[Preço]],AC1+TbTradesExodus[[#This Row],[Qtt]]*TbTradesExodus[[#This Row],[Preço]])),AC1)-IF(TbTradesExodus[[#This Row],[Moeda da Taxa]]=MID(AC$1,9,5),TbTradesExodus[[#This Row],[Taxa]],0),8))&gt;-0.0000001),0,IF(TbTradesExodus[[#This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Row],[Tipo]]="DROP"),AC1+TbTradesExodus[[#This Row],[Qtt]],AC1-TbTradesExodus[[#This Row],[Qtt]]),IF(TbTradesExodus[[#This Row],[Tipo]]="BUY",AC1-TbTradesExodus[[#This Row],[Qtt]]*TbTradesExodus[[#This Row],[Preço]],AC1+TbTradesExodus[[#This Row],[Qtt]]*TbTradesExodus[[#This Row],[Preço]])),AC1)-IF(TbTradesExodus[[#This Row],[Moeda da Taxa]]=MID(AC$1,9,5),TbTradesExodus[[#This Row],[Taxa]],0),8)))</calculatedColumnFormula>
    </tableColumn>
    <tableColumn id="16" xr3:uid="{60DFEEB2-1010-4CC5-A70D-B414C31645C3}" name="Custo de ATOM" dataDxfId="2405" totalsRowDxfId="2404">
      <calculatedColumnFormula array="1">IF(TbTradesExodus[[#This Row],[Tipo]]="EMPTY",0,AD1+IF(TbTradesExodus[[#This Row],[Tipo]]="DROP",0,0)+IF(TbTradesExodus[[#This Row],[Tipo]]="BURN",0,0)+IF(TbTradesExodus[[#This Row],[Tipo]]="BUY",IF(ISNUMBER(FIND(MID(AD$1,10,5),TbTradesExodus[[#This Row],[Par]])),IF(FIND(MID(AD$1,10,5),TbTradesExodus[[#This Row],[Par]])=1, (INDEX($1:$1048576,ROW(TbTradesExodus[[#This Row],[Par]])-1,MATCH(CONCATENATE("Estoque ",MID(TbTradesExodus[[#This Row],[Par]],LEN(MID(AC$1,9,5))+1,LEN(TbTradesExodus[[#This Row],[Par]]))),$1:$1,0))-INDEX($1:$1048576,ROW(TbTradesExodus[[#This Row],[Par]]),MATCH(CONCATENATE("Estoque ",MID(TbTradesExodus[[#This Row],[Par]],LEN(MID(AC$1,9,5))+1,LEN(TbTradesExodus[[#This Row],[Par]]))),$1:$1,0)))/ INDEX($1:$1048576,ROW(TbTradesExodus[[#This Row],[Par]])-1,MATCH(CONCATENATE("Estoque ",MID(TbTradesExodus[[#This Row],[Par]],LEN(MID(AC$1,9,5))+1,LEN(TbTradesExodus[[#This Row],[Par]]))),$1:$1,0))*INDEX($1:$1048576,ROW(TbTradesExodus[[#This Row],[Par]])-1,MATCH(CONCATENATE("Custo de ",MID(TbTradesExodus[[#This Row],[Par]],LEN(MID(AC$1,9,5))+1,LEN(TbTradesExodus[[#This Row],[Par]]))),$1:$1,0)),-(AC1-AC2)/AC1*AD1),0),0)+IF(TbTradesExodus[[#This Row],[Tipo]]="SELL",IF(ISNUMBER(FIND(MID(AD$1,10,5),TbTradesExodus[[#This Row],[Par]])),IF(FIND(MID(AD$1,10,5),TbTradesExodus[[#This Row],[Par]])=1, -(AC1-AC2)/AC1*AD1, (INDEX($1:$1048576,ROW(TbTradesExodus[[#This Row],[Par]])-1,MATCH(CONCATENATE("Estoque ",MID(TbTradesExodus[[#This Row],[Par]],1,FIND(MID(AC$1,9,5),TbTradesExodus[[#This Row],[Par]])-1)),$1:$1,0))-INDEX($1:$1048576,ROW(TbTradesExodus[[#This Row],[Par]]),MATCH(CONCATENATE("Estoque ",MID(TbTradesExodus[[#This Row],[Par]],1,FIND(MID(AC$1,9,5),TbTradesExodus[[#This Row],[Par]])-1)),$1:$1,0)))/ INDEX($1:$1048576,ROW(TbTradesExodus[[#This Row],[Par]])-1,MATCH(CONCATENATE("Estoque ",MID(TbTradesExodus[[#This Row],[Par]],1,FIND(MID(AC$1,9,5),TbTradesExodus[[#This Row],[Par]])-1)),$1:$1,0))*INDEX($1:$1048576,ROW(TbTradesExodus[[#This Row],[Par]])-1,MATCH(CONCATENATE("Custo de ",MID(TbTradesExodus[[#This Row],[Par]],1,FIND(MID(AC$1,9,5),TbTradesExodus[[#This Row],[Par]])-1)),$1:$1,0))),0),0)+IF(TbTradesExodus[[#This Row],[Tipo]]="RECEIVE",IF(ISNUMBER(FIND(MID(AD$1,10,5),TbTradesExodus[[#This Row],[Par]])), TbTradesExodus[[#This Row],[Qtt]]*TbTradesExodus[[#This Row],[Cotação BRL]],0),0)+IF(TbTradesExodus[[#This Row],[Tipo]]="SEND",IF(ISNUMBER(FIND(MID(AD$1,10,5),TbTradesExodus[[#This Row],[Par]])),(-(AC1-AC2)/AC1*AD1)+IF(TbTradesExodus[[#This Row],[Resultado]]&gt;0,0,TbTradesExodus[[#This Row],[Taxa]]),0),0))</calculatedColumnFormula>
    </tableColumn>
    <tableColumn id="17" xr3:uid="{093BC11D-6C3C-4031-B7CF-23F33BA03416}" name="Preço Médio ATOM" dataDxfId="2403" totalsRowDxfId="2402">
      <calculatedColumnFormula>IF(AC2=0,0,AD2/AC2)</calculatedColumnFormula>
    </tableColumn>
  </tableColumns>
  <tableStyleInfo name="TableStyleMedium2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51E54DE-34EC-420B-9AB6-308242311A2C}" name="TbTradesNovaDAX" displayName="TbTradesNovaDAX" ref="B1:AQ28" totalsRowCount="1" headerRowDxfId="2401" dataDxfId="2399" headerRowBorderDxfId="2400" tableBorderDxfId="2398" totalsRowBorderDxfId="2397">
  <autoFilter ref="B1:AQ27" xr:uid="{961FFBC4-F644-4388-9F67-C4351C8B76B8}"/>
  <tableColumns count="42">
    <tableColumn id="42" xr3:uid="{C89AE791-E30D-48D3-8ECB-B677F82D8243}" name="Observação" totalsRowLabel="Total" dataDxfId="2396" totalsRowDxfId="2395"/>
    <tableColumn id="50" xr3:uid="{9ED7F141-F552-4B97-9406-6BD9CCACFC97}" name="Resultado" totalsRowFunction="sum" dataDxfId="2394" totalsRowDxfId="2393">
      <calculatedColumnFormula>TRUNC(IF(AND(TbTradesNovaDAX[[#This Row],[Tipo]]="SEND",TbTradesNovaDAX[[#This Row],[Par]]="BRL"),TbTradesNovaDAX[[#This Row],[Qtt]]*(1-P1)-IF(TbTradesNovaDAX[[#This Row],[Moeda da Taxa]]="BRL",TbTradesNovaDAX[[#This Row],[Taxa]],0),0)+IF(AND(TbTradesNovaDAX[[#This Row],[Tipo]]="BURN",TbTradesNovaDAX[[#This Row],[Par]]="BRL"),-TbTradesNovaDAX[[#This Row],[Qtt]]*P1,0),2)</calculatedColumnFormula>
    </tableColumn>
    <tableColumn id="1" xr3:uid="{FE227CDE-D868-4D78-9D78-6F578060D144}" name="Data (UTC-3)" dataDxfId="2392" totalsRowDxfId="2391"/>
    <tableColumn id="32" xr3:uid="{1EE7BC66-B094-42E7-8363-749FCA30D2B6}" name="Par" dataDxfId="2390" totalsRowDxfId="2389"/>
    <tableColumn id="2" xr3:uid="{55A4650C-2809-4F2D-997F-139D156E2C73}" name="Tipo" dataDxfId="2388" totalsRowDxfId="2387"/>
    <tableColumn id="3" xr3:uid="{D4E2918B-BE85-4A00-8104-73B58A12D1B8}" name="Preço" dataDxfId="2386" totalsRowDxfId="2385"/>
    <tableColumn id="4" xr3:uid="{7EE2C39C-A9F5-4BDE-A3A4-D75EC4B3DB41}" name="Qtt" dataDxfId="2384" totalsRowDxfId="2383"/>
    <tableColumn id="5" xr3:uid="{6735D400-1367-4D84-BA0E-FF0E9C5B20A6}" name="Taxa" dataDxfId="2382" totalsRowDxfId="2381"/>
    <tableColumn id="6" xr3:uid="{6A653315-2EF6-4E54-A045-4F3FE326632D}" name="Moeda da Taxa" dataDxfId="2380" totalsRowDxfId="2379"/>
    <tableColumn id="7" xr3:uid="{8E2D91A2-6AB8-4EDD-BBC6-40378E6CE2E0}" name="Conversão" dataDxfId="2378" totalsRowDxfId="2377"/>
    <tableColumn id="8" xr3:uid="{2FBEC9C9-D8F8-4796-82B7-9354B301328B}" name="Cotação BRL" dataDxfId="2376" totalsRowDxfId="2375">
      <calculatedColumnFormula>TRUNC(K2*G2,2)</calculatedColumnFormula>
    </tableColumn>
    <tableColumn id="9" xr3:uid="{584045A8-38A4-4AB9-ACBC-99027F8A12EB}" name="Volume" totalsRowFunction="stdDev" dataDxfId="2374" totalsRowDxfId="2373">
      <calculatedColumnFormula>IF(OR(TbTradesNovaDAX[[#This Row],[Tipo]]="BUY",TbTradesNovaDAX[[#This Row],[Tipo]]="RECEIVE"),L2*H2,-L2*H2)</calculatedColumnFormula>
    </tableColumn>
    <tableColumn id="34" xr3:uid="{7BF3DEE9-9696-43E0-9480-0285D38C42E8}" name="Estoque BRL" dataDxfId="2372" totalsRowDxfId="2371">
      <calculatedColumnFormula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Row],[Tipo]]="DROP"),N1+TbTradesNovaDAX[[#This Row],[Qtt]],N1-TbTradesNovaDAX[[#This Row],[Qtt]]),IF(TbTradesNovaDAX[[#This Row],[Tipo]]="BUY",N1-TbTradesNovaDAX[[#This Row],[Qtt]]*TbTradesNovaDAX[[#This Row],[Preço]],N1+TbTradesNovaDAX[[#This Row],[Qtt]]*TbTradesNovaDAX[[#This Row],[Preço]])),N1)-IF(TbTradesNovaDAX[[#This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Row],[Tipo]]="DROP"),N1+TbTradesNovaDAX[[#This Row],[Qtt]],N1-TbTradesNovaDAX[[#This Row],[Qtt]]),IF(TbTradesNovaDAX[[#This Row],[Tipo]]="BUY",N1-TbTradesNovaDAX[[#This Row],[Qtt]]*TbTradesNovaDAX[[#This Row],[Preço]],N1+TbTradesNovaDAX[[#This Row],[Qtt]]*TbTradesNovaDAX[[#This Row],[Preço]])),N1)-IF(TbTradesNovaDAX[[#This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Row],[Tipo]]="DROP"),N1+TbTradesNovaDAX[[#This Row],[Qtt]],N1-TbTradesNovaDAX[[#This Row],[Qtt]]),IF(TbTradesNovaDAX[[#This Row],[Tipo]]="BUY",N1-TbTradesNovaDAX[[#This Row],[Qtt]]*TbTradesNovaDAX[[#This Row],[Preço]],N1+TbTradesNovaDAX[[#This Row],[Qtt]]*TbTradesNovaDAX[[#This Row],[Preço]])),N1)-IF(TbTradesNovaDAX[[#This Row],[Moeda da Taxa]]=MID(N$1,9,5),TbTradesNovaDAX[[#This Row],[Taxa]],0),8)))</calculatedColumnFormula>
    </tableColumn>
    <tableColumn id="35" xr3:uid="{DA3A568D-B69D-4EF2-AC31-4CE11309C37E}" name="Custo de BRL" dataDxfId="2370" totalsRowDxfId="2369">
      <calculatedColumnFormula array="1">IF(TbTradesNovaDAX[[#This Row],[Tipo]]="EMPTY",0,O1+IF(TbTradesNovaDAX[[#This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Row],[Par]]))),$1:$1,0)),-(N1-N2)/N1*O1),0),0)+IF(TbTradesNovaDAX[[#This Row],[Tipo]]="SELL",IF(ISNUMBER(FIND(MID(O$1,10,5),TbTradesNovaDAX[[#This Row],[Par]])),IF(FIND(MID(O$1,10,5),TbTradesNovaDAX[[#This Row],[Par]])=1, -(N1-N2)/N1*O1,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Row],[Par]])),(-(N1-N2)/N1*O1)+IF(TbTradesNovaDAX[[#This Row],[Resultado]]&gt;0,0,TbTradesNovaDAX[[#This Row],[Taxa]]),0),0))</calculatedColumnFormula>
    </tableColumn>
    <tableColumn id="38" xr3:uid="{85B1006A-E8EC-47B7-A1A6-3831324DE8B5}" name="Preço Médio BRL" dataDxfId="2368" totalsRowDxfId="2367">
      <calculatedColumnFormula>IF(N2=0,0,O2/N2)</calculatedColumnFormula>
    </tableColumn>
    <tableColumn id="39" xr3:uid="{D68EE7E7-5660-4115-83EF-B37B9124B902}" name="Estoque USDT" dataDxfId="2366" totalsRowDxfId="2365">
      <calculatedColumnFormula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Row],[Tipo]]="DROP"),Q1+TbTradesNovaDAX[[#This Row],[Qtt]],Q1-TbTradesNovaDAX[[#This Row],[Qtt]]),IF(TbTradesNovaDAX[[#This Row],[Tipo]]="BUY",Q1-TbTradesNovaDAX[[#This Row],[Qtt]]*TbTradesNovaDAX[[#This Row],[Preço]],Q1+TbTradesNovaDAX[[#This Row],[Qtt]]*TbTradesNovaDAX[[#This Row],[Preço]])),Q1)-IF(TbTradesNovaDAX[[#This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Row],[Tipo]]="DROP"),Q1+TbTradesNovaDAX[[#This Row],[Qtt]],Q1-TbTradesNovaDAX[[#This Row],[Qtt]]),IF(TbTradesNovaDAX[[#This Row],[Tipo]]="BUY",Q1-TbTradesNovaDAX[[#This Row],[Qtt]]*TbTradesNovaDAX[[#This Row],[Preço]],Q1+TbTradesNovaDAX[[#This Row],[Qtt]]*TbTradesNovaDAX[[#This Row],[Preço]])),Q1)-IF(TbTradesNovaDAX[[#This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Row],[Tipo]]="DROP"),Q1+TbTradesNovaDAX[[#This Row],[Qtt]],Q1-TbTradesNovaDAX[[#This Row],[Qtt]]),IF(TbTradesNovaDAX[[#This Row],[Tipo]]="BUY",Q1-TbTradesNovaDAX[[#This Row],[Qtt]]*TbTradesNovaDAX[[#This Row],[Preço]],Q1+TbTradesNovaDAX[[#This Row],[Qtt]]*TbTradesNovaDAX[[#This Row],[Preço]])),Q1)-IF(TbTradesNovaDAX[[#This Row],[Moeda da Taxa]]=MID(Q$1,9,5),TbTradesNovaDAX[[#This Row],[Taxa]],0),8)))</calculatedColumnFormula>
    </tableColumn>
    <tableColumn id="40" xr3:uid="{33EF4188-C636-4367-B0D0-F70CCD427376}" name="Custo de USDT" dataDxfId="2364" totalsRowDxfId="2363">
      <calculatedColumnFormula array="1">IF(TbTradesNovaDAX[[#This Row],[Tipo]]="EMPTY",0,R1+IF(TbTradesNovaDAX[[#This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Row],[Par]]))),$1:$1,0)),-(Q1-Q2)/Q1*R1),0),0)+IF(TbTradesNovaDAX[[#This Row],[Tipo]]="SELL",IF(ISNUMBER(FIND(MID(R$1,10,5),TbTradesNovaDAX[[#This Row],[Par]])),IF(FIND(MID(R$1,10,5),TbTradesNovaDAX[[#This Row],[Par]])=1, -(Q1-Q2)/Q1*R1,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Row],[Par]])),(-(Q1-Q2)/Q1*R1)+IF(TbTradesNovaDAX[[#This Row],[Resultado]]&gt;0,0,TbTradesNovaDAX[[#This Row],[Taxa]]),0),0))</calculatedColumnFormula>
    </tableColumn>
    <tableColumn id="41" xr3:uid="{E28185C5-241A-4F20-A13A-C2C06FB23FF4}" name="Preço Médio USDT" dataDxfId="2362" totalsRowDxfId="2361">
      <calculatedColumnFormula>IF(Q2=0,0,R2/Q2)</calculatedColumnFormula>
    </tableColumn>
    <tableColumn id="10" xr3:uid="{549D83A3-1681-459E-8558-A37682ED3682}" name="Estoque BTC" dataDxfId="2360" totalsRowDxfId="2359">
      <calculatedColumnFormula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Row],[Tipo]]="DROP"),T1+TbTradesNovaDAX[[#This Row],[Qtt]],T1-TbTradesNovaDAX[[#This Row],[Qtt]]),IF(TbTradesNovaDAX[[#This Row],[Tipo]]="BUY",T1-TbTradesNovaDAX[[#This Row],[Qtt]]*TbTradesNovaDAX[[#This Row],[Preço]],T1+TbTradesNovaDAX[[#This Row],[Qtt]]*TbTradesNovaDAX[[#This Row],[Preço]])),T1)-IF(TbTradesNovaDAX[[#This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Row],[Tipo]]="DROP"),T1+TbTradesNovaDAX[[#This Row],[Qtt]],T1-TbTradesNovaDAX[[#This Row],[Qtt]]),IF(TbTradesNovaDAX[[#This Row],[Tipo]]="BUY",T1-TbTradesNovaDAX[[#This Row],[Qtt]]*TbTradesNovaDAX[[#This Row],[Preço]],T1+TbTradesNovaDAX[[#This Row],[Qtt]]*TbTradesNovaDAX[[#This Row],[Preço]])),T1)-IF(TbTradesNovaDAX[[#This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Row],[Tipo]]="DROP"),T1+TbTradesNovaDAX[[#This Row],[Qtt]],T1-TbTradesNovaDAX[[#This Row],[Qtt]]),IF(TbTradesNovaDAX[[#This Row],[Tipo]]="BUY",T1-TbTradesNovaDAX[[#This Row],[Qtt]]*TbTradesNovaDAX[[#This Row],[Preço]],T1+TbTradesNovaDAX[[#This Row],[Qtt]]*TbTradesNovaDAX[[#This Row],[Preço]])),T1)-IF(TbTradesNovaDAX[[#This Row],[Moeda da Taxa]]=MID(T$1,9,5),TbTradesNovaDAX[[#This Row],[Taxa]],0),8)))</calculatedColumnFormula>
    </tableColumn>
    <tableColumn id="21" xr3:uid="{F2B382FD-8745-478F-9E96-447A5DF34237}" name="Custo de BTC" dataDxfId="2358" totalsRowDxfId="2357">
      <calculatedColumnFormula array="1">IF(TbTradesNovaDAX[[#This Row],[Tipo]]="EMPTY",0,U1+IF(TbTradesNovaDAX[[#This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Row],[Par]]))),$1:$1,0)),-(T1-T2)/T1*U1),0),0)+IF(TbTradesNovaDAX[[#This Row],[Tipo]]="SELL",IF(ISNUMBER(FIND(MID(U$1,10,5),TbTradesNovaDAX[[#This Row],[Par]])),IF(FIND(MID(U$1,10,5),TbTradesNovaDAX[[#This Row],[Par]])=1, -(T1-T2)/T1*U1,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Row],[Par]])),(-(T1-T2)/T1*U1)+IF(TbTradesNovaDAX[[#This Row],[Resultado]]&gt;0,0,TbTradesNovaDAX[[#This Row],[Taxa]]),0),0))</calculatedColumnFormula>
    </tableColumn>
    <tableColumn id="11" xr3:uid="{1516EB4A-641F-4B3B-B330-BD6CA058F390}" name="Preço Médio BTC" dataDxfId="2356" totalsRowDxfId="2355">
      <calculatedColumnFormula>IF(T2=0,0,U2/T2)</calculatedColumnFormula>
    </tableColumn>
    <tableColumn id="31" xr3:uid="{671C9A82-6B03-4B75-ACCD-3A0733F049F7}" name="Estoque ETH" dataDxfId="2354" totalsRowDxfId="2353">
      <calculatedColumnFormula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Row],[Tipo]]="DROP"),W1+TbTradesNovaDAX[[#This Row],[Qtt]],W1-TbTradesNovaDAX[[#This Row],[Qtt]]),IF(TbTradesNovaDAX[[#This Row],[Tipo]]="BUY",W1-TbTradesNovaDAX[[#This Row],[Qtt]]*TbTradesNovaDAX[[#This Row],[Preço]],W1+TbTradesNovaDAX[[#This Row],[Qtt]]*TbTradesNovaDAX[[#This Row],[Preço]])),W1)-IF(TbTradesNovaDAX[[#This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Row],[Tipo]]="DROP"),W1+TbTradesNovaDAX[[#This Row],[Qtt]],W1-TbTradesNovaDAX[[#This Row],[Qtt]]),IF(TbTradesNovaDAX[[#This Row],[Tipo]]="BUY",W1-TbTradesNovaDAX[[#This Row],[Qtt]]*TbTradesNovaDAX[[#This Row],[Preço]],W1+TbTradesNovaDAX[[#This Row],[Qtt]]*TbTradesNovaDAX[[#This Row],[Preço]])),W1)-IF(TbTradesNovaDAX[[#This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Row],[Tipo]]="DROP"),W1+TbTradesNovaDAX[[#This Row],[Qtt]],W1-TbTradesNovaDAX[[#This Row],[Qtt]]),IF(TbTradesNovaDAX[[#This Row],[Tipo]]="BUY",W1-TbTradesNovaDAX[[#This Row],[Qtt]]*TbTradesNovaDAX[[#This Row],[Preço]],W1+TbTradesNovaDAX[[#This Row],[Qtt]]*TbTradesNovaDAX[[#This Row],[Preço]])),W1)-IF(TbTradesNovaDAX[[#This Row],[Moeda da Taxa]]=MID(W$1,9,5),TbTradesNovaDAX[[#This Row],[Taxa]],0),8)))</calculatedColumnFormula>
    </tableColumn>
    <tableColumn id="36" xr3:uid="{E4D0B2B2-EDA7-4F0D-87E0-E1137D6ACA05}" name="Custo de ETH" dataDxfId="2352" totalsRowDxfId="2351">
      <calculatedColumnFormula array="1">IF(TbTradesNovaDAX[[#This Row],[Tipo]]="EMPTY",0,X1+IF(TbTradesNovaDAX[[#This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Row],[Par]]))),$1:$1,0)),-(W1-W2)/W1*X1),0),0)+IF(TbTradesNovaDAX[[#This Row],[Tipo]]="SELL",IF(ISNUMBER(FIND(MID(X$1,10,5),TbTradesNovaDAX[[#This Row],[Par]])),IF(FIND(MID(X$1,10,5),TbTradesNovaDAX[[#This Row],[Par]])=1, -(W1-W2)/W1*X1,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Row],[Par]])),(-(W1-W2)/W1*X1)+IF(TbTradesNovaDAX[[#This Row],[Resultado]]&gt;0,0,TbTradesNovaDAX[[#This Row],[Taxa]]),0),0))</calculatedColumnFormula>
    </tableColumn>
    <tableColumn id="37" xr3:uid="{336A993C-2283-46EE-8A76-81970A47E16D}" name="Preço Médio ETH" dataDxfId="2350" totalsRowDxfId="2349">
      <calculatedColumnFormula>IF(W2=0,0,X2/W2)</calculatedColumnFormula>
    </tableColumn>
    <tableColumn id="12" xr3:uid="{6D58CC49-B34C-490D-907A-735374AD8838}" name="Estoque BCH" dataDxfId="2348" totalsRowDxfId="2347">
      <calculatedColumnFormula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Row],[Tipo]]="DROP"),Z1+TbTradesNovaDAX[[#This Row],[Qtt]],Z1-TbTradesNovaDAX[[#This Row],[Qtt]]),IF(TbTradesNovaDAX[[#This Row],[Tipo]]="BUY",Z1-TbTradesNovaDAX[[#This Row],[Qtt]]*TbTradesNovaDAX[[#This Row],[Preço]],Z1+TbTradesNovaDAX[[#This Row],[Qtt]]*TbTradesNovaDAX[[#This Row],[Preço]])),Z1)-IF(TbTradesNovaDAX[[#This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Row],[Tipo]]="DROP"),Z1+TbTradesNovaDAX[[#This Row],[Qtt]],Z1-TbTradesNovaDAX[[#This Row],[Qtt]]),IF(TbTradesNovaDAX[[#This Row],[Tipo]]="BUY",Z1-TbTradesNovaDAX[[#This Row],[Qtt]]*TbTradesNovaDAX[[#This Row],[Preço]],Z1+TbTradesNovaDAX[[#This Row],[Qtt]]*TbTradesNovaDAX[[#This Row],[Preço]])),Z1)-IF(TbTradesNovaDAX[[#This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Row],[Tipo]]="DROP"),Z1+TbTradesNovaDAX[[#This Row],[Qtt]],Z1-TbTradesNovaDAX[[#This Row],[Qtt]]),IF(TbTradesNovaDAX[[#This Row],[Tipo]]="BUY",Z1-TbTradesNovaDAX[[#This Row],[Qtt]]*TbTradesNovaDAX[[#This Row],[Preço]],Z1+TbTradesNovaDAX[[#This Row],[Qtt]]*TbTradesNovaDAX[[#This Row],[Preço]])),Z1)-IF(TbTradesNovaDAX[[#This Row],[Moeda da Taxa]]=MID(Z$1,9,5),TbTradesNovaDAX[[#This Row],[Taxa]],0),8)))</calculatedColumnFormula>
    </tableColumn>
    <tableColumn id="13" xr3:uid="{8A09F41B-DE7D-44A8-9809-076537C9891A}" name="Custo de BCH" dataDxfId="2346" totalsRowDxfId="2345">
      <calculatedColumnFormula array="1">IF(TbTradesNovaDAX[[#This Row],[Tipo]]="EMPTY",0,AA1+IF(TbTradesNovaDAX[[#This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Row],[Par]]))),$1:$1,0)),-(Z1-Z2)/Z1*AA1),0),0)+IF(TbTradesNovaDAX[[#This Row],[Tipo]]="SELL",IF(ISNUMBER(FIND(MID(AA$1,10,5),TbTradesNovaDAX[[#This Row],[Par]])),IF(FIND(MID(AA$1,10,5),TbTradesNovaDAX[[#This Row],[Par]])=1, -(Z1-Z2)/Z1*AA1,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Row],[Par]])),(-(Z1-Z2)/Z1*AA1)+IF(TbTradesNovaDAX[[#This Row],[Resultado]]&gt;0,0,TbTradesNovaDAX[[#This Row],[Taxa]]),0),0))</calculatedColumnFormula>
    </tableColumn>
    <tableColumn id="14" xr3:uid="{6A65CBB3-99FC-4218-8F66-C95E4D026B11}" name="Preço Médio BCH" dataDxfId="2344" totalsRowDxfId="2343">
      <calculatedColumnFormula>IF(Z2=0,0,AA2/Z2)</calculatedColumnFormula>
    </tableColumn>
    <tableColumn id="15" xr3:uid="{4B693269-94F4-4C7C-8494-3E9B3302D74A}" name="Estoque DOT" dataDxfId="2342" totalsRowDxfId="2341">
      <calculatedColumnFormula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Row],[Tipo]]="DROP"),AC1+TbTradesNovaDAX[[#This Row],[Qtt]],AC1-TbTradesNovaDAX[[#This Row],[Qtt]]),IF(TbTradesNovaDAX[[#This Row],[Tipo]]="BUY",AC1-TbTradesNovaDAX[[#This Row],[Qtt]]*TbTradesNovaDAX[[#This Row],[Preço]],AC1+TbTradesNovaDAX[[#This Row],[Qtt]]*TbTradesNovaDAX[[#This Row],[Preço]])),AC1)-IF(TbTradesNovaDAX[[#This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Row],[Tipo]]="DROP"),AC1+TbTradesNovaDAX[[#This Row],[Qtt]],AC1-TbTradesNovaDAX[[#This Row],[Qtt]]),IF(TbTradesNovaDAX[[#This Row],[Tipo]]="BUY",AC1-TbTradesNovaDAX[[#This Row],[Qtt]]*TbTradesNovaDAX[[#This Row],[Preço]],AC1+TbTradesNovaDAX[[#This Row],[Qtt]]*TbTradesNovaDAX[[#This Row],[Preço]])),AC1)-IF(TbTradesNovaDAX[[#This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Row],[Tipo]]="DROP"),AC1+TbTradesNovaDAX[[#This Row],[Qtt]],AC1-TbTradesNovaDAX[[#This Row],[Qtt]]),IF(TbTradesNovaDAX[[#This Row],[Tipo]]="BUY",AC1-TbTradesNovaDAX[[#This Row],[Qtt]]*TbTradesNovaDAX[[#This Row],[Preço]],AC1+TbTradesNovaDAX[[#This Row],[Qtt]]*TbTradesNovaDAX[[#This Row],[Preço]])),AC1)-IF(TbTradesNovaDAX[[#This Row],[Moeda da Taxa]]=MID(AC$1,9,5),TbTradesNovaDAX[[#This Row],[Taxa]],0),8)))</calculatedColumnFormula>
    </tableColumn>
    <tableColumn id="16" xr3:uid="{87162CEA-0DBB-4A4A-A84D-0BA248393693}" name="Custo de DOT" dataDxfId="2340" totalsRowDxfId="2339">
      <calculatedColumnFormula array="1">IF(TbTradesNovaDAX[[#This Row],[Tipo]]="EMPTY",0,AD1+IF(TbTradesNovaDAX[[#This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Row],[Par]]))),$1:$1,0)),-(AC1-AC2)/AC1*AD1),0),0)+IF(TbTradesNovaDAX[[#This Row],[Tipo]]="SELL",IF(ISNUMBER(FIND(MID(AD$1,10,5),TbTradesNovaDAX[[#This Row],[Par]])),IF(FIND(MID(AD$1,10,5),TbTradesNovaDAX[[#This Row],[Par]])=1, -(AC1-AC2)/AC1*AD1,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Row],[Par]])),(-(AC1-AC2)/AC1*AD1)+IF(TbTradesNovaDAX[[#This Row],[Resultado]]&gt;0,0,TbTradesNovaDAX[[#This Row],[Taxa]]),0),0))</calculatedColumnFormula>
    </tableColumn>
    <tableColumn id="17" xr3:uid="{68521553-93E7-45ED-AA99-FEBB7B3220B6}" name="Preço Médio DOT" dataDxfId="2338" totalsRowDxfId="2337">
      <calculatedColumnFormula>IF(AC2=0,0,AD2/AC2)</calculatedColumnFormula>
    </tableColumn>
    <tableColumn id="18" xr3:uid="{24F6C934-4907-44C8-96A0-47AF60319BC2}" name="Estoque ETC" dataDxfId="2336" totalsRowDxfId="2335">
      <calculatedColumnFormula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Row],[Tipo]]="DROP"),AF1+TbTradesNovaDAX[[#This Row],[Qtt]],AF1-TbTradesNovaDAX[[#This Row],[Qtt]]),IF(TbTradesNovaDAX[[#This Row],[Tipo]]="BUY",AF1-TbTradesNovaDAX[[#This Row],[Qtt]]*TbTradesNovaDAX[[#This Row],[Preço]],AF1+TbTradesNovaDAX[[#This Row],[Qtt]]*TbTradesNovaDAX[[#This Row],[Preço]])),AF1)-IF(TbTradesNovaDAX[[#This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Row],[Tipo]]="DROP"),AF1+TbTradesNovaDAX[[#This Row],[Qtt]],AF1-TbTradesNovaDAX[[#This Row],[Qtt]]),IF(TbTradesNovaDAX[[#This Row],[Tipo]]="BUY",AF1-TbTradesNovaDAX[[#This Row],[Qtt]]*TbTradesNovaDAX[[#This Row],[Preço]],AF1+TbTradesNovaDAX[[#This Row],[Qtt]]*TbTradesNovaDAX[[#This Row],[Preço]])),AF1)-IF(TbTradesNovaDAX[[#This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Row],[Tipo]]="DROP"),AF1+TbTradesNovaDAX[[#This Row],[Qtt]],AF1-TbTradesNovaDAX[[#This Row],[Qtt]]),IF(TbTradesNovaDAX[[#This Row],[Tipo]]="BUY",AF1-TbTradesNovaDAX[[#This Row],[Qtt]]*TbTradesNovaDAX[[#This Row],[Preço]],AF1+TbTradesNovaDAX[[#This Row],[Qtt]]*TbTradesNovaDAX[[#This Row],[Preço]])),AF1)-IF(TbTradesNovaDAX[[#This Row],[Moeda da Taxa]]=MID(AF$1,9,5),TbTradesNovaDAX[[#This Row],[Taxa]],0),8)))</calculatedColumnFormula>
    </tableColumn>
    <tableColumn id="19" xr3:uid="{36AA4663-01DE-45B7-BC4C-2DC863CBBB10}" name="Custo de ETC" dataDxfId="2334" totalsRowDxfId="2333">
      <calculatedColumnFormula array="1">IF(TbTradesNovaDAX[[#This Row],[Tipo]]="EMPTY",0,AG1+IF(TbTradesNovaDAX[[#This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Row],[Par]]))),$1:$1,0)),-(AF1-AF2)/AF1*AG1),0),0)+IF(TbTradesNovaDAX[[#This Row],[Tipo]]="SELL",IF(ISNUMBER(FIND(MID(AG$1,10,5),TbTradesNovaDAX[[#This Row],[Par]])),IF(FIND(MID(AG$1,10,5),TbTradesNovaDAX[[#This Row],[Par]])=1, -(AF1-AF2)/AF1*AG1,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Row],[Par]])),(-(AF1-AF2)/AF1*AG1)+IF(TbTradesNovaDAX[[#This Row],[Resultado]]&gt;0,0,TbTradesNovaDAX[[#This Row],[Taxa]]),0),0))</calculatedColumnFormula>
    </tableColumn>
    <tableColumn id="20" xr3:uid="{C75CF2EB-C3DA-4970-96B0-3684365BFE16}" name="Preço Médio ETC" dataDxfId="2332" totalsRowDxfId="2331">
      <calculatedColumnFormula>IF(AF2=0,0,AG2/AF2)</calculatedColumnFormula>
    </tableColumn>
    <tableColumn id="22" xr3:uid="{CB432878-08F0-4F72-A315-26325A4EF395}" name="Estoque IOTA" dataDxfId="2330" totalsRowDxfId="2329">
      <calculatedColumnFormula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Row],[Tipo]]="DROP"),AI1+TbTradesNovaDAX[[#This Row],[Qtt]],AI1-TbTradesNovaDAX[[#This Row],[Qtt]]),IF(TbTradesNovaDAX[[#This Row],[Tipo]]="BUY",AI1-TbTradesNovaDAX[[#This Row],[Qtt]]*TbTradesNovaDAX[[#This Row],[Preço]],AI1+TbTradesNovaDAX[[#This Row],[Qtt]]*TbTradesNovaDAX[[#This Row],[Preço]])),AI1)-IF(TbTradesNovaDAX[[#This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Row],[Tipo]]="DROP"),AI1+TbTradesNovaDAX[[#This Row],[Qtt]],AI1-TbTradesNovaDAX[[#This Row],[Qtt]]),IF(TbTradesNovaDAX[[#This Row],[Tipo]]="BUY",AI1-TbTradesNovaDAX[[#This Row],[Qtt]]*TbTradesNovaDAX[[#This Row],[Preço]],AI1+TbTradesNovaDAX[[#This Row],[Qtt]]*TbTradesNovaDAX[[#This Row],[Preço]])),AI1)-IF(TbTradesNovaDAX[[#This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Row],[Tipo]]="DROP"),AI1+TbTradesNovaDAX[[#This Row],[Qtt]],AI1-TbTradesNovaDAX[[#This Row],[Qtt]]),IF(TbTradesNovaDAX[[#This Row],[Tipo]]="BUY",AI1-TbTradesNovaDAX[[#This Row],[Qtt]]*TbTradesNovaDAX[[#This Row],[Preço]],AI1+TbTradesNovaDAX[[#This Row],[Qtt]]*TbTradesNovaDAX[[#This Row],[Preço]])),AI1)-IF(TbTradesNovaDAX[[#This Row],[Moeda da Taxa]]=MID(AI$1,9,5),TbTradesNovaDAX[[#This Row],[Taxa]],0),8)))</calculatedColumnFormula>
    </tableColumn>
    <tableColumn id="23" xr3:uid="{08C49B84-56EA-4BEE-BD56-1AC7FD27C44B}" name="Custo de IOTA" dataDxfId="2328" totalsRowDxfId="2327">
      <calculatedColumnFormula array="1">IF(TbTradesNovaDAX[[#This Row],[Tipo]]="EMPTY",0,AJ1+IF(TbTradesNovaDAX[[#This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Row],[Par]]))),$1:$1,0)),-(AI1-AI2)/AI1*AJ1),0),0)+IF(TbTradesNovaDAX[[#This Row],[Tipo]]="SELL",IF(ISNUMBER(FIND(MID(AJ$1,10,5),TbTradesNovaDAX[[#This Row],[Par]])),IF(FIND(MID(AJ$1,10,5),TbTradesNovaDAX[[#This Row],[Par]])=1, -(AI1-AI2)/AI1*AJ1,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Row],[Par]])),(-(AI1-AI2)/AI1*AJ1)+IF(TbTradesNovaDAX[[#This Row],[Resultado]]&gt;0,0,TbTradesNovaDAX[[#This Row],[Taxa]]),0),0))</calculatedColumnFormula>
    </tableColumn>
    <tableColumn id="24" xr3:uid="{F2970E3C-C376-408B-B2C6-BC7525D537F5}" name="Preço Médio IOTA" dataDxfId="2326" totalsRowDxfId="2325">
      <calculatedColumnFormula>IF(AI2=0,0,AJ2/AI2)</calculatedColumnFormula>
    </tableColumn>
    <tableColumn id="25" xr3:uid="{CFCFA1F0-7F12-4760-AEC3-F44CAF7A4EB2}" name="Estoque DCR" dataDxfId="2324" totalsRowDxfId="2323">
      <calculatedColumnFormula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Row],[Tipo]]="DROP"),AL1+TbTradesNovaDAX[[#This Row],[Qtt]],AL1-TbTradesNovaDAX[[#This Row],[Qtt]]),IF(TbTradesNovaDAX[[#This Row],[Tipo]]="BUY",AL1-TbTradesNovaDAX[[#This Row],[Qtt]]*TbTradesNovaDAX[[#This Row],[Preço]],AL1+TbTradesNovaDAX[[#This Row],[Qtt]]*TbTradesNovaDAX[[#This Row],[Preço]])),AL1)-IF(TbTradesNovaDAX[[#This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Row],[Tipo]]="DROP"),AL1+TbTradesNovaDAX[[#This Row],[Qtt]],AL1-TbTradesNovaDAX[[#This Row],[Qtt]]),IF(TbTradesNovaDAX[[#This Row],[Tipo]]="BUY",AL1-TbTradesNovaDAX[[#This Row],[Qtt]]*TbTradesNovaDAX[[#This Row],[Preço]],AL1+TbTradesNovaDAX[[#This Row],[Qtt]]*TbTradesNovaDAX[[#This Row],[Preço]])),AL1)-IF(TbTradesNovaDAX[[#This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Row],[Tipo]]="DROP"),AL1+TbTradesNovaDAX[[#This Row],[Qtt]],AL1-TbTradesNovaDAX[[#This Row],[Qtt]]),IF(TbTradesNovaDAX[[#This Row],[Tipo]]="BUY",AL1-TbTradesNovaDAX[[#This Row],[Qtt]]*TbTradesNovaDAX[[#This Row],[Preço]],AL1+TbTradesNovaDAX[[#This Row],[Qtt]]*TbTradesNovaDAX[[#This Row],[Preço]])),AL1)-IF(TbTradesNovaDAX[[#This Row],[Moeda da Taxa]]=MID(AL$1,9,5),TbTradesNovaDAX[[#This Row],[Taxa]],0),8)))</calculatedColumnFormula>
    </tableColumn>
    <tableColumn id="26" xr3:uid="{88F22470-124E-4A40-BA26-AC226076350C}" name="Custo de DCR" dataDxfId="2322" totalsRowDxfId="2321">
      <calculatedColumnFormula array="1">IF(TbTradesNovaDAX[[#This Row],[Tipo]]="EMPTY",0,AM1+IF(TbTradesNovaDAX[[#This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Row],[Par]]))),$1:$1,0)),-(AL1-AL2)/AL1*AM1),0),0)+IF(TbTradesNovaDAX[[#This Row],[Tipo]]="SELL",IF(ISNUMBER(FIND(MID(AM$1,10,5),TbTradesNovaDAX[[#This Row],[Par]])),IF(FIND(MID(AM$1,10,5),TbTradesNovaDAX[[#This Row],[Par]])=1, -(AL1-AL2)/AL1*AM1,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Row],[Par]])),(-(AL1-AL2)/AL1*AM1)+IF(TbTradesNovaDAX[[#This Row],[Resultado]]&gt;0,0,TbTradesNovaDAX[[#This Row],[Taxa]]),0),0))</calculatedColumnFormula>
    </tableColumn>
    <tableColumn id="27" xr3:uid="{078800E2-A067-42C5-9604-78F06A26C23C}" name="Preço Médio DCR" dataDxfId="2320" totalsRowDxfId="2319">
      <calculatedColumnFormula>IF(AL2=0,0,AM2/AL2)</calculatedColumnFormula>
    </tableColumn>
    <tableColumn id="28" xr3:uid="{D91B520E-4053-4CB4-867C-3786CB03F26F}" name="Estoque LINK" dataDxfId="2318" totalsRowDxfId="2317">
      <calculatedColumnFormula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Row],[Tipo]]="DROP"),AO1+TbTradesNovaDAX[[#This Row],[Qtt]],AO1-TbTradesNovaDAX[[#This Row],[Qtt]]),IF(TbTradesNovaDAX[[#This Row],[Tipo]]="BUY",AO1-TbTradesNovaDAX[[#This Row],[Qtt]]*TbTradesNovaDAX[[#This Row],[Preço]],AO1+TbTradesNovaDAX[[#This Row],[Qtt]]*TbTradesNovaDAX[[#This Row],[Preço]])),AO1)-IF(TbTradesNovaDAX[[#This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Row],[Tipo]]="DROP"),AO1+TbTradesNovaDAX[[#This Row],[Qtt]],AO1-TbTradesNovaDAX[[#This Row],[Qtt]]),IF(TbTradesNovaDAX[[#This Row],[Tipo]]="BUY",AO1-TbTradesNovaDAX[[#This Row],[Qtt]]*TbTradesNovaDAX[[#This Row],[Preço]],AO1+TbTradesNovaDAX[[#This Row],[Qtt]]*TbTradesNovaDAX[[#This Row],[Preço]])),AO1)-IF(TbTradesNovaDAX[[#This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Row],[Tipo]]="DROP"),AO1+TbTradesNovaDAX[[#This Row],[Qtt]],AO1-TbTradesNovaDAX[[#This Row],[Qtt]]),IF(TbTradesNovaDAX[[#This Row],[Tipo]]="BUY",AO1-TbTradesNovaDAX[[#This Row],[Qtt]]*TbTradesNovaDAX[[#This Row],[Preço]],AO1+TbTradesNovaDAX[[#This Row],[Qtt]]*TbTradesNovaDAX[[#This Row],[Preço]])),AO1)-IF(TbTradesNovaDAX[[#This Row],[Moeda da Taxa]]=MID(AO$1,9,5),TbTradesNovaDAX[[#This Row],[Taxa]],0),8)))</calculatedColumnFormula>
    </tableColumn>
    <tableColumn id="29" xr3:uid="{08CDB4C5-78F3-4652-90D9-268AF4D6A1B2}" name="Custo de LINK" dataDxfId="2316" totalsRowDxfId="2315">
      <calculatedColumnFormula array="1">IF(TbTradesNovaDAX[[#This Row],[Tipo]]="EMPTY",0,AP1+IF(TbTradesNovaDAX[[#This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Row],[Par]]))),$1:$1,0)),-(AO1-AO2)/AO1*AP1),0),0)+IF(TbTradesNovaDAX[[#This Row],[Tipo]]="SELL",IF(ISNUMBER(FIND(MID(AP$1,10,5),TbTradesNovaDAX[[#This Row],[Par]])),IF(FIND(MID(AP$1,10,5),TbTradesNovaDAX[[#This Row],[Par]])=1, -(AO1-AO2)/AO1*AP1,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Row],[Par]])),(-(AO1-AO2)/AO1*AP1)+IF(TbTradesNovaDAX[[#This Row],[Resultado]]&gt;0,0,TbTradesNovaDAX[[#This Row],[Taxa]]),0),0))</calculatedColumnFormula>
    </tableColumn>
    <tableColumn id="30" xr3:uid="{CFDD0639-F2C2-4A1A-A7E9-B8051D96B592}" name="Preço Médio LINK" dataDxfId="2314" totalsRowDxfId="2313">
      <calculatedColumnFormula>IF(AO2=0,0,AP2/AO2)</calculatedColumnFormula>
    </tableColumn>
  </tableColumns>
  <tableStyleInfo name="TableStyleMedium2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14444DD-3CEE-4B30-B201-04B9C657E0C7}" name="TbTradesAlter" displayName="TbTradesAlter" ref="B1:S12" totalsRowCount="1" headerRowDxfId="2312" dataDxfId="2310" headerRowBorderDxfId="2311" tableBorderDxfId="2309" totalsRowBorderDxfId="2308">
  <autoFilter ref="B1:S11" xr:uid="{961FFBC4-F644-4388-9F67-C4351C8B76B8}"/>
  <tableColumns count="18">
    <tableColumn id="10" xr3:uid="{B6909086-004C-4DA5-898D-44B7AC272432}" name="Observação" totalsRowLabel="Total" dataDxfId="2307" totalsRowDxfId="2306"/>
    <tableColumn id="50" xr3:uid="{BC4E43E2-F534-467D-88FD-6DC37BCE73AD}" name="Resultado" totalsRowFunction="sum" dataDxfId="2305" totalsRowDxfId="2304">
      <calculatedColumnFormula>TRUNC(IF(AND(TbTradesAlter[[#This Row],[Tipo]]="SEND",TbTradesAlter[[#This Row],[Par]]="BRL"),TbTradesAlter[[#This Row],[Qtt]]*(1-P1)-IF(TbTradesAlter[[#This Row],[Moeda da Taxa]]="BRL",TbTradesAlter[[#This Row],[Taxa]],0),0)+IF(AND(TbTradesAlter[[#This Row],[Tipo]]="BURN",TbTradesAlter[[#This Row],[Par]]="BRL"),-TbTradesAlter[[#This Row],[Qtt]]*P1,0),2)</calculatedColumnFormula>
    </tableColumn>
    <tableColumn id="1" xr3:uid="{2AB1BC0A-91FD-4EA4-A7C5-E74C2297A883}" name="Data (UTC-3)" dataDxfId="2303" totalsRowDxfId="2302"/>
    <tableColumn id="32" xr3:uid="{7308A7DB-C4A6-48E4-BC59-59A1C70B20AF}" name="Par" dataDxfId="2301" totalsRowDxfId="2300"/>
    <tableColumn id="2" xr3:uid="{053ED9C1-B0AB-49ED-BFF1-F2032F51451A}" name="Tipo" dataDxfId="2299" totalsRowDxfId="2298"/>
    <tableColumn id="3" xr3:uid="{B993690A-0307-4A9B-ABE0-5AE313816332}" name="Preço" dataDxfId="2297" totalsRowDxfId="2296"/>
    <tableColumn id="4" xr3:uid="{AC833E07-7356-4127-B8CD-F8871E9EAB22}" name="Qtt" dataDxfId="2295" totalsRowDxfId="2294"/>
    <tableColumn id="5" xr3:uid="{2A6751E9-B979-4ABC-AD7C-B6F01B2DDE5B}" name="Taxa" dataDxfId="2293" totalsRowDxfId="2292"/>
    <tableColumn id="6" xr3:uid="{D8E02E01-107C-4C93-8C80-48C47EE6AA5C}" name="Moeda da Taxa" dataDxfId="2291" totalsRowDxfId="2290"/>
    <tableColumn id="7" xr3:uid="{EED48237-A9AD-402D-924A-9244F3871A96}" name="Conversão" dataDxfId="2289" totalsRowDxfId="2288"/>
    <tableColumn id="8" xr3:uid="{6110B942-B0DC-4FCC-9FEF-46F924650B14}" name="Cotação BRL" dataDxfId="2287" totalsRowDxfId="2286">
      <calculatedColumnFormula>TRUNC(K2*G2,2)</calculatedColumnFormula>
    </tableColumn>
    <tableColumn id="9" xr3:uid="{AA0DDCBD-372F-4A7A-978B-6BE6E86CB7FE}" name="Volume" totalsRowFunction="stdDev" dataDxfId="2285" totalsRowDxfId="2284">
      <calculatedColumnFormula>IF(OR(TbTradesAlter[[#This Row],[Tipo]]="BUY",TbTradesAlter[[#This Row],[Tipo]]="RECEIVE",TbTradesAlter[[#This Row],[Tipo]]="DROP"),L2*H2,-L2*H2)</calculatedColumnFormula>
    </tableColumn>
    <tableColumn id="13" xr3:uid="{14B8E1A5-EEF7-4B86-B60E-AD610BC37396}" name="Estoque BRL" dataDxfId="2283" totalsRowDxfId="2282">
      <calculatedColumnFormula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Row],[Tipo]]="DROP"),N1+TbTradesAlter[[#This Row],[Qtt]],N1-TbTradesAlter[[#This Row],[Qtt]]),IF(TbTradesAlter[[#This Row],[Tipo]]="BUY",N1-TbTradesAlter[[#This Row],[Qtt]]*TbTradesAlter[[#This Row],[Preço]],N1+TbTradesAlter[[#This Row],[Qtt]]*TbTradesAlter[[#This Row],[Preço]])),N1)-IF(TbTradesAlter[[#This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Row],[Tipo]]="DROP"),N1+TbTradesAlter[[#This Row],[Qtt]],N1-TbTradesAlter[[#This Row],[Qtt]]),IF(TbTradesAlter[[#This Row],[Tipo]]="BUY",N1-TbTradesAlter[[#This Row],[Qtt]]*TbTradesAlter[[#This Row],[Preço]],N1+TbTradesAlter[[#This Row],[Qtt]]*TbTradesAlter[[#This Row],[Preço]])),N1)-IF(TbTradesAlter[[#This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Row],[Tipo]]="DROP"),N1+TbTradesAlter[[#This Row],[Qtt]],N1-TbTradesAlter[[#This Row],[Qtt]]),IF(TbTradesAlter[[#This Row],[Tipo]]="BUY",N1-TbTradesAlter[[#This Row],[Qtt]]*TbTradesAlter[[#This Row],[Preço]],N1+TbTradesAlter[[#This Row],[Qtt]]*TbTradesAlter[[#This Row],[Preço]])),N1)-IF(TbTradesAlter[[#This Row],[Moeda da Taxa]]=MID(N$1,9,5),TbTradesAlter[[#This Row],[Taxa]],0),8)))</calculatedColumnFormula>
    </tableColumn>
    <tableColumn id="14" xr3:uid="{EE31E7C1-B0E2-4707-894C-F4326D75254B}" name="Custo de BRL" dataDxfId="2281" totalsRowDxfId="2280">
      <calculatedColumnFormula array="1">IF(TbTradesAlter[[#This Row],[Tipo]]="EMPTY",0,O1+IF(TbTradesAlter[[#This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Row],[Par]]))),$1:$1,0)),-(N1-N2)/N1*O1),0),0)+IF(TbTradesAlter[[#This Row],[Tipo]]="SELL",IF(ISNUMBER(FIND(MID(O$1,10,5),TbTradesAlter[[#This Row],[Par]])),IF(FIND(MID(O$1,10,5),TbTradesAlter[[#This Row],[Par]])=1, -(N1-N2)/N1*O1,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Row],[Par]])),(-(N1-N2)/N1*O1)+IF(TbTradesAlter[[#This Row],[Resultado]]&gt;0,0,TbTradesAlter[[#This Row],[Taxa]]),0),0))</calculatedColumnFormula>
    </tableColumn>
    <tableColumn id="15" xr3:uid="{8BE60647-E7A4-4EB0-BAD4-8C31AB38C598}" name="Preço Médio BRL" dataDxfId="2279" totalsRowDxfId="2278">
      <calculatedColumnFormula>IF(N2=0,0,O2/N2)</calculatedColumnFormula>
    </tableColumn>
    <tableColumn id="16" xr3:uid="{39C34495-4F44-4396-A7CE-611D0B5C07DB}" name="Estoque BTC" dataDxfId="2277" totalsRowDxfId="2276">
      <calculatedColumnFormula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Row],[Tipo]]="DROP"),Q1+TbTradesAlter[[#This Row],[Qtt]],Q1-TbTradesAlter[[#This Row],[Qtt]]),IF(TbTradesAlter[[#This Row],[Tipo]]="BUY",Q1-TbTradesAlter[[#This Row],[Qtt]]*TbTradesAlter[[#This Row],[Preço]],Q1+TbTradesAlter[[#This Row],[Qtt]]*TbTradesAlter[[#This Row],[Preço]])),Q1)-IF(TbTradesAlter[[#This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Row],[Tipo]]="DROP"),Q1+TbTradesAlter[[#This Row],[Qtt]],Q1-TbTradesAlter[[#This Row],[Qtt]]),IF(TbTradesAlter[[#This Row],[Tipo]]="BUY",Q1-TbTradesAlter[[#This Row],[Qtt]]*TbTradesAlter[[#This Row],[Preço]],Q1+TbTradesAlter[[#This Row],[Qtt]]*TbTradesAlter[[#This Row],[Preço]])),Q1)-IF(TbTradesAlter[[#This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Row],[Tipo]]="DROP"),Q1+TbTradesAlter[[#This Row],[Qtt]],Q1-TbTradesAlter[[#This Row],[Qtt]]),IF(TbTradesAlter[[#This Row],[Tipo]]="BUY",Q1-TbTradesAlter[[#This Row],[Qtt]]*TbTradesAlter[[#This Row],[Preço]],Q1+TbTradesAlter[[#This Row],[Qtt]]*TbTradesAlter[[#This Row],[Preço]])),Q1)-IF(TbTradesAlter[[#This Row],[Moeda da Taxa]]=MID(Q$1,9,5),TbTradesAlter[[#This Row],[Taxa]],0),8)))</calculatedColumnFormula>
    </tableColumn>
    <tableColumn id="17" xr3:uid="{5705B1B0-F466-4C3C-9649-A5368ED80D8A}" name="Custo de BTC" dataDxfId="2275" totalsRowDxfId="2274">
      <calculatedColumnFormula array="1">IF(TbTradesAlter[[#This Row],[Tipo]]="EMPTY",0,R1+IF(TbTradesAlter[[#This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Row],[Par]]))),$1:$1,0)),-(Q1-Q2)/Q1*R1),0),0)+IF(TbTradesAlter[[#This Row],[Tipo]]="SELL",IF(ISNUMBER(FIND(MID(R$1,10,5),TbTradesAlter[[#This Row],[Par]])),IF(FIND(MID(R$1,10,5),TbTradesAlter[[#This Row],[Par]])=1, -(Q1-Q2)/Q1*R1,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Row],[Par]])),(-(Q1-Q2)/Q1*R1)+IF(TbTradesAlter[[#This Row],[Resultado]]&gt;0,0,TbTradesAlter[[#This Row],[Taxa]]),0),0))</calculatedColumnFormula>
    </tableColumn>
    <tableColumn id="18" xr3:uid="{A124C698-DE37-4EA4-87E1-C6D9DF04006F}" name="Preço Médio BTC" dataDxfId="2273" totalsRowDxfId="2272">
      <calculatedColumnFormula>IF(Q2=0,0,R2/Q2)</calculatedColumnFormula>
    </tableColumn>
  </tableColumns>
  <tableStyleInfo name="TableStyleMedium2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1AED71F1-AA06-4339-ABEE-0A2C5E7BE14F}" name="TbCRFF11_DT" displayName="TbCRFF11_DT" ref="B1:M3" totalsRowShown="0" headerRowDxfId="2271">
  <autoFilter ref="B1:M3" xr:uid="{1AED71F1-AA06-4339-ABEE-0A2C5E7BE14F}"/>
  <tableColumns count="12">
    <tableColumn id="1" xr3:uid="{B9757F1F-56E6-45AD-915E-BABD22E061FE}" name="Data da Movimentação" dataDxfId="2270"/>
    <tableColumn id="2" xr3:uid="{06EF5D4B-32DC-43D3-A18A-E748326E9F6E}" name="Qtt Compra" dataDxfId="2269"/>
    <tableColumn id="3" xr3:uid="{FF7D8EC3-B601-4C2D-9ABA-F7A7049FBBF2}" name="Qtt Venda"/>
    <tableColumn id="4" xr3:uid="{441C1F2D-0455-4EB9-99C0-64D47A9C4CA1}" name="Cotação" dataDxfId="2268" dataCellStyle="Porcentagem"/>
    <tableColumn id="5" xr3:uid="{F9A92E6B-9F83-4D6E-BF86-86FCDAAEE004}" name="Corretagem" dataDxfId="2267" dataCellStyle="Porcentagem"/>
    <tableColumn id="6" xr3:uid="{A204BA15-6F2C-486A-A394-04318C7BFAEE}" name="Estoque" dataDxfId="2266">
      <calculatedColumnFormula>IF(A1="SUMÁRIO",TbCRFF11_DT[[#This Row],[Qtt Compra]],IF(G1+C2-D2&lt;0, "ERRO", G1+C2-D2))</calculatedColumnFormula>
    </tableColumn>
    <tableColumn id="7" xr3:uid="{59803B9E-1A74-41AE-806A-6627A1D8DD98}" name="Taxa B3" dataDxfId="2265" dataCellStyle="Porcentagem">
      <calculatedColumnFormula>IF(AND(TRUNC((C2+D2)*E2*0.03%,2)=0,OR(C2&gt;0,D2&gt;0)),0.01,ROUNDUP((C2+D2)*E2*0.03%,2))</calculatedColumnFormula>
    </tableColumn>
    <tableColumn id="8" xr3:uid="{33764B75-1B00-4368-B07C-3B7C90F3A790}" name="Custo da operação" dataDxfId="2264" dataCellStyle="Porcentagem">
      <calculatedColumnFormula>F2+H2</calculatedColumnFormula>
    </tableColumn>
    <tableColumn id="9" xr3:uid="{EED89232-31FE-403B-975F-B361DE2EA131}" name="Custo Total" dataDxfId="2263">
      <calculatedColumnFormula>IF(A1="SUMÁRIO",E2*C2+I2,J1+IF(C2&gt;0,I2+C2*E2,-D2*K1))</calculatedColumnFormula>
    </tableColumn>
    <tableColumn id="10" xr3:uid="{F79BBB3A-9AAB-4311-B403-F3939BF75EB1}" name="Custo Médio" dataDxfId="2262">
      <calculatedColumnFormula>IF(G2=0,0,J2/G2)</calculatedColumnFormula>
    </tableColumn>
    <tableColumn id="11" xr3:uid="{746F67E9-92F1-4556-B14D-2512607F2AAD}" name="Resultado">
      <calculatedColumnFormula>IF(D2&gt;0,TRUNC(D2*E2-D2*K1-I2,2),"Não aplicável")</calculatedColumnFormula>
    </tableColumn>
    <tableColumn id="12" xr3:uid="{D0B845C6-F90B-48D7-804A-9D0EBAA495DC}" name="Observação" dataDxfId="2261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58211CD1-C7BC-4C99-B5F4-8F4C09AC8A94}" name="TbCRFF11_ST" displayName="TbCRFF11_ST" ref="B1:M3" totalsRowShown="0" headerRowDxfId="2260">
  <autoFilter ref="B1:M3" xr:uid="{58211CD1-C7BC-4C99-B5F4-8F4C09AC8A94}"/>
  <tableColumns count="12">
    <tableColumn id="1" xr3:uid="{66996756-D761-406E-B50B-340962E88E80}" name="Data da Movimentação" dataDxfId="2259"/>
    <tableColumn id="2" xr3:uid="{54CA158C-54A8-458A-8AD5-AB5C2187F681}" name="Qtt Compra" dataDxfId="2258"/>
    <tableColumn id="3" xr3:uid="{FBCA9249-E581-4FD6-B994-81EF62936629}" name="Qtt Venda"/>
    <tableColumn id="4" xr3:uid="{257684BD-A799-4333-8F47-41ACA41FCBAD}" name="Cotação" dataDxfId="2257" dataCellStyle="Porcentagem"/>
    <tableColumn id="5" xr3:uid="{D9212B47-F1AD-4A36-B42B-E2BBB03BEF63}" name="Corretagem" dataDxfId="2256" dataCellStyle="Porcentagem"/>
    <tableColumn id="6" xr3:uid="{D58CE059-B171-4EC7-B861-603506BFB4EB}" name="Estoque" dataDxfId="2255">
      <calculatedColumnFormula>IF(A1="SUMÁRIO",TbCRFF11_ST[[#This Row],[Qtt Compra]],IF(G1+C2-D2&lt;0, "ERRO", G1+C2-D2))</calculatedColumnFormula>
    </tableColumn>
    <tableColumn id="7" xr3:uid="{83A5D0F5-BEC0-4BAC-8EC9-7FC53A0B17A1}" name="Taxa B3" dataDxfId="2254" dataCellStyle="Porcentagem">
      <calculatedColumnFormula>IF(AND(TRUNC((C2+D2)*E2*0.03%,2)=0,OR(C2&gt;0,D2&gt;0)),0.01,ROUNDUP((C2+D2)*E2*0.03%,2))</calculatedColumnFormula>
    </tableColumn>
    <tableColumn id="8" xr3:uid="{5BEE4C17-9598-455B-A5D5-F0249602E667}" name="Custo da operação" dataDxfId="2253" dataCellStyle="Porcentagem">
      <calculatedColumnFormula>F2+H2</calculatedColumnFormula>
    </tableColumn>
    <tableColumn id="9" xr3:uid="{02EFBF92-D578-430C-84F5-D3733699013E}" name="Custo Total" dataDxfId="2252">
      <calculatedColumnFormula>IF(A1="SUMÁRIO",E2*C2+I2,J1+IF(C2&gt;0,I2+C2*E2,-D2*K1))</calculatedColumnFormula>
    </tableColumn>
    <tableColumn id="10" xr3:uid="{34229C4E-CA5E-46D9-8A01-46D8C507905D}" name="Custo Médio" dataDxfId="2251">
      <calculatedColumnFormula>IF(G2=0,0,J2/G2)</calculatedColumnFormula>
    </tableColumn>
    <tableColumn id="11" xr3:uid="{315C42BD-04CE-410A-BCD4-E419798C61F9}" name="Resultado">
      <calculatedColumnFormula>IF(D2&gt;0,TRUNC(D2*E2-D2*K1-I2,2),"Não aplicável")</calculatedColumnFormula>
    </tableColumn>
    <tableColumn id="12" xr3:uid="{435C19D7-27D0-48EE-8B7D-D52444499A76}" name="Observação" dataDxfId="2250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3053DC-60B7-4E61-AE39-6CC0557F06A8}" name="TbHGLG11_DT" displayName="TbHGLG11_DT" ref="B1:M3" totalsRowShown="0" headerRowDxfId="2249">
  <autoFilter ref="B1:M3" xr:uid="{003053DC-60B7-4E61-AE39-6CC0557F06A8}"/>
  <tableColumns count="12">
    <tableColumn id="1" xr3:uid="{0F63B8B6-A786-45B7-92A9-E9EF65874394}" name="Data da Movimentação" dataDxfId="2248"/>
    <tableColumn id="2" xr3:uid="{9039C415-09DB-4CDE-9716-482CA6401D2D}" name="Qtt Compra" dataDxfId="2247"/>
    <tableColumn id="3" xr3:uid="{25D65C6A-BCAA-42ED-974E-AB78C91EEFC3}" name="Qtt Venda"/>
    <tableColumn id="4" xr3:uid="{B821B4BC-A108-4063-B2BC-C141647E5769}" name="Cotação" dataDxfId="2246" dataCellStyle="Porcentagem"/>
    <tableColumn id="5" xr3:uid="{7854F95F-93D5-4725-94E9-6B3FCF429D5D}" name="Corretagem" dataDxfId="2245" dataCellStyle="Porcentagem"/>
    <tableColumn id="6" xr3:uid="{DAD4CB6E-CC8C-4DDD-92AD-A3908B8D9F7F}" name="Estoque" dataDxfId="2244">
      <calculatedColumnFormula>IF(A1="SUMÁRIO",TbHGLG11_DT[[#This Row],[Qtt Compra]],IF(G1+C2-D2&lt;0, "ERRO", G1+C2-D2))</calculatedColumnFormula>
    </tableColumn>
    <tableColumn id="7" xr3:uid="{BD9DE172-4F6C-4125-8411-C850518F1697}" name="Taxa B3" dataDxfId="2243" dataCellStyle="Porcentagem">
      <calculatedColumnFormula>IF(AND(TRUNC((C2+D2)*E2*0.03%,2)=0,OR(C2&gt;0,D2&gt;0)),0.01,ROUNDUP((C2+D2)*E2*0.03%,2))</calculatedColumnFormula>
    </tableColumn>
    <tableColumn id="8" xr3:uid="{EE617AAE-E154-4375-92AF-F99D05BEFD36}" name="Custo da operação" dataDxfId="2242" dataCellStyle="Porcentagem">
      <calculatedColumnFormula>F2+H2</calculatedColumnFormula>
    </tableColumn>
    <tableColumn id="9" xr3:uid="{4A59B9CD-0A0A-46F7-9DB7-B21FA5644593}" name="Custo Total" dataDxfId="2241">
      <calculatedColumnFormula>IF(A1="SUMÁRIO",E2*C2+I2,J1+IF(C2&gt;0,I2+C2*E2,-D2*K1))</calculatedColumnFormula>
    </tableColumn>
    <tableColumn id="10" xr3:uid="{9509125A-1B02-402B-A1E6-9C91EBA521CD}" name="Custo Médio" dataDxfId="2240">
      <calculatedColumnFormula>IF(G2=0,0,J2/G2)</calculatedColumnFormula>
    </tableColumn>
    <tableColumn id="11" xr3:uid="{42FA7254-B430-4735-A63B-94E40540F87B}" name="Resultado">
      <calculatedColumnFormula>IF(D2&gt;0,TRUNC(D2*E2-D2*K1-I2,2),"Não aplicável")</calculatedColumnFormula>
    </tableColumn>
    <tableColumn id="12" xr3:uid="{58D307F9-2061-4FFF-9D3E-5F434E698F45}" name="Observação" dataDxfId="2239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5E44811-69A5-49B2-A9BB-9E0337594D2E}" name="TbHGLG11_ST" displayName="TbHGLG11_ST" ref="B1:M3" totalsRowShown="0" headerRowDxfId="2238">
  <autoFilter ref="B1:M3" xr:uid="{F5E44811-69A5-49B2-A9BB-9E0337594D2E}"/>
  <tableColumns count="12">
    <tableColumn id="1" xr3:uid="{1792F164-47F0-48CA-AC29-C43FDF30A2C4}" name="Data da Movimentação" dataDxfId="2237"/>
    <tableColumn id="2" xr3:uid="{D37841CC-C5D4-4245-93F1-DC681AA4A58C}" name="Qtt Compra" dataDxfId="2236"/>
    <tableColumn id="3" xr3:uid="{797C2F6B-0BDC-4DE8-8BC6-0AEB45EB891C}" name="Qtt Venda"/>
    <tableColumn id="4" xr3:uid="{BA8CF383-B82D-4E1D-938D-B7BEA65CF78B}" name="Cotação" dataDxfId="2235" dataCellStyle="Porcentagem"/>
    <tableColumn id="5" xr3:uid="{68C15483-E887-4495-9CB4-5663CC4AE847}" name="Corretagem" dataDxfId="2234" dataCellStyle="Porcentagem"/>
    <tableColumn id="6" xr3:uid="{8245CC6B-50FF-45D9-AC0F-F19DE1AB55EA}" name="Estoque" dataDxfId="2233">
      <calculatedColumnFormula>IF(A1="SUMÁRIO",TbHGLG11_ST[[#This Row],[Qtt Compra]],IF(G1+C2-D2&lt;0, "ERRO", G1+C2-D2))</calculatedColumnFormula>
    </tableColumn>
    <tableColumn id="7" xr3:uid="{7CA4B1CB-9F6F-4B02-8F65-9D4568F8D12B}" name="Taxa B3" dataDxfId="2232" dataCellStyle="Porcentagem">
      <calculatedColumnFormula>IF(AND(TRUNC((C2+D2)*E2*0.03%,2)=0,OR(C2&gt;0,D2&gt;0)),0.01,ROUNDUP((C2+D2)*E2*0.03%,2))</calculatedColumnFormula>
    </tableColumn>
    <tableColumn id="8" xr3:uid="{0411EA1F-38CC-4EA9-872F-1EB72DFD96A0}" name="Custo da operação" dataDxfId="2231" dataCellStyle="Porcentagem">
      <calculatedColumnFormula>F2+H2</calculatedColumnFormula>
    </tableColumn>
    <tableColumn id="9" xr3:uid="{0E5B5F19-68C7-4FF9-A2D1-B81DB8FAA885}" name="Custo Total" dataDxfId="2230">
      <calculatedColumnFormula>IF(A1="SUMÁRIO",E2*C2+I2,J1+IF(C2&gt;0,I2+C2*E2,-D2*K1))</calculatedColumnFormula>
    </tableColumn>
    <tableColumn id="10" xr3:uid="{78C9BBAF-5DCD-4F50-8146-CB8012D4DACB}" name="Custo Médio" dataDxfId="2229">
      <calculatedColumnFormula>IF(G2=0,0,J2/G2)</calculatedColumnFormula>
    </tableColumn>
    <tableColumn id="11" xr3:uid="{17F25D3D-1756-46C4-8AA8-F32EB3D4B6AE}" name="Resultado">
      <calculatedColumnFormula>IF(D2&gt;0,TRUNC(D2*E2-D2*K1-I2,2),"Não aplicável")</calculatedColumnFormula>
    </tableColumn>
    <tableColumn id="12" xr3:uid="{E18CD5EA-0C22-4D8F-BCCD-96DA2D4CACE5}" name="Observação" dataDxfId="2228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9175A37-0FA4-47E5-89C4-D9098E497913}" name="TbKNCR11_DT" displayName="TbKNCR11_DT" ref="B1:M3" totalsRowShown="0" headerRowDxfId="2227">
  <autoFilter ref="B1:M3" xr:uid="{E9175A37-0FA4-47E5-89C4-D9098E497913}"/>
  <tableColumns count="12">
    <tableColumn id="1" xr3:uid="{8B7B7C15-C614-4699-8C6C-7208327E883B}" name="Data da Movimentação" dataDxfId="2226"/>
    <tableColumn id="2" xr3:uid="{BA16949D-4B9B-49F9-A852-B1092F2231B9}" name="Qtt Compra" dataDxfId="2225"/>
    <tableColumn id="3" xr3:uid="{10C3591E-DEBB-4C42-B114-BB185E3AD308}" name="Qtt Venda"/>
    <tableColumn id="4" xr3:uid="{5938AADF-86D9-4721-A18A-FFDEE2D1FEA5}" name="Cotação" dataDxfId="2224" dataCellStyle="Porcentagem"/>
    <tableColumn id="5" xr3:uid="{A8AEA43C-255C-4AD3-8C01-0BB3F90C55F2}" name="Corretagem" dataDxfId="2223" dataCellStyle="Porcentagem"/>
    <tableColumn id="6" xr3:uid="{6E76AFF9-2B2B-4764-8699-475EB6484C02}" name="Estoque" dataDxfId="2222">
      <calculatedColumnFormula>IF(A1="SUMÁRIO",TbKNCR11_DT[[#This Row],[Qtt Compra]],IF(G1+C2-D2&lt;0, "ERRO", G1+C2-D2))</calculatedColumnFormula>
    </tableColumn>
    <tableColumn id="7" xr3:uid="{7D378038-161A-42F7-8D02-5E54AEC1E796}" name="Taxa B3" dataDxfId="2221" dataCellStyle="Porcentagem">
      <calculatedColumnFormula>IF(AND(TRUNC((C2+D2)*E2*0.03%,2)=0,OR(C2&gt;0,D2&gt;0)),0.01,ROUNDUP((C2+D2)*E2*0.03%,2))</calculatedColumnFormula>
    </tableColumn>
    <tableColumn id="8" xr3:uid="{6DF8094E-A140-45FE-8DDA-8658F861E7E2}" name="Custo da operação" dataDxfId="2220" dataCellStyle="Porcentagem">
      <calculatedColumnFormula>F2+H2</calculatedColumnFormula>
    </tableColumn>
    <tableColumn id="9" xr3:uid="{524907B2-DC5F-4122-BD02-EE11141ABE4F}" name="Custo Total" dataDxfId="2219">
      <calculatedColumnFormula>IF(A1="SUMÁRIO",E2*C2+I2,J1+IF(C2&gt;0,I2+C2*E2,-D2*K1))</calculatedColumnFormula>
    </tableColumn>
    <tableColumn id="10" xr3:uid="{35FEDBC1-BDA2-4A77-8C45-B608308EE8E3}" name="Custo Médio" dataDxfId="2218">
      <calculatedColumnFormula>IF(G2=0,0,J2/G2)</calculatedColumnFormula>
    </tableColumn>
    <tableColumn id="11" xr3:uid="{46808A4A-A95A-4F0D-9567-FBC0A16EEFAC}" name="Resultado">
      <calculatedColumnFormula>IF(D2&gt;0,TRUNC(D2*E2-D2*K1-I2,2),"Não aplicável")</calculatedColumnFormula>
    </tableColumn>
    <tableColumn id="12" xr3:uid="{2ED717B1-2FBC-46BD-83A6-45EBCCA5768C}" name="Observação" dataDxfId="2217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9CD8ACC-122F-4692-989D-345A7A84F5EC}" name="TbKNCR11_ST" displayName="TbKNCR11_ST" ref="B1:M3" totalsRowShown="0" headerRowDxfId="2216">
  <autoFilter ref="B1:M3" xr:uid="{E9CD8ACC-122F-4692-989D-345A7A84F5EC}"/>
  <tableColumns count="12">
    <tableColumn id="1" xr3:uid="{D10B7D11-317A-4386-B89D-840F748D62CC}" name="Data da Movimentação" dataDxfId="2215"/>
    <tableColumn id="2" xr3:uid="{290E7301-C413-45F0-B600-E9A240782CE8}" name="Qtt Compra" dataDxfId="2214"/>
    <tableColumn id="3" xr3:uid="{6AFF62D0-58AF-4EF5-9FDC-1552339EB8F9}" name="Qtt Venda"/>
    <tableColumn id="4" xr3:uid="{F3D2CB44-B091-4F01-B693-E80D5A13389B}" name="Cotação" dataDxfId="2213" dataCellStyle="Porcentagem"/>
    <tableColumn id="5" xr3:uid="{DBAD98F4-62E2-4A0E-A745-AA822CF4FA50}" name="Corretagem" dataDxfId="2212" dataCellStyle="Porcentagem"/>
    <tableColumn id="6" xr3:uid="{68D77283-8C15-4F81-93A6-AA66FF2FA457}" name="Estoque" dataDxfId="2211">
      <calculatedColumnFormula>IF(A1="SUMÁRIO",TbKNCR11_ST[[#This Row],[Qtt Compra]],IF(G1+C2-D2&lt;0, "ERRO", G1+C2-D2))</calculatedColumnFormula>
    </tableColumn>
    <tableColumn id="7" xr3:uid="{E84EB536-E4A7-4477-84AF-DCB92E33343E}" name="Taxa B3" dataDxfId="2210" dataCellStyle="Porcentagem">
      <calculatedColumnFormula>IF(AND(TRUNC((C2+D2)*E2*0.03%,2)=0,OR(C2&gt;0,D2&gt;0)),0.01,ROUNDUP((C2+D2)*E2*0.03%,2))</calculatedColumnFormula>
    </tableColumn>
    <tableColumn id="8" xr3:uid="{B3720379-FE0D-4AF5-8DDF-C8177D2A8272}" name="Custo da operação" dataDxfId="2209" dataCellStyle="Porcentagem">
      <calculatedColumnFormula>F2+H2</calculatedColumnFormula>
    </tableColumn>
    <tableColumn id="9" xr3:uid="{DFA0F555-D5C7-412B-B669-378786118367}" name="Custo Total" dataDxfId="2208">
      <calculatedColumnFormula>IF(A1="SUMÁRIO",E2*C2+I2,J1+IF(C2&gt;0,I2+C2*E2,-D2*K1))</calculatedColumnFormula>
    </tableColumn>
    <tableColumn id="10" xr3:uid="{169BC50B-9622-4731-ADE2-876E28336840}" name="Custo Médio" dataDxfId="2207">
      <calculatedColumnFormula>IF(G2=0,0,J2/G2)</calculatedColumnFormula>
    </tableColumn>
    <tableColumn id="11" xr3:uid="{829A82C7-56AC-4373-88AD-CB02607CB877}" name="Resultado">
      <calculatedColumnFormula>IF(D2&gt;0,TRUNC(D2*E2-D2*K1-I2,2),"Não aplicável")</calculatedColumnFormula>
    </tableColumn>
    <tableColumn id="12" xr3:uid="{7956B03E-7364-4067-ADFB-968B312162A1}" name="Observação" dataDxfId="2206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C5D227F-0FC2-4F66-BF2D-7E476937D1B7}" name="TbMXRF11_DT" displayName="TbMXRF11_DT" ref="B1:M3" totalsRowShown="0" headerRowDxfId="2205">
  <autoFilter ref="B1:M3" xr:uid="{3C5D227F-0FC2-4F66-BF2D-7E476937D1B7}"/>
  <tableColumns count="12">
    <tableColumn id="1" xr3:uid="{5E321220-D1EA-4163-AB8E-027040C7820B}" name="Data da Movimentação" dataDxfId="2204"/>
    <tableColumn id="2" xr3:uid="{DE14A7D7-F095-493B-98F7-4AE1E1BFC13A}" name="Qtt Compra" dataDxfId="2203"/>
    <tableColumn id="3" xr3:uid="{17D4C859-5B95-4989-97B3-9DAF54CFC2B7}" name="Qtt Venda"/>
    <tableColumn id="4" xr3:uid="{6537C2E1-F899-4D3E-BDFE-641ED4C7F5E4}" name="Cotação" dataDxfId="2202" dataCellStyle="Porcentagem"/>
    <tableColumn id="5" xr3:uid="{DDDB470E-E15D-43C9-813A-5AB1237E4BFF}" name="Corretagem" dataDxfId="2201" dataCellStyle="Porcentagem"/>
    <tableColumn id="6" xr3:uid="{4005FFB5-74D7-4C36-9195-2EE3E89976A0}" name="Estoque" dataDxfId="2200">
      <calculatedColumnFormula>IF(A1="SUMÁRIO",TbMXRF11_DT[[#This Row],[Qtt Compra]],IF(G1+C2-D2&lt;0, "ERRO", G1+C2-D2))</calculatedColumnFormula>
    </tableColumn>
    <tableColumn id="7" xr3:uid="{7EDA9B99-5661-4904-AEAB-0D1BA7481FA5}" name="Taxa B3" dataDxfId="2199" dataCellStyle="Porcentagem">
      <calculatedColumnFormula>IF(AND(TRUNC((C2+D2)*E2*0.03%,2)=0,OR(C2&gt;0,D2&gt;0)),0.01,ROUNDUP((C2+D2)*E2*0.03%,2))</calculatedColumnFormula>
    </tableColumn>
    <tableColumn id="8" xr3:uid="{8D0EC55F-00E0-43D3-9C05-CC3357881118}" name="Custo da operação" dataDxfId="2198" dataCellStyle="Porcentagem">
      <calculatedColumnFormula>F2+H2</calculatedColumnFormula>
    </tableColumn>
    <tableColumn id="9" xr3:uid="{7BE766DA-856D-44EE-9632-9299B986B531}" name="Custo Total" dataDxfId="2197">
      <calculatedColumnFormula>IF(A1="SUMÁRIO",E2*C2+I2,J1+IF(C2&gt;0,I2+C2*E2,-D2*K1))</calculatedColumnFormula>
    </tableColumn>
    <tableColumn id="10" xr3:uid="{4233C30E-BEE3-4099-A09F-CBFA4AB88EF2}" name="Custo Médio" dataDxfId="2196">
      <calculatedColumnFormula>IF(G2=0,0,J2/G2)</calculatedColumnFormula>
    </tableColumn>
    <tableColumn id="11" xr3:uid="{201FC42B-B112-4199-86FC-1D46212EAF56}" name="Resultado">
      <calculatedColumnFormula>IF(D2&gt;0,TRUNC(D2*E2-D2*K1-I2,2),"Não aplicável")</calculatedColumnFormula>
    </tableColumn>
    <tableColumn id="12" xr3:uid="{FBC88FAF-1BAB-4D9A-B778-C8C22F3D5505}" name="Observação" dataDxfId="2195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A0161AB-2267-425A-B533-5BB2905C1C35}" name="TbMXRF11_ST" displayName="TbMXRF11_ST" ref="B1:M7" totalsRowShown="0" headerRowDxfId="2194">
  <autoFilter ref="B1:M7" xr:uid="{DA0161AB-2267-425A-B533-5BB2905C1C35}"/>
  <tableColumns count="12">
    <tableColumn id="1" xr3:uid="{2DEE312F-F2B9-45A4-9DC6-39C8FE81AC97}" name="Data da Movimentação" dataDxfId="2193"/>
    <tableColumn id="2" xr3:uid="{DA0C0EE9-8FDE-4335-97D1-DE97C3EA404D}" name="Qtt Compra" dataDxfId="2192"/>
    <tableColumn id="3" xr3:uid="{975F515A-58C5-445C-BC16-F6B29B6CB46D}" name="Qtt Venda" dataDxfId="2191"/>
    <tableColumn id="4" xr3:uid="{2C145979-C063-477D-B158-7EED57CEE942}" name="Cotação" dataDxfId="2190" dataCellStyle="Porcentagem"/>
    <tableColumn id="5" xr3:uid="{73804FD7-C025-4616-B5F5-F97277756E1D}" name="Corretagem" dataDxfId="2189" dataCellStyle="Porcentagem"/>
    <tableColumn id="6" xr3:uid="{FEF29F72-A10B-497F-A036-3C4494B023AD}" name="Estoque" dataDxfId="2188">
      <calculatedColumnFormula>IF(A1="SUMÁRIO",TbMXRF11_ST[[#This Row],[Qtt Compra]],IF(G1+C2-D2&lt;0, "ERRO", G1+C2-D2))</calculatedColumnFormula>
    </tableColumn>
    <tableColumn id="7" xr3:uid="{62C82D9E-FC87-492F-A599-244DE7CB0C89}" name="Taxa B3" dataDxfId="2187" dataCellStyle="Porcentagem">
      <calculatedColumnFormula>IF(AND(TRUNC((C2+D2)*E2*0.03%,2)=0,OR(C2&gt;0,D2&gt;0)),0.01,ROUNDUP((C2+D2)*E2*0.03%,2))</calculatedColumnFormula>
    </tableColumn>
    <tableColumn id="8" xr3:uid="{DFFE8008-989F-43D8-86E9-B329D8E096D0}" name="Custo da operação" dataDxfId="2186" dataCellStyle="Porcentagem">
      <calculatedColumnFormula>F2+H2</calculatedColumnFormula>
    </tableColumn>
    <tableColumn id="9" xr3:uid="{2699B858-429E-452E-BEE8-112FB32CF131}" name="Custo Total" dataDxfId="2185">
      <calculatedColumnFormula>IF(A1="SUMÁRIO",E2*C2+I2,J1+IF(C2&gt;0,I2+C2*E2,-D2*K1))</calculatedColumnFormula>
    </tableColumn>
    <tableColumn id="10" xr3:uid="{45960612-C30E-47E6-BD92-423CE1A96BD8}" name="Custo Médio" dataDxfId="2184">
      <calculatedColumnFormula>IF(G2=0,0,J2/G2)</calculatedColumnFormula>
    </tableColumn>
    <tableColumn id="11" xr3:uid="{7777DB86-97D4-4D85-A0FC-0F4C596A9293}" name="Resultado" dataDxfId="2183">
      <calculatedColumnFormula>IF(D2&gt;0,TRUNC(D2*E2-D2*K1-I2,2),"Não aplicável")</calculatedColumnFormula>
    </tableColumn>
    <tableColumn id="12" xr3:uid="{A69132CF-2A7D-4F89-A1BE-347BD74D5396}" name="Observação" dataDxfId="2182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80D216D2-B066-49BC-87C3-F890CD4B1D7A}" name="TbAZUL4F_DT" displayName="TbAZUL4F_DT" ref="B1:M3" totalsRowShown="0" headerRowDxfId="2181">
  <autoFilter ref="B1:M3" xr:uid="{80D216D2-B066-49BC-87C3-F890CD4B1D7A}"/>
  <tableColumns count="12">
    <tableColumn id="1" xr3:uid="{7C67059F-2E9C-46B9-A82F-5454F9316798}" name="Data da Movimentação" dataDxfId="2180"/>
    <tableColumn id="2" xr3:uid="{5984F683-884B-4064-A21C-4604B1403C20}" name="Qtt Compra" dataDxfId="2179"/>
    <tableColumn id="3" xr3:uid="{9916FC97-0AB0-4390-A6D8-325C26EB9731}" name="Qtt Venda"/>
    <tableColumn id="4" xr3:uid="{37A2FA70-6425-400F-B918-06834244E850}" name="Cotação" dataDxfId="2178" dataCellStyle="Porcentagem"/>
    <tableColumn id="5" xr3:uid="{80E52C21-D0B2-4CA0-A20B-1986EA27A2AD}" name="Corretagem" dataDxfId="2177" dataCellStyle="Porcentagem"/>
    <tableColumn id="6" xr3:uid="{F21050A4-D375-41BD-B299-01888892E7E1}" name="Estoque" dataDxfId="2176">
      <calculatedColumnFormula>IF(A1="SUMÁRIO",TbAZUL4F_DT[[#This Row],[Qtt Compra]],IF(G1+C2-D2&lt;0, "ERRO", G1+C2-D2))</calculatedColumnFormula>
    </tableColumn>
    <tableColumn id="7" xr3:uid="{7C844493-CC02-4865-BD7E-58E464008156}" name="Taxa B3" dataDxfId="2175" dataCellStyle="Porcentagem">
      <calculatedColumnFormula>IF(AND(TRUNC((C2+D2)*E2*0.03%,2)=0,OR(C2&gt;0,D2&gt;0)),0.01,ROUNDUP((C2+D2)*E2*0.03%,2))</calculatedColumnFormula>
    </tableColumn>
    <tableColumn id="8" xr3:uid="{F909181C-EB0A-4A1C-AB36-5F9530556083}" name="Custo da operação" dataDxfId="2174" dataCellStyle="Porcentagem">
      <calculatedColumnFormula>F2+H2</calculatedColumnFormula>
    </tableColumn>
    <tableColumn id="9" xr3:uid="{B264394B-BD01-4CBE-A473-AD21095D2CA7}" name="Custo Total" dataDxfId="2173">
      <calculatedColumnFormula>IF(A1="SUMÁRIO",E2*C2+I2,J1+IF(C2&gt;0,I2+C2*E2,-D2*K1))</calculatedColumnFormula>
    </tableColumn>
    <tableColumn id="10" xr3:uid="{BD35476D-805C-480D-84B1-344815781202}" name="Custo Médio" dataDxfId="2172">
      <calculatedColumnFormula>IF(G2=0,0,J2/G2)</calculatedColumnFormula>
    </tableColumn>
    <tableColumn id="11" xr3:uid="{AEEFF59D-4474-4575-AFB9-BA53D691C294}" name="Resultado">
      <calculatedColumnFormula>IF(D2&gt;0,TRUNC(D2*E2-D2*K1-I2,2),"Não aplicável")</calculatedColumnFormula>
    </tableColumn>
    <tableColumn id="12" xr3:uid="{BD2C9D71-279E-4BE2-BAA7-9D90BEF7B6B6}" name="Observação" dataDxfId="2171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D0FC5F2-6E87-4803-8719-76AA3D4495A7}" name="TbAZUL4F_ST" displayName="TbAZUL4F_ST" ref="B1:M10" totalsRowShown="0" headerRowDxfId="2170">
  <autoFilter ref="B1:M10" xr:uid="{AD0FC5F2-6E87-4803-8719-76AA3D4495A7}"/>
  <tableColumns count="12">
    <tableColumn id="1" xr3:uid="{3FD4B272-EA47-4DF1-905C-378A8D6D5B3C}" name="Data da Movimentação" dataDxfId="2169"/>
    <tableColumn id="2" xr3:uid="{775D0B3B-2057-4655-A543-C61ED01A1317}" name="Qtt Compra" dataDxfId="2168"/>
    <tableColumn id="3" xr3:uid="{D27B2859-A2F6-4756-AAF8-D849C625AAE5}" name="Qtt Venda" dataDxfId="2167"/>
    <tableColumn id="4" xr3:uid="{11F612E7-BCD5-4F76-8244-274C73D4E6DC}" name="Cotação" dataDxfId="2166" dataCellStyle="Porcentagem"/>
    <tableColumn id="5" xr3:uid="{BABDFA5A-92DC-4085-A6FC-BFE518463A70}" name="Corretagem" dataDxfId="2165" dataCellStyle="Porcentagem"/>
    <tableColumn id="6" xr3:uid="{4DC96092-7B33-467F-AC03-64DBFE91CC29}" name="Estoque" dataDxfId="2164">
      <calculatedColumnFormula>IF(A1="SUMÁRIO",TbAZUL4F_ST[[#This Row],[Qtt Compra]],IF(G1+C2-D2&lt;0, "ERRO", G1+C2-D2))</calculatedColumnFormula>
    </tableColumn>
    <tableColumn id="7" xr3:uid="{9DD5EC7F-7D67-4803-8536-B1D3F40C3EE4}" name="Taxa B3" dataDxfId="2163" dataCellStyle="Porcentagem">
      <calculatedColumnFormula>IF(AND(TRUNC((C2+D2)*E2*0.03%,2)=0,OR(C2&gt;0,D2&gt;0)),0.01,ROUNDUP((C2+D2)*E2*0.03%,2))</calculatedColumnFormula>
    </tableColumn>
    <tableColumn id="8" xr3:uid="{FBDB002B-6A43-4EBD-9F2A-EC67E9949AE7}" name="Custo da operação" dataDxfId="2162" dataCellStyle="Porcentagem">
      <calculatedColumnFormula>F2+H2</calculatedColumnFormula>
    </tableColumn>
    <tableColumn id="9" xr3:uid="{38461A95-3843-4637-87C8-5D604DD93548}" name="Custo Total" dataDxfId="2161">
      <calculatedColumnFormula>IF(A1="SUMÁRIO",E2*C2+I2,J1+IF(C2&gt;0,I2+C2*E2,-D2*K1))</calculatedColumnFormula>
    </tableColumn>
    <tableColumn id="10" xr3:uid="{FD88920B-24EA-4E1B-996F-0BBB48FB16F6}" name="Custo Médio" dataDxfId="2160">
      <calculatedColumnFormula>IF(G2=0,0,J2/G2)</calculatedColumnFormula>
    </tableColumn>
    <tableColumn id="11" xr3:uid="{B3FD5AE6-AC87-4E19-8FA2-F5D45E9EB379}" name="Resultado" dataDxfId="2159">
      <calculatedColumnFormula>IF(D2&gt;0,TRUNC(D2*E2-D2*K1-I2,2),"Não aplicável")</calculatedColumnFormula>
    </tableColumn>
    <tableColumn id="12" xr3:uid="{2B9719F5-2EAF-4839-BE8C-4126D7118DF8}" name="Observação" dataDxfId="2158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1BC4487-8F7D-41A0-B2E1-5AA0DDF28765}" name="TbEMBR3_DT" displayName="TbEMBR3_DT" ref="B1:M3" totalsRowShown="0" headerRowDxfId="2157">
  <autoFilter ref="B1:M3" xr:uid="{01BC4487-8F7D-41A0-B2E1-5AA0DDF28765}"/>
  <tableColumns count="12">
    <tableColumn id="1" xr3:uid="{C39814AE-D2F9-494A-92FC-2AA698E3D3C9}" name="Data da Movimentação" dataDxfId="2156"/>
    <tableColumn id="2" xr3:uid="{9285B6F6-F659-4967-B35D-00196D1C8CF9}" name="Qtt Compra" dataDxfId="2155"/>
    <tableColumn id="3" xr3:uid="{92B10416-8C4A-45E8-A44B-2A35868A9896}" name="Qtt Venda"/>
    <tableColumn id="4" xr3:uid="{4AD93C10-B646-4B04-8CDD-4D53F0B6EE52}" name="Cotação" dataDxfId="2154" dataCellStyle="Porcentagem"/>
    <tableColumn id="5" xr3:uid="{A5671901-A524-45FE-A079-BB4D25A6B7BC}" name="Corretagem" dataDxfId="2153" dataCellStyle="Porcentagem"/>
    <tableColumn id="6" xr3:uid="{7801EB2E-855D-47AE-8DC2-EACB64D028E3}" name="Estoque" dataDxfId="2152">
      <calculatedColumnFormula>IF(A1="SUMÁRIO",TbEMBR3_DT[[#This Row],[Qtt Compra]],IF(G1+C2-D2&lt;0, "ERRO", G1+C2-D2))</calculatedColumnFormula>
    </tableColumn>
    <tableColumn id="7" xr3:uid="{634D35D0-79DB-4E8C-BBB1-09B132FCDC4A}" name="Taxa B3" dataDxfId="2151" dataCellStyle="Porcentagem">
      <calculatedColumnFormula>IF(AND(TRUNC((C2+D2)*E2*0.03%,2)=0,OR(C2&gt;0,D2&gt;0)),0.01,ROUNDUP((C2+D2)*E2*0.03%,2))</calculatedColumnFormula>
    </tableColumn>
    <tableColumn id="8" xr3:uid="{A2F23ECC-21C7-4394-95C5-372D11A0DF14}" name="Custo da operação" dataDxfId="2150" dataCellStyle="Porcentagem">
      <calculatedColumnFormula>F2+H2</calculatedColumnFormula>
    </tableColumn>
    <tableColumn id="9" xr3:uid="{1CFEAD91-5AAB-4882-A2CF-CB09DBB792FE}" name="Custo Total" dataDxfId="2149">
      <calculatedColumnFormula>IF(A1="SUMÁRIO",E2*C2+I2,J1+IF(C2&gt;0,I2+C2*E2,-D2*K1))</calculatedColumnFormula>
    </tableColumn>
    <tableColumn id="10" xr3:uid="{5678B803-00F0-4872-B14B-45F8EC0DAC66}" name="Custo Médio" dataDxfId="2148">
      <calculatedColumnFormula>IF(G2=0,0,J2/G2)</calculatedColumnFormula>
    </tableColumn>
    <tableColumn id="11" xr3:uid="{1EBC1478-3E6C-4B6C-9E3F-0AF149A4303A}" name="Resultado">
      <calculatedColumnFormula>IF(D2&gt;0,TRUNC(D2*E2-D2*K1-I2,2),"Não aplicável")</calculatedColumnFormula>
    </tableColumn>
    <tableColumn id="12" xr3:uid="{B40EBF23-8994-415F-98C3-18B47E8E9221}" name="Observação" dataDxfId="2147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5CA8043-FE58-4001-9825-197DEBCE395F}" name="TbEMBR3_ST" displayName="TbEMBR3_ST" ref="B1:M10" totalsRowShown="0" headerRowDxfId="2146">
  <autoFilter ref="B1:M10" xr:uid="{75CA8043-FE58-4001-9825-197DEBCE395F}"/>
  <tableColumns count="12">
    <tableColumn id="1" xr3:uid="{234C1943-09E5-43E3-AC00-8E79B4A6BB5B}" name="Data da Movimentação" dataDxfId="2145"/>
    <tableColumn id="2" xr3:uid="{2AF1A0A4-2281-4E8F-A097-F9BBAD5361B7}" name="Qtt Compra" dataDxfId="2144"/>
    <tableColumn id="3" xr3:uid="{35214A57-BDA5-48F3-BADE-FDF3820F517D}" name="Qtt Venda" dataDxfId="2143"/>
    <tableColumn id="4" xr3:uid="{002399A3-FBEB-4E40-AC86-CEB9D5130153}" name="Cotação" dataDxfId="2142" dataCellStyle="Porcentagem"/>
    <tableColumn id="5" xr3:uid="{608D9863-7FA5-405A-923B-94012BC3C498}" name="Corretagem" dataDxfId="2141" dataCellStyle="Porcentagem"/>
    <tableColumn id="6" xr3:uid="{BB44EF2A-DF1E-4C97-AC94-64864955CC61}" name="Estoque" dataDxfId="2140">
      <calculatedColumnFormula>IF(A1="SUMÁRIO",TbEMBR3_ST[[#This Row],[Qtt Compra]],IF(G1+C2-D2&lt;0, "ERRO", G1+C2-D2))</calculatedColumnFormula>
    </tableColumn>
    <tableColumn id="7" xr3:uid="{0F571ADF-9267-4E75-8932-61C081FFB550}" name="Taxa B3" dataDxfId="2139" dataCellStyle="Porcentagem">
      <calculatedColumnFormula>IF(AND(TRUNC((C2+D2)*E2*0.03%,2)=0,OR(C2&gt;0,D2&gt;0)),0.01,ROUNDUP((C2+D2)*E2*0.03%,2))</calculatedColumnFormula>
    </tableColumn>
    <tableColumn id="8" xr3:uid="{7B1D9AB6-DF2B-4E20-8B43-9023F2BCF29F}" name="Custo da operação" dataDxfId="2138" dataCellStyle="Porcentagem">
      <calculatedColumnFormula>F2+H2</calculatedColumnFormula>
    </tableColumn>
    <tableColumn id="9" xr3:uid="{1823106C-45FE-4DB2-A918-E284523D6287}" name="Custo Total" dataDxfId="2137">
      <calculatedColumnFormula>IF(A1="SUMÁRIO",E2*C2+I2,J1+IF(C2&gt;0,I2+C2*E2,-D2*K1))</calculatedColumnFormula>
    </tableColumn>
    <tableColumn id="10" xr3:uid="{38D82019-C499-46A0-A9F3-875176F78572}" name="Custo Médio" dataDxfId="2136">
      <calculatedColumnFormula>IF(G2=0,0,J2/G2)</calculatedColumnFormula>
    </tableColumn>
    <tableColumn id="11" xr3:uid="{F0BABBDE-40F7-4692-9F1B-9E45F0DEC9FC}" name="Resultado" dataDxfId="2135">
      <calculatedColumnFormula>IF(D2&gt;0,TRUNC(D2*E2-D2*K1-I2,2),"Não aplicável")</calculatedColumnFormula>
    </tableColumn>
    <tableColumn id="12" xr3:uid="{13F334A8-7EE5-43E2-8723-447C2A9C9430}" name="Observação" dataDxfId="2134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0F76DE7-9EC3-49A2-AF0E-3D8F068FDB28}" name="TbPETR4F_DT" displayName="TbPETR4F_DT" ref="B1:M3" totalsRowShown="0" headerRowDxfId="2133">
  <autoFilter ref="B1:M3" xr:uid="{70F76DE7-9EC3-49A2-AF0E-3D8F068FDB28}"/>
  <tableColumns count="12">
    <tableColumn id="1" xr3:uid="{7A9E87C7-8146-46C6-909A-E4B98687B005}" name="Data da Movimentação" dataDxfId="2132"/>
    <tableColumn id="2" xr3:uid="{3BD61E6E-E268-4E5C-80A8-D2BD8D6C72D6}" name="Qtt Compra" dataDxfId="2131"/>
    <tableColumn id="3" xr3:uid="{E5936483-3CFA-4089-AF2C-7892F1338EF4}" name="Qtt Venda"/>
    <tableColumn id="4" xr3:uid="{5BAB52A6-C4DB-4023-A06D-504ADFC9EB17}" name="Cotação" dataDxfId="2130" dataCellStyle="Porcentagem"/>
    <tableColumn id="5" xr3:uid="{78384BD4-FAE5-4E4E-8A05-05E70D5C15C4}" name="Corretagem" dataDxfId="2129" dataCellStyle="Porcentagem"/>
    <tableColumn id="6" xr3:uid="{52DB53E6-19B9-46CE-8D6B-CFB3ED83BC4E}" name="Estoque" dataDxfId="2128">
      <calculatedColumnFormula>IF(A1="SUMÁRIO",E2*C2+I2,J1+IF(C2&gt;0,I2+C2*E2,-D2*K1))</calculatedColumnFormula>
    </tableColumn>
    <tableColumn id="7" xr3:uid="{AD8F9329-208D-4DF5-97CB-92B85267E239}" name="Taxa B3" dataDxfId="2127" dataCellStyle="Porcentagem">
      <calculatedColumnFormula>IF(AND(TRUNC((C2+D2)*E2*0.03%,2)=0,OR(C2&gt;0,D2&gt;0)),0.01,ROUNDUP((C2+D2)*E2*0.03%,2))</calculatedColumnFormula>
    </tableColumn>
    <tableColumn id="8" xr3:uid="{F1C3151A-98E1-4C60-83CB-1E7FB093745D}" name="Custo da operação" dataDxfId="2126" dataCellStyle="Porcentagem">
      <calculatedColumnFormula>F2+H2</calculatedColumnFormula>
    </tableColumn>
    <tableColumn id="9" xr3:uid="{D6F95784-E6AC-4842-A4E1-7546F7EE7C47}" name="Custo Total" dataDxfId="2125">
      <calculatedColumnFormula>IF(A1="SUMÁRIO",E2*C2+I2,J1+IF(C2&gt;0,I2+C2*E2,-D2*K1))</calculatedColumnFormula>
    </tableColumn>
    <tableColumn id="10" xr3:uid="{73F55C58-3C2F-42EC-9EDE-3A34DA3AB6BD}" name="Custo Médio" dataDxfId="2124">
      <calculatedColumnFormula>IF(G2=0,0,J2/G2)</calculatedColumnFormula>
    </tableColumn>
    <tableColumn id="11" xr3:uid="{3ED5D8EC-3405-4678-B01E-FA5ACFCACE2F}" name="Resultado">
      <calculatedColumnFormula>IF(D2&gt;0,TRUNC(D2*E2-D2*K1-I2,2),"Não aplicável")</calculatedColumnFormula>
    </tableColumn>
    <tableColumn id="12" xr3:uid="{83C766E6-474A-435D-97AD-C4239CDAA01E}" name="Observação" dataDxfId="2123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A539CDD-7AF2-45F1-AFC6-AE139E87D7C8}" name="TbPETR4F_ST" displayName="TbPETR4F_ST" ref="B1:M4" totalsRowShown="0" headerRowDxfId="2122">
  <autoFilter ref="B1:M4" xr:uid="{CA539CDD-7AF2-45F1-AFC6-AE139E87D7C8}"/>
  <tableColumns count="12">
    <tableColumn id="1" xr3:uid="{07A89E15-8102-45E7-8E04-08FAD0907B34}" name="Data da Movimentação" dataDxfId="2121"/>
    <tableColumn id="2" xr3:uid="{40ED081F-9B00-4214-9516-63BD137BBDFF}" name="Qtt Compra" dataDxfId="2120"/>
    <tableColumn id="3" xr3:uid="{CFEADF03-2352-420F-8926-3F147C03169C}" name="Qtt Venda"/>
    <tableColumn id="4" xr3:uid="{8BF1B318-84A5-467F-BFF1-24C575277326}" name="Cotação" dataDxfId="2119" dataCellStyle="Porcentagem"/>
    <tableColumn id="5" xr3:uid="{B9446FF3-90BC-44A4-8A11-557503072092}" name="Corretagem" dataDxfId="2118" dataCellStyle="Porcentagem"/>
    <tableColumn id="6" xr3:uid="{566BF51D-BB7B-4E0C-828C-D6AC4912B254}" name="Estoque" dataDxfId="2117">
      <calculatedColumnFormula>IF(A1="SUMÁRIO",TbPETR4F_ST[[#This Row],[Qtt Compra]],IF(G1+C2-D2&lt;0, "ERRO", G1+C2-D2))</calculatedColumnFormula>
    </tableColumn>
    <tableColumn id="7" xr3:uid="{9BD80BD9-F7BF-440E-8022-C180A093D023}" name="Taxa B3" dataDxfId="2116" dataCellStyle="Porcentagem">
      <calculatedColumnFormula>IF(AND(TRUNC((C2+D2)*E2*0.03%,2)=0,OR(C2&gt;0,D2&gt;0)),0.01,ROUNDUP((C2+D2)*E2*0.03%,2))</calculatedColumnFormula>
    </tableColumn>
    <tableColumn id="8" xr3:uid="{D80EA525-91B4-4D34-BC8B-539CFBD9DBE9}" name="Custo da operação" dataDxfId="2115" dataCellStyle="Porcentagem">
      <calculatedColumnFormula>F2+H2</calculatedColumnFormula>
    </tableColumn>
    <tableColumn id="9" xr3:uid="{0BF8BF0E-7C46-438A-A473-4B2478E875FE}" name="Custo Total" dataDxfId="2114">
      <calculatedColumnFormula>IF(A1="SUMÁRIO",E2*C2+I2,J1+IF(C2&gt;0,I2+C2*E2,-D2*K1))</calculatedColumnFormula>
    </tableColumn>
    <tableColumn id="10" xr3:uid="{D6779416-89A5-427D-86F7-B426223480FC}" name="Custo Médio" dataDxfId="2113">
      <calculatedColumnFormula>IF(G2=0,0,J2/G2)</calculatedColumnFormula>
    </tableColumn>
    <tableColumn id="11" xr3:uid="{984865B8-C7CE-48FC-BD12-93F726CD988D}" name="Resultado">
      <calculatedColumnFormula>IF(D2&gt;0,TRUNC(D2*E2-D2*K1-I2,2),"Não aplicável")</calculatedColumnFormula>
    </tableColumn>
    <tableColumn id="12" xr3:uid="{DEC332E2-5286-41A5-9104-46F644F96116}" name="Observação" dataDxfId="2112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3136022C-A548-4E7C-9A25-113A85C1A376}" name="TbPETR3F_DT" displayName="TbPETR3F_DT" ref="B1:M3" totalsRowShown="0" headerRowDxfId="2111">
  <autoFilter ref="B1:M3" xr:uid="{3136022C-A548-4E7C-9A25-113A85C1A376}"/>
  <tableColumns count="12">
    <tableColumn id="1" xr3:uid="{55791D52-34C6-4F20-82E7-4678698812E4}" name="Data da Movimentação" dataDxfId="2110"/>
    <tableColumn id="2" xr3:uid="{DA3192A0-BB33-4C47-8F58-6F2D543A76CB}" name="Qtt Compra" dataDxfId="2109"/>
    <tableColumn id="3" xr3:uid="{AD5C2238-B67C-489F-B4CB-8FE2C6C661A1}" name="Qtt Venda"/>
    <tableColumn id="4" xr3:uid="{A7061F3A-07E6-4CFD-80F5-147B76CEFCC8}" name="Cotação" dataDxfId="2108" dataCellStyle="Porcentagem"/>
    <tableColumn id="5" xr3:uid="{469802CF-3B64-49F2-A7E1-FE7752004815}" name="Corretagem" dataDxfId="2107" dataCellStyle="Porcentagem"/>
    <tableColumn id="6" xr3:uid="{824B4517-D948-4891-A455-AED1F5E10049}" name="Estoque" dataDxfId="2106">
      <calculatedColumnFormula>IF(A1="SUMÁRIO",TbPETR3F_DT[[#This Row],[Qtt Compra]],IF(G1+C2-D2&lt;0, "ERRO", G1+C2-D2))</calculatedColumnFormula>
    </tableColumn>
    <tableColumn id="7" xr3:uid="{B23B6C4F-6E4B-4877-ACB3-5B99D91C68F8}" name="Taxa B3" dataDxfId="2105" dataCellStyle="Porcentagem">
      <calculatedColumnFormula>IF(AND(TRUNC((C2+D2)*E2*0.03%,2)=0,OR(C2&gt;0,D2&gt;0)),0.01,ROUNDUP((C2+D2)*E2*0.03%,2))</calculatedColumnFormula>
    </tableColumn>
    <tableColumn id="8" xr3:uid="{45E76FAE-FB54-4B4C-A3B0-9E2C308980B9}" name="Custo da operação" dataDxfId="2104" dataCellStyle="Porcentagem">
      <calculatedColumnFormula>F2+H2</calculatedColumnFormula>
    </tableColumn>
    <tableColumn id="9" xr3:uid="{78CAA4AB-E67E-4954-BDA1-26B97E502F7B}" name="Custo Total" dataDxfId="2103">
      <calculatedColumnFormula>IF(A1="SUMÁRIO",E2*C2+I2,J1+IF(C2&gt;0,I2+C2*E2,-D2*K1))</calculatedColumnFormula>
    </tableColumn>
    <tableColumn id="10" xr3:uid="{B7BF4376-7A32-4FF8-ACD5-14AA7214AB24}" name="Custo Médio" dataDxfId="2102">
      <calculatedColumnFormula>IF(G2=0,0,J2/G2)</calculatedColumnFormula>
    </tableColumn>
    <tableColumn id="11" xr3:uid="{76F8AB6B-DAD5-4834-8323-B34596628C01}" name="Resultado">
      <calculatedColumnFormula>IF(D2&gt;0,TRUNC(D2*E2-D2*K1-I2,2),"Não aplicável")</calculatedColumnFormula>
    </tableColumn>
    <tableColumn id="12" xr3:uid="{763E277E-D2E2-45FD-BB58-DF7D8D51FA70}" name="Observação" dataDxfId="2101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D441F9FA-3887-4E21-AC50-2DE8485541EC}" name="TbPETR3F_ST" displayName="TbPETR3F_ST" ref="B1:M5" totalsRowShown="0" headerRowDxfId="2100">
  <autoFilter ref="B1:M5" xr:uid="{D441F9FA-3887-4E21-AC50-2DE8485541EC}"/>
  <tableColumns count="12">
    <tableColumn id="1" xr3:uid="{2038EFCE-34AA-4290-9858-5529E651D29E}" name="Data da Movimentação" dataDxfId="2099"/>
    <tableColumn id="2" xr3:uid="{24F67DEA-01FA-415A-8D91-B05260DDC879}" name="Qtt Compra" dataDxfId="2098"/>
    <tableColumn id="3" xr3:uid="{0FA3BC76-D0AB-4D9F-B438-715007E37CA0}" name="Qtt Venda"/>
    <tableColumn id="4" xr3:uid="{85AAD47B-7B28-438D-9A85-50D20B20AF46}" name="Cotação" dataDxfId="2097" dataCellStyle="Porcentagem"/>
    <tableColumn id="5" xr3:uid="{77ECB930-AC29-4C85-937F-727138B3B80A}" name="Corretagem" dataDxfId="2096" dataCellStyle="Porcentagem"/>
    <tableColumn id="6" xr3:uid="{43100C0B-521A-4E1A-84B3-312C39C38F94}" name="Estoque" dataDxfId="2095">
      <calculatedColumnFormula>IF(A1="SUMÁRIO",TbPETR3F_ST[[#This Row],[Qtt Compra]],IF(G1+C2-D2&lt;0, "ERRO", G1+C2-D2))</calculatedColumnFormula>
    </tableColumn>
    <tableColumn id="7" xr3:uid="{02F40FC8-4F9F-4882-A5B3-797B120951F2}" name="Taxa B3" dataDxfId="2094" dataCellStyle="Porcentagem">
      <calculatedColumnFormula>IF(AND(TRUNC((C2+D2)*E2*0.03%,2)=0,OR(C2&gt;0,D2&gt;0)),0.01,ROUNDUP((C2+D2)*E2*0.03%,2))</calculatedColumnFormula>
    </tableColumn>
    <tableColumn id="8" xr3:uid="{EFC519F3-97E1-4CD7-BC44-58C53090FC5F}" name="Custo da operação" dataDxfId="2093" dataCellStyle="Porcentagem">
      <calculatedColumnFormula>F2+H2</calculatedColumnFormula>
    </tableColumn>
    <tableColumn id="9" xr3:uid="{F4A47459-6716-417C-86EC-959B761F63AB}" name="Custo Total" dataDxfId="2092">
      <calculatedColumnFormula>IF(A1="SUMÁRIO",E2*C2+I2,J1+IF(C2&gt;0,I2+C2*E2,-D2*K1))</calculatedColumnFormula>
    </tableColumn>
    <tableColumn id="10" xr3:uid="{50667CBE-B585-4EA8-9CA1-483800DF0FFA}" name="Custo Médio" dataDxfId="2091">
      <calculatedColumnFormula>IF(G2=0,0,J2/G2)</calculatedColumnFormula>
    </tableColumn>
    <tableColumn id="11" xr3:uid="{63C9BBBA-5E8B-4B98-BC34-4A9CE1B4B698}" name="Resultado">
      <calculatedColumnFormula>IF(D2&gt;0,TRUNC(D2*E2-D2*K1-I2,2),"Não aplicável")</calculatedColumnFormula>
    </tableColumn>
    <tableColumn id="12" xr3:uid="{DB10B29A-9A60-45CB-A376-0EDBE1FC453D}" name="Observação" dataDxfId="2090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713BEE6A-6B5A-4BCD-AB81-0FC388D59F32}" name="TbBBAS3_DT" displayName="TbBBAS3_DT" ref="B1:M3" totalsRowShown="0" headerRowDxfId="2089">
  <autoFilter ref="B1:M3" xr:uid="{713BEE6A-6B5A-4BCD-AB81-0FC388D59F32}"/>
  <tableColumns count="12">
    <tableColumn id="1" xr3:uid="{C67444B5-7237-4031-AAB2-4FC992011ECF}" name="Data da Movimentação" dataDxfId="2088"/>
    <tableColumn id="2" xr3:uid="{F448D878-86DC-43BB-AB05-AE3CA8782D8D}" name="Qtt Compra" dataDxfId="2087"/>
    <tableColumn id="3" xr3:uid="{FA05B52D-07DB-43D4-A16B-D5DA011E9D61}" name="Qtt Venda"/>
    <tableColumn id="4" xr3:uid="{5A7D840E-DE3E-47E7-8112-061BE8FC8A44}" name="Cotação" dataDxfId="2086" dataCellStyle="Porcentagem"/>
    <tableColumn id="5" xr3:uid="{E1BE3D4B-5F22-47F4-AF81-33A7A06249C2}" name="Corretagem" dataDxfId="2085" dataCellStyle="Porcentagem"/>
    <tableColumn id="6" xr3:uid="{C85428B8-EDDC-4542-BE20-EE6CEF37B6CD}" name="Estoque" dataDxfId="2084">
      <calculatedColumnFormula>IF(A1="SUMÁRIO",TbBBAS3_DT[[#This Row],[Qtt Compra]],IF(G1+C2-D2&lt;0, "ERRO", G1+C2-D2))</calculatedColumnFormula>
    </tableColumn>
    <tableColumn id="7" xr3:uid="{8B1E9208-19C9-4AEB-9F10-155C1AB2C023}" name="Taxa B3" dataDxfId="2083" dataCellStyle="Porcentagem">
      <calculatedColumnFormula>IF(AND(TRUNC((C2+D2)*E2*0.03%,2)=0,OR(C2&gt;0,D2&gt;0)),0.01,ROUNDUP((C2+D2)*E2*0.03%,2))</calculatedColumnFormula>
    </tableColumn>
    <tableColumn id="8" xr3:uid="{704D5DE8-81A6-48EA-9691-6995E1965020}" name="Custo da operação" dataDxfId="2082" dataCellStyle="Porcentagem">
      <calculatedColumnFormula>F2+H2</calculatedColumnFormula>
    </tableColumn>
    <tableColumn id="9" xr3:uid="{ACD44562-A552-449B-B4DD-78E8B5C28C80}" name="Custo Total" dataDxfId="2081">
      <calculatedColumnFormula>IF(A1="SUMÁRIO",E2*C2+I2,J1+IF(C2&gt;0,I2+C2*E2,-D2*K1))</calculatedColumnFormula>
    </tableColumn>
    <tableColumn id="10" xr3:uid="{113076FC-B1EA-4267-9A15-9A4BEAED2850}" name="Custo Médio" dataDxfId="2080">
      <calculatedColumnFormula>IF(G2=0,0,J2/G2)</calculatedColumnFormula>
    </tableColumn>
    <tableColumn id="11" xr3:uid="{FFBE0A16-1151-4BD0-AD17-AB8F280B2346}" name="Resultado">
      <calculatedColumnFormula>IF(D2&gt;0,TRUNC(D2*E2-D2*K1-I2,2),"Não aplicável")</calculatedColumnFormula>
    </tableColumn>
    <tableColumn id="12" xr3:uid="{17A29ADE-761C-4DB2-BD82-8FAB1149AD8B}" name="Observação" dataDxfId="2079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5CB9CCC-F248-4924-880B-C58E9A59D5F7}" name="TbBBAS3_ST" displayName="TbBBAS3_ST" ref="B1:M3" totalsRowShown="0" headerRowDxfId="2078">
  <autoFilter ref="B1:M3" xr:uid="{45CB9CCC-F248-4924-880B-C58E9A59D5F7}"/>
  <tableColumns count="12">
    <tableColumn id="1" xr3:uid="{7F36BA39-A2BF-4005-A314-94AC4FC381FB}" name="Data da Movimentação" dataDxfId="2077"/>
    <tableColumn id="2" xr3:uid="{DBE828E6-0712-43F7-99AD-C774F61649DF}" name="Qtt Compra" dataDxfId="2076"/>
    <tableColumn id="3" xr3:uid="{30708BDF-7EB8-478A-989A-F7ED7B32B4D9}" name="Qtt Venda"/>
    <tableColumn id="4" xr3:uid="{599AA035-D316-43C7-A447-2CE53F1BBC48}" name="Cotação" dataDxfId="2075" dataCellStyle="Porcentagem">
      <calculatedColumnFormula>97.05/3</calculatedColumnFormula>
    </tableColumn>
    <tableColumn id="5" xr3:uid="{75884302-9CF1-4135-875E-E021779B9BF7}" name="Corretagem" dataDxfId="2074" dataCellStyle="Porcentagem"/>
    <tableColumn id="6" xr3:uid="{0DDE0599-64C8-49EA-9530-4D9BDB722602}" name="Estoque" dataDxfId="2073">
      <calculatedColumnFormula>IF(A1="SUMÁRIO",TbBBAS3_ST[[#This Row],[Qtt Compra]],IF(G1+C2-D2&lt;0, "ERRO", G1+C2-D2))</calculatedColumnFormula>
    </tableColumn>
    <tableColumn id="7" xr3:uid="{6466D549-BA05-48CA-A05B-2C673424B00A}" name="Taxa B3" dataDxfId="2072" dataCellStyle="Porcentagem">
      <calculatedColumnFormula>IF(AND(TRUNC((C2+D2)*E2*0.03%,2)=0,OR(C2&gt;0,D2&gt;0)),0.01,ROUNDUP((C2+D2)*E2*0.03%,2))</calculatedColumnFormula>
    </tableColumn>
    <tableColumn id="8" xr3:uid="{20AB46A8-B948-42EC-B752-CD30FF256B6C}" name="Custo da operação" dataDxfId="2071" dataCellStyle="Porcentagem">
      <calculatedColumnFormula>F2+H2</calculatedColumnFormula>
    </tableColumn>
    <tableColumn id="9" xr3:uid="{452D79BE-AB61-498F-BE80-E396FA98F8D0}" name="Custo Total" dataDxfId="2070">
      <calculatedColumnFormula>IF(A1="SUMÁRIO",E2*C2+I2,J1+IF(C2&gt;0,I2+C2*E2,-D2*K1))</calculatedColumnFormula>
    </tableColumn>
    <tableColumn id="10" xr3:uid="{E7C3F5EE-0C8E-4DDE-AA85-05D09E4C56E6}" name="Custo Médio" dataDxfId="2069">
      <calculatedColumnFormula>IF(G2=0,0,J2/G2)</calculatedColumnFormula>
    </tableColumn>
    <tableColumn id="11" xr3:uid="{D46E695E-9594-464A-A9EB-DAD292A67DE9}" name="Resultado">
      <calculatedColumnFormula>IF(D2&gt;0,TRUNC(D2*E2-D2*K1-I2,2),"Não aplicável")</calculatedColumnFormula>
    </tableColumn>
    <tableColumn id="12" xr3:uid="{255EAD93-2B1B-4F8A-9DA0-6836F37104BF}" name="Observação" dataDxfId="2068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E2EF51D9-41B1-4887-A486-7FF665BB3293}" name="TbBBSE3F_DT" displayName="TbBBSE3F_DT" ref="B1:M3" totalsRowShown="0" headerRowDxfId="2067">
  <autoFilter ref="B1:M3" xr:uid="{E2EF51D9-41B1-4887-A486-7FF665BB3293}"/>
  <tableColumns count="12">
    <tableColumn id="1" xr3:uid="{AF084DFA-866E-4140-AFE8-08D76CD04732}" name="Data da Movimentação" dataDxfId="2066"/>
    <tableColumn id="2" xr3:uid="{617E24B3-B8BE-4094-90E4-C1D7529121F1}" name="Qtt Compra" dataDxfId="2065"/>
    <tableColumn id="3" xr3:uid="{6B1733B1-FE45-4E75-8083-328E0148ACA0}" name="Qtt Venda"/>
    <tableColumn id="4" xr3:uid="{7EE27414-B774-443B-84D5-27F444CF9489}" name="Cotação" dataDxfId="2064" dataCellStyle="Porcentagem"/>
    <tableColumn id="5" xr3:uid="{E794766D-9522-48D6-B520-49F456822B33}" name="Corretagem" dataDxfId="2063" dataCellStyle="Porcentagem"/>
    <tableColumn id="6" xr3:uid="{FB5BD663-67EC-4F01-A412-3EAD9680D920}" name="Estoque" dataDxfId="2062">
      <calculatedColumnFormula>IF(A1="SUMÁRIO",TbBBSE3F_DT[[#This Row],[Qtt Compra]],IF(G1+C2-D2&lt;0, "ERRO", G1+C2-D2))</calculatedColumnFormula>
    </tableColumn>
    <tableColumn id="7" xr3:uid="{7BDE5C30-BA4D-40E5-ACCF-26C1D0714372}" name="Taxa B3" dataDxfId="2061" dataCellStyle="Porcentagem">
      <calculatedColumnFormula>IF(AND(TRUNC((C2+D2)*E2*0.03%,2)=0,OR(C2&gt;0,D2&gt;0)),0.01,ROUNDUP((C2+D2)*E2*0.03%,2))</calculatedColumnFormula>
    </tableColumn>
    <tableColumn id="8" xr3:uid="{3EFC133D-3C14-465A-80FD-F6A5C5FD2712}" name="Custo da operação" dataDxfId="2060" dataCellStyle="Porcentagem">
      <calculatedColumnFormula>F2+H2</calculatedColumnFormula>
    </tableColumn>
    <tableColumn id="9" xr3:uid="{D2488574-6EE4-4EDB-A23B-5354FD257727}" name="Custo Total" dataDxfId="2059">
      <calculatedColumnFormula>IF(A1="SUMÁRIO",E2*C2+I2,J1+IF(C2&gt;0,I2+C2*E2,-D2*K1))</calculatedColumnFormula>
    </tableColumn>
    <tableColumn id="10" xr3:uid="{EA50C6E1-69E5-4A78-A7A5-BE04E925BA4A}" name="Custo Médio" dataDxfId="2058">
      <calculatedColumnFormula>IF(G2=0,0,J2/G2)</calculatedColumnFormula>
    </tableColumn>
    <tableColumn id="11" xr3:uid="{A24F0CA1-7AA1-4D7E-AD85-573298510545}" name="Resultado">
      <calculatedColumnFormula>IF(D2&gt;0,TRUNC(D2*E2-D2*K1-I2,2),"Não aplicável")</calculatedColumnFormula>
    </tableColumn>
    <tableColumn id="12" xr3:uid="{5F459066-CBB4-4D63-B1BA-5D82E29C02F2}" name="Observação" dataDxfId="2057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8DAC846B-C10B-4AA6-9982-EBF45FFC5452}" name="TbBBSE3F_ST" displayName="TbBBSE3F_ST" ref="B1:M3" totalsRowShown="0" headerRowDxfId="2056">
  <autoFilter ref="B1:M3" xr:uid="{8DAC846B-C10B-4AA6-9982-EBF45FFC5452}"/>
  <tableColumns count="12">
    <tableColumn id="1" xr3:uid="{CB48BAF3-4AE2-46E2-BF43-B907B594868E}" name="Data da Movimentação" dataDxfId="2055"/>
    <tableColumn id="2" xr3:uid="{EE4CF291-7FF1-4966-B443-531A3CE30345}" name="Qtt Compra" dataDxfId="2054"/>
    <tableColumn id="3" xr3:uid="{16528795-FD85-4F5F-AB54-B429CEA32E16}" name="Qtt Venda"/>
    <tableColumn id="4" xr3:uid="{68C1A977-A061-4CEC-83C1-01C6905D6EDC}" name="Cotação" dataDxfId="2053" dataCellStyle="Porcentagem"/>
    <tableColumn id="5" xr3:uid="{75AE7B38-9003-4339-ACEC-607849CB268F}" name="Corretagem" dataDxfId="2052" dataCellStyle="Porcentagem"/>
    <tableColumn id="6" xr3:uid="{D07D7EAC-5E96-4CD5-A061-ADA92FC607B0}" name="Estoque" dataDxfId="2051">
      <calculatedColumnFormula>IF(A1="SUMÁRIO",TbBBSE3F_ST[[#This Row],[Qtt Compra]],IF(G1+C2-D2&lt;0, "ERRO", G1+C2-D2))</calculatedColumnFormula>
    </tableColumn>
    <tableColumn id="7" xr3:uid="{E30FC0A5-7CE7-4D31-8CF3-CF3A40626265}" name="Taxa B3" dataDxfId="2050" dataCellStyle="Porcentagem">
      <calculatedColumnFormula>IF(AND(TRUNC((C2+D2)*E2*0.03%,2)=0,OR(C2&gt;0,D2&gt;0)),0.01,ROUNDUP((C2+D2)*E2*0.03%,2))</calculatedColumnFormula>
    </tableColumn>
    <tableColumn id="8" xr3:uid="{42038561-E602-447E-AC82-C98F24B2A924}" name="Custo da operação" dataDxfId="2049" dataCellStyle="Porcentagem">
      <calculatedColumnFormula>F2+H2</calculatedColumnFormula>
    </tableColumn>
    <tableColumn id="9" xr3:uid="{17793288-74B1-4E93-B84D-C0BA56301291}" name="Custo Total" dataDxfId="2048">
      <calculatedColumnFormula>IF(A1="SUMÁRIO",E2*C2+I2,J1+IF(C2&gt;0,I2+C2*E2,-D2*K1))</calculatedColumnFormula>
    </tableColumn>
    <tableColumn id="10" xr3:uid="{25928504-B1C5-4CA0-9124-72CF299BD691}" name="Custo Médio" dataDxfId="2047">
      <calculatedColumnFormula>IF(G2=0,0,J2/G2)</calculatedColumnFormula>
    </tableColumn>
    <tableColumn id="11" xr3:uid="{403C39A2-DFD2-4D94-811C-E65ABC7D5DA8}" name="Resultado">
      <calculatedColumnFormula>IF(D2&gt;0,TRUNC(D2*E2-D2*K1-I2,2),"Não aplicável")</calculatedColumnFormula>
    </tableColumn>
    <tableColumn id="12" xr3:uid="{79A4A549-5917-488D-85E5-A9EF34B48BA3}" name="Observação" dataDxfId="2046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F2ABC73D-F71E-4B02-BAA1-47399A92D645}" name="TbBBDC4_DT" displayName="TbBBDC4_DT" ref="B1:M3" totalsRowShown="0" headerRowDxfId="2045">
  <autoFilter ref="B1:M3" xr:uid="{F2ABC73D-F71E-4B02-BAA1-47399A92D645}"/>
  <tableColumns count="12">
    <tableColumn id="1" xr3:uid="{46349AB7-BBDA-46A3-AC9A-6CC89814204E}" name="Data da Movimentação" dataDxfId="2044"/>
    <tableColumn id="2" xr3:uid="{A2F44224-7BC2-453E-BDB8-2BD756C3B2CE}" name="Qtt Compra" dataDxfId="2043"/>
    <tableColumn id="3" xr3:uid="{31BA07E3-1C02-4D66-A6A0-D161445F3744}" name="Qtt Venda"/>
    <tableColumn id="4" xr3:uid="{316929C5-7431-48E8-A070-2E73D30D2973}" name="Cotação" dataDxfId="2042" dataCellStyle="Porcentagem"/>
    <tableColumn id="5" xr3:uid="{326A848A-25E9-42BB-9FB3-A2452E70C37B}" name="Corretagem" dataDxfId="2041" dataCellStyle="Porcentagem"/>
    <tableColumn id="6" xr3:uid="{CE7B0DAB-8837-409A-9A0A-56834624F2A0}" name="Estoque" dataDxfId="2040">
      <calculatedColumnFormula>IF(A1="SUMÁRIO",TbBBDC4_DT[[#This Row],[Qtt Compra]],IF(G1+C2-D2&lt;0, "ERRO", G1+C2-D2))</calculatedColumnFormula>
    </tableColumn>
    <tableColumn id="7" xr3:uid="{44277E2F-85C8-436A-8E72-1F0963C7C943}" name="Taxa B3" dataDxfId="2039" dataCellStyle="Porcentagem">
      <calculatedColumnFormula>IF(AND(TRUNC((C2+D2)*E2*0.03%,2)=0,OR(C2&gt;0,D2&gt;0)),0.01,ROUNDUP((C2+D2)*E2*0.03%,2))</calculatedColumnFormula>
    </tableColumn>
    <tableColumn id="8" xr3:uid="{F386D242-9C28-42AE-A9D1-B0D1EDAE9AF6}" name="Custo da operação" dataDxfId="2038" dataCellStyle="Porcentagem">
      <calculatedColumnFormula>F2+H2</calculatedColumnFormula>
    </tableColumn>
    <tableColumn id="9" xr3:uid="{D56A71FF-4781-42C9-98F2-BEE3EB2F562C}" name="Custo Total" dataDxfId="2037">
      <calculatedColumnFormula>IF(A1="SUMÁRIO",E2*C2+I2,J1+IF(C2&gt;0,I2+C2*E2,-D2*K1))</calculatedColumnFormula>
    </tableColumn>
    <tableColumn id="10" xr3:uid="{CE377B41-2CA8-4C8E-9F2D-069558B9CE16}" name="Custo Médio" dataDxfId="2036">
      <calculatedColumnFormula>IF(G2=0,0,J2/G2)</calculatedColumnFormula>
    </tableColumn>
    <tableColumn id="11" xr3:uid="{14268031-143D-4DD6-959E-41F05B73A03E}" name="Resultado">
      <calculatedColumnFormula>IF(D2&gt;0,TRUNC(D2*E2-D2*K1-I2,2),"Não aplicável")</calculatedColumnFormula>
    </tableColumn>
    <tableColumn id="12" xr3:uid="{BD1632A2-AAB9-4C46-99AA-9D2BDC80EFBE}" name="Observação" dataDxfId="2035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CF5B176-B170-4DD7-BB30-3E13DE1A4539}" name="TbBBDC4_ST" displayName="TbBBDC4_ST" ref="B1:M3" totalsRowShown="0" headerRowDxfId="2034">
  <autoFilter ref="B1:M3" xr:uid="{DCF5B176-B170-4DD7-BB30-3E13DE1A4539}"/>
  <tableColumns count="12">
    <tableColumn id="1" xr3:uid="{3B1C8B30-438E-4D56-9F8E-7EB1AF2CA8CF}" name="Data da Movimentação" dataDxfId="2033"/>
    <tableColumn id="2" xr3:uid="{2B9E931F-8670-4B06-98FA-6D12B4A53560}" name="Qtt Compra" dataDxfId="2032"/>
    <tableColumn id="3" xr3:uid="{700FAD49-CF99-45FA-8C7D-E421F00908BD}" name="Qtt Venda"/>
    <tableColumn id="4" xr3:uid="{075DC5AF-0A2A-4587-982D-6D47BD508F79}" name="Cotação" dataDxfId="2031" dataCellStyle="Porcentagem"/>
    <tableColumn id="5" xr3:uid="{B7E4E37D-F29D-482D-9145-61245FBA975B}" name="Corretagem" dataDxfId="2030" dataCellStyle="Porcentagem"/>
    <tableColumn id="6" xr3:uid="{91995AB9-E753-43E8-9A2B-49F44FFB3B4D}" name="Estoque" dataDxfId="2029">
      <calculatedColumnFormula>IF(A1="SUMÁRIO",TbBBDC4_ST[[#This Row],[Qtt Compra]],IF(G1+C2-D2&lt;0, "ERRO", G1+C2-D2))</calculatedColumnFormula>
    </tableColumn>
    <tableColumn id="7" xr3:uid="{39CF5886-4037-4722-A922-29E490D45C46}" name="Taxa B3" dataDxfId="2028" dataCellStyle="Porcentagem">
      <calculatedColumnFormula>IF(AND(TRUNC((C2+D2)*E2*0.03%,2)=0,OR(C2&gt;0,D2&gt;0)),0.01,ROUNDUP((C2+D2)*E2*0.03%,2))</calculatedColumnFormula>
    </tableColumn>
    <tableColumn id="8" xr3:uid="{8AE34B6C-03C4-4561-87B7-DBA30090D8C5}" name="Custo da operação" dataDxfId="2027" dataCellStyle="Porcentagem">
      <calculatedColumnFormula>F2+H2</calculatedColumnFormula>
    </tableColumn>
    <tableColumn id="9" xr3:uid="{82D78E15-F8BC-4D4C-8517-5FE9BE156197}" name="Custo Total" dataDxfId="2026">
      <calculatedColumnFormula>IF(A1="SUMÁRIO",E2*C2+I2,J1+IF(C2&gt;0,I2+C2*E2,-D2*K1))</calculatedColumnFormula>
    </tableColumn>
    <tableColumn id="10" xr3:uid="{384EE1B8-3B07-4ADF-A49D-2425FE75B750}" name="Custo Médio" dataDxfId="2025">
      <calculatedColumnFormula>IF(G2=0,0,J2/G2)</calculatedColumnFormula>
    </tableColumn>
    <tableColumn id="11" xr3:uid="{C88C7159-0D92-4E94-8B1D-FCEFEA24C893}" name="Resultado">
      <calculatedColumnFormula>IF(D2&gt;0,TRUNC(D2*E2-D2*K1-I2,2),"Não aplicável")</calculatedColumnFormula>
    </tableColumn>
    <tableColumn id="12" xr3:uid="{21A09E2B-0159-41AB-987A-AC30F1FCAF28}" name="Observação" dataDxfId="2024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310BBE04-0A88-4AB5-98C3-70FC22D0E9D6}" name="TbBIDI3F_DT" displayName="TbBIDI3F_DT" ref="B1:M3" totalsRowShown="0" headerRowDxfId="2023">
  <autoFilter ref="B1:M3" xr:uid="{310BBE04-0A88-4AB5-98C3-70FC22D0E9D6}"/>
  <tableColumns count="12">
    <tableColumn id="1" xr3:uid="{DB6B23A2-EE8B-4D2F-9B0A-EFB65536744E}" name="Data da Movimentação" dataDxfId="2022"/>
    <tableColumn id="2" xr3:uid="{E953437D-4C00-46D2-9F2A-E9B4BA81EFFD}" name="Qtt Compra" dataDxfId="2021"/>
    <tableColumn id="3" xr3:uid="{1FE15234-F3FB-4E45-9452-76733ACA88A9}" name="Qtt Venda"/>
    <tableColumn id="4" xr3:uid="{AE65AAC6-BF24-46AC-9A85-EFEA083383EF}" name="Cotação" dataDxfId="2020" dataCellStyle="Porcentagem"/>
    <tableColumn id="5" xr3:uid="{949C9E50-904A-4426-909E-944B8520A31A}" name="Corretagem" dataDxfId="2019" dataCellStyle="Porcentagem"/>
    <tableColumn id="6" xr3:uid="{C487D717-FC0A-47EE-9FC4-B8A9C4C98CEF}" name="Estoque" dataDxfId="2018">
      <calculatedColumnFormula>IF(A1="SUMÁRIO",TbBIDI3F_DT[[#This Row],[Qtt Compra]],IF(G1+C2-D2&lt;0, "ERRO", G1+C2-D2))</calculatedColumnFormula>
    </tableColumn>
    <tableColumn id="7" xr3:uid="{2D90BFCD-89E5-4AF8-9119-DB4928E8F477}" name="Taxa B3" dataDxfId="2017" dataCellStyle="Porcentagem">
      <calculatedColumnFormula>IF(AND(TRUNC((C2+D2)*E2*0.03%,2)=0,OR(C2&gt;0,D2&gt;0)),0.01,ROUNDUP((C2+D2)*E2*0.03%,2))</calculatedColumnFormula>
    </tableColumn>
    <tableColumn id="8" xr3:uid="{E118B84E-6ADB-410D-A119-8334981C4CA4}" name="Custo da operação" dataDxfId="2016" dataCellStyle="Porcentagem">
      <calculatedColumnFormula>F2+H2</calculatedColumnFormula>
    </tableColumn>
    <tableColumn id="9" xr3:uid="{D84668C3-32F5-4E27-B8E9-CE15DF581D37}" name="Custo Total" dataDxfId="2015">
      <calculatedColumnFormula>IF(A1="SUMÁRIO",E2*C2+I2,J1+IF(C2&gt;0,I2+C2*E2,-D2*K1))</calculatedColumnFormula>
    </tableColumn>
    <tableColumn id="10" xr3:uid="{A840A919-AC87-4453-91E7-05BA053BD2E3}" name="Custo Médio" dataDxfId="2014">
      <calculatedColumnFormula>IF(G2=0,0,J2/G2)</calculatedColumnFormula>
    </tableColumn>
    <tableColumn id="11" xr3:uid="{9E75724D-7169-41A5-BCA2-BFB7F2B5FB3B}" name="Resultado">
      <calculatedColumnFormula>IF(D2&gt;0,TRUNC(D2*E2-D2*K1-I2,2),"Não aplicável")</calculatedColumnFormula>
    </tableColumn>
    <tableColumn id="12" xr3:uid="{110288D4-4F11-4301-8226-CB797B9A2C06}" name="Observação" dataDxfId="2013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BB547E0-B208-47B4-8EDF-FE507DEEDDD5}" name="TbBIDI3F_ST" displayName="TbBIDI3F_ST" ref="B1:M4" totalsRowShown="0" headerRowDxfId="2012">
  <autoFilter ref="B1:M4" xr:uid="{8BB547E0-B208-47B4-8EDF-FE507DEEDDD5}"/>
  <tableColumns count="12">
    <tableColumn id="1" xr3:uid="{52681757-A83F-49E7-B38E-A055FE2FB156}" name="Data da Movimentação" dataDxfId="2011"/>
    <tableColumn id="2" xr3:uid="{728FC385-67A4-4020-A6F1-F2C0DADE161C}" name="Qtt Compra" dataDxfId="2010"/>
    <tableColumn id="3" xr3:uid="{32FE90B4-C76C-4B74-A506-4D2D765D72FD}" name="Qtt Venda"/>
    <tableColumn id="4" xr3:uid="{E74146AC-390B-4ED5-8C90-A89A58256A25}" name="Cotação" dataDxfId="2009" dataCellStyle="Porcentagem"/>
    <tableColumn id="5" xr3:uid="{3489C7B5-19FF-4F93-8CFF-5946FF079604}" name="Corretagem" dataDxfId="2008" dataCellStyle="Porcentagem"/>
    <tableColumn id="6" xr3:uid="{188F3DF9-636C-4BB4-89ED-80A4B184CFC5}" name="Estoque" dataDxfId="2007">
      <calculatedColumnFormula>IF(A1="SUMÁRIO",TbBIDI3F_ST[[#This Row],[Qtt Compra]],IF(G1+C2-D2&lt;0, "ERRO", G1+C2-D2))</calculatedColumnFormula>
    </tableColumn>
    <tableColumn id="7" xr3:uid="{88879C0A-252B-455F-9C99-0B69AC143EF0}" name="Taxa B3" dataDxfId="2006" dataCellStyle="Porcentagem">
      <calculatedColumnFormula>IF(AND(TRUNC((C2+D2)*E2*0.03%,2)=0,OR(C2&gt;0,D2&gt;0)),0.01,ROUNDUP((C2+D2)*E2*0.03%,2))</calculatedColumnFormula>
    </tableColumn>
    <tableColumn id="8" xr3:uid="{B86AE4CC-6F46-4855-859A-D19BBD43E141}" name="Custo da operação" dataDxfId="2005" dataCellStyle="Porcentagem">
      <calculatedColumnFormula>F2+H2</calculatedColumnFormula>
    </tableColumn>
    <tableColumn id="9" xr3:uid="{AB9AA5A5-033F-480D-81E3-75A1E1FC1A56}" name="Custo Total" dataDxfId="2004">
      <calculatedColumnFormula>IF(A1="SUMÁRIO",E2*C2+I2,J1+IF(C2&gt;0,I2+C2*E2,-D2*K1))</calculatedColumnFormula>
    </tableColumn>
    <tableColumn id="10" xr3:uid="{20667B63-38F1-446C-8260-883ED9FCCAB5}" name="Custo Médio" dataDxfId="2003">
      <calculatedColumnFormula>IF(G2=0,0,J2/G2)</calculatedColumnFormula>
    </tableColumn>
    <tableColumn id="11" xr3:uid="{BF1B243D-52D3-4B88-8AB0-1ED7B5F44282}" name="Resultado">
      <calculatedColumnFormula>IF(D2&gt;0,TRUNC(D2*E2-D2*K1-I2,2),"Não aplicável")</calculatedColumnFormula>
    </tableColumn>
    <tableColumn id="12" xr3:uid="{76833C75-5AD4-4505-B6C2-900BAF32C6C4}" name="Observação" dataDxfId="2002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54B397A6-CD48-4A2A-877C-52A5B63A0FD3}" name="TbOIBR3_DT" displayName="TbOIBR3_DT" ref="B1:M3" totalsRowShown="0" headerRowDxfId="2001">
  <autoFilter ref="B1:M3" xr:uid="{54B397A6-CD48-4A2A-877C-52A5B63A0FD3}"/>
  <tableColumns count="12">
    <tableColumn id="1" xr3:uid="{89277956-3DD4-4730-BC91-E2AD53A2C8FA}" name="Data da Movimentação" dataDxfId="2000"/>
    <tableColumn id="2" xr3:uid="{B46FA53A-2EF3-4325-B7E2-90C5A91B1E0B}" name="Qtt Compra" dataDxfId="1999"/>
    <tableColumn id="3" xr3:uid="{DB68AFAB-C940-4A34-AC40-0AFA05592A05}" name="Qtt Venda"/>
    <tableColumn id="4" xr3:uid="{85ADA0BE-0200-4290-AD0A-80F680689469}" name="Cotação" dataDxfId="1998" dataCellStyle="Porcentagem"/>
    <tableColumn id="5" xr3:uid="{1E434AB3-C255-49BD-AC5B-50995C130984}" name="Corretagem" dataDxfId="1997" dataCellStyle="Porcentagem"/>
    <tableColumn id="6" xr3:uid="{1308478D-9A91-4598-9E79-BC557CB5F90F}" name="Estoque" dataDxfId="1996">
      <calculatedColumnFormula>IF(A1="SUMÁRIO",TbOIBR3_DT[[#This Row],[Qtt Compra]],IF(G1+C2-D2&lt;0, "ERRO", G1+C2-D2))</calculatedColumnFormula>
    </tableColumn>
    <tableColumn id="7" xr3:uid="{084861E8-D1EE-4BEC-8C19-F00059BC5976}" name="Taxa B3" dataDxfId="1995" dataCellStyle="Porcentagem">
      <calculatedColumnFormula>IF(AND(TRUNC((C2+D2)*E2*0.03%,2)=0,OR(C2&gt;0,D2&gt;0)),0.01,ROUNDUP((C2+D2)*E2*0.03%,2))</calculatedColumnFormula>
    </tableColumn>
    <tableColumn id="8" xr3:uid="{8C58D207-8131-4AB5-85FC-0DDAB23C3F59}" name="Custo da operação" dataDxfId="1994" dataCellStyle="Porcentagem">
      <calculatedColumnFormula>F2+H2</calculatedColumnFormula>
    </tableColumn>
    <tableColumn id="9" xr3:uid="{ADBB0789-9ADB-4C35-8C62-F30941A4F531}" name="Custo Total" dataDxfId="1993">
      <calculatedColumnFormula>IF(A1="SUMÁRIO",E2*C2+I2,J1+IF(C2&gt;0,I2+C2*E2,-D2*K1))</calculatedColumnFormula>
    </tableColumn>
    <tableColumn id="10" xr3:uid="{8535F1D5-225C-48F2-9C21-B92A094341BB}" name="Custo Médio" dataDxfId="1992">
      <calculatedColumnFormula>IF(G2=0,0,J2/G2)</calculatedColumnFormula>
    </tableColumn>
    <tableColumn id="11" xr3:uid="{207A9BF7-64E3-490C-A61B-E335BEB7C584}" name="Resultado">
      <calculatedColumnFormula>IF(D2&gt;0,TRUNC(D2*E2-D2*K1-I2,2),"Não aplicável")</calculatedColumnFormula>
    </tableColumn>
    <tableColumn id="12" xr3:uid="{3EC7335A-87D6-4800-BE11-1D85736E6ED6}" name="Observação" dataDxfId="1991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7B3CC2F7-FB07-4CA9-ACB1-199A672BD750}" name="TbOIBR3_ST" displayName="TbOIBR3_ST" ref="B1:M4" totalsRowShown="0" headerRowDxfId="1990">
  <autoFilter ref="B1:M4" xr:uid="{7B3CC2F7-FB07-4CA9-ACB1-199A672BD750}"/>
  <tableColumns count="12">
    <tableColumn id="1" xr3:uid="{CF66001E-1C14-4477-B4F8-0E7767C7E353}" name="Data da Movimentação" dataDxfId="1989"/>
    <tableColumn id="2" xr3:uid="{57BEE58B-C1E7-4B63-B4FC-9C8ACDCFA70D}" name="Qtt Compra" dataDxfId="1988"/>
    <tableColumn id="3" xr3:uid="{E1DC516B-8F6C-4321-8923-CC25A4EB34E4}" name="Qtt Venda"/>
    <tableColumn id="4" xr3:uid="{B4F3E963-FD80-4845-B36F-095A0DB0FFDF}" name="Cotação" dataDxfId="1987" dataCellStyle="Porcentagem"/>
    <tableColumn id="5" xr3:uid="{A8686B94-2BC4-4FAD-A892-B348B66B32D8}" name="Corretagem" dataDxfId="1986" dataCellStyle="Porcentagem"/>
    <tableColumn id="6" xr3:uid="{E33AB3D4-15ED-449B-9479-E215330CCDCE}" name="Estoque" dataDxfId="1985">
      <calculatedColumnFormula>IF(A1="SUMÁRIO",TbOIBR3_ST[[#This Row],[Qtt Compra]],IF(G1+C2-D2&lt;0, "ERRO", G1+C2-D2))</calculatedColumnFormula>
    </tableColumn>
    <tableColumn id="7" xr3:uid="{FD241950-F958-436C-999F-48DA5082571B}" name="Taxa B3" dataDxfId="1984" dataCellStyle="Porcentagem">
      <calculatedColumnFormula>IF(AND(TRUNC((C2+D2)*E2*0.03%,2)=0,OR(C2&gt;0,D2&gt;0)),0.01,ROUNDUP((C2+D2)*E2*0.03%,2))</calculatedColumnFormula>
    </tableColumn>
    <tableColumn id="8" xr3:uid="{D23993CE-2766-47F4-94F7-F1A23EB3578A}" name="Custo da operação" dataDxfId="1983" dataCellStyle="Porcentagem">
      <calculatedColumnFormula>F2+H2</calculatedColumnFormula>
    </tableColumn>
    <tableColumn id="9" xr3:uid="{B87C466B-37CB-4F2F-A4C8-281295B803BB}" name="Custo Total" dataDxfId="1982">
      <calculatedColumnFormula>IF(A1="SUMÁRIO",E2*C2+I2,J1+IF(C2&gt;0,I2+C2*E2,-D2*K1))</calculatedColumnFormula>
    </tableColumn>
    <tableColumn id="10" xr3:uid="{7568AF0F-7496-4D56-92AA-1A663C08864F}" name="Custo Médio" dataDxfId="1981">
      <calculatedColumnFormula>IF(G2=0,0,J2/G2)</calculatedColumnFormula>
    </tableColumn>
    <tableColumn id="11" xr3:uid="{0D475219-DDB2-438F-BCA0-36DF63AA66DB}" name="Resultado">
      <calculatedColumnFormula>IF(D2&gt;0,TRUNC(D2*E2-D2*K1-I2,2),"Não aplicável")</calculatedColumnFormula>
    </tableColumn>
    <tableColumn id="12" xr3:uid="{C16FA212-362F-493A-B6B9-F582893CBA6E}" name="Observação" dataDxfId="1980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73AD21E-C2C2-4EFE-90BD-4EDD778ED582}" name="TbLREN3F_DT" displayName="TbLREN3F_DT" ref="B1:M3" totalsRowShown="0" headerRowDxfId="1979">
  <autoFilter ref="B1:M3" xr:uid="{D73AD21E-C2C2-4EFE-90BD-4EDD778ED582}"/>
  <tableColumns count="12">
    <tableColumn id="1" xr3:uid="{B863C223-1B52-4AD6-BEB4-3495766A9707}" name="Data da Movimentação" dataDxfId="1978"/>
    <tableColumn id="2" xr3:uid="{218906C9-C3D1-4A60-B721-48C4B2F34F14}" name="Qtt Compra" dataDxfId="1977"/>
    <tableColumn id="3" xr3:uid="{77D0D413-53AF-42D1-BEB1-DB1603F4F21B}" name="Qtt Venda"/>
    <tableColumn id="4" xr3:uid="{FC2503DB-167C-4A7E-B56D-5C142DF3992F}" name="Cotação" dataDxfId="1976" dataCellStyle="Porcentagem"/>
    <tableColumn id="5" xr3:uid="{CC12633D-BFB1-4E26-ACCF-99492C75500E}" name="Corretagem" dataDxfId="1975" dataCellStyle="Porcentagem"/>
    <tableColumn id="6" xr3:uid="{41639492-3183-492F-B28B-5764B01312C3}" name="Estoque" dataDxfId="1974">
      <calculatedColumnFormula>IF(A1="SUMÁRIO",TbLREN3F_DT[[#This Row],[Qtt Compra]],IF(G1+C2-D2&lt;0, "ERRO", G1+C2-D2))</calculatedColumnFormula>
    </tableColumn>
    <tableColumn id="7" xr3:uid="{BAD19F9F-9DE9-47B8-80A7-80C813F3F46A}" name="Taxa B3" dataDxfId="1973" dataCellStyle="Porcentagem">
      <calculatedColumnFormula>IF(AND(TRUNC((C2+D2)*E2*0.03%,2)=0,OR(C2&gt;0,D2&gt;0)),0.01,ROUNDUP((C2+D2)*E2*0.03%,2))</calculatedColumnFormula>
    </tableColumn>
    <tableColumn id="8" xr3:uid="{0134D2CE-26AE-4952-8B1A-057C8F6329EA}" name="Custo da operação" dataDxfId="1972" dataCellStyle="Porcentagem">
      <calculatedColumnFormula>F2+H2</calculatedColumnFormula>
    </tableColumn>
    <tableColumn id="9" xr3:uid="{A4BB91D8-9820-47EB-86AB-63E311F4F27F}" name="Custo Total" dataDxfId="1971">
      <calculatedColumnFormula>IF(A1="SUMÁRIO",E2*C2+I2,J1+IF(C2&gt;0,I2+C2*E2,-D2*K1))</calculatedColumnFormula>
    </tableColumn>
    <tableColumn id="10" xr3:uid="{FC08B86D-B53C-4255-B10E-5A807A0D1F56}" name="Custo Médio" dataDxfId="1970">
      <calculatedColumnFormula>IF(G2=0,0,J2/G2)</calculatedColumnFormula>
    </tableColumn>
    <tableColumn id="11" xr3:uid="{8FC3692B-7084-40D5-8E6B-B99BEA995FFA}" name="Resultado">
      <calculatedColumnFormula>IF(D2&gt;0,TRUNC(D2*E2-D2*K1-I2,2),"Não aplicável")</calculatedColumnFormula>
    </tableColumn>
    <tableColumn id="12" xr3:uid="{3B7FC5F8-C25D-48A8-916B-C48C0EE70147}" name="Observação" dataDxfId="1969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2A439058-308E-4BEC-BAB8-ECF640B8C5F3}" name="Tabela56" displayName="Tabela56" ref="B1:M3" totalsRowShown="0" headerRowDxfId="1968">
  <autoFilter ref="B1:M3" xr:uid="{2A439058-308E-4BEC-BAB8-ECF640B8C5F3}"/>
  <tableColumns count="12">
    <tableColumn id="1" xr3:uid="{D7366069-89E8-4FAE-AA71-676464C74E0A}" name="Data da Movimentação" dataDxfId="1967"/>
    <tableColumn id="2" xr3:uid="{EB576DE8-9D18-4D6A-BC8E-0A344382D8FE}" name="Qtt Compra" dataDxfId="1966"/>
    <tableColumn id="3" xr3:uid="{0D597B8D-07F2-4485-9E3A-9A837B863923}" name="Qtt Venda"/>
    <tableColumn id="4" xr3:uid="{4F30CBC6-7411-45BE-A609-F74A9DE0C137}" name="Cotação" dataDxfId="1965" dataCellStyle="Porcentagem"/>
    <tableColumn id="5" xr3:uid="{C8905B2E-BF98-4D3F-BE64-EC197E97278E}" name="Corretagem" dataDxfId="1964" dataCellStyle="Porcentagem"/>
    <tableColumn id="6" xr3:uid="{C9C0AA8E-BA7A-4F93-9E6F-B84B9F24988A}" name="Estoque" dataDxfId="1963">
      <calculatedColumnFormula>IF(A1="SUMÁRIO",Tabela56[[#This Row],[Qtt Compra]],IF(G1+C2-D2&lt;0, "ERRO", G1+C2-D2))</calculatedColumnFormula>
    </tableColumn>
    <tableColumn id="7" xr3:uid="{01AA5289-EAAA-481A-AC81-81E9E8644559}" name="Taxa B3" dataDxfId="1962" dataCellStyle="Porcentagem">
      <calculatedColumnFormula>IF(AND(TRUNC((C2+D2)*E2*0.03%,2)=0,OR(C2&gt;0,D2&gt;0)),0.01,ROUNDUP((C2+D2)*E2*0.03%,2))</calculatedColumnFormula>
    </tableColumn>
    <tableColumn id="8" xr3:uid="{82DB4FA8-B179-45F6-9C87-B343ACCAF144}" name="Custo da operação" dataDxfId="1961" dataCellStyle="Porcentagem">
      <calculatedColumnFormula>F2+H2</calculatedColumnFormula>
    </tableColumn>
    <tableColumn id="9" xr3:uid="{6949C500-B2C8-4178-831F-98654D54CFA5}" name="Custo Total" dataDxfId="1960">
      <calculatedColumnFormula>IF(A1="SUMÁRIO",E2*C2+I2,J1+IF(C2&gt;0,I2+C2*E2,-D2*K1))</calculatedColumnFormula>
    </tableColumn>
    <tableColumn id="10" xr3:uid="{D99DCE4D-3E6E-4A44-BDD1-E72E803076FE}" name="Custo Médio" dataDxfId="1959">
      <calculatedColumnFormula>IF(G2=0,0,J2/G2)</calculatedColumnFormula>
    </tableColumn>
    <tableColumn id="11" xr3:uid="{6BA7D6A1-1D4E-47AB-ADCF-D9ED8160F8EA}" name="Resultado">
      <calculatedColumnFormula>IF(D2&gt;0,TRUNC(D2*E2-D2*K1-I2,2),"Não aplicável")</calculatedColumnFormula>
    </tableColumn>
    <tableColumn id="12" xr3:uid="{792DB100-338E-4C03-814B-31E44EBF1E6F}" name="Observação" dataDxfId="1958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8E9A6660-C16A-4F2F-9DBF-ED8C42087272}" name="TbTSLA34_DT" displayName="TbTSLA34_DT" ref="B1:M3" totalsRowShown="0" headerRowDxfId="1957">
  <autoFilter ref="B1:M3" xr:uid="{8E9A6660-C16A-4F2F-9DBF-ED8C42087272}"/>
  <tableColumns count="12">
    <tableColumn id="1" xr3:uid="{DE0FC047-08CC-4F7C-8DE0-B399ED64AE76}" name="Data da Movimentação" dataDxfId="1956"/>
    <tableColumn id="2" xr3:uid="{9A5811B9-27B6-4A88-980C-890B6C9BAE0C}" name="Qtt Compra" dataDxfId="1955"/>
    <tableColumn id="3" xr3:uid="{88E3DE6A-9200-4935-A915-3632EDB58F23}" name="Qtt Venda"/>
    <tableColumn id="4" xr3:uid="{A178E198-1E0F-4449-B6B1-2CB5028B4CE2}" name="Cotação" dataDxfId="1954" dataCellStyle="Porcentagem"/>
    <tableColumn id="5" xr3:uid="{E069E2B1-F57D-48F2-98AA-210432BF4BC1}" name="Corretagem" dataDxfId="1953" dataCellStyle="Porcentagem"/>
    <tableColumn id="6" xr3:uid="{26AE889F-0845-46C4-9A80-DDA7F03EBC61}" name="Estoque" dataDxfId="1952">
      <calculatedColumnFormula>IF(A1="SUMÁRIO",TbTSLA34_DT[[#This Row],[Qtt Compra]],IF(G1+C2-D2&lt;0, "ERRO", G1+C2-D2))</calculatedColumnFormula>
    </tableColumn>
    <tableColumn id="7" xr3:uid="{8760D842-CB53-45DC-ABE8-12AD3FEB76C5}" name="Taxa B3" dataDxfId="1951" dataCellStyle="Porcentagem">
      <calculatedColumnFormula>IF(AND(TRUNC((C2+D2)*E2*0.03%,2)=0,OR(C2&gt;0,D2&gt;0)),0.01,ROUNDUP((C2+D2)*E2*0.03%,2))</calculatedColumnFormula>
    </tableColumn>
    <tableColumn id="8" xr3:uid="{06A30F55-5312-420C-B127-B731C5BFE9F0}" name="Custo da operação" dataDxfId="1950" dataCellStyle="Porcentagem">
      <calculatedColumnFormula>F2+H2</calculatedColumnFormula>
    </tableColumn>
    <tableColumn id="9" xr3:uid="{5E0B1DF2-30D6-4670-9167-21AB2C7C922D}" name="Custo Total" dataDxfId="1949">
      <calculatedColumnFormula>IF(A1="SUMÁRIO",E2*C2+I2,J1+IF(C2&gt;0,I2+C2*E2,-D2*K1))</calculatedColumnFormula>
    </tableColumn>
    <tableColumn id="10" xr3:uid="{99B88952-39F4-4298-97EA-31F8E01065E2}" name="Custo Médio" dataDxfId="1948">
      <calculatedColumnFormula>IF(G2=0,0,J2/G2)</calculatedColumnFormula>
    </tableColumn>
    <tableColumn id="11" xr3:uid="{8F02BC70-5DC2-471E-92F8-BAEE689CAD8B}" name="Resultado">
      <calculatedColumnFormula>IF(D2&gt;0,TRUNC(D2*E2-D2*K1-I2,2),"Não aplicável")</calculatedColumnFormula>
    </tableColumn>
    <tableColumn id="12" xr3:uid="{8AAF3966-C12E-49ED-A501-55E5A79B0391}" name="Observação" dataDxfId="19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5683DAC2-9A3C-4D03-950E-10BFA00EE1BB}" name="TbTSLA34_ST" displayName="TbTSLA34_ST" ref="B1:M4" totalsRowShown="0" headerRowDxfId="1946">
  <autoFilter ref="B1:M4" xr:uid="{5683DAC2-9A3C-4D03-950E-10BFA00EE1BB}"/>
  <tableColumns count="12">
    <tableColumn id="1" xr3:uid="{261FA8C5-8132-42AA-B0A7-111A9B878CCC}" name="Data da Movimentação" dataDxfId="1945"/>
    <tableColumn id="2" xr3:uid="{50ECDE98-ECEB-46F7-9D0E-9DBA4BE76D19}" name="Qtt Compra" dataDxfId="1944"/>
    <tableColumn id="3" xr3:uid="{A38CF046-EED6-44D3-841A-A2917FC9A83C}" name="Qtt Venda"/>
    <tableColumn id="4" xr3:uid="{209563C2-7DDC-452C-ADEA-9151940CE52F}" name="Cotação" dataDxfId="1943" dataCellStyle="Porcentagem"/>
    <tableColumn id="5" xr3:uid="{AD5E47AC-3825-4A84-BF31-144914FE1EBF}" name="Corretagem" dataDxfId="1942" dataCellStyle="Porcentagem"/>
    <tableColumn id="6" xr3:uid="{2EA70ECC-A8CF-40F1-924D-CB0F7F04BA70}" name="Estoque" dataDxfId="1941">
      <calculatedColumnFormula>IF(A1="SUMÁRIO",TbTSLA34_ST[[#This Row],[Qtt Compra]],IF(G1+C2-D2&lt;0, "ERRO", G1+C2-D2))</calculatedColumnFormula>
    </tableColumn>
    <tableColumn id="7" xr3:uid="{24E8F660-54FD-4735-BEFE-44450C6485B8}" name="Taxa B3" dataDxfId="1940" dataCellStyle="Porcentagem">
      <calculatedColumnFormula>IF(AND(TRUNC((C2+D2)*E2*0.03%,2)=0,OR(C2&gt;0,D2&gt;0)),0.01,ROUNDUP((C2+D2)*E2*0.03%,2))</calculatedColumnFormula>
    </tableColumn>
    <tableColumn id="8" xr3:uid="{6963F903-4461-4B37-8D8F-9828D4BCDA42}" name="Custo da operação" dataDxfId="1939" dataCellStyle="Porcentagem">
      <calculatedColumnFormula>F2+H2</calculatedColumnFormula>
    </tableColumn>
    <tableColumn id="9" xr3:uid="{7D861E87-EA4C-41A5-8A8D-489C54603461}" name="Custo Total" dataDxfId="1938">
      <calculatedColumnFormula>IF(A1="SUMÁRIO",E2*C2+I2,J1+IF(C2&gt;0,I2+C2*E2,-D2*K1))</calculatedColumnFormula>
    </tableColumn>
    <tableColumn id="10" xr3:uid="{653DEC06-C21C-4B8A-B442-196E080E193D}" name="Custo Médio" dataDxfId="1937">
      <calculatedColumnFormula>IF(G2=0,0,J2/G2)</calculatedColumnFormula>
    </tableColumn>
    <tableColumn id="11" xr3:uid="{ECFAA878-0DD3-42DB-B774-E5CB93746217}" name="Resultado">
      <calculatedColumnFormula>IF(D2&gt;0,TRUNC(D2*E2-D2*K1-I2,2),"Não aplicável")</calculatedColumnFormula>
    </tableColumn>
    <tableColumn id="12" xr3:uid="{D4EDA0EC-88FA-4ECC-A04F-E2658CC95350}" name="Observação" dataDxfId="1936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8DD6E675-1C19-465F-8908-B21B1509741F}" name="TbAMZO34_DT" displayName="TbAMZO34_DT" ref="B1:M3" totalsRowShown="0" headerRowDxfId="1935">
  <autoFilter ref="B1:M3" xr:uid="{8DD6E675-1C19-465F-8908-B21B1509741F}"/>
  <tableColumns count="12">
    <tableColumn id="1" xr3:uid="{B6C56CBA-61CA-4157-95F3-5573F7F05F59}" name="Data da Movimentação" dataDxfId="1934"/>
    <tableColumn id="2" xr3:uid="{2ADF20AE-57B0-43F0-9E3B-082B3E9746C6}" name="Qtt Compra" dataDxfId="1933"/>
    <tableColumn id="3" xr3:uid="{9991DF7B-063A-40C3-A4CC-F59365EF56D6}" name="Qtt Venda"/>
    <tableColumn id="4" xr3:uid="{135571AE-CD97-4013-8CCF-79C0FF71C194}" name="Cotação" dataDxfId="1932" dataCellStyle="Porcentagem"/>
    <tableColumn id="5" xr3:uid="{58DD289A-3574-472D-8A06-E9046C0F3863}" name="Corretagem" dataDxfId="1931" dataCellStyle="Porcentagem"/>
    <tableColumn id="6" xr3:uid="{223063CC-31B3-4999-A6AB-45F715D34CD5}" name="Estoque" dataDxfId="1930">
      <calculatedColumnFormula>IF(A1="SUMÁRIO",TbAMZO34_DT[[#This Row],[Qtt Compra]],IF(G1+C2-D2&lt;0, "ERRO", G1+C2-D2))</calculatedColumnFormula>
    </tableColumn>
    <tableColumn id="7" xr3:uid="{2537BFE9-9E2A-4524-AF49-ECF5A5FF5193}" name="Taxa B3" dataDxfId="1929" dataCellStyle="Porcentagem">
      <calculatedColumnFormula>IF(AND(TRUNC((C2+D2)*E2*0.03%,2)=0,OR(C2&gt;0,D2&gt;0)),0.01,ROUNDUP((C2+D2)*E2*0.03%,2))</calculatedColumnFormula>
    </tableColumn>
    <tableColumn id="8" xr3:uid="{60917A85-ADD7-455B-BEC4-4623D1A08CF1}" name="Custo da operação" dataDxfId="1928" dataCellStyle="Porcentagem">
      <calculatedColumnFormula>F2+H2</calculatedColumnFormula>
    </tableColumn>
    <tableColumn id="9" xr3:uid="{93D2FACA-994C-44FC-AC38-C7AD6CDFE7F9}" name="Custo Total" dataDxfId="1927">
      <calculatedColumnFormula>IF(A1="SUMÁRIO",E2*C2+I2,J1+IF(C2&gt;0,I2+C2*E2,-D2*K1))</calculatedColumnFormula>
    </tableColumn>
    <tableColumn id="10" xr3:uid="{607776DE-A8A3-494F-B9F2-DE10C94A9EDF}" name="Custo Médio" dataDxfId="1926">
      <calculatedColumnFormula>IF(G2=0,0,J2/G2)</calculatedColumnFormula>
    </tableColumn>
    <tableColumn id="11" xr3:uid="{844A42C6-5A52-4F26-8EE6-98D21AEAD6E1}" name="Resultado">
      <calculatedColumnFormula>IF(D2&gt;0,TRUNC(D2*E2-D2*K1-I2,2),"Não aplicável")</calculatedColumnFormula>
    </tableColumn>
    <tableColumn id="12" xr3:uid="{E4A44C02-A7E6-4F31-9624-4284BD3007B8}" name="Observação" dataDxfId="192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B3BA740-DEA2-4CD8-BCA9-71FAF24ED5E8}" name="TbAMZO34_ST" displayName="TbAMZO34_ST" ref="B1:M3" totalsRowShown="0" headerRowDxfId="1924">
  <autoFilter ref="B1:M3" xr:uid="{0B3BA740-DEA2-4CD8-BCA9-71FAF24ED5E8}"/>
  <tableColumns count="12">
    <tableColumn id="1" xr3:uid="{056495A8-38FA-4BA1-B21C-1BA9AF46E755}" name="Data da Movimentação" dataDxfId="1923"/>
    <tableColumn id="2" xr3:uid="{BF672695-A7A9-4293-B551-9AB7495DBF90}" name="Qtt Compra" dataDxfId="1922"/>
    <tableColumn id="3" xr3:uid="{0E7866B0-5766-4F48-8469-216FC032D883}" name="Qtt Venda"/>
    <tableColumn id="4" xr3:uid="{34B7471F-A9A7-4E2D-AA5D-8716FC1F61B0}" name="Cotação" dataDxfId="1921" dataCellStyle="Porcentagem"/>
    <tableColumn id="5" xr3:uid="{44728CD3-07AE-4A71-AD79-4E2F6848F5F9}" name="Corretagem" dataDxfId="1920" dataCellStyle="Porcentagem"/>
    <tableColumn id="6" xr3:uid="{21955CB0-792D-4096-8221-38EE6631222B}" name="Estoque" dataDxfId="1919">
      <calculatedColumnFormula>IF(A1="SUMÁRIO",TbAMZO34_ST[[#This Row],[Qtt Compra]],IF(G1+C2-D2&lt;0, "ERRO", G1+C2-D2))</calculatedColumnFormula>
    </tableColumn>
    <tableColumn id="7" xr3:uid="{24913FA3-ACA4-4E14-AE85-9D1061A53E6A}" name="Taxa B3" dataDxfId="1918" dataCellStyle="Porcentagem">
      <calculatedColumnFormula>IF(AND(TRUNC((C2+D2)*E2*0.03%,2)=0,OR(C2&gt;0,D2&gt;0)),0.01,ROUNDUP((C2+D2)*E2*0.03%,2))</calculatedColumnFormula>
    </tableColumn>
    <tableColumn id="8" xr3:uid="{2CD3C286-123D-4CB7-9D4E-8CB058288417}" name="Custo da operação" dataDxfId="1917" dataCellStyle="Porcentagem">
      <calculatedColumnFormula>F2+H2</calculatedColumnFormula>
    </tableColumn>
    <tableColumn id="9" xr3:uid="{D1A7A3D8-701F-4919-BFEF-F95BDE4D08D4}" name="Custo Total" dataDxfId="1916">
      <calculatedColumnFormula>IF(A1="SUMÁRIO",E2*C2+I2,J1+IF(C2&gt;0,I2+C2*E2,-D2*K1))</calculatedColumnFormula>
    </tableColumn>
    <tableColumn id="10" xr3:uid="{327438C4-63E0-4CE8-B184-FE0BA378587E}" name="Custo Médio" dataDxfId="1915">
      <calculatedColumnFormula>IF(G2=0,0,J2/G2)</calculatedColumnFormula>
    </tableColumn>
    <tableColumn id="11" xr3:uid="{FC76D638-7ABB-497A-85EF-6282D4AE35B3}" name="Resultado">
      <calculatedColumnFormula>IF(D2&gt;0,TRUNC(D2*E2-D2*K1-I2,2),"Não aplicável")</calculatedColumnFormula>
    </tableColumn>
    <tableColumn id="12" xr3:uid="{2BC6E00F-2AD5-422C-B9AE-AF693BB9A32E}" name="Observação" dataDxfId="1914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832511C4-5A2A-451E-9DEF-FD246FFC46FD}" name="TbJNJB34_DT" displayName="TbJNJB34_DT" ref="B1:M3" totalsRowShown="0" headerRowDxfId="1913">
  <autoFilter ref="B1:M3" xr:uid="{832511C4-5A2A-451E-9DEF-FD246FFC46FD}"/>
  <tableColumns count="12">
    <tableColumn id="1" xr3:uid="{9AACB450-3D62-4523-860A-B83CE733BDE2}" name="Data da Movimentação" dataDxfId="1912"/>
    <tableColumn id="2" xr3:uid="{5346ACF9-75BD-4305-B7BF-A7BF6C0A2E27}" name="Qtt Compra" dataDxfId="1911"/>
    <tableColumn id="3" xr3:uid="{1C23BBB5-B615-4178-AEE3-5C8CCC5BD07F}" name="Qtt Venda"/>
    <tableColumn id="4" xr3:uid="{B9118E96-8901-4CFF-B522-40E84719246A}" name="Cotação" dataDxfId="1910" dataCellStyle="Porcentagem"/>
    <tableColumn id="5" xr3:uid="{B506739C-21A3-477D-B304-8ECB309B6A26}" name="Corretagem" dataDxfId="1909" dataCellStyle="Porcentagem"/>
    <tableColumn id="6" xr3:uid="{4587C4C5-B164-4255-8378-FF7EEFBBC2C7}" name="Estoque" dataDxfId="1908">
      <calculatedColumnFormula>IF(A1="SUMÁRIO",TbJNJB34_DT[[#This Row],[Qtt Compra]],IF(G1+C2-D2&lt;0, "ERRO", G1+C2-D2))</calculatedColumnFormula>
    </tableColumn>
    <tableColumn id="7" xr3:uid="{9605DA5F-C79A-44D7-B8C6-10D08E319609}" name="Taxa B3" dataDxfId="1907" dataCellStyle="Porcentagem">
      <calculatedColumnFormula>IF(AND(TRUNC((C2+D2)*E2*0.03%,2)=0,OR(C2&gt;0,D2&gt;0)),0.01,ROUNDUP((C2+D2)*E2*0.03%,2))</calculatedColumnFormula>
    </tableColumn>
    <tableColumn id="8" xr3:uid="{6DB01416-1048-4F93-8067-DCD3163EC944}" name="Custo da operação" dataDxfId="1906" dataCellStyle="Porcentagem">
      <calculatedColumnFormula>F2+H2</calculatedColumnFormula>
    </tableColumn>
    <tableColumn id="9" xr3:uid="{A4C5E1E5-0606-40DB-9F64-BCD960AC59A9}" name="Custo Total" dataDxfId="1905">
      <calculatedColumnFormula>IF(A1="SUMÁRIO",E2*C2+I2,J1+IF(C2&gt;0,I2+C2*E2,-D2*K1))</calculatedColumnFormula>
    </tableColumn>
    <tableColumn id="10" xr3:uid="{82DC41E0-8B5E-4DD2-8065-13C0DF8349F6}" name="Custo Médio" dataDxfId="1904">
      <calculatedColumnFormula>IF(G2=0,0,J2/G2)</calculatedColumnFormula>
    </tableColumn>
    <tableColumn id="11" xr3:uid="{BC07EC34-3D36-4E4C-86F6-9177B272B920}" name="Resultado">
      <calculatedColumnFormula>IF(D2&gt;0,TRUNC(D2*E2-D2*K1-I2,2),"Não aplicável")</calculatedColumnFormula>
    </tableColumn>
    <tableColumn id="12" xr3:uid="{5C385F54-54A8-4A00-9C27-250C24B36445}" name="Observação" dataDxfId="190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BB98FF6B-324D-4F68-ABC0-C0059993B801}" name="TbJNJB34_ST" displayName="TbJNJB34_ST" ref="B1:M3" totalsRowShown="0" headerRowDxfId="1902">
  <autoFilter ref="B1:M3" xr:uid="{BB98FF6B-324D-4F68-ABC0-C0059993B801}"/>
  <tableColumns count="12">
    <tableColumn id="1" xr3:uid="{A129D395-8C9B-4BA9-9290-22FC23EEDC4B}" name="Data da Movimentação" dataDxfId="1901"/>
    <tableColumn id="2" xr3:uid="{28875113-7A6C-4584-8F19-D7BCD7E1B853}" name="Qtt Compra" dataDxfId="1900"/>
    <tableColumn id="3" xr3:uid="{C8E46039-7ECB-45AD-9DE8-D1B8F5B95C62}" name="Qtt Venda"/>
    <tableColumn id="4" xr3:uid="{38AD07BC-BD71-4102-B583-2EDC268E1424}" name="Cotação" dataDxfId="1899" dataCellStyle="Porcentagem"/>
    <tableColumn id="5" xr3:uid="{051475DB-CEB9-4630-83CC-A72964B0CABD}" name="Corretagem" dataDxfId="1898" dataCellStyle="Porcentagem"/>
    <tableColumn id="6" xr3:uid="{DFDA5867-8CE4-4CE7-8029-6D65C72F1426}" name="Estoque" dataDxfId="1897">
      <calculatedColumnFormula>IF(A1="SUMÁRIO",TbJNJB34_ST[[#This Row],[Qtt Compra]],IF(G1+C2-D2&lt;0, "ERRO", G1+C2-D2))</calculatedColumnFormula>
    </tableColumn>
    <tableColumn id="7" xr3:uid="{69CB743E-D9C3-48D6-902B-7032FD7E6380}" name="Taxa B3" dataDxfId="1896" dataCellStyle="Porcentagem">
      <calculatedColumnFormula>IF(AND(TRUNC((C2+D2)*E2*0.03%,2)=0,OR(C2&gt;0,D2&gt;0)),0.01,ROUNDUP((C2+D2)*E2*0.03%,2))</calculatedColumnFormula>
    </tableColumn>
    <tableColumn id="8" xr3:uid="{97F58B2C-6BAB-4295-9E49-4334B437BFDB}" name="Custo da operação" dataDxfId="1895" dataCellStyle="Porcentagem">
      <calculatedColumnFormula>F2+H2</calculatedColumnFormula>
    </tableColumn>
    <tableColumn id="9" xr3:uid="{87554625-BA55-4D78-A6C4-E842A3080A96}" name="Custo Total" dataDxfId="1894">
      <calculatedColumnFormula>IF(A1="SUMÁRIO",E2*C2+I2,J1+IF(C2&gt;0,I2+C2*E2,-D2*K1))</calculatedColumnFormula>
    </tableColumn>
    <tableColumn id="10" xr3:uid="{776AC4A9-8653-4AF4-BF9D-9B74C67D1101}" name="Custo Médio" dataDxfId="1893">
      <calculatedColumnFormula>IF(G2=0,0,J2/G2)</calculatedColumnFormula>
    </tableColumn>
    <tableColumn id="11" xr3:uid="{B1793460-45EB-4F72-888C-37EB1114E21E}" name="Resultado">
      <calculatedColumnFormula>IF(D2&gt;0,TRUNC(D2*E2-D2*K1-I2,2),"Não aplicável")</calculatedColumnFormula>
    </tableColumn>
    <tableColumn id="12" xr3:uid="{343FB2F9-43B9-4CE8-A46F-FD278C4D28A7}" name="Observação" dataDxfId="1892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4C100C5E-453F-4DCC-8B90-251D10B3534D}" name="TbVISA34_DT" displayName="TbVISA34_DT" ref="B1:M3" totalsRowShown="0" headerRowDxfId="1891">
  <autoFilter ref="B1:M3" xr:uid="{4C100C5E-453F-4DCC-8B90-251D10B3534D}"/>
  <tableColumns count="12">
    <tableColumn id="1" xr3:uid="{AA6DAD34-34DE-4484-A39C-1DA188870BB3}" name="Data da Movimentação" dataDxfId="1890"/>
    <tableColumn id="2" xr3:uid="{C4511A00-8E89-496E-8CBB-C306B2017DD0}" name="Qtt Compra" dataDxfId="1889"/>
    <tableColumn id="3" xr3:uid="{1FE05F26-F081-42EF-877C-3CE0988AACDE}" name="Qtt Venda"/>
    <tableColumn id="4" xr3:uid="{65C49F4F-EF4F-4741-879D-12D18147B6C4}" name="Cotação" dataDxfId="1888" dataCellStyle="Porcentagem"/>
    <tableColumn id="5" xr3:uid="{10649884-090B-4049-8F31-3E5F2E1AC628}" name="Corretagem" dataDxfId="1887" dataCellStyle="Porcentagem"/>
    <tableColumn id="6" xr3:uid="{28AD8425-DCB9-4AEB-90BB-6BC493F3813B}" name="Estoque" dataDxfId="1886">
      <calculatedColumnFormula>IF(A1="SUMÁRIO",TbVISA34_DT[[#This Row],[Qtt Compra]],IF(G1+C2-D2&lt;0, "ERRO", G1+C2-D2))</calculatedColumnFormula>
    </tableColumn>
    <tableColumn id="7" xr3:uid="{17D9FBF9-B5D6-41DB-95A8-6B0E54A55CE3}" name="Taxa B3" dataDxfId="1885" dataCellStyle="Porcentagem">
      <calculatedColumnFormula>IF(AND(TRUNC((C2+D2)*E2*0.03%,2)=0,OR(C2&gt;0,D2&gt;0)),0.01,ROUNDUP((C2+D2)*E2*0.03%,2))</calculatedColumnFormula>
    </tableColumn>
    <tableColumn id="8" xr3:uid="{9D03D9C6-C702-42C9-9163-C5101A08FB15}" name="Custo da operação" dataDxfId="1884" dataCellStyle="Porcentagem">
      <calculatedColumnFormula>F2+H2</calculatedColumnFormula>
    </tableColumn>
    <tableColumn id="9" xr3:uid="{121EC016-2B45-4CA9-930D-F11C462E45F4}" name="Custo Total" dataDxfId="1883">
      <calculatedColumnFormula>IF(A1="SUMÁRIO",E2*C2+I2,J1+IF(C2&gt;0,I2+C2*E2,-D2*K1))</calculatedColumnFormula>
    </tableColumn>
    <tableColumn id="10" xr3:uid="{B5AC8B3A-86EE-43A9-A2D3-A46E8069E559}" name="Custo Médio" dataDxfId="1882">
      <calculatedColumnFormula>IF(G2=0,0,J2/G2)</calculatedColumnFormula>
    </tableColumn>
    <tableColumn id="11" xr3:uid="{96AC0803-AD88-4ABF-969E-80DE10FC9C17}" name="Resultado">
      <calculatedColumnFormula>IF(D2&gt;0,TRUNC(D2*E2-D2*K1-I2,2),"Não aplicável")</calculatedColumnFormula>
    </tableColumn>
    <tableColumn id="12" xr3:uid="{7850E5F7-3163-4FCE-925C-CCB6EE1296A6}" name="Observação" dataDxfId="1881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D061A18-C327-452F-8564-1A8BB89B123B}" name="TbVISA34_ST" displayName="TbVISA34_ST" ref="B1:M3" totalsRowShown="0" headerRowDxfId="1880">
  <autoFilter ref="B1:M3" xr:uid="{ED061A18-C327-452F-8564-1A8BB89B123B}"/>
  <tableColumns count="12">
    <tableColumn id="1" xr3:uid="{2D2D836A-7FC4-4B34-B143-7A85A0831E2C}" name="Data da Movimentação" dataDxfId="1879"/>
    <tableColumn id="2" xr3:uid="{68613C02-08D1-4999-9927-58B68F76F323}" name="Qtt Compra" dataDxfId="1878"/>
    <tableColumn id="3" xr3:uid="{DE3EC4A4-3AB4-427B-A4E4-B7729F4D5B51}" name="Qtt Venda"/>
    <tableColumn id="4" xr3:uid="{E8A80520-6F53-4887-ADCC-37BB0E9E1938}" name="Cotação" dataDxfId="1877" dataCellStyle="Porcentagem"/>
    <tableColumn id="5" xr3:uid="{2087903B-4613-45F8-9165-05259081A188}" name="Corretagem" dataDxfId="1876" dataCellStyle="Porcentagem"/>
    <tableColumn id="6" xr3:uid="{904BB8E5-5B84-48C6-BCB2-62B7D0235B11}" name="Estoque" dataDxfId="1875">
      <calculatedColumnFormula>IF(A1="SUMÁRIO",TbVISA34_ST[[#This Row],[Qtt Compra]],IF(G1+C2-D2&lt;0, "ERRO", G1+C2-D2))</calculatedColumnFormula>
    </tableColumn>
    <tableColumn id="7" xr3:uid="{BC89EDD6-C398-49A1-842E-5C349527B899}" name="Taxa B3" dataDxfId="1874" dataCellStyle="Porcentagem">
      <calculatedColumnFormula>IF(AND(TRUNC((C2+D2)*E2*0.03%,2)=0,OR(C2&gt;0,D2&gt;0)),0.01,ROUNDUP((C2+D2)*E2*0.03%,2))</calculatedColumnFormula>
    </tableColumn>
    <tableColumn id="8" xr3:uid="{4E270D20-3FE5-479D-9209-BDF1F66EC086}" name="Custo da operação" dataDxfId="1873" dataCellStyle="Porcentagem">
      <calculatedColumnFormula>F2+H2</calculatedColumnFormula>
    </tableColumn>
    <tableColumn id="9" xr3:uid="{FE57D022-BE29-4C8A-B8CF-77F09633F919}" name="Custo Total" dataDxfId="1872">
      <calculatedColumnFormula>IF(A1="SUMÁRIO",E2*C2+I2,J1+IF(C2&gt;0,I2+C2*E2,-D2*K1))</calculatedColumnFormula>
    </tableColumn>
    <tableColumn id="10" xr3:uid="{DD027DBD-4337-4790-8FAA-7CB0C2A24105}" name="Custo Médio" dataDxfId="1871">
      <calculatedColumnFormula>IF(G2=0,0,J2/G2)</calculatedColumnFormula>
    </tableColumn>
    <tableColumn id="11" xr3:uid="{ED771AEA-7C34-4272-949A-DD8B1ED1326F}" name="Resultado">
      <calculatedColumnFormula>IF(D2&gt;0,TRUNC(D2*E2-D2*K1-I2,2),"Não aplicável")</calculatedColumnFormula>
    </tableColumn>
    <tableColumn id="12" xr3:uid="{4A5004A7-9049-4E10-B30E-7E33136E02FF}" name="Observação" dataDxfId="187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6">
    <wetp:webextensionref xmlns:r="http://schemas.openxmlformats.org/officeDocument/2006/relationships" r:id="rId1"/>
  </wetp:taskpane>
  <wetp:taskpane dockstate="right" visibility="0" width="350" row="2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185C2187-E83A-4EFA-9002-A7608D9C8672}">
  <we:reference id="wa104381695" version="1.0.10.0" store="en-US" storeType="OMEX"/>
  <we:alternateReferences>
    <we:reference id="wa104381695" version="1.0.1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BC151A35-F3FC-4A12-A0BF-100BB3330667}">
  <we:reference id="wa104379220" version="8.0.0.0" store="pt-BR" storeType="OMEX"/>
  <we:alternateReferences>
    <we:reference id="wa104379220" version="8.0.0.0" store="WA104379220" storeType="OMEX"/>
  </we:alternateReferences>
  <we:properties>
    <we:property name="Office.AutoShowTaskpaneWithDocument" value="true"/>
    <we:property name="stocks" value="{&quot;BBDC4-BS&quot;:[&quot;BBDC4-BS&quot;,20.02,-0.03610977371208479],&quot;EMBR3-BS&quot;:[&quot;EMBR3-BS&quot;,20.88,-0.01741176470588235],&quot;LREN3-BS&quot;:[&quot;LREN3-BS&quot;,36.55,-0.01879194630872494],&quot;BRDT3-BS&quot;:[&quot;BRDT3-BS&quot;,25.09,-0.01992187500000009],&quot;AMZO34-BS&quot;:[&quot;AMZO34-BS&quot;,116.11,-0.006332905434317415],&quot;OIBR3-BS&quot;:[&quot;OIBR3-BS&quot;,0.96,-0.020408163265306145],&quot;BBAS3-BS&quot;:[&quot;BBAS3-BS&quot;,28.94,-0.01798439090600601],&quot;JNJB34-BS&quot;:[&quot;JNJB34-BS&quot;,57.99,0.0015544041450776813],&quot;AAVEUSDT&quot;:[&quot;AAVEUSDT&quot;,&quot;353.50000000&quot;,-0.028579280021983955],&quot;ADAUSDT&quot;:[&quot;ADAUSDT&quot;,&quot;2.37600000&quot;,0.007206443408223739],&quot;ALICEUSDT&quot;:[&quot;ALICEUSDT&quot;,&quot;13.20000000&quot;,-0.006772009029345383],&quot;ATOMUSDT&quot;:[&quot;ATOMUSDT&quot;,&quot;39.71000000&quot;,0.16759776536312865],&quot;BANDUSDT&quot;:[&quot;BANDUSDT&quot;,&quot;9.30400000&quot;,0.014834205933682565],&quot;BATUSDT&quot;:[&quot;BATUSDT&quot;,&quot;0.75640000&quot;,0.007861425716189308],&quot;BNBUSDT&quot;:[&quot;BNBUSDT&quot;,&quot;411.50000000&quot;,0.0014602092966660152],&quot;BTCUSDT&quot;:[&quot;BTCUSDT&quot;,&quot;48155.08000000&quot;,0.017014558775233946],&quot;CHZUSDT&quot;:[&quot;CHZUSDT&quot;,&quot;0.32820000&quot;,0.004283965728274275],&quot;DOTUSDT&quot;:[&quot;DOTUSDT&quot;,&quot;34.82000000&quot;,0.02835203780271711],&quot;ETCUSDT&quot;:[&quot;ETCUSDT&quot;,&quot;57.07000000&quot;,0.0007013852358408457],&quot;ETHUSDT&quot;:[&quot;ETHUSDT&quot;,&quot;3431.63000000&quot;,0.00544970304978265],&quot;EURUSDT&quot;:[&quot;EURUSDT&quot;,&quot;1.16900000&quot;,-0.0008547008547007406],&quot;IOTAUSDT&quot;:[&quot;IOTAUSDT&quot;,&quot;1.64160000&quot;,-0.008516035513679965],&quot;LINKUSDT&quot;:[&quot;LINKUSDT&quot;,&quot;28.40000000&quot;,0.004598514326140668],&quot;LTCUSDT&quot;:[&quot;LTCUSDT&quot;,&quot;180.80000000&quot;,-0.004405286343612258],&quot;TLMUSDT&quot;:[&quot;TLMUSDT&quot;,&quot;0.22650000&quot;,0.073968705547653],&quot;UNFIUSDT&quot;:[&quot;UNFIUSDT&quot;,&quot;10.86600000&quot;,-0.016829533116178075],&quot;XEMUSDT&quot;:[&quot;XEMUSDT&quot;,&quot;0.18410000&quot;,0.003816793893129722],&quot;USDTBRL&quot;:[&quot;USDTBRL&quot;,&quot;5.32400000&quot;,0.000563803796278961]}"/>
    <we:property name="stocksChange" value="{}"/>
    <we:property name="stocksOrder" value="[&quot;BBDC4-BS&quot;,&quot;EMBR3-BS&quot;,&quot;LREN3-BS&quot;,&quot;BRDT3-BS&quot;,&quot;AMZO34-BS&quot;,&quot;OIBR3-BS&quot;,&quot;BBAS3-BS&quot;,&quot;JNJB34-BS&quot;,&quot;USDTBRL&quot;,&quot;AAVEUSDT&quot;,&quot;ADAUSDT&quot;,&quot;ALICEUSDT&quot;,&quot;ATOMUSDT&quot;,&quot;BANDUSDT&quot;,&quot;BATUSDT&quot;,&quot;BNBUSDT&quot;,&quot;BTCUSDT&quot;,&quot;CHZUSDT&quot;,&quot;DOTUSDT&quot;,&quot;ETCUSDT&quot;,&quot;ETHUSDT&quot;,&quot;EURUSDT&quot;,&quot;IOTAUSDT&quot;,&quot;LINKUSDT&quot;,&quot;LTCUSDT&quot;,&quot;TLMUSDT&quot;,&quot;UNFIUSDT&quot;,&quot;XEMUSDT&quot;]"/>
    <we:property name="stocksSources" value="{&quot;BBDC4-BS&quot;:0,&quot;EMBR3-BS&quot;:0,&quot;LREN3-BS&quot;:0,&quot;BRDT3-BS&quot;:0,&quot;AMZO34-BS&quot;:0,&quot;OIBR3-BS&quot;:0,&quot;BBAS3-BS&quot;:0,&quot;JNJB34-BS&quot;:0,&quot;AAVEUSDT&quot;:0,&quot;ADAUSDT&quot;:0,&quot;ALICEUSDT&quot;:0,&quot;ATOMUSDT&quot;:0,&quot;BANDUSDT&quot;:0,&quot;BATUSDT&quot;:0,&quot;BNBUSDT&quot;:0,&quot;BTCUSDT&quot;:0,&quot;CHZUSDT&quot;:0,&quot;DOTUSDT&quot;:0,&quot;ETCUSDT&quot;:0,&quot;ETHUSDT&quot;:0,&quot;EURUSDT&quot;:0,&quot;IOTAUSDT&quot;:0,&quot;LINKUSDT&quot;:0,&quot;LTCUSDT&quot;:0,&quot;TLMUSDT&quot;:0,&quot;UNFIUSDT&quot;:0,&quot;XEMUSDT&quot;:0,&quot;USDTBRL&quot;:0}"/>
    <we:property name="updateIntervalIndex" value="0"/>
  </we:properties>
  <we:bindings>
    <we:binding id="BBDC4-BS" type="text" appref="{6244F78B-13D9-4176-9910-325B7DAEA691}"/>
    <we:binding id="EMBR3-BS" type="text" appref="{E3ABB67A-611C-4656-9AF8-A43EFCC98740}"/>
    <we:binding id="LREN3-BS" type="text" appref="{2569331E-7377-48DA-AC21-D29F1EA213C4}"/>
    <we:binding id="BRDT3-BS" type="text" appref="{0D0C4764-DD77-4C36-82AD-3E4DF7168ABB}"/>
    <we:binding id="AMZO34-BS" type="text" appref="{B022C9BF-1ABE-43A8-9232-A581DF8D8DB2}"/>
    <we:binding id="OIBR3-BS" type="text" appref="{AC847BA5-60C6-4617-9897-B09F56AEF80B}"/>
    <we:binding id="BBAS3-BS" type="text" appref="{61B45710-C241-4E85-BA37-E2D08D00D3A3}"/>
    <we:binding id="JNJB34-BS" type="text" appref="{6B0AE9BA-578A-4793-BBC7-033CDFE1136B}"/>
    <we:binding id="USDTBRL" type="text" appref="{49BD1508-7EC1-41FF-99DF-FE85E9E62A5E}"/>
    <we:binding id="AAVEUSDT" type="text" appref="{86A63D0B-4676-403F-93D5-9B7EE297B745}"/>
    <we:binding id="ADAUSDT" type="text" appref="{888FCAC5-896B-4E28-B481-17730D2A1A1C}"/>
    <we:binding id="ALICEUSDT" type="text" appref="{39843054-CCB0-4251-B7D4-8129301CBD60}"/>
    <we:binding id="ATOMUSDT" type="text" appref="{12F54140-0902-430A-A270-EC7325140AEE}"/>
    <we:binding id="BANDUSDT" type="text" appref="{E6B22D31-AB34-43EF-9CB1-5A66FE31CE5F}"/>
    <we:binding id="BATUSDT" type="text" appref="{B37D6C85-AEF6-43B5-AD93-71F5E462D183}"/>
    <we:binding id="BNBUSDT" type="text" appref="{45530755-83FC-41B9-854A-ADB3D3506848}"/>
    <we:binding id="BTCUSDT" type="text" appref="{CE24EB02-FBA4-4002-861B-4398460991EB}"/>
    <we:binding id="CHZUSDT" type="text" appref="{68386832-AF78-43C4-B102-6D56DB169172}"/>
    <we:binding id="DOTUSDT" type="text" appref="{4181C39A-9A7E-4650-9FA0-F3BF15E54557}"/>
    <we:binding id="ETCUSDT" type="text" appref="{7F60AF97-FC5B-4305-8C54-66518AF411BB}"/>
    <we:binding id="ETHUSDT" type="text" appref="{301EA232-6AFE-460C-86C5-F485D00F1ECD}"/>
    <we:binding id="EURUSDT" type="text" appref="{07A26876-7686-4924-9D04-D976E3010AD7}"/>
    <we:binding id="IOTAUSDT" type="text" appref="{5A857538-ABB6-41FE-9FC7-D69500319ACD}"/>
    <we:binding id="LINKUSDT" type="text" appref="{FC27586C-5564-4FD1-A55A-7C93AF4C7554}"/>
    <we:binding id="LTCUSDT" type="text" appref="{494FBE11-B05E-4CAB-8300-9C454A78F486}"/>
    <we:binding id="TLMUSDT" type="text" appref="{D0628045-D807-4937-AAE3-05D2670EB03B}"/>
    <we:binding id="UNFIUSDT" type="text" appref="{476D7D12-D0EC-4B25-8863-46701322C3BB}"/>
    <we:binding id="XEMUSDT" type="text" appref="{F04C5819-7F31-42AC-80C7-8B8D8120A3F5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1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2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4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9184-6559-48CE-A966-947DBF9DC73B}">
  <dimension ref="A1:AR24"/>
  <sheetViews>
    <sheetView showGridLines="0" topLeftCell="A11" zoomScale="128" zoomScaleNormal="128" workbookViewId="0">
      <selection sqref="A1:AR1"/>
    </sheetView>
  </sheetViews>
  <sheetFormatPr defaultColWidth="4.6640625" defaultRowHeight="24.75" customHeight="1" x14ac:dyDescent="0.3"/>
  <cols>
    <col min="1" max="17" width="4.6640625" style="99"/>
    <col min="18" max="18" width="4.6640625" style="99" customWidth="1"/>
    <col min="19" max="16384" width="4.6640625" style="99"/>
  </cols>
  <sheetData>
    <row r="1" spans="1:44" ht="28.8" x14ac:dyDescent="0.3">
      <c r="A1" s="192" t="s">
        <v>74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4"/>
    </row>
    <row r="2" spans="1:44" ht="11.25" customHeight="1" x14ac:dyDescent="0.3">
      <c r="A2" s="205"/>
      <c r="B2" s="205"/>
      <c r="C2" s="205"/>
      <c r="D2" s="205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0"/>
      <c r="AO2" s="120"/>
      <c r="AP2" s="120"/>
      <c r="AQ2" s="120"/>
      <c r="AR2" s="120"/>
    </row>
    <row r="3" spans="1:44" ht="18" x14ac:dyDescent="0.3">
      <c r="A3" s="197" t="s">
        <v>93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</row>
    <row r="4" spans="1:44" ht="15.6" x14ac:dyDescent="0.3">
      <c r="A4" s="195" t="s">
        <v>94</v>
      </c>
      <c r="B4" s="195"/>
      <c r="C4" s="195"/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 t="s">
        <v>95</v>
      </c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5"/>
      <c r="AQ4" s="195"/>
      <c r="AR4" s="195"/>
    </row>
    <row r="5" spans="1:44" ht="14.4" x14ac:dyDescent="0.3">
      <c r="A5" s="196" t="s">
        <v>4</v>
      </c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</row>
    <row r="6" spans="1:44" ht="14.4" x14ac:dyDescent="0.3">
      <c r="A6" s="177" t="s">
        <v>75</v>
      </c>
      <c r="B6" s="177"/>
      <c r="C6" s="177" t="s">
        <v>31</v>
      </c>
      <c r="D6" s="177"/>
      <c r="E6" s="177" t="s">
        <v>76</v>
      </c>
      <c r="F6" s="177"/>
      <c r="G6" s="177" t="s">
        <v>77</v>
      </c>
      <c r="H6" s="177"/>
      <c r="I6" s="177" t="s">
        <v>67</v>
      </c>
      <c r="J6" s="177"/>
      <c r="K6" s="177" t="s">
        <v>78</v>
      </c>
      <c r="L6" s="177"/>
      <c r="M6" s="177" t="s">
        <v>30</v>
      </c>
      <c r="N6" s="177"/>
      <c r="O6" s="177" t="s">
        <v>79</v>
      </c>
      <c r="P6" s="177"/>
      <c r="Q6" s="177" t="s">
        <v>51</v>
      </c>
      <c r="R6" s="177"/>
      <c r="S6" s="177" t="s">
        <v>80</v>
      </c>
      <c r="T6" s="177"/>
      <c r="U6" s="177"/>
      <c r="V6" s="177"/>
      <c r="W6" s="177" t="s">
        <v>75</v>
      </c>
      <c r="X6" s="177"/>
      <c r="Y6" s="177" t="s">
        <v>31</v>
      </c>
      <c r="Z6" s="177"/>
      <c r="AA6" s="177" t="s">
        <v>76</v>
      </c>
      <c r="AB6" s="177"/>
      <c r="AC6" s="177" t="s">
        <v>77</v>
      </c>
      <c r="AD6" s="177"/>
      <c r="AE6" s="177" t="s">
        <v>67</v>
      </c>
      <c r="AF6" s="177"/>
      <c r="AG6" s="177" t="s">
        <v>78</v>
      </c>
      <c r="AH6" s="177"/>
      <c r="AI6" s="177" t="s">
        <v>30</v>
      </c>
      <c r="AJ6" s="177"/>
      <c r="AK6" s="177" t="s">
        <v>79</v>
      </c>
      <c r="AL6" s="177"/>
      <c r="AM6" s="177" t="s">
        <v>51</v>
      </c>
      <c r="AN6" s="177"/>
      <c r="AO6" s="177" t="s">
        <v>80</v>
      </c>
      <c r="AP6" s="177"/>
      <c r="AQ6" s="177"/>
      <c r="AR6" s="177"/>
    </row>
    <row r="7" spans="1:44" ht="24.75" customHeight="1" x14ac:dyDescent="0.3">
      <c r="A7" s="100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</row>
    <row r="8" spans="1:44" ht="24.75" customHeight="1" x14ac:dyDescent="0.3">
      <c r="A8" s="100"/>
      <c r="B8" s="100"/>
      <c r="C8" s="100"/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</row>
    <row r="9" spans="1:44" ht="14.4" x14ac:dyDescent="0.3">
      <c r="A9" s="196" t="s">
        <v>5</v>
      </c>
      <c r="B9" s="196"/>
      <c r="C9" s="196"/>
      <c r="D9" s="196"/>
      <c r="E9" s="196"/>
      <c r="F9" s="196"/>
      <c r="G9" s="196"/>
      <c r="H9" s="196"/>
      <c r="I9" s="196"/>
      <c r="J9" s="196"/>
      <c r="K9" s="196"/>
      <c r="L9" s="196"/>
      <c r="M9" s="196"/>
      <c r="N9" s="196"/>
      <c r="O9" s="196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</row>
    <row r="10" spans="1:44" ht="14.4" x14ac:dyDescent="0.3">
      <c r="A10" s="177" t="s">
        <v>81</v>
      </c>
      <c r="B10" s="177"/>
      <c r="C10" s="177" t="s">
        <v>37</v>
      </c>
      <c r="D10" s="177"/>
      <c r="E10" s="177" t="s">
        <v>69</v>
      </c>
      <c r="F10" s="177"/>
      <c r="G10" s="177" t="s">
        <v>70</v>
      </c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7"/>
      <c r="W10" s="177" t="s">
        <v>81</v>
      </c>
      <c r="X10" s="177"/>
      <c r="Y10" s="177" t="s">
        <v>37</v>
      </c>
      <c r="Z10" s="177"/>
      <c r="AA10" s="177" t="s">
        <v>69</v>
      </c>
      <c r="AB10" s="177"/>
      <c r="AC10" s="177" t="s">
        <v>70</v>
      </c>
      <c r="AD10" s="177"/>
      <c r="AE10" s="177"/>
      <c r="AF10" s="177"/>
      <c r="AG10" s="177"/>
      <c r="AH10" s="177"/>
      <c r="AI10" s="177"/>
      <c r="AJ10" s="177"/>
      <c r="AK10" s="177"/>
      <c r="AL10" s="177"/>
      <c r="AM10" s="177"/>
      <c r="AN10" s="177"/>
      <c r="AO10" s="177"/>
      <c r="AP10" s="177"/>
      <c r="AQ10" s="177"/>
      <c r="AR10" s="177"/>
    </row>
    <row r="11" spans="1:44" ht="24.75" customHeight="1" x14ac:dyDescent="0.3">
      <c r="A11" s="100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</row>
    <row r="12" spans="1:44" ht="24.75" customHeight="1" x14ac:dyDescent="0.3">
      <c r="A12" s="100"/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</row>
    <row r="13" spans="1:44" ht="14.4" x14ac:dyDescent="0.3">
      <c r="A13" s="196" t="s">
        <v>82</v>
      </c>
      <c r="B13" s="196"/>
      <c r="C13" s="196"/>
      <c r="D13" s="196"/>
      <c r="E13" s="196"/>
      <c r="F13" s="196"/>
      <c r="G13" s="196"/>
      <c r="H13" s="196"/>
      <c r="I13" s="196"/>
      <c r="J13" s="196"/>
      <c r="K13" s="196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  <c r="AN13" s="196"/>
      <c r="AO13" s="196"/>
      <c r="AP13" s="196"/>
      <c r="AQ13" s="196"/>
      <c r="AR13" s="196"/>
    </row>
    <row r="14" spans="1:44" ht="14.4" x14ac:dyDescent="0.3">
      <c r="A14" s="177" t="s">
        <v>34</v>
      </c>
      <c r="B14" s="177"/>
      <c r="C14" s="177" t="s">
        <v>72</v>
      </c>
      <c r="D14" s="177"/>
      <c r="E14" s="177" t="s">
        <v>73</v>
      </c>
      <c r="F14" s="177"/>
      <c r="G14" s="177" t="s">
        <v>33</v>
      </c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7"/>
      <c r="W14" s="177" t="s">
        <v>34</v>
      </c>
      <c r="X14" s="177"/>
      <c r="Y14" s="177" t="s">
        <v>72</v>
      </c>
      <c r="Z14" s="177"/>
      <c r="AA14" s="177" t="s">
        <v>73</v>
      </c>
      <c r="AB14" s="177"/>
      <c r="AC14" s="177" t="s">
        <v>33</v>
      </c>
      <c r="AD14" s="177"/>
      <c r="AE14" s="177"/>
      <c r="AF14" s="177"/>
      <c r="AG14" s="177"/>
      <c r="AH14" s="177"/>
      <c r="AI14" s="177"/>
      <c r="AJ14" s="177"/>
      <c r="AK14" s="177"/>
      <c r="AL14" s="177"/>
      <c r="AM14" s="177"/>
      <c r="AN14" s="177"/>
      <c r="AO14" s="177"/>
      <c r="AP14" s="177"/>
      <c r="AQ14" s="177"/>
      <c r="AR14" s="177"/>
    </row>
    <row r="15" spans="1:44" ht="24.75" customHeight="1" x14ac:dyDescent="0.3">
      <c r="A15" s="100"/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</row>
    <row r="16" spans="1:44" ht="24.75" customHeight="1" x14ac:dyDescent="0.3">
      <c r="A16" s="100"/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</row>
    <row r="17" spans="1:44" ht="12" customHeight="1" thickBot="1" x14ac:dyDescent="0.35"/>
    <row r="18" spans="1:44" ht="18" x14ac:dyDescent="0.3">
      <c r="A18" s="206" t="s">
        <v>89</v>
      </c>
      <c r="B18" s="207"/>
      <c r="C18" s="207"/>
      <c r="D18" s="207"/>
      <c r="E18" s="207"/>
      <c r="F18" s="207"/>
      <c r="G18" s="207"/>
      <c r="H18" s="207"/>
      <c r="I18" s="207"/>
      <c r="J18" s="207"/>
      <c r="K18" s="207"/>
      <c r="L18" s="207"/>
      <c r="M18" s="207"/>
      <c r="N18" s="207"/>
      <c r="O18" s="207"/>
      <c r="P18" s="207"/>
      <c r="Q18" s="207"/>
      <c r="R18" s="208"/>
      <c r="S18" s="200" t="s">
        <v>278</v>
      </c>
      <c r="T18" s="201"/>
      <c r="U18" s="179" t="s">
        <v>194</v>
      </c>
      <c r="V18" s="180"/>
      <c r="W18" s="183" t="s">
        <v>90</v>
      </c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5"/>
    </row>
    <row r="19" spans="1:44" ht="15" customHeight="1" x14ac:dyDescent="0.3">
      <c r="A19" s="198" t="s">
        <v>88</v>
      </c>
      <c r="B19" s="196"/>
      <c r="C19" s="196"/>
      <c r="D19" s="196"/>
      <c r="E19" s="196"/>
      <c r="F19" s="196"/>
      <c r="G19" s="196"/>
      <c r="H19" s="196"/>
      <c r="I19" s="196"/>
      <c r="J19" s="196"/>
      <c r="K19" s="196"/>
      <c r="L19" s="196"/>
      <c r="M19" s="196"/>
      <c r="N19" s="196"/>
      <c r="O19" s="196"/>
      <c r="P19" s="196"/>
      <c r="Q19" s="196"/>
      <c r="R19" s="199"/>
      <c r="S19" s="202"/>
      <c r="T19" s="203"/>
      <c r="U19" s="181"/>
      <c r="V19" s="182"/>
      <c r="W19" s="186"/>
      <c r="X19" s="187"/>
      <c r="Y19" s="187"/>
      <c r="Z19" s="187"/>
      <c r="AA19" s="187"/>
      <c r="AB19" s="187"/>
      <c r="AC19" s="187"/>
      <c r="AD19" s="187"/>
      <c r="AE19" s="187"/>
      <c r="AF19" s="187"/>
      <c r="AG19" s="187"/>
      <c r="AH19" s="187"/>
      <c r="AI19" s="187"/>
      <c r="AJ19" s="187"/>
      <c r="AK19" s="187"/>
      <c r="AL19" s="187"/>
      <c r="AM19" s="187"/>
      <c r="AN19" s="187"/>
      <c r="AO19" s="187"/>
      <c r="AP19" s="187"/>
      <c r="AQ19" s="187"/>
      <c r="AR19" s="188"/>
    </row>
    <row r="20" spans="1:44" ht="14.4" x14ac:dyDescent="0.3">
      <c r="A20" s="204" t="s">
        <v>83</v>
      </c>
      <c r="B20" s="177"/>
      <c r="C20" s="177" t="s">
        <v>84</v>
      </c>
      <c r="D20" s="177"/>
      <c r="E20" s="177" t="s">
        <v>85</v>
      </c>
      <c r="F20" s="177"/>
      <c r="G20" s="189" t="s">
        <v>86</v>
      </c>
      <c r="H20" s="190"/>
      <c r="I20" s="189" t="s">
        <v>87</v>
      </c>
      <c r="J20" s="190"/>
      <c r="K20" s="189" t="s">
        <v>96</v>
      </c>
      <c r="L20" s="190"/>
      <c r="M20" s="177" t="s">
        <v>65</v>
      </c>
      <c r="N20" s="177"/>
      <c r="O20" s="177"/>
      <c r="P20" s="177"/>
      <c r="Q20" s="177"/>
      <c r="R20" s="178"/>
      <c r="S20" s="202"/>
      <c r="T20" s="203"/>
      <c r="U20" s="181"/>
      <c r="V20" s="182"/>
      <c r="W20" s="191" t="s">
        <v>91</v>
      </c>
      <c r="X20" s="190"/>
      <c r="Y20" s="189" t="s">
        <v>92</v>
      </c>
      <c r="Z20" s="190"/>
      <c r="AA20" s="177" t="s">
        <v>83</v>
      </c>
      <c r="AB20" s="177"/>
      <c r="AC20" s="177" t="s">
        <v>84</v>
      </c>
      <c r="AD20" s="177"/>
      <c r="AE20" s="177" t="s">
        <v>85</v>
      </c>
      <c r="AF20" s="177"/>
      <c r="AG20" s="189" t="s">
        <v>86</v>
      </c>
      <c r="AH20" s="190"/>
      <c r="AI20" s="189" t="s">
        <v>87</v>
      </c>
      <c r="AJ20" s="190"/>
      <c r="AK20" s="189" t="s">
        <v>96</v>
      </c>
      <c r="AL20" s="190"/>
      <c r="AM20" s="177" t="s">
        <v>65</v>
      </c>
      <c r="AN20" s="177"/>
      <c r="AO20" s="177"/>
      <c r="AP20" s="177"/>
      <c r="AQ20" s="177"/>
      <c r="AR20" s="178"/>
    </row>
    <row r="21" spans="1:44" ht="24.75" customHeight="1" x14ac:dyDescent="0.3">
      <c r="A21" s="17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71"/>
      <c r="S21" s="170"/>
      <c r="T21" s="100"/>
      <c r="U21" s="100"/>
      <c r="V21" s="171"/>
      <c r="W21" s="17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71"/>
    </row>
    <row r="22" spans="1:44" ht="24.75" customHeight="1" thickBot="1" x14ac:dyDescent="0.35">
      <c r="A22" s="172"/>
      <c r="B22" s="173"/>
      <c r="C22" s="173"/>
      <c r="D22" s="173"/>
      <c r="E22" s="173"/>
      <c r="F22" s="173"/>
      <c r="G22" s="173"/>
      <c r="H22" s="173"/>
      <c r="I22" s="173"/>
      <c r="J22" s="173"/>
      <c r="K22" s="173"/>
      <c r="L22" s="173"/>
      <c r="M22" s="173"/>
      <c r="N22" s="173"/>
      <c r="O22" s="173"/>
      <c r="P22" s="173"/>
      <c r="Q22" s="173"/>
      <c r="R22" s="174"/>
      <c r="S22" s="172"/>
      <c r="T22" s="173"/>
      <c r="U22" s="173"/>
      <c r="V22" s="174"/>
      <c r="W22" s="172"/>
      <c r="X22" s="173"/>
      <c r="Y22" s="173"/>
      <c r="Z22" s="173"/>
      <c r="AA22" s="173"/>
      <c r="AB22" s="173"/>
      <c r="AC22" s="173"/>
      <c r="AD22" s="173"/>
      <c r="AE22" s="173"/>
      <c r="AF22" s="173"/>
      <c r="AG22" s="173"/>
      <c r="AH22" s="173"/>
      <c r="AI22" s="173"/>
      <c r="AJ22" s="173"/>
      <c r="AK22" s="173"/>
      <c r="AL22" s="173"/>
      <c r="AM22" s="173"/>
      <c r="AN22" s="173"/>
      <c r="AO22" s="173"/>
      <c r="AP22" s="173"/>
      <c r="AQ22" s="173"/>
      <c r="AR22" s="174"/>
    </row>
    <row r="23" spans="1:44" ht="24.75" customHeight="1" x14ac:dyDescent="0.3">
      <c r="E23" s="101"/>
      <c r="H23" s="101"/>
      <c r="Y23" s="101"/>
      <c r="Z23" s="101"/>
    </row>
    <row r="24" spans="1:44" ht="24.75" customHeight="1" x14ac:dyDescent="0.3">
      <c r="F24" s="101"/>
      <c r="G24" s="101"/>
      <c r="H24" s="101"/>
      <c r="I24" s="101"/>
      <c r="J24" s="101"/>
      <c r="Q24" s="101"/>
      <c r="R24" s="101"/>
      <c r="AB24" s="101"/>
      <c r="AF24" s="101"/>
      <c r="AH24" s="101"/>
    </row>
  </sheetData>
  <mergeCells count="100">
    <mergeCell ref="A2:B2"/>
    <mergeCell ref="C2:D2"/>
    <mergeCell ref="A18:R18"/>
    <mergeCell ref="Q6:R6"/>
    <mergeCell ref="U6:V6"/>
    <mergeCell ref="Q10:R10"/>
    <mergeCell ref="S6:T6"/>
    <mergeCell ref="S10:T10"/>
    <mergeCell ref="A9:AR9"/>
    <mergeCell ref="A10:B10"/>
    <mergeCell ref="C10:D10"/>
    <mergeCell ref="AQ10:AR10"/>
    <mergeCell ref="O6:P6"/>
    <mergeCell ref="O10:P10"/>
    <mergeCell ref="A13:AR13"/>
    <mergeCell ref="E10:F10"/>
    <mergeCell ref="AM20:AN20"/>
    <mergeCell ref="K20:L20"/>
    <mergeCell ref="M20:N20"/>
    <mergeCell ref="AI14:AJ14"/>
    <mergeCell ref="AE14:AF14"/>
    <mergeCell ref="AK14:AL14"/>
    <mergeCell ref="Y14:Z14"/>
    <mergeCell ref="AA14:AB14"/>
    <mergeCell ref="A19:R19"/>
    <mergeCell ref="S18:T20"/>
    <mergeCell ref="A20:B20"/>
    <mergeCell ref="G20:H20"/>
    <mergeCell ref="AG20:AH20"/>
    <mergeCell ref="AI20:AJ20"/>
    <mergeCell ref="AK20:AL20"/>
    <mergeCell ref="G10:H10"/>
    <mergeCell ref="I10:J10"/>
    <mergeCell ref="W10:X10"/>
    <mergeCell ref="W6:X6"/>
    <mergeCell ref="O14:P14"/>
    <mergeCell ref="A1:AR1"/>
    <mergeCell ref="A4:V4"/>
    <mergeCell ref="W4:AR4"/>
    <mergeCell ref="A5:AR5"/>
    <mergeCell ref="A6:B6"/>
    <mergeCell ref="C6:D6"/>
    <mergeCell ref="E6:F6"/>
    <mergeCell ref="G6:H6"/>
    <mergeCell ref="I6:J6"/>
    <mergeCell ref="K6:L6"/>
    <mergeCell ref="A3:AR3"/>
    <mergeCell ref="AK6:AL6"/>
    <mergeCell ref="M6:N6"/>
    <mergeCell ref="AQ6:AR6"/>
    <mergeCell ref="AA6:AB6"/>
    <mergeCell ref="AO6:AP6"/>
    <mergeCell ref="AG10:AH10"/>
    <mergeCell ref="K10:L10"/>
    <mergeCell ref="M10:N10"/>
    <mergeCell ref="AO10:AP10"/>
    <mergeCell ref="Y6:Z6"/>
    <mergeCell ref="AA10:AB10"/>
    <mergeCell ref="AC6:AD6"/>
    <mergeCell ref="U10:V10"/>
    <mergeCell ref="AM6:AN6"/>
    <mergeCell ref="AK10:AL10"/>
    <mergeCell ref="AM10:AN10"/>
    <mergeCell ref="AE6:AF6"/>
    <mergeCell ref="AG6:AH6"/>
    <mergeCell ref="AI6:AJ6"/>
    <mergeCell ref="AI10:AJ10"/>
    <mergeCell ref="Y10:Z10"/>
    <mergeCell ref="AC10:AD10"/>
    <mergeCell ref="AE10:AF10"/>
    <mergeCell ref="C20:D20"/>
    <mergeCell ref="E20:F20"/>
    <mergeCell ref="U14:V14"/>
    <mergeCell ref="W14:X14"/>
    <mergeCell ref="Q14:R14"/>
    <mergeCell ref="W18:AR19"/>
    <mergeCell ref="AQ14:AR14"/>
    <mergeCell ref="AE20:AF20"/>
    <mergeCell ref="I20:J20"/>
    <mergeCell ref="AC14:AD14"/>
    <mergeCell ref="AQ20:AR20"/>
    <mergeCell ref="W20:X20"/>
    <mergeCell ref="Y20:Z20"/>
    <mergeCell ref="AA20:AB20"/>
    <mergeCell ref="AO20:AP20"/>
    <mergeCell ref="A14:B14"/>
    <mergeCell ref="C14:D14"/>
    <mergeCell ref="E14:F14"/>
    <mergeCell ref="G14:H14"/>
    <mergeCell ref="I14:J14"/>
    <mergeCell ref="O20:P20"/>
    <mergeCell ref="Q20:R20"/>
    <mergeCell ref="U18:V20"/>
    <mergeCell ref="AM14:AN14"/>
    <mergeCell ref="AG14:AH14"/>
    <mergeCell ref="AC20:AD20"/>
    <mergeCell ref="AO14:AP14"/>
    <mergeCell ref="S14:T14"/>
    <mergeCell ref="K14:L14"/>
    <mergeCell ref="M14:N1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E9E06-1A6B-4663-A3DC-2DF8A5E31F61}">
  <dimension ref="A1:M10"/>
  <sheetViews>
    <sheetView showGridLines="0" topLeftCell="B1" workbookViewId="0">
      <selection activeCell="I3" sqref="I3"/>
    </sheetView>
  </sheetViews>
  <sheetFormatPr defaultColWidth="9.109375" defaultRowHeight="14.4" x14ac:dyDescent="0.3"/>
  <cols>
    <col min="1" max="2" width="10.5546875" style="2" bestFit="1" customWidth="1"/>
    <col min="3" max="3" width="12" style="2" bestFit="1" customWidth="1"/>
    <col min="4" max="4" width="10.5546875" style="2" bestFit="1" customWidth="1"/>
    <col min="5" max="5" width="27.88671875" style="4" bestFit="1" customWidth="1"/>
    <col min="6" max="6" width="23" style="4" bestFit="1" customWidth="1"/>
    <col min="7" max="7" width="27.5546875" style="4" bestFit="1" customWidth="1"/>
    <col min="8" max="8" width="26.5546875" style="4" bestFit="1" customWidth="1"/>
    <col min="9" max="9" width="28" style="4" bestFit="1" customWidth="1"/>
    <col min="10" max="10" width="21.6640625" style="4" bestFit="1" customWidth="1"/>
    <col min="11" max="11" width="25.5546875" style="4" bestFit="1" customWidth="1"/>
    <col min="12" max="12" width="25" style="4" bestFit="1" customWidth="1"/>
    <col min="13" max="13" width="23" style="4" bestFit="1" customWidth="1"/>
    <col min="14" max="16384" width="9.109375" style="4"/>
  </cols>
  <sheetData>
    <row r="1" spans="1:13" s="11" customFormat="1" ht="15.6" x14ac:dyDescent="0.3">
      <c r="A1" s="11" t="s">
        <v>14</v>
      </c>
      <c r="B1" s="11" t="s">
        <v>15</v>
      </c>
      <c r="C1" s="11" t="s">
        <v>68</v>
      </c>
      <c r="D1" s="11" t="s">
        <v>65</v>
      </c>
      <c r="E1" s="11" t="s">
        <v>16</v>
      </c>
      <c r="F1" s="11" t="s">
        <v>17</v>
      </c>
      <c r="G1" s="11" t="s">
        <v>18</v>
      </c>
      <c r="H1" s="11" t="s">
        <v>32</v>
      </c>
      <c r="I1" s="14" t="s">
        <v>40</v>
      </c>
      <c r="J1" s="11" t="s">
        <v>71</v>
      </c>
      <c r="K1" s="11" t="s">
        <v>39</v>
      </c>
      <c r="L1" s="11" t="s">
        <v>46</v>
      </c>
      <c r="M1" s="11" t="s">
        <v>66</v>
      </c>
    </row>
    <row r="2" spans="1:13" x14ac:dyDescent="0.3">
      <c r="A2" s="4">
        <v>24</v>
      </c>
      <c r="B2" s="4">
        <v>69</v>
      </c>
      <c r="C2" s="4">
        <v>70</v>
      </c>
      <c r="D2" s="4">
        <v>60</v>
      </c>
      <c r="E2" s="4">
        <v>10000</v>
      </c>
      <c r="F2" s="4">
        <v>250</v>
      </c>
      <c r="G2" s="4">
        <v>66</v>
      </c>
      <c r="H2" s="4">
        <v>100</v>
      </c>
      <c r="I2" s="4">
        <v>1E+16</v>
      </c>
      <c r="J2" s="4">
        <f>-I21</f>
        <v>0</v>
      </c>
      <c r="K2" s="4">
        <v>0</v>
      </c>
      <c r="L2" s="4">
        <v>88.26</v>
      </c>
      <c r="M2" s="4">
        <v>56.88</v>
      </c>
    </row>
    <row r="3" spans="1:13" x14ac:dyDescent="0.3">
      <c r="A3" s="36" t="s">
        <v>74</v>
      </c>
      <c r="E3" s="4">
        <v>1000</v>
      </c>
      <c r="F3" s="4">
        <v>400</v>
      </c>
      <c r="G3" s="4">
        <v>400</v>
      </c>
      <c r="L3" s="4">
        <v>29.8</v>
      </c>
      <c r="M3" s="4">
        <v>52.72</v>
      </c>
    </row>
    <row r="4" spans="1:13" x14ac:dyDescent="0.3">
      <c r="E4" s="4">
        <v>-60000</v>
      </c>
      <c r="G4" s="4">
        <v>-221.75</v>
      </c>
      <c r="M4" s="4">
        <v>150</v>
      </c>
    </row>
    <row r="5" spans="1:13" x14ac:dyDescent="0.3">
      <c r="E5" s="4">
        <v>-60000</v>
      </c>
      <c r="G5" s="4">
        <v>-274.98</v>
      </c>
      <c r="M5" s="4">
        <v>100</v>
      </c>
    </row>
    <row r="9" spans="1:13" x14ac:dyDescent="0.3">
      <c r="E9" s="6"/>
    </row>
    <row r="10" spans="1:13" x14ac:dyDescent="0.3">
      <c r="F10" s="6"/>
      <c r="G10" s="6"/>
      <c r="H10" s="6"/>
      <c r="J10" s="6"/>
      <c r="K10" s="6"/>
      <c r="L10" s="6"/>
    </row>
  </sheetData>
  <phoneticPr fontId="1" type="noConversion"/>
  <hyperlinks>
    <hyperlink ref="A3" location="Sumário!A1" display="SUMÁRIO" xr:uid="{0634DD5B-F310-4845-99D7-D9079A9EE1F3}"/>
  </hyperlinks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B03D7-7193-4897-B6F4-A9282E33F432}">
  <dimension ref="A1:N21"/>
  <sheetViews>
    <sheetView zoomScale="175" zoomScaleNormal="175" workbookViewId="0">
      <selection activeCell="C5" sqref="C5"/>
    </sheetView>
  </sheetViews>
  <sheetFormatPr defaultColWidth="16.109375" defaultRowHeight="14.4" x14ac:dyDescent="0.3"/>
  <cols>
    <col min="1" max="1" width="7.33203125" style="20" bestFit="1" customWidth="1"/>
    <col min="2" max="2" width="14.5546875" style="21" bestFit="1" customWidth="1"/>
    <col min="3" max="3" width="11.6640625" style="160" bestFit="1" customWidth="1"/>
    <col min="4" max="4" width="2.109375" style="165" customWidth="1"/>
    <col min="5" max="5" width="14" style="21" bestFit="1" customWidth="1"/>
    <col min="6" max="6" width="17.6640625" style="21" bestFit="1" customWidth="1"/>
    <col min="7" max="7" width="2" style="164" customWidth="1"/>
    <col min="8" max="8" width="18.109375" style="21" bestFit="1" customWidth="1"/>
    <col min="9" max="9" width="17" style="20" bestFit="1" customWidth="1"/>
    <col min="10" max="10" width="2" style="164" customWidth="1"/>
    <col min="11" max="11" width="8.44140625" style="21" bestFit="1" customWidth="1"/>
    <col min="12" max="12" width="16.44140625" style="20" bestFit="1" customWidth="1"/>
    <col min="13" max="13" width="2.109375" style="164" customWidth="1"/>
    <col min="14" max="16384" width="16.109375" style="20"/>
  </cols>
  <sheetData>
    <row r="1" spans="1:14" x14ac:dyDescent="0.3">
      <c r="A1" s="20" t="s">
        <v>7</v>
      </c>
      <c r="B1" s="21" t="s">
        <v>50</v>
      </c>
      <c r="C1" s="160" t="s">
        <v>42</v>
      </c>
      <c r="D1" s="22"/>
      <c r="E1" s="20" t="s">
        <v>62</v>
      </c>
      <c r="F1" s="21" t="s">
        <v>273</v>
      </c>
      <c r="G1" s="163"/>
      <c r="H1" s="20" t="s">
        <v>63</v>
      </c>
      <c r="I1" s="21" t="s">
        <v>274</v>
      </c>
      <c r="J1" s="163"/>
      <c r="K1" s="20" t="s">
        <v>64</v>
      </c>
      <c r="L1" s="21" t="s">
        <v>275</v>
      </c>
      <c r="N1" s="36" t="s">
        <v>74</v>
      </c>
    </row>
    <row r="2" spans="1:14" x14ac:dyDescent="0.3">
      <c r="A2" s="20" t="s">
        <v>58</v>
      </c>
      <c r="B2" s="34">
        <f>TbCotaçãoMoeda[[#This Row],[USDT]]*$B$20</f>
        <v>1850.2523999999999</v>
      </c>
      <c r="C2" s="161">
        <v>347.4</v>
      </c>
      <c r="D2" s="33"/>
      <c r="E2" s="20" t="s">
        <v>67</v>
      </c>
      <c r="F2" s="34">
        <v>28.94</v>
      </c>
      <c r="G2" s="163"/>
      <c r="H2" s="20" t="s">
        <v>37</v>
      </c>
      <c r="I2" s="34">
        <v>116.11</v>
      </c>
      <c r="J2" s="163"/>
      <c r="K2" s="20" t="s">
        <v>34</v>
      </c>
      <c r="L2" s="21">
        <v>69.69</v>
      </c>
    </row>
    <row r="3" spans="1:14" x14ac:dyDescent="0.3">
      <c r="A3" s="20" t="s">
        <v>43</v>
      </c>
      <c r="B3" s="34">
        <f>TbCotaçãoMoeda[[#This Row],[USDT]]*$B$20</f>
        <v>12.569359999999998</v>
      </c>
      <c r="C3" s="161">
        <v>2.36</v>
      </c>
      <c r="D3" s="22"/>
      <c r="E3" s="20" t="s">
        <v>30</v>
      </c>
      <c r="F3" s="34">
        <v>20.02</v>
      </c>
      <c r="G3" s="163"/>
      <c r="H3" s="20" t="s">
        <v>69</v>
      </c>
      <c r="I3" s="34">
        <v>57.99</v>
      </c>
      <c r="K3" s="20" t="s">
        <v>72</v>
      </c>
      <c r="L3" s="21">
        <v>161.77000000000001</v>
      </c>
    </row>
    <row r="4" spans="1:14" x14ac:dyDescent="0.3">
      <c r="A4" s="20" t="s">
        <v>55</v>
      </c>
      <c r="B4" s="34">
        <f>TbCotaçãoMoeda[[#This Row],[USDT]]*$B$20</f>
        <v>69.291259999999994</v>
      </c>
      <c r="C4" s="161">
        <v>13.01</v>
      </c>
      <c r="D4" s="22"/>
      <c r="E4" s="20" t="s">
        <v>31</v>
      </c>
      <c r="F4" s="34">
        <v>20.88</v>
      </c>
      <c r="G4" s="163"/>
      <c r="H4" s="20" t="s">
        <v>81</v>
      </c>
      <c r="I4" s="21">
        <v>118.5</v>
      </c>
      <c r="K4" s="20" t="s">
        <v>73</v>
      </c>
      <c r="L4" s="21">
        <v>95.67</v>
      </c>
    </row>
    <row r="5" spans="1:14" x14ac:dyDescent="0.3">
      <c r="A5" s="20" t="s">
        <v>44</v>
      </c>
      <c r="B5" s="34">
        <f>TbCotaçãoMoeda[[#This Row],[USDT]]*$B$20</f>
        <v>216.02256</v>
      </c>
      <c r="C5" s="161">
        <v>40.56</v>
      </c>
      <c r="D5" s="22"/>
      <c r="E5" s="20" t="s">
        <v>77</v>
      </c>
      <c r="F5" s="34">
        <v>25.09</v>
      </c>
      <c r="G5" s="163"/>
      <c r="H5" s="20" t="s">
        <v>70</v>
      </c>
      <c r="I5" s="21">
        <v>62.4</v>
      </c>
      <c r="K5" s="20" t="s">
        <v>33</v>
      </c>
      <c r="L5" s="21">
        <v>9.9499999999999993</v>
      </c>
    </row>
    <row r="6" spans="1:14" x14ac:dyDescent="0.3">
      <c r="A6" s="20" t="s">
        <v>59</v>
      </c>
      <c r="B6" s="34">
        <f>TbCotaçãoMoeda[[#This Row],[USDT]]*$B$20</f>
        <v>48.684965999999996</v>
      </c>
      <c r="C6" s="161">
        <v>9.141</v>
      </c>
      <c r="D6" s="22"/>
      <c r="E6" s="20"/>
      <c r="G6" s="163"/>
      <c r="H6" s="20"/>
      <c r="I6" s="21"/>
      <c r="K6" s="20"/>
      <c r="L6" s="21"/>
    </row>
    <row r="7" spans="1:14" x14ac:dyDescent="0.3">
      <c r="A7" s="20" t="s">
        <v>41</v>
      </c>
      <c r="B7" s="34">
        <f>TbCotaçãoMoeda[[#This Row],[USDT]]*$B$20</f>
        <v>3.9790545999999996</v>
      </c>
      <c r="C7" s="161">
        <v>0.74709999999999999</v>
      </c>
      <c r="D7" s="22"/>
      <c r="E7" s="20"/>
      <c r="G7" s="163"/>
      <c r="H7" s="20"/>
      <c r="I7" s="21"/>
      <c r="K7" s="20"/>
      <c r="L7" s="21"/>
    </row>
    <row r="8" spans="1:14" x14ac:dyDescent="0.3">
      <c r="A8" s="20" t="s">
        <v>45</v>
      </c>
      <c r="B8" s="34">
        <f>TbCotaçãoMoeda[[#This Row],[USDT]]*$B$20</f>
        <v>2173.5405999999998</v>
      </c>
      <c r="C8" s="161">
        <v>408.1</v>
      </c>
      <c r="D8" s="22"/>
      <c r="E8" s="20"/>
      <c r="G8" s="163"/>
      <c r="I8" s="21"/>
      <c r="K8" s="20"/>
      <c r="L8" s="21"/>
    </row>
    <row r="9" spans="1:14" x14ac:dyDescent="0.3">
      <c r="A9" s="151" t="s">
        <v>6</v>
      </c>
      <c r="B9" s="34">
        <f>TbCotaçãoMoeda[[#This Row],[USDT]]*$B$20</f>
        <v>255140.00612000001</v>
      </c>
      <c r="C9" s="161">
        <v>47904.62</v>
      </c>
      <c r="D9" s="22"/>
      <c r="E9" s="20"/>
      <c r="G9" s="163"/>
      <c r="H9" s="20"/>
      <c r="I9" s="21"/>
      <c r="K9" s="20"/>
      <c r="L9" s="21"/>
    </row>
    <row r="10" spans="1:14" x14ac:dyDescent="0.3">
      <c r="A10" s="20" t="s">
        <v>54</v>
      </c>
      <c r="B10" s="34">
        <f>TbCotaçãoMoeda[[#This Row],[USDT]]*$B$20</f>
        <v>1.7250913999999999</v>
      </c>
      <c r="C10" s="161">
        <v>0.32390000000000002</v>
      </c>
      <c r="D10" s="22"/>
      <c r="E10" s="20"/>
      <c r="G10" s="163"/>
      <c r="H10" s="20"/>
      <c r="I10" s="21"/>
      <c r="K10" s="20"/>
      <c r="L10" s="21"/>
    </row>
    <row r="11" spans="1:14" x14ac:dyDescent="0.3">
      <c r="A11" s="20" t="s">
        <v>9</v>
      </c>
      <c r="B11" s="34">
        <f>TbCotaçãoMoeda[[#This Row],[USDT]]*$B$20</f>
        <v>183.48070000000001</v>
      </c>
      <c r="C11" s="161">
        <v>34.450000000000003</v>
      </c>
      <c r="D11" s="22"/>
      <c r="E11" s="20"/>
      <c r="G11" s="163"/>
      <c r="H11" s="20"/>
      <c r="I11" s="21"/>
      <c r="K11" s="20"/>
      <c r="L11" s="21"/>
    </row>
    <row r="12" spans="1:14" x14ac:dyDescent="0.3">
      <c r="A12" s="20" t="s">
        <v>52</v>
      </c>
      <c r="B12" s="34">
        <f>TbCotaçãoMoeda[[#This Row],[USDT]]*$B$20</f>
        <v>301.07877999999999</v>
      </c>
      <c r="C12" s="161">
        <v>56.53</v>
      </c>
      <c r="D12" s="22"/>
      <c r="E12" s="20"/>
      <c r="G12" s="163"/>
      <c r="H12" s="20"/>
      <c r="I12" s="21"/>
      <c r="K12" s="20"/>
      <c r="L12" s="21"/>
    </row>
    <row r="13" spans="1:14" x14ac:dyDescent="0.3">
      <c r="A13" s="151" t="s">
        <v>8</v>
      </c>
      <c r="B13" s="34">
        <f>TbCotaçãoMoeda[[#This Row],[USDT]]*$B$20</f>
        <v>18041.132619999997</v>
      </c>
      <c r="C13" s="161">
        <v>3387.37</v>
      </c>
      <c r="D13" s="22"/>
      <c r="E13" s="20"/>
      <c r="G13" s="163"/>
      <c r="H13" s="20"/>
      <c r="I13" s="21"/>
      <c r="K13" s="20"/>
      <c r="L13" s="21"/>
    </row>
    <row r="14" spans="1:14" x14ac:dyDescent="0.3">
      <c r="A14" s="20" t="s">
        <v>60</v>
      </c>
      <c r="B14" s="34">
        <f>TbCotaçãoMoeda[[#This Row],[USDT]]*$B$20</f>
        <v>6.2314199999999991</v>
      </c>
      <c r="C14" s="161">
        <v>1.17</v>
      </c>
      <c r="D14" s="22"/>
      <c r="E14" s="20"/>
      <c r="G14" s="163"/>
      <c r="H14" s="20"/>
      <c r="I14" s="21"/>
      <c r="K14" s="20"/>
      <c r="L14" s="21"/>
    </row>
    <row r="15" spans="1:14" x14ac:dyDescent="0.3">
      <c r="A15" s="20" t="s">
        <v>53</v>
      </c>
      <c r="B15" s="34">
        <f>TbCotaçãoMoeda[[#This Row],[USDT]]*$B$20</f>
        <v>8.5817837999999984</v>
      </c>
      <c r="C15" s="161">
        <v>1.6113</v>
      </c>
      <c r="D15" s="22"/>
      <c r="E15" s="20"/>
      <c r="G15" s="163"/>
      <c r="H15" s="20"/>
      <c r="I15" s="21"/>
      <c r="K15" s="20"/>
      <c r="L15" s="21"/>
    </row>
    <row r="16" spans="1:14" x14ac:dyDescent="0.3">
      <c r="A16" s="20" t="s">
        <v>38</v>
      </c>
      <c r="B16" s="34">
        <f>TbCotaçãoMoeda[[#This Row],[USDT]]*$B$20</f>
        <v>148.80843999999999</v>
      </c>
      <c r="C16" s="161">
        <v>27.94</v>
      </c>
      <c r="D16" s="22"/>
      <c r="E16" s="20"/>
      <c r="G16" s="163"/>
      <c r="H16" s="20"/>
      <c r="I16" s="21"/>
      <c r="K16" s="20"/>
      <c r="L16" s="21"/>
    </row>
    <row r="17" spans="1:12" x14ac:dyDescent="0.3">
      <c r="A17" s="20" t="s">
        <v>56</v>
      </c>
      <c r="B17" s="34">
        <f>TbCotaçãoMoeda[[#This Row],[USDT]]*$B$20</f>
        <v>954.41919999999982</v>
      </c>
      <c r="C17" s="161">
        <v>179.2</v>
      </c>
      <c r="D17" s="22"/>
      <c r="E17" s="20"/>
      <c r="G17" s="163"/>
      <c r="H17" s="20"/>
      <c r="I17" s="21"/>
      <c r="K17" s="20"/>
      <c r="L17" s="21"/>
    </row>
    <row r="18" spans="1:12" x14ac:dyDescent="0.3">
      <c r="A18" s="20" t="s">
        <v>268</v>
      </c>
      <c r="B18" s="34">
        <f>TbCotaçãoMoeda[[#This Row],[USDT]]*$B$20</f>
        <v>1.1631984</v>
      </c>
      <c r="C18" s="161">
        <v>0.21840000000000001</v>
      </c>
      <c r="D18" s="22"/>
      <c r="E18" s="20"/>
      <c r="G18" s="163"/>
      <c r="H18" s="20"/>
      <c r="I18" s="21"/>
      <c r="K18" s="20"/>
      <c r="L18" s="21"/>
    </row>
    <row r="19" spans="1:12" x14ac:dyDescent="0.3">
      <c r="A19" s="20" t="s">
        <v>61</v>
      </c>
      <c r="B19" s="34">
        <f>TbCotaçãoMoeda[[#This Row],[USDT]]*$B$20</f>
        <v>57.068089999999998</v>
      </c>
      <c r="C19" s="161">
        <v>10.715</v>
      </c>
      <c r="D19" s="22"/>
      <c r="E19" s="20"/>
      <c r="G19" s="163"/>
      <c r="H19" s="20"/>
      <c r="I19" s="21"/>
      <c r="K19" s="20"/>
      <c r="L19" s="21"/>
    </row>
    <row r="20" spans="1:12" x14ac:dyDescent="0.3">
      <c r="A20" s="151" t="s">
        <v>42</v>
      </c>
      <c r="B20" s="34">
        <v>5.3259999999999996</v>
      </c>
      <c r="C20" s="162">
        <v>1</v>
      </c>
      <c r="D20" s="22"/>
      <c r="G20" s="163"/>
      <c r="H20" s="20"/>
      <c r="I20" s="21"/>
      <c r="K20" s="20"/>
      <c r="L20" s="21"/>
    </row>
    <row r="21" spans="1:12" x14ac:dyDescent="0.3">
      <c r="A21" s="20" t="s">
        <v>252</v>
      </c>
      <c r="B21" s="34">
        <f>TbCotaçãoMoeda[[#This Row],[USDT]]*$B$20</f>
        <v>0.97199499999999994</v>
      </c>
      <c r="C21" s="161">
        <v>0.1825</v>
      </c>
      <c r="D21" s="22"/>
      <c r="G21" s="163"/>
      <c r="H21" s="20"/>
      <c r="I21" s="21"/>
      <c r="K21" s="20"/>
      <c r="L21" s="21"/>
    </row>
  </sheetData>
  <phoneticPr fontId="1" type="noConversion"/>
  <hyperlinks>
    <hyperlink ref="N1" location="Sumário!A1" display="SUMÁRIO" xr:uid="{76152E43-9B32-4510-AA9E-903FB688A965}"/>
  </hyperlinks>
  <pageMargins left="0.511811024" right="0.511811024" top="0.78740157499999996" bottom="0.78740157499999996" header="0.31496062000000002" footer="0.31496062000000002"/>
  <pageSetup paperSize="9" orientation="portrait" r:id="rId1"/>
  <tableParts count="4">
    <tablePart r:id="rId2"/>
    <tablePart r:id="rId3"/>
    <tablePart r:id="rId4"/>
    <tablePart r:id="rId5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6244F78B-13D9-4176-9910-325B7DAEA691}">
          <xm:f>Cotação!$F$3</xm:f>
        </x15:webExtension>
        <x15:webExtension appRef="{E3ABB67A-611C-4656-9AF8-A43EFCC98740}">
          <xm:f>Cotação!$F$4</xm:f>
        </x15:webExtension>
        <x15:webExtension appRef="{2569331E-7377-48DA-AC21-D29F1EA213C4}">
          <xm:f>Cotação!#REF!</xm:f>
        </x15:webExtension>
        <x15:webExtension appRef="{0D0C4764-DD77-4C36-82AD-3E4DF7168ABB}">
          <xm:f>Cotação!$F$5</xm:f>
        </x15:webExtension>
        <x15:webExtension appRef="{B022C9BF-1ABE-43A8-9232-A581DF8D8DB2}">
          <xm:f>Cotação!$I$2</xm:f>
        </x15:webExtension>
        <x15:webExtension appRef="{AC847BA5-60C6-4617-9897-B09F56AEF80B}">
          <xm:f>Cotação!#REF!</xm:f>
        </x15:webExtension>
        <x15:webExtension appRef="{61B45710-C241-4E85-BA37-E2D08D00D3A3}">
          <xm:f>Cotação!$F$2</xm:f>
        </x15:webExtension>
        <x15:webExtension appRef="{6B0AE9BA-578A-4793-BBC7-033CDFE1136B}">
          <xm:f>Cotação!$I$3</xm:f>
        </x15:webExtension>
        <x15:webExtension appRef="{49BD1508-7EC1-41FF-99DF-FE85E9E62A5E}">
          <xm:f>Cotação!$B$20</xm:f>
        </x15:webExtension>
        <x15:webExtension appRef="{86A63D0B-4676-403F-93D5-9B7EE297B745}">
          <xm:f>Cotação!$C$2</xm:f>
        </x15:webExtension>
        <x15:webExtension appRef="{888FCAC5-896B-4E28-B481-17730D2A1A1C}">
          <xm:f>Cotação!$C$3</xm:f>
        </x15:webExtension>
        <x15:webExtension appRef="{39843054-CCB0-4251-B7D4-8129301CBD60}">
          <xm:f>Cotação!$C$4</xm:f>
        </x15:webExtension>
        <x15:webExtension appRef="{12F54140-0902-430A-A270-EC7325140AEE}">
          <xm:f>Cotação!$C$5</xm:f>
        </x15:webExtension>
        <x15:webExtension appRef="{E6B22D31-AB34-43EF-9CB1-5A66FE31CE5F}">
          <xm:f>Cotação!$C$6</xm:f>
        </x15:webExtension>
        <x15:webExtension appRef="{B37D6C85-AEF6-43B5-AD93-71F5E462D183}">
          <xm:f>Cotação!$C$7</xm:f>
        </x15:webExtension>
        <x15:webExtension appRef="{45530755-83FC-41B9-854A-ADB3D3506848}">
          <xm:f>Cotação!$C$8</xm:f>
        </x15:webExtension>
        <x15:webExtension appRef="{CE24EB02-FBA4-4002-861B-4398460991EB}">
          <xm:f>Cotação!$C$9</xm:f>
        </x15:webExtension>
        <x15:webExtension appRef="{68386832-AF78-43C4-B102-6D56DB169172}">
          <xm:f>Cotação!$C$10</xm:f>
        </x15:webExtension>
        <x15:webExtension appRef="{4181C39A-9A7E-4650-9FA0-F3BF15E54557}">
          <xm:f>Cotação!$C$11</xm:f>
        </x15:webExtension>
        <x15:webExtension appRef="{7F60AF97-FC5B-4305-8C54-66518AF411BB}">
          <xm:f>Cotação!$C$12</xm:f>
        </x15:webExtension>
        <x15:webExtension appRef="{301EA232-6AFE-460C-86C5-F485D00F1ECD}">
          <xm:f>Cotação!$C$13</xm:f>
        </x15:webExtension>
        <x15:webExtension appRef="{07A26876-7686-4924-9D04-D976E3010AD7}">
          <xm:f>Cotação!$C$14</xm:f>
        </x15:webExtension>
        <x15:webExtension appRef="{5A857538-ABB6-41FE-9FC7-D69500319ACD}">
          <xm:f>Cotação!$C$15</xm:f>
        </x15:webExtension>
        <x15:webExtension appRef="{FC27586C-5564-4FD1-A55A-7C93AF4C7554}">
          <xm:f>Cotação!$C$16</xm:f>
        </x15:webExtension>
        <x15:webExtension appRef="{494FBE11-B05E-4CAB-8300-9C454A78F486}">
          <xm:f>Cotação!$C$17</xm:f>
        </x15:webExtension>
        <x15:webExtension appRef="{D0628045-D807-4937-AAE3-05D2670EB03B}">
          <xm:f>Cotação!$C$18</xm:f>
        </x15:webExtension>
        <x15:webExtension appRef="{476D7D12-D0EC-4B25-8863-46701322C3BB}">
          <xm:f>Cotação!$C$19</xm:f>
        </x15:webExtension>
        <x15:webExtension appRef="{F04C5819-7F31-42AC-80C7-8B8D8120A3F5}">
          <xm:f>Cotação!$C$21</xm:f>
        </x15:webExtension>
      </x15:webExtens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1A514-5770-4D73-950C-7F76F1F9303A}">
  <dimension ref="A1:I23"/>
  <sheetViews>
    <sheetView zoomScale="130" zoomScaleNormal="130" workbookViewId="0">
      <selection activeCell="B14" sqref="B14"/>
    </sheetView>
  </sheetViews>
  <sheetFormatPr defaultColWidth="8.88671875" defaultRowHeight="14.4" x14ac:dyDescent="0.3"/>
  <cols>
    <col min="1" max="1" width="14.5546875" style="111" bestFit="1" customWidth="1"/>
    <col min="2" max="2" width="16.6640625" style="4" bestFit="1" customWidth="1"/>
    <col min="3" max="3" width="26.6640625" style="15" bestFit="1" customWidth="1"/>
    <col min="4" max="4" width="22.109375" style="15" bestFit="1" customWidth="1"/>
    <col min="5" max="5" width="14" style="109" bestFit="1" customWidth="1"/>
    <col min="6" max="6" width="28.44140625" style="4" bestFit="1" customWidth="1"/>
    <col min="7" max="7" width="22.5546875" style="110" bestFit="1" customWidth="1"/>
    <col min="8" max="8" width="23.44140625" style="111" bestFit="1" customWidth="1"/>
    <col min="9" max="9" width="23.5546875" style="35" bestFit="1" customWidth="1"/>
    <col min="10" max="16384" width="8.88671875" style="35"/>
  </cols>
  <sheetData>
    <row r="1" spans="1:9" s="107" customFormat="1" ht="15.6" x14ac:dyDescent="0.3">
      <c r="A1" s="102" t="s">
        <v>182</v>
      </c>
      <c r="B1" s="103" t="s">
        <v>99</v>
      </c>
      <c r="C1" s="104" t="s">
        <v>183</v>
      </c>
      <c r="D1" s="104" t="s">
        <v>184</v>
      </c>
      <c r="E1" s="105" t="s">
        <v>185</v>
      </c>
      <c r="F1" s="103" t="s">
        <v>186</v>
      </c>
      <c r="G1" s="106" t="s">
        <v>187</v>
      </c>
      <c r="H1" s="102" t="s">
        <v>188</v>
      </c>
      <c r="I1" s="112" t="s">
        <v>189</v>
      </c>
    </row>
    <row r="2" spans="1:9" ht="15" thickBot="1" x14ac:dyDescent="0.35">
      <c r="A2" s="108">
        <v>43922</v>
      </c>
      <c r="B2" s="4">
        <f>'Bolsa MXRF11 ST'!L3+'Bolsa AZUL4F ST'!L3+'Bolsa AZUL4F ST'!L4</f>
        <v>-4.6100000000000003</v>
      </c>
      <c r="C2" s="116">
        <f t="shared" ref="C2:C23" si="0">IF(C1="Prejuízo Acumulado",0,IF(B2="","",IF(B1=0,C1,IF(D1&lt;=0, D1, 0))))</f>
        <v>0</v>
      </c>
      <c r="D2" s="15">
        <f t="shared" ref="D2:D23" si="1">IF(B2="","",IF(B2=0,0,B2+C2))</f>
        <v>-4.6100000000000003</v>
      </c>
      <c r="E2" s="109">
        <v>0.15</v>
      </c>
      <c r="F2" s="4">
        <v>20000</v>
      </c>
      <c r="G2" s="110">
        <f>IF(B2="","",IF(D2&gt;=F2, D2*E2, 0))</f>
        <v>0</v>
      </c>
      <c r="H2" s="15">
        <f t="shared" ref="H2:H10" si="2">IF(D2="","",D2-G2)</f>
        <v>-4.6100000000000003</v>
      </c>
      <c r="I2" s="113">
        <f>SUM(B2:B1048576)-SUM(G2:G1048576)</f>
        <v>1077.23</v>
      </c>
    </row>
    <row r="3" spans="1:9" x14ac:dyDescent="0.3">
      <c r="A3" s="108">
        <v>43952</v>
      </c>
      <c r="B3" s="4">
        <f>'Bolsa AZUL4F ST'!L5</f>
        <v>5.74</v>
      </c>
      <c r="C3" s="15">
        <f t="shared" si="0"/>
        <v>-4.6100000000000003</v>
      </c>
      <c r="D3" s="15">
        <f t="shared" si="1"/>
        <v>1.1299999999999999</v>
      </c>
      <c r="E3" s="109">
        <v>0.15</v>
      </c>
      <c r="F3" s="4">
        <v>20000</v>
      </c>
      <c r="G3" s="110">
        <f>IF(B3="","",IF(D3&gt;=F3, D3*E3, 0))</f>
        <v>0</v>
      </c>
      <c r="H3" s="15">
        <f t="shared" si="2"/>
        <v>1.1299999999999999</v>
      </c>
    </row>
    <row r="4" spans="1:9" x14ac:dyDescent="0.3">
      <c r="A4" s="108">
        <v>43983</v>
      </c>
      <c r="B4" s="4">
        <v>0</v>
      </c>
      <c r="C4" s="15">
        <f t="shared" si="0"/>
        <v>0</v>
      </c>
      <c r="D4" s="15">
        <f t="shared" si="1"/>
        <v>0</v>
      </c>
      <c r="E4" s="109">
        <v>0.15</v>
      </c>
      <c r="F4" s="4">
        <v>20000</v>
      </c>
      <c r="G4" s="110">
        <f>IF(B4="","",IF(D4&gt;=F4, D4*E4, 0))</f>
        <v>0</v>
      </c>
      <c r="H4" s="15">
        <f t="shared" si="2"/>
        <v>0</v>
      </c>
    </row>
    <row r="5" spans="1:9" x14ac:dyDescent="0.3">
      <c r="A5" s="108">
        <v>44013</v>
      </c>
      <c r="B5" s="4">
        <v>0</v>
      </c>
      <c r="C5" s="15">
        <f t="shared" si="0"/>
        <v>0</v>
      </c>
      <c r="D5" s="15">
        <f t="shared" si="1"/>
        <v>0</v>
      </c>
      <c r="E5" s="109">
        <v>0.15</v>
      </c>
      <c r="F5" s="4">
        <v>20000</v>
      </c>
      <c r="G5" s="110">
        <f t="shared" ref="G5:G10" si="3">IF(B5="","",IF(D5&gt;=F5, D5*E5, 0))</f>
        <v>0</v>
      </c>
      <c r="H5" s="15">
        <f t="shared" si="2"/>
        <v>0</v>
      </c>
    </row>
    <row r="6" spans="1:9" x14ac:dyDescent="0.3">
      <c r="A6" s="108">
        <v>44044</v>
      </c>
      <c r="B6" s="4">
        <v>0</v>
      </c>
      <c r="C6" s="15">
        <f t="shared" si="0"/>
        <v>0</v>
      </c>
      <c r="D6" s="15">
        <f t="shared" si="1"/>
        <v>0</v>
      </c>
      <c r="E6" s="109">
        <v>0.15</v>
      </c>
      <c r="F6" s="4">
        <v>20000</v>
      </c>
      <c r="G6" s="110">
        <f t="shared" si="3"/>
        <v>0</v>
      </c>
      <c r="H6" s="15">
        <f t="shared" si="2"/>
        <v>0</v>
      </c>
    </row>
    <row r="7" spans="1:9" x14ac:dyDescent="0.3">
      <c r="A7" s="108">
        <v>44075</v>
      </c>
      <c r="B7" s="4">
        <f>'Bolsa AZUL4F ST'!L6</f>
        <v>52.13</v>
      </c>
      <c r="C7" s="15">
        <f t="shared" si="0"/>
        <v>0</v>
      </c>
      <c r="D7" s="15">
        <f t="shared" si="1"/>
        <v>52.13</v>
      </c>
      <c r="E7" s="109">
        <v>0.15</v>
      </c>
      <c r="F7" s="4">
        <v>20000</v>
      </c>
      <c r="G7" s="110">
        <f t="shared" si="3"/>
        <v>0</v>
      </c>
      <c r="H7" s="15">
        <f t="shared" si="2"/>
        <v>52.13</v>
      </c>
    </row>
    <row r="8" spans="1:9" x14ac:dyDescent="0.3">
      <c r="A8" s="108">
        <v>44105</v>
      </c>
      <c r="B8" s="4">
        <v>0</v>
      </c>
      <c r="C8" s="15">
        <f t="shared" si="0"/>
        <v>0</v>
      </c>
      <c r="D8" s="15">
        <f t="shared" si="1"/>
        <v>0</v>
      </c>
      <c r="E8" s="109">
        <v>0.15</v>
      </c>
      <c r="F8" s="4">
        <v>20000</v>
      </c>
      <c r="G8" s="110">
        <f t="shared" si="3"/>
        <v>0</v>
      </c>
      <c r="H8" s="15">
        <f t="shared" si="2"/>
        <v>0</v>
      </c>
    </row>
    <row r="9" spans="1:9" x14ac:dyDescent="0.3">
      <c r="A9" s="108">
        <v>44136</v>
      </c>
      <c r="B9" s="4">
        <v>0</v>
      </c>
      <c r="C9" s="15">
        <f t="shared" si="0"/>
        <v>0</v>
      </c>
      <c r="D9" s="15">
        <f t="shared" si="1"/>
        <v>0</v>
      </c>
      <c r="E9" s="109">
        <v>0.15</v>
      </c>
      <c r="F9" s="4">
        <v>20000</v>
      </c>
      <c r="G9" s="110">
        <f t="shared" si="3"/>
        <v>0</v>
      </c>
      <c r="H9" s="15">
        <f t="shared" si="2"/>
        <v>0</v>
      </c>
    </row>
    <row r="10" spans="1:9" x14ac:dyDescent="0.3">
      <c r="A10" s="108">
        <v>44166</v>
      </c>
      <c r="B10" s="4">
        <v>0</v>
      </c>
      <c r="C10" s="15">
        <f t="shared" si="0"/>
        <v>0</v>
      </c>
      <c r="D10" s="15">
        <f t="shared" si="1"/>
        <v>0</v>
      </c>
      <c r="E10" s="109">
        <v>0.15</v>
      </c>
      <c r="F10" s="4">
        <v>20000</v>
      </c>
      <c r="G10" s="110">
        <f t="shared" si="3"/>
        <v>0</v>
      </c>
      <c r="H10" s="15">
        <f t="shared" si="2"/>
        <v>0</v>
      </c>
    </row>
    <row r="11" spans="1:9" x14ac:dyDescent="0.3">
      <c r="A11" s="108">
        <v>44197</v>
      </c>
      <c r="B11" s="4">
        <f>'Bolsa MXRF11 ST'!L4+'Bolsa PETR4F ST'!L4</f>
        <v>257.06</v>
      </c>
      <c r="C11" s="15">
        <f t="shared" si="0"/>
        <v>0</v>
      </c>
      <c r="D11" s="15">
        <f t="shared" si="1"/>
        <v>257.06</v>
      </c>
      <c r="E11" s="109">
        <v>0.15</v>
      </c>
      <c r="F11" s="4">
        <v>20000</v>
      </c>
      <c r="G11" s="110">
        <f t="shared" ref="G11:G22" si="4">IF(B11="","",IF(D11&gt;=F11, D11*E11, 0))</f>
        <v>0</v>
      </c>
      <c r="H11" s="15">
        <f t="shared" ref="H11:H22" si="5">IF(D11="","",D11-G11)</f>
        <v>257.06</v>
      </c>
    </row>
    <row r="12" spans="1:9" x14ac:dyDescent="0.3">
      <c r="A12" s="108">
        <v>44228</v>
      </c>
      <c r="B12" s="4">
        <f>'Bolsa EMBR3 ST'!L6+'Bolsa BIDI3F ST'!L3+'Bolsa TSLA34 ST'!L3+'Bolsa BBDC4 ST'!L3+'Bolsa BBSE3F ST'!L3</f>
        <v>-32.690000000000005</v>
      </c>
      <c r="C12" s="15">
        <f t="shared" si="0"/>
        <v>0</v>
      </c>
      <c r="D12" s="15">
        <f t="shared" si="1"/>
        <v>-32.690000000000005</v>
      </c>
      <c r="E12" s="109">
        <v>0.15</v>
      </c>
      <c r="F12" s="4">
        <v>20000</v>
      </c>
      <c r="G12" s="110">
        <f t="shared" si="4"/>
        <v>0</v>
      </c>
      <c r="H12" s="15">
        <f t="shared" si="5"/>
        <v>-32.690000000000005</v>
      </c>
    </row>
    <row r="13" spans="1:9" x14ac:dyDescent="0.3">
      <c r="A13" s="108">
        <v>44256</v>
      </c>
      <c r="B13" s="4">
        <f>'Bolsa AZUL4F ST'!L8+'Bolsa EMBR3 ST'!L8+'Bolsa EMBR3 ST'!L9+'Bolsa PETR3F ST'!L3+'Bolsa BIDI3F ST'!L4+'Bolsa OIBR3 ST'!L3+'Bolsa LREN3F ST'!L3</f>
        <v>256.77999999999997</v>
      </c>
      <c r="C13" s="15">
        <f t="shared" si="0"/>
        <v>-32.690000000000005</v>
      </c>
      <c r="D13" s="15">
        <f t="shared" si="1"/>
        <v>224.08999999999997</v>
      </c>
      <c r="E13" s="109">
        <v>0.15</v>
      </c>
      <c r="F13" s="4">
        <v>20000</v>
      </c>
      <c r="G13" s="110">
        <f t="shared" si="4"/>
        <v>0</v>
      </c>
      <c r="H13" s="15">
        <f t="shared" si="5"/>
        <v>224.08999999999997</v>
      </c>
    </row>
    <row r="14" spans="1:9" x14ac:dyDescent="0.3">
      <c r="A14" s="108">
        <v>44287</v>
      </c>
      <c r="B14" s="4">
        <f>'Bolsa AZUL4F ST'!L10</f>
        <v>494.57</v>
      </c>
      <c r="C14" s="15">
        <f t="shared" si="0"/>
        <v>0</v>
      </c>
      <c r="D14" s="15">
        <f t="shared" si="1"/>
        <v>494.57</v>
      </c>
      <c r="E14" s="109">
        <v>0.15</v>
      </c>
      <c r="F14" s="4">
        <v>20000</v>
      </c>
      <c r="G14" s="110">
        <f t="shared" si="4"/>
        <v>0</v>
      </c>
      <c r="H14" s="15">
        <f t="shared" si="5"/>
        <v>494.57</v>
      </c>
    </row>
    <row r="15" spans="1:9" x14ac:dyDescent="0.3">
      <c r="A15" s="108">
        <v>44317</v>
      </c>
      <c r="B15" s="4">
        <f>0</f>
        <v>0</v>
      </c>
      <c r="C15" s="15">
        <f t="shared" si="0"/>
        <v>0</v>
      </c>
      <c r="D15" s="15">
        <f t="shared" si="1"/>
        <v>0</v>
      </c>
      <c r="E15" s="109">
        <v>0.15</v>
      </c>
      <c r="F15" s="4">
        <v>20000</v>
      </c>
      <c r="G15" s="110">
        <f t="shared" si="4"/>
        <v>0</v>
      </c>
      <c r="H15" s="15">
        <f t="shared" si="5"/>
        <v>0</v>
      </c>
    </row>
    <row r="16" spans="1:9" x14ac:dyDescent="0.3">
      <c r="A16" s="108">
        <v>44348</v>
      </c>
      <c r="B16" s="4">
        <f>'Bolsa PETR3F ST'!L5+'Bolsa OIBR3 ST'!L4</f>
        <v>48.249999999999993</v>
      </c>
      <c r="C16" s="15">
        <f t="shared" si="0"/>
        <v>0</v>
      </c>
      <c r="D16" s="15">
        <f t="shared" si="1"/>
        <v>48.249999999999993</v>
      </c>
      <c r="E16" s="109">
        <v>0.15</v>
      </c>
      <c r="F16" s="4">
        <v>20000</v>
      </c>
      <c r="G16" s="110">
        <f t="shared" si="4"/>
        <v>0</v>
      </c>
      <c r="H16" s="15">
        <f t="shared" si="5"/>
        <v>48.249999999999993</v>
      </c>
    </row>
    <row r="17" spans="1:8" x14ac:dyDescent="0.3">
      <c r="A17" s="108">
        <v>44378</v>
      </c>
      <c r="B17" s="4">
        <f>0</f>
        <v>0</v>
      </c>
      <c r="C17" s="15">
        <f t="shared" si="0"/>
        <v>0</v>
      </c>
      <c r="D17" s="15">
        <f t="shared" si="1"/>
        <v>0</v>
      </c>
      <c r="E17" s="109">
        <v>0.15</v>
      </c>
      <c r="F17" s="4">
        <v>20000</v>
      </c>
      <c r="G17" s="110">
        <f t="shared" si="4"/>
        <v>0</v>
      </c>
      <c r="H17" s="15">
        <f t="shared" si="5"/>
        <v>0</v>
      </c>
    </row>
    <row r="18" spans="1:8" x14ac:dyDescent="0.3">
      <c r="A18" s="108">
        <v>44409</v>
      </c>
      <c r="B18" s="4">
        <f>0</f>
        <v>0</v>
      </c>
      <c r="C18" s="15">
        <f t="shared" si="0"/>
        <v>0</v>
      </c>
      <c r="D18" s="15">
        <f t="shared" si="1"/>
        <v>0</v>
      </c>
      <c r="E18" s="109">
        <v>0.15</v>
      </c>
      <c r="F18" s="4">
        <v>20000</v>
      </c>
      <c r="G18" s="110">
        <f t="shared" si="4"/>
        <v>0</v>
      </c>
      <c r="H18" s="15">
        <f t="shared" si="5"/>
        <v>0</v>
      </c>
    </row>
    <row r="19" spans="1:8" x14ac:dyDescent="0.3">
      <c r="A19" s="108">
        <v>44440</v>
      </c>
      <c r="B19" s="4">
        <v>0</v>
      </c>
      <c r="C19" s="15">
        <f t="shared" si="0"/>
        <v>0</v>
      </c>
      <c r="D19" s="15">
        <f t="shared" si="1"/>
        <v>0</v>
      </c>
      <c r="E19" s="109">
        <v>0.15</v>
      </c>
      <c r="F19" s="4">
        <v>20000</v>
      </c>
      <c r="G19" s="110">
        <f t="shared" si="4"/>
        <v>0</v>
      </c>
      <c r="H19" s="15">
        <f t="shared" si="5"/>
        <v>0</v>
      </c>
    </row>
    <row r="20" spans="1:8" x14ac:dyDescent="0.3">
      <c r="A20" s="108">
        <v>44470</v>
      </c>
      <c r="B20" s="4">
        <v>0</v>
      </c>
      <c r="C20" s="15">
        <f t="shared" si="0"/>
        <v>0</v>
      </c>
      <c r="D20" s="15">
        <f t="shared" si="1"/>
        <v>0</v>
      </c>
      <c r="E20" s="109">
        <v>0.15</v>
      </c>
      <c r="F20" s="4">
        <v>20000</v>
      </c>
      <c r="G20" s="110">
        <f t="shared" si="4"/>
        <v>0</v>
      </c>
      <c r="H20" s="15">
        <f t="shared" si="5"/>
        <v>0</v>
      </c>
    </row>
    <row r="21" spans="1:8" x14ac:dyDescent="0.3">
      <c r="A21" s="108">
        <v>44501</v>
      </c>
      <c r="B21" s="4">
        <v>0</v>
      </c>
      <c r="C21" s="15">
        <f t="shared" si="0"/>
        <v>0</v>
      </c>
      <c r="D21" s="15">
        <f t="shared" si="1"/>
        <v>0</v>
      </c>
      <c r="E21" s="109">
        <v>0.15</v>
      </c>
      <c r="F21" s="4">
        <v>20000</v>
      </c>
      <c r="G21" s="110">
        <f t="shared" si="4"/>
        <v>0</v>
      </c>
      <c r="H21" s="15">
        <f t="shared" si="5"/>
        <v>0</v>
      </c>
    </row>
    <row r="22" spans="1:8" x14ac:dyDescent="0.3">
      <c r="A22" s="108">
        <v>44531</v>
      </c>
      <c r="B22" s="4">
        <v>0</v>
      </c>
      <c r="C22" s="15">
        <f t="shared" si="0"/>
        <v>0</v>
      </c>
      <c r="D22" s="15">
        <f t="shared" si="1"/>
        <v>0</v>
      </c>
      <c r="E22" s="109">
        <v>0.15</v>
      </c>
      <c r="F22" s="4">
        <v>20000</v>
      </c>
      <c r="G22" s="110">
        <f t="shared" si="4"/>
        <v>0</v>
      </c>
      <c r="H22" s="15">
        <f t="shared" si="5"/>
        <v>0</v>
      </c>
    </row>
    <row r="23" spans="1:8" x14ac:dyDescent="0.3">
      <c r="A23" s="108">
        <v>44562</v>
      </c>
      <c r="B23" s="4">
        <v>0</v>
      </c>
      <c r="C23" s="15">
        <f t="shared" si="0"/>
        <v>0</v>
      </c>
      <c r="D23" s="15">
        <f t="shared" si="1"/>
        <v>0</v>
      </c>
      <c r="E23" s="109">
        <v>0.15</v>
      </c>
      <c r="F23" s="4">
        <v>20000</v>
      </c>
      <c r="G23" s="110">
        <f>IF(B23="","",IF(D23&gt;=F23, D23*E23, 0))</f>
        <v>0</v>
      </c>
      <c r="H23" s="15">
        <f>IF(D23="","",D23-G23)</f>
        <v>0</v>
      </c>
    </row>
  </sheetData>
  <dataConsolidate/>
  <conditionalFormatting sqref="B2:B1048576">
    <cfRule type="cellIs" dxfId="1869" priority="1" operator="greaterThan">
      <formula>0</formula>
    </cfRule>
    <cfRule type="cellIs" dxfId="1868" priority="2" operator="lessThan">
      <formula>0</formula>
    </cfRule>
    <cfRule type="cellIs" dxfId="1867" priority="3" operator="lessThan">
      <formula>0</formula>
    </cfRule>
  </conditionalFormatting>
  <conditionalFormatting sqref="G2:G1048576">
    <cfRule type="cellIs" dxfId="1866" priority="13" operator="greaterThan">
      <formula>0</formula>
    </cfRule>
  </conditionalFormatting>
  <conditionalFormatting sqref="H2:H23">
    <cfRule type="cellIs" dxfId="1865" priority="11" operator="lessThan">
      <formula>0</formula>
    </cfRule>
    <cfRule type="cellIs" dxfId="1864" priority="12" operator="greaterThan">
      <formula>0</formula>
    </cfRule>
    <cfRule type="cellIs" dxfId="1863" priority="34789" operator="equal">
      <formula>#REF!</formula>
    </cfRule>
  </conditionalFormatting>
  <conditionalFormatting sqref="H22:H1048576">
    <cfRule type="cellIs" dxfId="1862" priority="14" operator="lessThan">
      <formula>0</formula>
    </cfRule>
    <cfRule type="cellIs" dxfId="1861" priority="15" operator="greaterThan">
      <formula>0</formula>
    </cfRule>
  </conditionalFormatting>
  <conditionalFormatting sqref="I2">
    <cfRule type="cellIs" dxfId="1860" priority="9" operator="lessThan">
      <formula>0</formula>
    </cfRule>
    <cfRule type="cellIs" dxfId="1859" priority="10" operator="greaterThan">
      <formula>0</formula>
    </cfRule>
  </conditionalFormatting>
  <pageMargins left="0.511811024" right="0.511811024" top="0.78740157499999996" bottom="0.78740157499999996" header="0.31496062000000002" footer="0.31496062000000002"/>
  <ignoredErrors>
    <ignoredError sqref="B16" formula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7A55-8A0E-4321-91B0-3CFB43E37E9F}">
  <dimension ref="A1:I23"/>
  <sheetViews>
    <sheetView zoomScale="130" zoomScaleNormal="130" workbookViewId="0">
      <selection activeCell="B19" sqref="B19"/>
    </sheetView>
  </sheetViews>
  <sheetFormatPr defaultColWidth="8.88671875" defaultRowHeight="14.4" x14ac:dyDescent="0.3"/>
  <cols>
    <col min="1" max="1" width="14.5546875" style="111" bestFit="1" customWidth="1"/>
    <col min="2" max="2" width="15.88671875" style="4" bestFit="1" customWidth="1"/>
    <col min="3" max="3" width="27" style="15" bestFit="1" customWidth="1"/>
    <col min="4" max="4" width="22.109375" style="15" bestFit="1" customWidth="1"/>
    <col min="5" max="5" width="14" style="109" bestFit="1" customWidth="1"/>
    <col min="6" max="6" width="28.44140625" style="4" bestFit="1" customWidth="1"/>
    <col min="7" max="7" width="22.5546875" style="110" bestFit="1" customWidth="1"/>
    <col min="8" max="8" width="24.88671875" style="15" bestFit="1" customWidth="1"/>
    <col min="9" max="9" width="25" style="4" bestFit="1" customWidth="1"/>
    <col min="10" max="16384" width="8.88671875" style="35"/>
  </cols>
  <sheetData>
    <row r="1" spans="1:9" s="107" customFormat="1" ht="15.6" x14ac:dyDescent="0.3">
      <c r="A1" s="102" t="s">
        <v>182</v>
      </c>
      <c r="B1" s="4" t="s">
        <v>99</v>
      </c>
      <c r="C1" s="104" t="s">
        <v>204</v>
      </c>
      <c r="D1" s="104" t="s">
        <v>184</v>
      </c>
      <c r="E1" s="105" t="s">
        <v>185</v>
      </c>
      <c r="F1" s="103" t="s">
        <v>186</v>
      </c>
      <c r="G1" s="106" t="s">
        <v>187</v>
      </c>
      <c r="H1" s="104" t="s">
        <v>188</v>
      </c>
      <c r="I1" s="114" t="s">
        <v>189</v>
      </c>
    </row>
    <row r="2" spans="1:9" ht="15" thickBot="1" x14ac:dyDescent="0.35">
      <c r="A2" s="108">
        <v>43922</v>
      </c>
      <c r="B2" s="4">
        <v>0</v>
      </c>
      <c r="C2" s="116">
        <f t="shared" ref="C2:C23" si="0">IF(C1="Prejuízo Acumulado",0,IF(B2="","",IF(B1=0,C1,IF(D1&lt;=0, D1, 0))))</f>
        <v>0</v>
      </c>
      <c r="D2" s="15">
        <f t="shared" ref="D2:D23" si="1">IF(B2="","",IF(B2=0,0,B2+C2))</f>
        <v>0</v>
      </c>
      <c r="E2" s="109">
        <v>0.2</v>
      </c>
      <c r="F2" s="4">
        <v>20000</v>
      </c>
      <c r="G2" s="110">
        <f>IF(B2="","",IF(D2&gt;=F2, D2*E2, 0))</f>
        <v>0</v>
      </c>
      <c r="H2" s="15">
        <f>IF(D2="","",D2-G2)</f>
        <v>0</v>
      </c>
      <c r="I2" s="113">
        <f>SUM(B2:B1048576)-SUM(G2:G1048576)</f>
        <v>-9.9499999999999993</v>
      </c>
    </row>
    <row r="3" spans="1:9" x14ac:dyDescent="0.3">
      <c r="A3" s="108">
        <v>43952</v>
      </c>
      <c r="B3" s="4">
        <v>0</v>
      </c>
      <c r="C3" s="15">
        <f t="shared" si="0"/>
        <v>0</v>
      </c>
      <c r="D3" s="15">
        <f t="shared" si="1"/>
        <v>0</v>
      </c>
      <c r="E3" s="109">
        <v>0.2</v>
      </c>
      <c r="F3" s="4">
        <v>20000</v>
      </c>
      <c r="G3" s="110">
        <f>IF(B3="","",IF(D3&gt;=F3, D3*E3, 0))</f>
        <v>0</v>
      </c>
      <c r="H3" s="15">
        <f t="shared" ref="H3:H23" si="2">IF(D3="","",D3-G3)</f>
        <v>0</v>
      </c>
    </row>
    <row r="4" spans="1:9" x14ac:dyDescent="0.3">
      <c r="A4" s="108">
        <v>43983</v>
      </c>
      <c r="B4" s="4">
        <v>0</v>
      </c>
      <c r="C4" s="15">
        <f t="shared" si="0"/>
        <v>0</v>
      </c>
      <c r="D4" s="15">
        <f t="shared" si="1"/>
        <v>0</v>
      </c>
      <c r="E4" s="109">
        <v>0.2</v>
      </c>
      <c r="F4" s="4">
        <v>20000</v>
      </c>
      <c r="G4" s="110">
        <f>IF(B4="","",IF(D4&gt;=F4, D4*E4, 0))</f>
        <v>0</v>
      </c>
      <c r="H4" s="15">
        <f t="shared" si="2"/>
        <v>0</v>
      </c>
    </row>
    <row r="5" spans="1:9" x14ac:dyDescent="0.3">
      <c r="A5" s="108">
        <v>44013</v>
      </c>
      <c r="B5" s="4">
        <v>0</v>
      </c>
      <c r="C5" s="15">
        <f t="shared" si="0"/>
        <v>0</v>
      </c>
      <c r="D5" s="15">
        <f t="shared" si="1"/>
        <v>0</v>
      </c>
      <c r="E5" s="109">
        <v>0.2</v>
      </c>
      <c r="F5" s="4">
        <v>20000</v>
      </c>
      <c r="G5" s="110">
        <f t="shared" ref="G5:G23" si="3">IF(B5="","",IF(D5&gt;=F5, D5*E5, 0))</f>
        <v>0</v>
      </c>
      <c r="H5" s="15">
        <f t="shared" si="2"/>
        <v>0</v>
      </c>
    </row>
    <row r="6" spans="1:9" x14ac:dyDescent="0.3">
      <c r="A6" s="108">
        <v>44044</v>
      </c>
      <c r="B6" s="4">
        <v>0</v>
      </c>
      <c r="C6" s="15">
        <f t="shared" si="0"/>
        <v>0</v>
      </c>
      <c r="D6" s="15">
        <f t="shared" si="1"/>
        <v>0</v>
      </c>
      <c r="E6" s="109">
        <v>0.2</v>
      </c>
      <c r="F6" s="4">
        <v>20000</v>
      </c>
      <c r="G6" s="110">
        <f t="shared" si="3"/>
        <v>0</v>
      </c>
      <c r="H6" s="15">
        <f t="shared" si="2"/>
        <v>0</v>
      </c>
    </row>
    <row r="7" spans="1:9" x14ac:dyDescent="0.3">
      <c r="A7" s="108">
        <v>44075</v>
      </c>
      <c r="B7" s="4">
        <v>0</v>
      </c>
      <c r="C7" s="15">
        <f t="shared" si="0"/>
        <v>0</v>
      </c>
      <c r="D7" s="15">
        <f t="shared" si="1"/>
        <v>0</v>
      </c>
      <c r="E7" s="109">
        <v>0.2</v>
      </c>
      <c r="F7" s="4">
        <v>20000</v>
      </c>
      <c r="G7" s="110">
        <f t="shared" si="3"/>
        <v>0</v>
      </c>
      <c r="H7" s="15">
        <f t="shared" si="2"/>
        <v>0</v>
      </c>
    </row>
    <row r="8" spans="1:9" x14ac:dyDescent="0.3">
      <c r="A8" s="108">
        <v>44105</v>
      </c>
      <c r="B8" s="4">
        <v>0</v>
      </c>
      <c r="C8" s="15">
        <f t="shared" si="0"/>
        <v>0</v>
      </c>
      <c r="D8" s="15">
        <f t="shared" si="1"/>
        <v>0</v>
      </c>
      <c r="E8" s="109">
        <v>0.2</v>
      </c>
      <c r="F8" s="4">
        <v>20000</v>
      </c>
      <c r="G8" s="110">
        <f t="shared" si="3"/>
        <v>0</v>
      </c>
      <c r="H8" s="15">
        <f t="shared" si="2"/>
        <v>0</v>
      </c>
    </row>
    <row r="9" spans="1:9" x14ac:dyDescent="0.3">
      <c r="A9" s="108">
        <v>44136</v>
      </c>
      <c r="B9" s="4">
        <v>0</v>
      </c>
      <c r="C9" s="15">
        <f t="shared" si="0"/>
        <v>0</v>
      </c>
      <c r="D9" s="15">
        <f t="shared" si="1"/>
        <v>0</v>
      </c>
      <c r="E9" s="109">
        <v>0.2</v>
      </c>
      <c r="F9" s="4">
        <v>20000</v>
      </c>
      <c r="G9" s="110">
        <f t="shared" si="3"/>
        <v>0</v>
      </c>
      <c r="H9" s="15">
        <f t="shared" si="2"/>
        <v>0</v>
      </c>
    </row>
    <row r="10" spans="1:9" x14ac:dyDescent="0.3">
      <c r="A10" s="108">
        <v>44166</v>
      </c>
      <c r="B10" s="4">
        <v>0</v>
      </c>
      <c r="C10" s="15">
        <f t="shared" si="0"/>
        <v>0</v>
      </c>
      <c r="D10" s="15">
        <f t="shared" si="1"/>
        <v>0</v>
      </c>
      <c r="E10" s="109">
        <v>0.2</v>
      </c>
      <c r="F10" s="4">
        <v>20000</v>
      </c>
      <c r="G10" s="110">
        <f t="shared" si="3"/>
        <v>0</v>
      </c>
      <c r="H10" s="15">
        <f t="shared" si="2"/>
        <v>0</v>
      </c>
    </row>
    <row r="11" spans="1:9" x14ac:dyDescent="0.3">
      <c r="A11" s="108">
        <v>44197</v>
      </c>
      <c r="B11" s="4">
        <v>0</v>
      </c>
      <c r="C11" s="15">
        <f t="shared" si="0"/>
        <v>0</v>
      </c>
      <c r="D11" s="15">
        <f t="shared" si="1"/>
        <v>0</v>
      </c>
      <c r="E11" s="109">
        <v>0.2</v>
      </c>
      <c r="F11" s="4">
        <v>20000</v>
      </c>
      <c r="G11" s="110">
        <f t="shared" si="3"/>
        <v>0</v>
      </c>
      <c r="H11" s="15">
        <f t="shared" si="2"/>
        <v>0</v>
      </c>
    </row>
    <row r="12" spans="1:9" x14ac:dyDescent="0.3">
      <c r="A12" s="108">
        <v>44228</v>
      </c>
      <c r="B12" s="4">
        <f>'Bolsa BBDC4 DT'!L3+'Bolsa BBSE3F DT'!L3</f>
        <v>-9.9499999999999993</v>
      </c>
      <c r="C12" s="15">
        <f t="shared" si="0"/>
        <v>0</v>
      </c>
      <c r="D12" s="15">
        <f t="shared" si="1"/>
        <v>-9.9499999999999993</v>
      </c>
      <c r="E12" s="109">
        <v>0.2</v>
      </c>
      <c r="F12" s="4">
        <v>20000</v>
      </c>
      <c r="G12" s="110">
        <f t="shared" si="3"/>
        <v>0</v>
      </c>
      <c r="H12" s="15">
        <f t="shared" si="2"/>
        <v>-9.9499999999999993</v>
      </c>
    </row>
    <row r="13" spans="1:9" x14ac:dyDescent="0.3">
      <c r="A13" s="108">
        <v>44256</v>
      </c>
      <c r="B13" s="4">
        <v>0</v>
      </c>
      <c r="C13" s="15">
        <f t="shared" si="0"/>
        <v>-9.9499999999999993</v>
      </c>
      <c r="D13" s="15">
        <f t="shared" si="1"/>
        <v>0</v>
      </c>
      <c r="E13" s="109">
        <v>0.2</v>
      </c>
      <c r="F13" s="4">
        <v>20000</v>
      </c>
      <c r="G13" s="110">
        <f t="shared" si="3"/>
        <v>0</v>
      </c>
      <c r="H13" s="15">
        <f t="shared" si="2"/>
        <v>0</v>
      </c>
    </row>
    <row r="14" spans="1:9" x14ac:dyDescent="0.3">
      <c r="A14" s="108">
        <v>44287</v>
      </c>
      <c r="B14" s="4">
        <v>0</v>
      </c>
      <c r="C14" s="15">
        <f t="shared" si="0"/>
        <v>-9.9499999999999993</v>
      </c>
      <c r="D14" s="15">
        <f t="shared" si="1"/>
        <v>0</v>
      </c>
      <c r="E14" s="109">
        <v>0.2</v>
      </c>
      <c r="F14" s="4">
        <v>20000</v>
      </c>
      <c r="G14" s="110">
        <f t="shared" si="3"/>
        <v>0</v>
      </c>
      <c r="H14" s="15">
        <f t="shared" si="2"/>
        <v>0</v>
      </c>
    </row>
    <row r="15" spans="1:9" x14ac:dyDescent="0.3">
      <c r="A15" s="108">
        <v>44317</v>
      </c>
      <c r="B15" s="4">
        <v>0</v>
      </c>
      <c r="C15" s="15">
        <f t="shared" si="0"/>
        <v>-9.9499999999999993</v>
      </c>
      <c r="D15" s="15">
        <f t="shared" si="1"/>
        <v>0</v>
      </c>
      <c r="E15" s="109">
        <v>0.2</v>
      </c>
      <c r="F15" s="4">
        <v>20000</v>
      </c>
      <c r="G15" s="110">
        <f t="shared" si="3"/>
        <v>0</v>
      </c>
      <c r="H15" s="15">
        <f t="shared" si="2"/>
        <v>0</v>
      </c>
    </row>
    <row r="16" spans="1:9" x14ac:dyDescent="0.3">
      <c r="A16" s="108">
        <v>44348</v>
      </c>
      <c r="B16" s="4">
        <v>0</v>
      </c>
      <c r="C16" s="15">
        <f t="shared" si="0"/>
        <v>-9.9499999999999993</v>
      </c>
      <c r="D16" s="15">
        <f t="shared" si="1"/>
        <v>0</v>
      </c>
      <c r="E16" s="109">
        <v>0.2</v>
      </c>
      <c r="F16" s="4">
        <v>20000</v>
      </c>
      <c r="G16" s="110">
        <f t="shared" si="3"/>
        <v>0</v>
      </c>
      <c r="H16" s="15">
        <f t="shared" si="2"/>
        <v>0</v>
      </c>
    </row>
    <row r="17" spans="1:8" x14ac:dyDescent="0.3">
      <c r="A17" s="108">
        <v>44378</v>
      </c>
      <c r="B17" s="4">
        <v>0</v>
      </c>
      <c r="C17" s="15">
        <f t="shared" si="0"/>
        <v>-9.9499999999999993</v>
      </c>
      <c r="D17" s="15">
        <f t="shared" si="1"/>
        <v>0</v>
      </c>
      <c r="E17" s="109">
        <v>0.2</v>
      </c>
      <c r="F17" s="4">
        <v>20000</v>
      </c>
      <c r="G17" s="110">
        <f t="shared" si="3"/>
        <v>0</v>
      </c>
      <c r="H17" s="15">
        <f t="shared" si="2"/>
        <v>0</v>
      </c>
    </row>
    <row r="18" spans="1:8" x14ac:dyDescent="0.3">
      <c r="A18" s="108">
        <v>44409</v>
      </c>
      <c r="B18" s="4">
        <f>0</f>
        <v>0</v>
      </c>
      <c r="C18" s="15">
        <f t="shared" si="0"/>
        <v>-9.9499999999999993</v>
      </c>
      <c r="D18" s="15">
        <f t="shared" si="1"/>
        <v>0</v>
      </c>
      <c r="E18" s="109">
        <v>0.2</v>
      </c>
      <c r="F18" s="4">
        <v>20000</v>
      </c>
      <c r="G18" s="110">
        <f t="shared" si="3"/>
        <v>0</v>
      </c>
      <c r="H18" s="15">
        <f t="shared" si="2"/>
        <v>0</v>
      </c>
    </row>
    <row r="19" spans="1:8" x14ac:dyDescent="0.3">
      <c r="A19" s="108">
        <v>44440</v>
      </c>
      <c r="B19" s="4">
        <v>0</v>
      </c>
      <c r="C19" s="15">
        <f t="shared" si="0"/>
        <v>-9.9499999999999993</v>
      </c>
      <c r="D19" s="15">
        <f t="shared" si="1"/>
        <v>0</v>
      </c>
      <c r="E19" s="109">
        <v>0.2</v>
      </c>
      <c r="F19" s="4">
        <v>20000</v>
      </c>
      <c r="G19" s="110">
        <f t="shared" si="3"/>
        <v>0</v>
      </c>
      <c r="H19" s="15">
        <f t="shared" si="2"/>
        <v>0</v>
      </c>
    </row>
    <row r="20" spans="1:8" x14ac:dyDescent="0.3">
      <c r="A20" s="108">
        <v>44470</v>
      </c>
      <c r="B20" s="4">
        <v>0</v>
      </c>
      <c r="C20" s="15">
        <f t="shared" si="0"/>
        <v>-9.9499999999999993</v>
      </c>
      <c r="D20" s="15">
        <f t="shared" si="1"/>
        <v>0</v>
      </c>
      <c r="E20" s="109">
        <v>0.2</v>
      </c>
      <c r="F20" s="4">
        <v>20000</v>
      </c>
      <c r="G20" s="110">
        <f t="shared" si="3"/>
        <v>0</v>
      </c>
      <c r="H20" s="15">
        <f t="shared" si="2"/>
        <v>0</v>
      </c>
    </row>
    <row r="21" spans="1:8" x14ac:dyDescent="0.3">
      <c r="A21" s="108">
        <v>44501</v>
      </c>
      <c r="B21" s="4">
        <v>0</v>
      </c>
      <c r="C21" s="15">
        <f t="shared" si="0"/>
        <v>-9.9499999999999993</v>
      </c>
      <c r="D21" s="15">
        <f t="shared" si="1"/>
        <v>0</v>
      </c>
      <c r="E21" s="109">
        <v>0.2</v>
      </c>
      <c r="F21" s="4">
        <v>20000</v>
      </c>
      <c r="G21" s="110">
        <f t="shared" si="3"/>
        <v>0</v>
      </c>
      <c r="H21" s="15">
        <f t="shared" si="2"/>
        <v>0</v>
      </c>
    </row>
    <row r="22" spans="1:8" x14ac:dyDescent="0.3">
      <c r="A22" s="108">
        <v>44531</v>
      </c>
      <c r="B22" s="4">
        <v>0</v>
      </c>
      <c r="C22" s="15">
        <f t="shared" si="0"/>
        <v>-9.9499999999999993</v>
      </c>
      <c r="D22" s="15">
        <f t="shared" si="1"/>
        <v>0</v>
      </c>
      <c r="E22" s="109">
        <v>0.2</v>
      </c>
      <c r="F22" s="4">
        <v>20000</v>
      </c>
      <c r="G22" s="110">
        <f t="shared" si="3"/>
        <v>0</v>
      </c>
      <c r="H22" s="15">
        <f t="shared" si="2"/>
        <v>0</v>
      </c>
    </row>
    <row r="23" spans="1:8" x14ac:dyDescent="0.3">
      <c r="A23" s="108">
        <v>44562</v>
      </c>
      <c r="B23" s="4">
        <v>0</v>
      </c>
      <c r="C23" s="15">
        <f t="shared" si="0"/>
        <v>-9.9499999999999993</v>
      </c>
      <c r="D23" s="15">
        <f t="shared" si="1"/>
        <v>0</v>
      </c>
      <c r="E23" s="109">
        <v>0.2</v>
      </c>
      <c r="F23" s="4">
        <v>20000</v>
      </c>
      <c r="G23" s="110">
        <f t="shared" si="3"/>
        <v>0</v>
      </c>
      <c r="H23" s="15">
        <f t="shared" si="2"/>
        <v>0</v>
      </c>
    </row>
  </sheetData>
  <conditionalFormatting sqref="B2:B1048576">
    <cfRule type="cellIs" dxfId="1858" priority="9" operator="greaterThan">
      <formula>0</formula>
    </cfRule>
    <cfRule type="cellIs" dxfId="1857" priority="10" operator="lessThan">
      <formula>0</formula>
    </cfRule>
    <cfRule type="cellIs" dxfId="1856" priority="11" operator="lessThan">
      <formula>0</formula>
    </cfRule>
  </conditionalFormatting>
  <conditionalFormatting sqref="G2:G1048576">
    <cfRule type="cellIs" dxfId="1855" priority="18" operator="greaterThan">
      <formula>0</formula>
    </cfRule>
  </conditionalFormatting>
  <conditionalFormatting sqref="H2:H23">
    <cfRule type="cellIs" dxfId="1854" priority="1" operator="lessThan">
      <formula>0</formula>
    </cfRule>
    <cfRule type="cellIs" dxfId="1853" priority="2" operator="greaterThan">
      <formula>0</formula>
    </cfRule>
    <cfRule type="cellIs" dxfId="1852" priority="3" operator="equal">
      <formula>#REF!</formula>
    </cfRule>
  </conditionalFormatting>
  <conditionalFormatting sqref="H24:H1048576">
    <cfRule type="cellIs" dxfId="1851" priority="19" operator="lessThan">
      <formula>0</formula>
    </cfRule>
    <cfRule type="cellIs" dxfId="1850" priority="20" operator="greaterThan">
      <formula>0</formula>
    </cfRule>
  </conditionalFormatting>
  <conditionalFormatting sqref="I2">
    <cfRule type="cellIs" dxfId="1849" priority="16" operator="lessThan">
      <formula>0</formula>
    </cfRule>
    <cfRule type="cellIs" dxfId="1848" priority="17" operator="greaterThan">
      <formula>0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BF91-E3AF-40A2-A051-DD51F9C13FD6}">
  <dimension ref="A1:I23"/>
  <sheetViews>
    <sheetView zoomScale="130" zoomScaleNormal="130" workbookViewId="0">
      <selection activeCell="D29" sqref="D29"/>
    </sheetView>
  </sheetViews>
  <sheetFormatPr defaultColWidth="8.88671875" defaultRowHeight="14.4" x14ac:dyDescent="0.3"/>
  <cols>
    <col min="1" max="1" width="14.5546875" style="32" bestFit="1" customWidth="1"/>
    <col min="2" max="2" width="16.6640625" style="115" bestFit="1" customWidth="1"/>
    <col min="3" max="3" width="26.6640625" style="4" bestFit="1" customWidth="1"/>
    <col min="4" max="4" width="22.109375" style="15" bestFit="1" customWidth="1"/>
    <col min="5" max="5" width="14" style="15" bestFit="1" customWidth="1"/>
    <col min="6" max="6" width="28.44140625" style="109" bestFit="1" customWidth="1"/>
    <col min="7" max="7" width="22.5546875" style="4" bestFit="1" customWidth="1"/>
    <col min="8" max="8" width="23.44140625" style="110" bestFit="1" customWidth="1"/>
    <col min="9" max="9" width="23.5546875" style="111" bestFit="1" customWidth="1"/>
    <col min="10" max="10" width="23.6640625" style="35" bestFit="1" customWidth="1"/>
    <col min="11" max="16384" width="8.88671875" style="35"/>
  </cols>
  <sheetData>
    <row r="1" spans="1:9" s="107" customFormat="1" ht="15.6" x14ac:dyDescent="0.3">
      <c r="A1" s="102" t="s">
        <v>182</v>
      </c>
      <c r="B1" s="103" t="s">
        <v>99</v>
      </c>
      <c r="C1" s="104" t="s">
        <v>183</v>
      </c>
      <c r="D1" s="104" t="s">
        <v>184</v>
      </c>
      <c r="E1" s="105" t="s">
        <v>185</v>
      </c>
      <c r="F1" s="103" t="s">
        <v>186</v>
      </c>
      <c r="G1" s="106" t="s">
        <v>187</v>
      </c>
      <c r="H1" s="102" t="s">
        <v>188</v>
      </c>
      <c r="I1" s="112" t="s">
        <v>189</v>
      </c>
    </row>
    <row r="2" spans="1:9" ht="15" thickBot="1" x14ac:dyDescent="0.35">
      <c r="A2" s="108">
        <v>43922</v>
      </c>
      <c r="B2" s="4">
        <v>0</v>
      </c>
      <c r="C2" s="116">
        <f t="shared" ref="C2:C23" si="0">IF(C1="Prejuízo Acumulado",0,IF(B2="","",IF(B1=0,C1,IF(D1&lt;=0, D1, 0))))</f>
        <v>0</v>
      </c>
      <c r="D2" s="15">
        <f t="shared" ref="D2:D23" si="1">IF(B2="","",IF(B2=0,0,B2+C2))</f>
        <v>0</v>
      </c>
      <c r="E2" s="109">
        <v>0.15</v>
      </c>
      <c r="F2" s="4">
        <v>20000</v>
      </c>
      <c r="G2" s="110">
        <f>IF(B2="","",IF(D2&gt;=F2, D2*E2, 0))</f>
        <v>0</v>
      </c>
      <c r="H2" s="15">
        <f>IF(D2="","",B2-G2)</f>
        <v>0</v>
      </c>
      <c r="I2" s="113">
        <f>SUM(H2:H1048576)</f>
        <v>11.59</v>
      </c>
    </row>
    <row r="3" spans="1:9" x14ac:dyDescent="0.3">
      <c r="A3" s="108">
        <v>43952</v>
      </c>
      <c r="B3" s="4">
        <v>0</v>
      </c>
      <c r="C3" s="15">
        <f t="shared" si="0"/>
        <v>0</v>
      </c>
      <c r="D3" s="15">
        <f t="shared" si="1"/>
        <v>0</v>
      </c>
      <c r="E3" s="109">
        <v>0.15</v>
      </c>
      <c r="F3" s="4">
        <v>20000</v>
      </c>
      <c r="G3" s="110">
        <f t="shared" ref="G3:G23" si="2">IF(B3="","",IF(D3&gt;=F3, D3*E3, 0))</f>
        <v>0</v>
      </c>
      <c r="H3" s="15">
        <f t="shared" ref="H3:H23" si="3">IF(D3="","",B3-G3)</f>
        <v>0</v>
      </c>
      <c r="I3" s="35"/>
    </row>
    <row r="4" spans="1:9" x14ac:dyDescent="0.3">
      <c r="A4" s="108">
        <v>43983</v>
      </c>
      <c r="B4" s="4">
        <v>0</v>
      </c>
      <c r="C4" s="15">
        <f t="shared" si="0"/>
        <v>0</v>
      </c>
      <c r="D4" s="15">
        <f t="shared" si="1"/>
        <v>0</v>
      </c>
      <c r="E4" s="109">
        <v>0.15</v>
      </c>
      <c r="F4" s="4">
        <v>20000</v>
      </c>
      <c r="G4" s="110">
        <f t="shared" si="2"/>
        <v>0</v>
      </c>
      <c r="H4" s="15">
        <f t="shared" si="3"/>
        <v>0</v>
      </c>
      <c r="I4" s="35"/>
    </row>
    <row r="5" spans="1:9" x14ac:dyDescent="0.3">
      <c r="A5" s="108">
        <v>44013</v>
      </c>
      <c r="B5" s="4">
        <v>0</v>
      </c>
      <c r="C5" s="15">
        <f t="shared" si="0"/>
        <v>0</v>
      </c>
      <c r="D5" s="15">
        <f t="shared" si="1"/>
        <v>0</v>
      </c>
      <c r="E5" s="109">
        <v>0.15</v>
      </c>
      <c r="F5" s="4">
        <v>20000</v>
      </c>
      <c r="G5" s="110">
        <f t="shared" si="2"/>
        <v>0</v>
      </c>
      <c r="H5" s="15">
        <f t="shared" si="3"/>
        <v>0</v>
      </c>
      <c r="I5" s="35"/>
    </row>
    <row r="6" spans="1:9" x14ac:dyDescent="0.3">
      <c r="A6" s="108">
        <v>44044</v>
      </c>
      <c r="B6" s="4">
        <v>0</v>
      </c>
      <c r="C6" s="15">
        <f t="shared" si="0"/>
        <v>0</v>
      </c>
      <c r="D6" s="15">
        <f t="shared" si="1"/>
        <v>0</v>
      </c>
      <c r="E6" s="109">
        <v>0.15</v>
      </c>
      <c r="F6" s="4">
        <v>20000</v>
      </c>
      <c r="G6" s="110">
        <f t="shared" si="2"/>
        <v>0</v>
      </c>
      <c r="H6" s="15">
        <f t="shared" si="3"/>
        <v>0</v>
      </c>
      <c r="I6" s="35"/>
    </row>
    <row r="7" spans="1:9" x14ac:dyDescent="0.3">
      <c r="A7" s="108">
        <v>44075</v>
      </c>
      <c r="B7" s="4">
        <v>0</v>
      </c>
      <c r="C7" s="15">
        <f t="shared" si="0"/>
        <v>0</v>
      </c>
      <c r="D7" s="15">
        <f t="shared" si="1"/>
        <v>0</v>
      </c>
      <c r="E7" s="109">
        <v>0.15</v>
      </c>
      <c r="F7" s="4">
        <v>20000</v>
      </c>
      <c r="G7" s="110">
        <f t="shared" si="2"/>
        <v>0</v>
      </c>
      <c r="H7" s="15">
        <f t="shared" si="3"/>
        <v>0</v>
      </c>
      <c r="I7" s="35"/>
    </row>
    <row r="8" spans="1:9" x14ac:dyDescent="0.3">
      <c r="A8" s="108">
        <v>44105</v>
      </c>
      <c r="B8" s="4">
        <v>0</v>
      </c>
      <c r="C8" s="15">
        <f t="shared" si="0"/>
        <v>0</v>
      </c>
      <c r="D8" s="15">
        <f t="shared" si="1"/>
        <v>0</v>
      </c>
      <c r="E8" s="109">
        <v>0.15</v>
      </c>
      <c r="F8" s="4">
        <v>20000</v>
      </c>
      <c r="G8" s="110">
        <f t="shared" si="2"/>
        <v>0</v>
      </c>
      <c r="H8" s="15">
        <f t="shared" si="3"/>
        <v>0</v>
      </c>
      <c r="I8" s="35"/>
    </row>
    <row r="9" spans="1:9" x14ac:dyDescent="0.3">
      <c r="A9" s="108">
        <v>44136</v>
      </c>
      <c r="B9" s="4">
        <v>0</v>
      </c>
      <c r="C9" s="15">
        <f t="shared" si="0"/>
        <v>0</v>
      </c>
      <c r="D9" s="15">
        <f t="shared" si="1"/>
        <v>0</v>
      </c>
      <c r="E9" s="109">
        <v>0.15</v>
      </c>
      <c r="F9" s="4">
        <v>20000</v>
      </c>
      <c r="G9" s="110">
        <f t="shared" si="2"/>
        <v>0</v>
      </c>
      <c r="H9" s="15">
        <f t="shared" si="3"/>
        <v>0</v>
      </c>
      <c r="I9" s="35"/>
    </row>
    <row r="10" spans="1:9" x14ac:dyDescent="0.3">
      <c r="A10" s="108">
        <v>44166</v>
      </c>
      <c r="B10" s="4">
        <v>0</v>
      </c>
      <c r="C10" s="15">
        <f t="shared" si="0"/>
        <v>0</v>
      </c>
      <c r="D10" s="15">
        <f t="shared" si="1"/>
        <v>0</v>
      </c>
      <c r="E10" s="109">
        <v>0.15</v>
      </c>
      <c r="F10" s="4">
        <v>20000</v>
      </c>
      <c r="G10" s="110">
        <f t="shared" si="2"/>
        <v>0</v>
      </c>
      <c r="H10" s="15">
        <f t="shared" si="3"/>
        <v>0</v>
      </c>
      <c r="I10" s="35"/>
    </row>
    <row r="11" spans="1:9" x14ac:dyDescent="0.3">
      <c r="A11" s="108">
        <v>44197</v>
      </c>
      <c r="B11" s="4">
        <v>0</v>
      </c>
      <c r="C11" s="15">
        <f t="shared" si="0"/>
        <v>0</v>
      </c>
      <c r="D11" s="15">
        <f t="shared" si="1"/>
        <v>0</v>
      </c>
      <c r="E11" s="109">
        <v>0.15</v>
      </c>
      <c r="F11" s="4">
        <v>20000</v>
      </c>
      <c r="G11" s="110">
        <f t="shared" si="2"/>
        <v>0</v>
      </c>
      <c r="H11" s="15">
        <f t="shared" si="3"/>
        <v>0</v>
      </c>
      <c r="I11" s="35"/>
    </row>
    <row r="12" spans="1:9" x14ac:dyDescent="0.3">
      <c r="A12" s="108">
        <v>44228</v>
      </c>
      <c r="B12" s="4">
        <f>'Trades NovaDAX'!C19</f>
        <v>20.96</v>
      </c>
      <c r="C12" s="15">
        <f t="shared" si="0"/>
        <v>0</v>
      </c>
      <c r="D12" s="15">
        <f t="shared" si="1"/>
        <v>20.96</v>
      </c>
      <c r="E12" s="109">
        <v>0.15</v>
      </c>
      <c r="F12" s="4">
        <v>20000</v>
      </c>
      <c r="G12" s="110">
        <f t="shared" si="2"/>
        <v>0</v>
      </c>
      <c r="H12" s="15">
        <f t="shared" si="3"/>
        <v>20.96</v>
      </c>
      <c r="I12" s="35"/>
    </row>
    <row r="13" spans="1:9" x14ac:dyDescent="0.3">
      <c r="A13" s="108">
        <v>44256</v>
      </c>
      <c r="B13" s="4">
        <f>'Trades Binance'!C41+'Trades Binance'!C116+'Trades Binance'!C138+'Trades NovaDAX'!C27</f>
        <v>7.76</v>
      </c>
      <c r="C13" s="15">
        <f t="shared" si="0"/>
        <v>0</v>
      </c>
      <c r="D13" s="15">
        <f t="shared" si="1"/>
        <v>7.76</v>
      </c>
      <c r="E13" s="109">
        <v>0.15</v>
      </c>
      <c r="F13" s="4">
        <v>20000</v>
      </c>
      <c r="G13" s="110">
        <f t="shared" si="2"/>
        <v>0</v>
      </c>
      <c r="H13" s="15">
        <f t="shared" si="3"/>
        <v>7.76</v>
      </c>
      <c r="I13" s="35"/>
    </row>
    <row r="14" spans="1:9" x14ac:dyDescent="0.3">
      <c r="A14" s="108">
        <v>44287</v>
      </c>
      <c r="B14" s="4">
        <f>0</f>
        <v>0</v>
      </c>
      <c r="C14" s="15">
        <f t="shared" si="0"/>
        <v>0</v>
      </c>
      <c r="D14" s="15">
        <f t="shared" si="1"/>
        <v>0</v>
      </c>
      <c r="E14" s="109">
        <v>0.15</v>
      </c>
      <c r="F14" s="4">
        <v>20000</v>
      </c>
      <c r="G14" s="110">
        <f t="shared" si="2"/>
        <v>0</v>
      </c>
      <c r="H14" s="15">
        <f t="shared" si="3"/>
        <v>0</v>
      </c>
      <c r="I14" s="35"/>
    </row>
    <row r="15" spans="1:9" x14ac:dyDescent="0.3">
      <c r="A15" s="108">
        <v>44317</v>
      </c>
      <c r="B15" s="4">
        <v>0</v>
      </c>
      <c r="C15" s="15">
        <f t="shared" si="0"/>
        <v>0</v>
      </c>
      <c r="D15" s="15">
        <f t="shared" si="1"/>
        <v>0</v>
      </c>
      <c r="E15" s="109">
        <v>0.15</v>
      </c>
      <c r="F15" s="4">
        <v>20000</v>
      </c>
      <c r="G15" s="110">
        <f t="shared" si="2"/>
        <v>0</v>
      </c>
      <c r="H15" s="15">
        <f t="shared" si="3"/>
        <v>0</v>
      </c>
      <c r="I15" s="35"/>
    </row>
    <row r="16" spans="1:9" x14ac:dyDescent="0.3">
      <c r="A16" s="108">
        <v>44348</v>
      </c>
      <c r="B16" s="4">
        <f>'Trades Binance'!C198</f>
        <v>-11.01</v>
      </c>
      <c r="C16" s="15">
        <f t="shared" si="0"/>
        <v>0</v>
      </c>
      <c r="D16" s="15">
        <f t="shared" si="1"/>
        <v>-11.01</v>
      </c>
      <c r="E16" s="109">
        <v>0.15</v>
      </c>
      <c r="F16" s="4">
        <v>20000</v>
      </c>
      <c r="G16" s="110">
        <f t="shared" si="2"/>
        <v>0</v>
      </c>
      <c r="H16" s="15">
        <f t="shared" si="3"/>
        <v>-11.01</v>
      </c>
      <c r="I16" s="35"/>
    </row>
    <row r="17" spans="1:9" x14ac:dyDescent="0.3">
      <c r="A17" s="108">
        <v>44378</v>
      </c>
      <c r="B17" s="4">
        <f>'Trades Binance'!C223</f>
        <v>-4.49</v>
      </c>
      <c r="C17" s="15">
        <f t="shared" si="0"/>
        <v>-11.01</v>
      </c>
      <c r="D17" s="15">
        <f t="shared" si="1"/>
        <v>-15.5</v>
      </c>
      <c r="E17" s="109">
        <v>0.15</v>
      </c>
      <c r="F17" s="4">
        <v>20000</v>
      </c>
      <c r="G17" s="110">
        <f t="shared" si="2"/>
        <v>0</v>
      </c>
      <c r="H17" s="15">
        <f t="shared" si="3"/>
        <v>-4.49</v>
      </c>
      <c r="I17" s="35"/>
    </row>
    <row r="18" spans="1:9" x14ac:dyDescent="0.3">
      <c r="A18" s="108">
        <v>44409</v>
      </c>
      <c r="B18" s="4">
        <f>'Trades Binance'!C225+'Trades Binance'!C227</f>
        <v>-1.63</v>
      </c>
      <c r="C18" s="15">
        <f t="shared" si="0"/>
        <v>-15.5</v>
      </c>
      <c r="D18" s="15">
        <f t="shared" si="1"/>
        <v>-17.13</v>
      </c>
      <c r="E18" s="109">
        <v>0.15</v>
      </c>
      <c r="F18" s="4">
        <v>20000</v>
      </c>
      <c r="G18" s="110">
        <f t="shared" si="2"/>
        <v>0</v>
      </c>
      <c r="H18" s="15">
        <f t="shared" si="3"/>
        <v>-1.63</v>
      </c>
      <c r="I18" s="35"/>
    </row>
    <row r="19" spans="1:9" x14ac:dyDescent="0.3">
      <c r="A19" s="108">
        <v>44440</v>
      </c>
      <c r="B19" s="4">
        <v>0</v>
      </c>
      <c r="C19" s="15">
        <f t="shared" si="0"/>
        <v>-17.13</v>
      </c>
      <c r="D19" s="15">
        <f t="shared" si="1"/>
        <v>0</v>
      </c>
      <c r="E19" s="109">
        <v>0.15</v>
      </c>
      <c r="F19" s="4">
        <v>20000</v>
      </c>
      <c r="G19" s="110">
        <f t="shared" si="2"/>
        <v>0</v>
      </c>
      <c r="H19" s="15">
        <f t="shared" si="3"/>
        <v>0</v>
      </c>
      <c r="I19" s="35"/>
    </row>
    <row r="20" spans="1:9" x14ac:dyDescent="0.3">
      <c r="A20" s="108">
        <v>44470</v>
      </c>
      <c r="B20" s="4">
        <v>0</v>
      </c>
      <c r="C20" s="15">
        <f t="shared" si="0"/>
        <v>-17.13</v>
      </c>
      <c r="D20" s="15">
        <f t="shared" si="1"/>
        <v>0</v>
      </c>
      <c r="E20" s="109">
        <v>0.15</v>
      </c>
      <c r="F20" s="4">
        <v>20000</v>
      </c>
      <c r="G20" s="110">
        <f t="shared" si="2"/>
        <v>0</v>
      </c>
      <c r="H20" s="15">
        <f t="shared" si="3"/>
        <v>0</v>
      </c>
      <c r="I20" s="35"/>
    </row>
    <row r="21" spans="1:9" x14ac:dyDescent="0.3">
      <c r="A21" s="108">
        <v>44501</v>
      </c>
      <c r="B21" s="4">
        <v>0</v>
      </c>
      <c r="C21" s="15">
        <f t="shared" si="0"/>
        <v>-17.13</v>
      </c>
      <c r="D21" s="15">
        <f t="shared" si="1"/>
        <v>0</v>
      </c>
      <c r="E21" s="109">
        <v>0.15</v>
      </c>
      <c r="F21" s="4">
        <v>20000</v>
      </c>
      <c r="G21" s="110">
        <f t="shared" si="2"/>
        <v>0</v>
      </c>
      <c r="H21" s="15">
        <f t="shared" si="3"/>
        <v>0</v>
      </c>
      <c r="I21" s="35"/>
    </row>
    <row r="22" spans="1:9" x14ac:dyDescent="0.3">
      <c r="A22" s="108">
        <v>44531</v>
      </c>
      <c r="B22" s="4">
        <v>0</v>
      </c>
      <c r="C22" s="15">
        <f t="shared" si="0"/>
        <v>-17.13</v>
      </c>
      <c r="D22" s="15">
        <f t="shared" si="1"/>
        <v>0</v>
      </c>
      <c r="E22" s="109">
        <v>0.15</v>
      </c>
      <c r="F22" s="4">
        <v>20000</v>
      </c>
      <c r="G22" s="110">
        <f t="shared" si="2"/>
        <v>0</v>
      </c>
      <c r="H22" s="15">
        <f t="shared" si="3"/>
        <v>0</v>
      </c>
      <c r="I22" s="35"/>
    </row>
    <row r="23" spans="1:9" x14ac:dyDescent="0.3">
      <c r="A23" s="108">
        <v>44562</v>
      </c>
      <c r="B23" s="4">
        <v>0</v>
      </c>
      <c r="C23" s="15">
        <f t="shared" si="0"/>
        <v>-17.13</v>
      </c>
      <c r="D23" s="15">
        <f t="shared" si="1"/>
        <v>0</v>
      </c>
      <c r="E23" s="109">
        <v>0.15</v>
      </c>
      <c r="F23" s="4">
        <v>20000</v>
      </c>
      <c r="G23" s="110">
        <f t="shared" si="2"/>
        <v>0</v>
      </c>
      <c r="H23" s="15">
        <f t="shared" si="3"/>
        <v>0</v>
      </c>
      <c r="I23" s="35"/>
    </row>
  </sheetData>
  <conditionalFormatting sqref="B2:B23 C24:C1048576">
    <cfRule type="cellIs" dxfId="1847" priority="9" operator="lessThan">
      <formula>0</formula>
    </cfRule>
    <cfRule type="cellIs" dxfId="1846" priority="10" operator="greaterThan">
      <formula>0</formula>
    </cfRule>
  </conditionalFormatting>
  <conditionalFormatting sqref="G2:G23 H24:H1048576">
    <cfRule type="cellIs" dxfId="1845" priority="13" operator="greaterThan">
      <formula>0</formula>
    </cfRule>
  </conditionalFormatting>
  <conditionalFormatting sqref="H2:H23">
    <cfRule type="cellIs" dxfId="1844" priority="1" operator="lessThan">
      <formula>0</formula>
    </cfRule>
    <cfRule type="cellIs" dxfId="1843" priority="2" operator="greaterThan">
      <formula>0</formula>
    </cfRule>
  </conditionalFormatting>
  <conditionalFormatting sqref="I2">
    <cfRule type="cellIs" dxfId="1842" priority="3" operator="lessThan">
      <formula>0</formula>
    </cfRule>
    <cfRule type="cellIs" dxfId="1841" priority="4" operator="greaterThan">
      <formula>0</formula>
    </cfRule>
  </conditionalFormatting>
  <conditionalFormatting sqref="I24:I1048576">
    <cfRule type="cellIs" dxfId="1840" priority="14" operator="lessThan">
      <formula>0</formula>
    </cfRule>
    <cfRule type="cellIs" dxfId="1839" priority="15" operator="greaterThan">
      <formula>0</formula>
    </cfRule>
  </conditionalFormatting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5341-3D23-4059-AE0E-41459DAF660A}">
  <dimension ref="A1:J23"/>
  <sheetViews>
    <sheetView topLeftCell="C1" zoomScale="115" zoomScaleNormal="115" workbookViewId="0">
      <selection activeCell="H31" sqref="H31"/>
    </sheetView>
  </sheetViews>
  <sheetFormatPr defaultColWidth="8.88671875" defaultRowHeight="14.4" x14ac:dyDescent="0.3"/>
  <cols>
    <col min="1" max="1" width="14.5546875" style="32" bestFit="1" customWidth="1"/>
    <col min="2" max="2" width="14.33203125" style="4" customWidth="1"/>
    <col min="3" max="3" width="23.88671875" style="15" customWidth="1"/>
    <col min="4" max="4" width="19.44140625" style="15" customWidth="1"/>
    <col min="5" max="5" width="11.5546875" style="109" customWidth="1"/>
    <col min="6" max="6" width="25.5546875" style="4" customWidth="1"/>
    <col min="7" max="7" width="19.88671875" style="110" customWidth="1"/>
    <col min="8" max="8" width="20.6640625" style="111" customWidth="1"/>
    <col min="9" max="9" width="23.6640625" style="35" bestFit="1" customWidth="1"/>
    <col min="10" max="10" width="78.88671875" style="35" customWidth="1"/>
    <col min="11" max="16384" width="8.88671875" style="35"/>
  </cols>
  <sheetData>
    <row r="1" spans="1:10" s="107" customFormat="1" ht="15.6" x14ac:dyDescent="0.3">
      <c r="A1" s="102" t="s">
        <v>182</v>
      </c>
      <c r="B1" s="103" t="s">
        <v>99</v>
      </c>
      <c r="C1" s="104" t="s">
        <v>183</v>
      </c>
      <c r="D1" s="104" t="s">
        <v>184</v>
      </c>
      <c r="E1" s="105" t="s">
        <v>185</v>
      </c>
      <c r="F1" s="103" t="s">
        <v>186</v>
      </c>
      <c r="G1" s="106" t="s">
        <v>187</v>
      </c>
      <c r="H1" s="102" t="s">
        <v>188</v>
      </c>
      <c r="I1" s="112" t="s">
        <v>189</v>
      </c>
    </row>
    <row r="2" spans="1:10" ht="15" thickBot="1" x14ac:dyDescent="0.35">
      <c r="A2" s="108">
        <v>43922</v>
      </c>
      <c r="B2" s="4">
        <f>0</f>
        <v>0</v>
      </c>
      <c r="C2" s="116">
        <f t="shared" ref="C2:C23" si="0">IF(C1="Prejuízo Acumulado",0,IF(B2="","",IF(B1=0,C1,IF(D1&lt;=0, D1, 0))))</f>
        <v>0</v>
      </c>
      <c r="D2" s="15">
        <f t="shared" ref="D2:D23" si="1">IF(B2="","",IF(B2=0,0,B2+C2))</f>
        <v>0</v>
      </c>
      <c r="E2" s="109">
        <v>0.2</v>
      </c>
      <c r="F2" s="4">
        <v>20000</v>
      </c>
      <c r="G2" s="110">
        <f>IF(B2="","",IF(D2&gt;=F2, D2*E2, 0))</f>
        <v>0</v>
      </c>
      <c r="H2" s="15">
        <f>IF(D2="","",D2-G2)</f>
        <v>0</v>
      </c>
      <c r="I2" s="113">
        <f>SUM(H2:H1048576)</f>
        <v>0</v>
      </c>
    </row>
    <row r="3" spans="1:10" x14ac:dyDescent="0.3">
      <c r="A3" s="108">
        <v>43952</v>
      </c>
      <c r="B3" s="4">
        <v>0</v>
      </c>
      <c r="C3" s="15">
        <f t="shared" si="0"/>
        <v>0</v>
      </c>
      <c r="D3" s="15">
        <f t="shared" si="1"/>
        <v>0</v>
      </c>
      <c r="E3" s="109">
        <v>0.2</v>
      </c>
      <c r="F3" s="4">
        <v>20000</v>
      </c>
      <c r="G3" s="110">
        <f t="shared" ref="G3:G23" si="2">IF(B3="","",IF(D3&gt;=F3, D3*E3, 0))</f>
        <v>0</v>
      </c>
      <c r="H3" s="15">
        <f t="shared" ref="H3:H23" si="3">IF(D3="","",D3-G3)</f>
        <v>0</v>
      </c>
      <c r="J3" s="209" t="s">
        <v>190</v>
      </c>
    </row>
    <row r="4" spans="1:10" x14ac:dyDescent="0.3">
      <c r="A4" s="108">
        <v>43983</v>
      </c>
      <c r="B4" s="4">
        <v>0</v>
      </c>
      <c r="C4" s="15">
        <f t="shared" si="0"/>
        <v>0</v>
      </c>
      <c r="D4" s="15">
        <f t="shared" si="1"/>
        <v>0</v>
      </c>
      <c r="E4" s="109">
        <v>0.2</v>
      </c>
      <c r="F4" s="4">
        <v>20000</v>
      </c>
      <c r="G4" s="110">
        <f t="shared" si="2"/>
        <v>0</v>
      </c>
      <c r="H4" s="15">
        <f t="shared" si="3"/>
        <v>0</v>
      </c>
      <c r="J4" s="209"/>
    </row>
    <row r="5" spans="1:10" x14ac:dyDescent="0.3">
      <c r="A5" s="108">
        <v>44013</v>
      </c>
      <c r="B5" s="4">
        <v>0</v>
      </c>
      <c r="C5" s="15">
        <f t="shared" si="0"/>
        <v>0</v>
      </c>
      <c r="D5" s="15">
        <f t="shared" si="1"/>
        <v>0</v>
      </c>
      <c r="E5" s="109">
        <v>0.2</v>
      </c>
      <c r="F5" s="4">
        <v>20000</v>
      </c>
      <c r="G5" s="110">
        <f t="shared" si="2"/>
        <v>0</v>
      </c>
      <c r="H5" s="15">
        <f t="shared" si="3"/>
        <v>0</v>
      </c>
      <c r="J5" s="209"/>
    </row>
    <row r="6" spans="1:10" x14ac:dyDescent="0.3">
      <c r="A6" s="108">
        <v>44044</v>
      </c>
      <c r="B6" s="4">
        <v>0</v>
      </c>
      <c r="C6" s="15">
        <f t="shared" si="0"/>
        <v>0</v>
      </c>
      <c r="D6" s="15">
        <f t="shared" si="1"/>
        <v>0</v>
      </c>
      <c r="E6" s="109">
        <v>0.2</v>
      </c>
      <c r="F6" s="4">
        <v>20000</v>
      </c>
      <c r="G6" s="110">
        <f t="shared" si="2"/>
        <v>0</v>
      </c>
      <c r="H6" s="15">
        <f t="shared" si="3"/>
        <v>0</v>
      </c>
      <c r="J6" s="209"/>
    </row>
    <row r="7" spans="1:10" x14ac:dyDescent="0.3">
      <c r="A7" s="108">
        <v>44075</v>
      </c>
      <c r="B7" s="4">
        <v>0</v>
      </c>
      <c r="C7" s="15">
        <f t="shared" si="0"/>
        <v>0</v>
      </c>
      <c r="D7" s="15">
        <f t="shared" si="1"/>
        <v>0</v>
      </c>
      <c r="E7" s="109">
        <v>0.2</v>
      </c>
      <c r="F7" s="4">
        <v>20000</v>
      </c>
      <c r="G7" s="110">
        <f t="shared" si="2"/>
        <v>0</v>
      </c>
      <c r="H7" s="15">
        <f t="shared" si="3"/>
        <v>0</v>
      </c>
      <c r="J7" s="209"/>
    </row>
    <row r="8" spans="1:10" x14ac:dyDescent="0.3">
      <c r="A8" s="108">
        <v>44105</v>
      </c>
      <c r="B8" s="4">
        <v>0</v>
      </c>
      <c r="C8" s="15">
        <f t="shared" si="0"/>
        <v>0</v>
      </c>
      <c r="D8" s="15">
        <f t="shared" si="1"/>
        <v>0</v>
      </c>
      <c r="E8" s="109">
        <v>0.2</v>
      </c>
      <c r="F8" s="4">
        <v>20000</v>
      </c>
      <c r="G8" s="110">
        <f t="shared" si="2"/>
        <v>0</v>
      </c>
      <c r="H8" s="15">
        <f t="shared" si="3"/>
        <v>0</v>
      </c>
      <c r="J8" s="209"/>
    </row>
    <row r="9" spans="1:10" x14ac:dyDescent="0.3">
      <c r="A9" s="108">
        <v>44136</v>
      </c>
      <c r="B9" s="4">
        <v>0</v>
      </c>
      <c r="C9" s="15">
        <f t="shared" si="0"/>
        <v>0</v>
      </c>
      <c r="D9" s="15">
        <f t="shared" si="1"/>
        <v>0</v>
      </c>
      <c r="E9" s="109">
        <v>0.2</v>
      </c>
      <c r="F9" s="4">
        <v>20000</v>
      </c>
      <c r="G9" s="110">
        <f t="shared" si="2"/>
        <v>0</v>
      </c>
      <c r="H9" s="15">
        <f t="shared" si="3"/>
        <v>0</v>
      </c>
      <c r="J9" s="209"/>
    </row>
    <row r="10" spans="1:10" x14ac:dyDescent="0.3">
      <c r="A10" s="108">
        <v>44166</v>
      </c>
      <c r="B10" s="4">
        <v>0</v>
      </c>
      <c r="C10" s="15">
        <f t="shared" si="0"/>
        <v>0</v>
      </c>
      <c r="D10" s="15">
        <f t="shared" si="1"/>
        <v>0</v>
      </c>
      <c r="E10" s="109">
        <v>0.2</v>
      </c>
      <c r="F10" s="4">
        <v>20000</v>
      </c>
      <c r="G10" s="110">
        <f t="shared" si="2"/>
        <v>0</v>
      </c>
      <c r="H10" s="15">
        <f t="shared" si="3"/>
        <v>0</v>
      </c>
      <c r="J10" s="209"/>
    </row>
    <row r="11" spans="1:10" x14ac:dyDescent="0.3">
      <c r="A11" s="108">
        <v>44197</v>
      </c>
      <c r="B11" s="4">
        <v>0</v>
      </c>
      <c r="C11" s="15">
        <f t="shared" si="0"/>
        <v>0</v>
      </c>
      <c r="D11" s="15">
        <f t="shared" si="1"/>
        <v>0</v>
      </c>
      <c r="E11" s="109">
        <v>0.2</v>
      </c>
      <c r="F11" s="4">
        <v>20000</v>
      </c>
      <c r="G11" s="110">
        <f t="shared" si="2"/>
        <v>0</v>
      </c>
      <c r="H11" s="15">
        <f t="shared" si="3"/>
        <v>0</v>
      </c>
      <c r="J11" s="209"/>
    </row>
    <row r="12" spans="1:10" x14ac:dyDescent="0.3">
      <c r="A12" s="108">
        <v>44228</v>
      </c>
      <c r="B12" s="4">
        <v>0</v>
      </c>
      <c r="C12" s="15">
        <f t="shared" si="0"/>
        <v>0</v>
      </c>
      <c r="D12" s="15">
        <f t="shared" si="1"/>
        <v>0</v>
      </c>
      <c r="E12" s="109">
        <v>0.2</v>
      </c>
      <c r="F12" s="4">
        <v>20000</v>
      </c>
      <c r="G12" s="110">
        <f t="shared" si="2"/>
        <v>0</v>
      </c>
      <c r="H12" s="15">
        <f t="shared" si="3"/>
        <v>0</v>
      </c>
      <c r="J12" s="209"/>
    </row>
    <row r="13" spans="1:10" x14ac:dyDescent="0.3">
      <c r="A13" s="108">
        <v>44256</v>
      </c>
      <c r="B13" s="4">
        <v>0</v>
      </c>
      <c r="C13" s="15">
        <f t="shared" si="0"/>
        <v>0</v>
      </c>
      <c r="D13" s="15">
        <f t="shared" si="1"/>
        <v>0</v>
      </c>
      <c r="E13" s="109">
        <v>0.2</v>
      </c>
      <c r="F13" s="4">
        <v>20000</v>
      </c>
      <c r="G13" s="110">
        <f t="shared" si="2"/>
        <v>0</v>
      </c>
      <c r="H13" s="15">
        <f t="shared" si="3"/>
        <v>0</v>
      </c>
      <c r="J13" s="209"/>
    </row>
    <row r="14" spans="1:10" x14ac:dyDescent="0.3">
      <c r="A14" s="108">
        <v>44287</v>
      </c>
      <c r="B14" s="4">
        <v>0</v>
      </c>
      <c r="C14" s="15">
        <f t="shared" si="0"/>
        <v>0</v>
      </c>
      <c r="D14" s="15">
        <f t="shared" si="1"/>
        <v>0</v>
      </c>
      <c r="E14" s="109">
        <v>0.2</v>
      </c>
      <c r="F14" s="4">
        <v>20000</v>
      </c>
      <c r="G14" s="110">
        <f t="shared" si="2"/>
        <v>0</v>
      </c>
      <c r="H14" s="15">
        <f t="shared" si="3"/>
        <v>0</v>
      </c>
      <c r="J14" s="209"/>
    </row>
    <row r="15" spans="1:10" x14ac:dyDescent="0.3">
      <c r="A15" s="108">
        <v>44317</v>
      </c>
      <c r="B15" s="4">
        <v>0</v>
      </c>
      <c r="C15" s="15">
        <f t="shared" si="0"/>
        <v>0</v>
      </c>
      <c r="D15" s="15">
        <f t="shared" si="1"/>
        <v>0</v>
      </c>
      <c r="E15" s="109">
        <v>0.2</v>
      </c>
      <c r="F15" s="4">
        <v>20000</v>
      </c>
      <c r="G15" s="110">
        <f t="shared" si="2"/>
        <v>0</v>
      </c>
      <c r="H15" s="15">
        <f t="shared" si="3"/>
        <v>0</v>
      </c>
      <c r="J15" s="209"/>
    </row>
    <row r="16" spans="1:10" x14ac:dyDescent="0.3">
      <c r="A16" s="108">
        <v>44348</v>
      </c>
      <c r="B16" s="4">
        <v>0</v>
      </c>
      <c r="C16" s="15">
        <f t="shared" si="0"/>
        <v>0</v>
      </c>
      <c r="D16" s="15">
        <f t="shared" si="1"/>
        <v>0</v>
      </c>
      <c r="E16" s="109">
        <v>0.2</v>
      </c>
      <c r="F16" s="4">
        <v>20000</v>
      </c>
      <c r="G16" s="110">
        <f t="shared" si="2"/>
        <v>0</v>
      </c>
      <c r="H16" s="15">
        <f t="shared" si="3"/>
        <v>0</v>
      </c>
      <c r="J16" s="209"/>
    </row>
    <row r="17" spans="1:10" x14ac:dyDescent="0.3">
      <c r="A17" s="108">
        <v>44378</v>
      </c>
      <c r="B17" s="4">
        <v>0</v>
      </c>
      <c r="C17" s="15">
        <f t="shared" si="0"/>
        <v>0</v>
      </c>
      <c r="D17" s="15">
        <f t="shared" si="1"/>
        <v>0</v>
      </c>
      <c r="E17" s="109">
        <v>0.2</v>
      </c>
      <c r="F17" s="4">
        <v>20000</v>
      </c>
      <c r="G17" s="110">
        <f t="shared" si="2"/>
        <v>0</v>
      </c>
      <c r="H17" s="15">
        <f t="shared" si="3"/>
        <v>0</v>
      </c>
      <c r="J17" s="209"/>
    </row>
    <row r="18" spans="1:10" x14ac:dyDescent="0.3">
      <c r="A18" s="108">
        <v>44409</v>
      </c>
      <c r="B18" s="4">
        <v>0</v>
      </c>
      <c r="C18" s="15">
        <f t="shared" si="0"/>
        <v>0</v>
      </c>
      <c r="D18" s="15">
        <f t="shared" si="1"/>
        <v>0</v>
      </c>
      <c r="E18" s="109">
        <v>0.2</v>
      </c>
      <c r="F18" s="4">
        <v>20000</v>
      </c>
      <c r="G18" s="110">
        <f t="shared" si="2"/>
        <v>0</v>
      </c>
      <c r="H18" s="15">
        <f t="shared" si="3"/>
        <v>0</v>
      </c>
      <c r="J18" s="209"/>
    </row>
    <row r="19" spans="1:10" x14ac:dyDescent="0.3">
      <c r="A19" s="108">
        <v>44440</v>
      </c>
      <c r="B19" s="4">
        <v>0</v>
      </c>
      <c r="C19" s="15">
        <f t="shared" si="0"/>
        <v>0</v>
      </c>
      <c r="D19" s="15">
        <f t="shared" si="1"/>
        <v>0</v>
      </c>
      <c r="E19" s="109">
        <v>0.2</v>
      </c>
      <c r="F19" s="4">
        <v>20000</v>
      </c>
      <c r="G19" s="110">
        <f t="shared" si="2"/>
        <v>0</v>
      </c>
      <c r="H19" s="15">
        <f t="shared" si="3"/>
        <v>0</v>
      </c>
      <c r="J19" s="209"/>
    </row>
    <row r="20" spans="1:10" x14ac:dyDescent="0.3">
      <c r="A20" s="108">
        <v>44470</v>
      </c>
      <c r="B20" s="4">
        <v>0</v>
      </c>
      <c r="C20" s="15">
        <f t="shared" si="0"/>
        <v>0</v>
      </c>
      <c r="D20" s="15">
        <f t="shared" si="1"/>
        <v>0</v>
      </c>
      <c r="E20" s="109">
        <v>0.2</v>
      </c>
      <c r="F20" s="4">
        <v>20000</v>
      </c>
      <c r="G20" s="110">
        <f t="shared" si="2"/>
        <v>0</v>
      </c>
      <c r="H20" s="15">
        <f t="shared" si="3"/>
        <v>0</v>
      </c>
      <c r="J20" s="209"/>
    </row>
    <row r="21" spans="1:10" x14ac:dyDescent="0.3">
      <c r="A21" s="108">
        <v>44501</v>
      </c>
      <c r="B21" s="4">
        <v>0</v>
      </c>
      <c r="C21" s="15">
        <f t="shared" si="0"/>
        <v>0</v>
      </c>
      <c r="D21" s="15">
        <f t="shared" si="1"/>
        <v>0</v>
      </c>
      <c r="E21" s="109">
        <v>0.2</v>
      </c>
      <c r="F21" s="4">
        <v>20000</v>
      </c>
      <c r="G21" s="110">
        <f t="shared" si="2"/>
        <v>0</v>
      </c>
      <c r="H21" s="15">
        <f t="shared" si="3"/>
        <v>0</v>
      </c>
      <c r="J21" s="209"/>
    </row>
    <row r="22" spans="1:10" x14ac:dyDescent="0.3">
      <c r="A22" s="108">
        <v>44531</v>
      </c>
      <c r="B22" s="4">
        <v>0</v>
      </c>
      <c r="C22" s="15">
        <f t="shared" si="0"/>
        <v>0</v>
      </c>
      <c r="D22" s="15">
        <f t="shared" si="1"/>
        <v>0</v>
      </c>
      <c r="E22" s="109">
        <v>0.2</v>
      </c>
      <c r="F22" s="4">
        <v>20000</v>
      </c>
      <c r="G22" s="110">
        <f t="shared" si="2"/>
        <v>0</v>
      </c>
      <c r="H22" s="15">
        <f t="shared" si="3"/>
        <v>0</v>
      </c>
      <c r="J22" s="209"/>
    </row>
    <row r="23" spans="1:10" x14ac:dyDescent="0.3">
      <c r="A23" s="108">
        <v>44562</v>
      </c>
      <c r="B23" s="4">
        <v>0</v>
      </c>
      <c r="C23" s="15">
        <f t="shared" si="0"/>
        <v>0</v>
      </c>
      <c r="D23" s="15">
        <f t="shared" si="1"/>
        <v>0</v>
      </c>
      <c r="E23" s="109">
        <v>0.2</v>
      </c>
      <c r="F23" s="4">
        <v>20000</v>
      </c>
      <c r="G23" s="110">
        <f t="shared" si="2"/>
        <v>0</v>
      </c>
      <c r="H23" s="15">
        <f t="shared" si="3"/>
        <v>0</v>
      </c>
      <c r="J23" s="209"/>
    </row>
  </sheetData>
  <mergeCells count="1">
    <mergeCell ref="J3:J23"/>
  </mergeCells>
  <conditionalFormatting sqref="G2:G1048576">
    <cfRule type="cellIs" dxfId="1838" priority="7" operator="greaterThan">
      <formula>0</formula>
    </cfRule>
  </conditionalFormatting>
  <conditionalFormatting sqref="H2:H23">
    <cfRule type="cellIs" dxfId="1837" priority="3" operator="lessThan">
      <formula>0</formula>
    </cfRule>
    <cfRule type="cellIs" dxfId="1836" priority="4" operator="greaterThan">
      <formula>0</formula>
    </cfRule>
  </conditionalFormatting>
  <conditionalFormatting sqref="H24:H1048576">
    <cfRule type="cellIs" dxfId="1835" priority="8" operator="lessThan">
      <formula>0</formula>
    </cfRule>
    <cfRule type="cellIs" dxfId="1834" priority="9" operator="greaterThan">
      <formula>0</formula>
    </cfRule>
  </conditionalFormatting>
  <conditionalFormatting sqref="I2">
    <cfRule type="cellIs" dxfId="1833" priority="1" operator="lessThan">
      <formula>0</formula>
    </cfRule>
    <cfRule type="cellIs" dxfId="1832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FA682-AB83-48E8-A2EC-33D93D3E8F03}">
  <dimension ref="A1:W7"/>
  <sheetViews>
    <sheetView zoomScale="90" zoomScaleNormal="90" workbookViewId="0">
      <selection activeCell="A3" sqref="A3"/>
    </sheetView>
  </sheetViews>
  <sheetFormatPr defaultColWidth="9.109375" defaultRowHeight="14.4" x14ac:dyDescent="0.3"/>
  <cols>
    <col min="1" max="1" width="20.6640625" style="2" customWidth="1"/>
    <col min="2" max="2" width="34" style="3" bestFit="1" customWidth="1"/>
    <col min="3" max="3" width="38.5546875" style="4" bestFit="1" customWidth="1"/>
    <col min="4" max="4" width="19.6640625" style="3" bestFit="1" customWidth="1"/>
    <col min="5" max="5" width="24.33203125" style="4" bestFit="1" customWidth="1"/>
    <col min="6" max="6" width="37.6640625" style="3" bestFit="1" customWidth="1"/>
    <col min="7" max="7" width="42.44140625" style="4" bestFit="1" customWidth="1"/>
    <col min="8" max="8" width="38.109375" style="3" bestFit="1" customWidth="1"/>
    <col min="9" max="9" width="42.6640625" style="4" bestFit="1" customWidth="1"/>
    <col min="10" max="10" width="43.33203125" style="3" bestFit="1" customWidth="1"/>
    <col min="11" max="11" width="47.88671875" style="4" bestFit="1" customWidth="1"/>
    <col min="12" max="12" width="47.88671875" style="3" bestFit="1" customWidth="1"/>
    <col min="13" max="13" width="52.44140625" style="4" bestFit="1" customWidth="1"/>
    <col min="14" max="14" width="4.88671875" style="3" bestFit="1" customWidth="1"/>
    <col min="15" max="15" width="9.33203125" style="4" bestFit="1" customWidth="1"/>
    <col min="16" max="16" width="20.6640625" style="3" bestFit="1" customWidth="1"/>
    <col min="17" max="17" width="25.33203125" style="4" bestFit="1" customWidth="1"/>
    <col min="18" max="18" width="25.109375" style="3" bestFit="1" customWidth="1"/>
    <col min="19" max="19" width="29.88671875" style="4" bestFit="1" customWidth="1"/>
    <col min="20" max="20" width="5.44140625" style="17" bestFit="1" customWidth="1"/>
    <col min="21" max="21" width="29.88671875" style="3" bestFit="1" customWidth="1"/>
    <col min="22" max="22" width="34.44140625" style="4" bestFit="1" customWidth="1"/>
    <col min="23" max="23" width="6.44140625" style="17" bestFit="1" customWidth="1"/>
    <col min="24" max="16384" width="9.109375" style="4"/>
  </cols>
  <sheetData>
    <row r="1" spans="1:23" s="11" customFormat="1" ht="15.6" x14ac:dyDescent="0.3">
      <c r="A1" s="11" t="s">
        <v>29</v>
      </c>
      <c r="B1" s="11" t="s">
        <v>0</v>
      </c>
      <c r="C1" s="11" t="s">
        <v>19</v>
      </c>
      <c r="D1" s="11" t="s">
        <v>1</v>
      </c>
      <c r="E1" s="11" t="s">
        <v>20</v>
      </c>
      <c r="F1" s="11" t="s">
        <v>11</v>
      </c>
      <c r="G1" s="11" t="s">
        <v>21</v>
      </c>
      <c r="H1" s="11" t="s">
        <v>10</v>
      </c>
      <c r="I1" s="11" t="s">
        <v>22</v>
      </c>
      <c r="J1" s="11" t="s">
        <v>12</v>
      </c>
      <c r="K1" s="11" t="s">
        <v>23</v>
      </c>
      <c r="L1" s="11" t="s">
        <v>13</v>
      </c>
      <c r="M1" s="11" t="s">
        <v>28</v>
      </c>
      <c r="N1" s="11" t="s">
        <v>2</v>
      </c>
      <c r="O1" s="11" t="s">
        <v>27</v>
      </c>
      <c r="P1" s="11" t="s">
        <v>3</v>
      </c>
      <c r="Q1" s="11" t="s">
        <v>26</v>
      </c>
      <c r="R1" s="11" t="s">
        <v>4</v>
      </c>
      <c r="S1" s="11" t="s">
        <v>25</v>
      </c>
      <c r="T1" s="16" t="s">
        <v>57</v>
      </c>
      <c r="U1" s="11" t="s">
        <v>5</v>
      </c>
      <c r="V1" s="11" t="s">
        <v>24</v>
      </c>
      <c r="W1" s="16" t="s">
        <v>97</v>
      </c>
    </row>
    <row r="2" spans="1:23" ht="15.6" x14ac:dyDescent="0.3">
      <c r="A2" s="4">
        <v>69696969</v>
      </c>
      <c r="D2" s="3" t="s">
        <v>35</v>
      </c>
      <c r="E2" s="4">
        <f>527.9-4.88</f>
        <v>523.02</v>
      </c>
      <c r="G2" s="4">
        <v>0</v>
      </c>
      <c r="I2" s="4">
        <v>0</v>
      </c>
      <c r="K2" s="4">
        <v>0</v>
      </c>
      <c r="M2" s="4">
        <v>0</v>
      </c>
      <c r="O2" s="4">
        <v>0</v>
      </c>
      <c r="Q2" s="4">
        <v>0</v>
      </c>
      <c r="R2" s="175" t="s">
        <v>67</v>
      </c>
      <c r="S2" s="15">
        <f>VLOOKUP(TbARCAEasynvest[[#This Row],[Renda Variável Nacional]],TbCotaçãoAtivoNacional[],2)*TbARCAEasynvest[[#This Row],[QQT]]</f>
        <v>202.58</v>
      </c>
      <c r="T2" s="117" cm="1">
        <f t="array" ref="T2">LOOKUP(2,1/(LEN(TbBBAS3_ST[Estoque])&gt;0),TbBBAS3_ST[Estoque])</f>
        <v>7</v>
      </c>
      <c r="U2" s="175" t="s">
        <v>37</v>
      </c>
      <c r="V2" s="15">
        <f>VLOOKUP(TbARCAEasynvest[[#This Row],[Renda Variável Internacional]],TbCotaçãoAtivoInternacional[],2)*TbARCAEasynvest[[#This Row],[QQT2]]</f>
        <v>116.11</v>
      </c>
      <c r="W2" s="32" cm="1">
        <f t="array" ref="W2">LOOKUP(2,1/(LEN(TbAMZO34_ST[Estoque])&gt;0),TbAMZO34_ST[Estoque])</f>
        <v>1</v>
      </c>
    </row>
    <row r="3" spans="1:23" x14ac:dyDescent="0.3">
      <c r="A3" s="36" t="s">
        <v>74</v>
      </c>
      <c r="D3" s="3" t="s">
        <v>36</v>
      </c>
      <c r="E3" s="4">
        <f>1052.53-9.19</f>
        <v>1043.3399999999999</v>
      </c>
      <c r="R3" s="175" t="s">
        <v>30</v>
      </c>
      <c r="S3" s="15">
        <f>VLOOKUP(TbARCAEasynvest[[#This Row],[Renda Variável Nacional]],TbCotaçãoAtivoNacional[],2)*TbARCAEasynvest[[#This Row],[QQT]]</f>
        <v>20.02</v>
      </c>
      <c r="T3" s="32" cm="1">
        <f t="array" ref="T3">LOOKUP(2,1/(LEN(TbBBDC4_ST[Estoque])&gt;0),TbBBDC4_ST[Estoque])</f>
        <v>1</v>
      </c>
      <c r="U3" s="175" t="s">
        <v>69</v>
      </c>
      <c r="V3" s="15">
        <f>VLOOKUP(TbARCAEasynvest[[#This Row],[Renda Variável Internacional]],TbCotaçãoAtivoInternacional[],2)*TbARCAEasynvest[[#This Row],[QQT2]]</f>
        <v>57.99</v>
      </c>
      <c r="W3" s="32" cm="1">
        <f t="array" ref="W3">LOOKUP(2,1/(LEN(TbJNJB34_ST[Estoque])&gt;0),TbJNJB34_ST[Estoque])</f>
        <v>1</v>
      </c>
    </row>
    <row r="4" spans="1:23" x14ac:dyDescent="0.3">
      <c r="R4" s="175" t="s">
        <v>31</v>
      </c>
      <c r="S4" s="15">
        <f>VLOOKUP(TbARCAEasynvest[[#This Row],[Renda Variável Nacional]],TbCotaçãoAtivoNacional[],2)*TbARCAEasynvest[[#This Row],[QQT]]</f>
        <v>208.79999999999998</v>
      </c>
      <c r="T4" s="32" cm="1">
        <f t="array" ref="T4">LOOKUP(2,1/(LEN(TbEMBR3_ST[Estoque])&gt;0),TbEMBR3_ST[Estoque])</f>
        <v>10</v>
      </c>
      <c r="U4" s="176" t="s">
        <v>70</v>
      </c>
      <c r="V4" s="15">
        <f>VLOOKUP(TbARCAEasynvest[[#This Row],[Renda Variável Internacional]],TbCotaçãoAtivoInternacional[],2)*TbARCAEasynvest[[#This Row],[QQT2]]</f>
        <v>62.4</v>
      </c>
      <c r="W4" s="32" cm="1">
        <f t="array" ref="W4">LOOKUP(2,1/(LEN(TbVISA34_ST[Estoque])&gt;0),TbVISA34_ST[Estoque])</f>
        <v>1</v>
      </c>
    </row>
    <row r="5" spans="1:23" x14ac:dyDescent="0.3">
      <c r="R5" s="175" t="s">
        <v>77</v>
      </c>
      <c r="S5" s="15">
        <f>VLOOKUP(TbARCAEasynvest[[#This Row],[Renda Variável Nacional]],TbCotaçãoAtivoNacional[],2)*TbARCAEasynvest[[#This Row],[QQT]]</f>
        <v>125.45</v>
      </c>
      <c r="T5" s="32" cm="1">
        <f t="array" ref="T5">LOOKUP(2,1/(LEN(TbPETR3F_ST[Estoque])&gt;0),TbPETR3F_ST[Estoque])</f>
        <v>5</v>
      </c>
      <c r="U5" s="176" t="s">
        <v>81</v>
      </c>
      <c r="V5" s="15">
        <f>VLOOKUP(TbARCAEasynvest[[#This Row],[Renda Variável Internacional]],TbCotaçãoAtivoInternacional[],2)*TbARCAEasynvest[[#This Row],[QQT2]]</f>
        <v>118.5</v>
      </c>
      <c r="W5" s="32" cm="1">
        <f t="array" ref="W5">LOOKUP(2,1/(LEN(TbTSLA34_ST[Estoque])&gt;0),TbTSLA34_ST[Estoque])</f>
        <v>1</v>
      </c>
    </row>
    <row r="6" spans="1:23" x14ac:dyDescent="0.3">
      <c r="E6" s="18"/>
    </row>
    <row r="7" spans="1:23" ht="16.2" x14ac:dyDescent="0.3">
      <c r="E7" s="19"/>
    </row>
  </sheetData>
  <sortState xmlns:xlrd2="http://schemas.microsoft.com/office/spreadsheetml/2017/richdata2" ref="R3:S5">
    <sortCondition ref="R3:R5"/>
  </sortState>
  <phoneticPr fontId="1" type="noConversion"/>
  <hyperlinks>
    <hyperlink ref="A3" location="Sumário!A1" display="SUMÁRIO" xr:uid="{8A4AB613-AB74-41CC-A8E4-EB13B1CFD61E}"/>
    <hyperlink ref="R2" location="'Bolsa BBAS3 ST'!A1" display="BBAS3" xr:uid="{674E13A4-2459-4438-9101-A885C4EAEB29}"/>
    <hyperlink ref="R3" location="'Bolsa BBDC4 ST'!A1" display="BBDC4" xr:uid="{4ABBE120-FB9A-498A-A671-FD8079193F2B}"/>
    <hyperlink ref="R4" location="'Bolsa EMBR3 ST'!A1" display="EMBR3" xr:uid="{D0223A54-EC6C-4312-ABEB-F6F8BE9BC9B5}"/>
    <hyperlink ref="R5" location="'Bolsa PETR3F ST'!A1" display="PETR3F" xr:uid="{0935E5D8-96CB-4EB5-8AEF-68677DFFC831}"/>
    <hyperlink ref="U2" location="'Bolsa AMZO34 ST'!A1" display="AMZO34" xr:uid="{384ABE81-0CD1-4ADA-B769-F0F859E957E0}"/>
    <hyperlink ref="U3" location="'Bolsa JNJB34 ST'!A1" display="JNJB34" xr:uid="{D401422E-595A-40F7-827A-583EC4435CF4}"/>
    <hyperlink ref="U4" location="'Bolsa VISA34 ST'!A1" display="VISA34" xr:uid="{08008090-7B9C-4FEE-894F-904809EC711C}"/>
    <hyperlink ref="U5" location="'Bolsa TSLA34 ST'!A1" display="TSLA34" xr:uid="{F041D4BB-7BC7-4C7A-9C80-35B95DA4042F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T3:T5 W2:W5" calculatedColumn="1"/>
  </ignoredErrors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7A7ED-03E9-4E4B-A59F-6C224F2876C0}">
  <dimension ref="A1:V5"/>
  <sheetViews>
    <sheetView zoomScale="90" zoomScaleNormal="90" workbookViewId="0">
      <selection activeCell="A3" sqref="A3"/>
    </sheetView>
  </sheetViews>
  <sheetFormatPr defaultColWidth="21.88671875" defaultRowHeight="14.4" x14ac:dyDescent="0.3"/>
  <cols>
    <col min="1" max="1" width="20.6640625" style="2" customWidth="1"/>
    <col min="2" max="2" width="6.33203125" style="3" customWidth="1"/>
    <col min="3" max="3" width="6.6640625" style="4" customWidth="1"/>
    <col min="4" max="4" width="6" style="3" customWidth="1"/>
    <col min="5" max="5" width="7.33203125" style="4" customWidth="1"/>
    <col min="6" max="6" width="6" style="3" customWidth="1"/>
    <col min="7" max="7" width="6.88671875" style="4" customWidth="1"/>
    <col min="8" max="8" width="38.109375" style="3" bestFit="1" customWidth="1"/>
    <col min="9" max="9" width="42.6640625" style="4" bestFit="1" customWidth="1"/>
    <col min="10" max="10" width="5.44140625" style="17" bestFit="1" customWidth="1"/>
    <col min="11" max="11" width="5.33203125" style="3" customWidth="1"/>
    <col min="12" max="12" width="5.88671875" style="4" customWidth="1"/>
    <col min="13" max="13" width="5.44140625" style="3" customWidth="1"/>
    <col min="14" max="14" width="6.6640625" style="4" customWidth="1"/>
    <col min="15" max="15" width="4.88671875" style="3" bestFit="1" customWidth="1"/>
    <col min="16" max="16" width="6" style="4" customWidth="1"/>
    <col min="17" max="17" width="5.109375" style="3" customWidth="1"/>
    <col min="18" max="18" width="6.44140625" style="4" customWidth="1"/>
    <col min="19" max="19" width="5.5546875" style="3" customWidth="1"/>
    <col min="20" max="20" width="6.44140625" style="4" customWidth="1"/>
    <col min="21" max="21" width="6.44140625" style="3" customWidth="1"/>
    <col min="22" max="22" width="6" style="4" customWidth="1"/>
    <col min="23" max="16384" width="21.88671875" style="4"/>
  </cols>
  <sheetData>
    <row r="1" spans="1:22" s="11" customFormat="1" ht="15.6" x14ac:dyDescent="0.3">
      <c r="A1" s="11" t="s">
        <v>29</v>
      </c>
      <c r="B1" s="11" t="s">
        <v>0</v>
      </c>
      <c r="C1" s="11" t="s">
        <v>19</v>
      </c>
      <c r="D1" s="11" t="s">
        <v>1</v>
      </c>
      <c r="E1" s="11" t="s">
        <v>20</v>
      </c>
      <c r="F1" s="11" t="s">
        <v>11</v>
      </c>
      <c r="G1" s="11" t="s">
        <v>21</v>
      </c>
      <c r="H1" s="11" t="s">
        <v>10</v>
      </c>
      <c r="I1" s="11" t="s">
        <v>22</v>
      </c>
      <c r="J1" s="16" t="s">
        <v>57</v>
      </c>
      <c r="K1" s="11" t="s">
        <v>12</v>
      </c>
      <c r="L1" s="11" t="s">
        <v>23</v>
      </c>
      <c r="M1" s="11" t="s">
        <v>13</v>
      </c>
      <c r="N1" s="11" t="s">
        <v>28</v>
      </c>
      <c r="O1" s="11" t="s">
        <v>2</v>
      </c>
      <c r="P1" s="11" t="s">
        <v>27</v>
      </c>
      <c r="Q1" s="11" t="s">
        <v>3</v>
      </c>
      <c r="R1" s="11" t="s">
        <v>26</v>
      </c>
      <c r="S1" s="11" t="s">
        <v>4</v>
      </c>
      <c r="T1" s="11" t="s">
        <v>25</v>
      </c>
      <c r="U1" s="11" t="s">
        <v>5</v>
      </c>
      <c r="V1" s="11" t="s">
        <v>24</v>
      </c>
    </row>
    <row r="2" spans="1:22" x14ac:dyDescent="0.3">
      <c r="A2" s="4">
        <v>24242424</v>
      </c>
      <c r="C2" s="4">
        <v>0</v>
      </c>
      <c r="E2" s="4">
        <v>0</v>
      </c>
      <c r="G2" s="4">
        <v>0</v>
      </c>
      <c r="H2" s="3" t="s">
        <v>34</v>
      </c>
      <c r="I2" s="15">
        <f>VLOOKUP(TbARCAClear[[#This Row],[Fundos de Investimentos: Real Estate]],TbCotaçãoAtivoRealEstate[],2)*TbARCAClear[[#This Row],[QQT]]</f>
        <v>69.69</v>
      </c>
      <c r="J2" s="133" cm="1">
        <f t="array" ref="J2">LOOKUP(2,1/(LEN(TbCRFF11_ST[Estoque])&gt;0),TbCRFF11_ST[Estoque])</f>
        <v>1</v>
      </c>
      <c r="L2" s="4">
        <v>0</v>
      </c>
      <c r="N2" s="4">
        <v>0</v>
      </c>
      <c r="P2" s="4">
        <v>0</v>
      </c>
      <c r="R2" s="4">
        <v>0</v>
      </c>
      <c r="T2" s="4">
        <v>0</v>
      </c>
      <c r="V2" s="4">
        <v>0</v>
      </c>
    </row>
    <row r="3" spans="1:22" x14ac:dyDescent="0.3">
      <c r="A3" s="36" t="s">
        <v>74</v>
      </c>
      <c r="H3" s="3" t="s">
        <v>72</v>
      </c>
      <c r="I3" s="15">
        <f>VLOOKUP(TbARCAClear[[#This Row],[Fundos de Investimentos: Real Estate]],TbCotaçãoAtivoRealEstate[],2)*TbARCAClear[[#This Row],[QQT]]</f>
        <v>161.77000000000001</v>
      </c>
      <c r="J3" s="32" cm="1">
        <f t="array" ref="J3">LOOKUP(2,1/(LEN(TbHGLG11_ST[Estoque])&gt;0),TbHGLG11_ST[Estoque])</f>
        <v>1</v>
      </c>
    </row>
    <row r="4" spans="1:22" x14ac:dyDescent="0.3">
      <c r="H4" s="3" t="s">
        <v>73</v>
      </c>
      <c r="I4" s="15">
        <f>VLOOKUP(TbARCAClear[[#This Row],[Fundos de Investimentos: Real Estate]],TbCotaçãoAtivoRealEstate[],2)*TbARCAClear[[#This Row],[QQT]]</f>
        <v>191.34</v>
      </c>
      <c r="J4" s="32" cm="1">
        <f t="array" ref="J4">LOOKUP(2,1/(LEN(TbKNCR11_ST[Estoque])&gt;0),TbKNCR11_ST[Estoque])</f>
        <v>2</v>
      </c>
    </row>
    <row r="5" spans="1:22" x14ac:dyDescent="0.3">
      <c r="H5" s="3" t="s">
        <v>33</v>
      </c>
      <c r="I5" s="15">
        <f>VLOOKUP(TbARCAClear[[#This Row],[Fundos de Investimentos: Real Estate]],TbCotaçãoAtivoRealEstate[],2)*TbARCAClear[[#This Row],[QQT]]</f>
        <v>218.89999999999998</v>
      </c>
      <c r="J5" s="32" cm="1">
        <f t="array" ref="J5">LOOKUP(2,1/(LEN(TbMXRF11_ST[Estoque])&gt;0),TbMXRF11_ST[Estoque])</f>
        <v>22</v>
      </c>
    </row>
  </sheetData>
  <hyperlinks>
    <hyperlink ref="A3" location="Sumário!A1" display="SUMÁRIO" xr:uid="{C7C86D5B-13C5-4050-A390-15ED816CA897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J2:J5" calculatedColumn="1"/>
  </ignoredErrors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1B981-AEF4-473D-BD94-6A925C962967}">
  <dimension ref="A1:E7"/>
  <sheetViews>
    <sheetView zoomScale="400" zoomScaleNormal="400" workbookViewId="0">
      <selection activeCell="A2" sqref="A2"/>
    </sheetView>
  </sheetViews>
  <sheetFormatPr defaultColWidth="9.109375" defaultRowHeight="14.4" x14ac:dyDescent="0.3"/>
  <cols>
    <col min="1" max="1" width="9.44140625" style="5" bestFit="1" customWidth="1"/>
    <col min="2" max="2" width="7.88671875" style="3" bestFit="1" customWidth="1"/>
    <col min="3" max="3" width="14" style="10" customWidth="1"/>
    <col min="4" max="4" width="14" style="9" bestFit="1" customWidth="1"/>
    <col min="5" max="5" width="13" style="9" bestFit="1" customWidth="1"/>
    <col min="6" max="16384" width="9.109375" style="5"/>
  </cols>
  <sheetData>
    <row r="1" spans="1:5" s="13" customFormat="1" ht="15.6" x14ac:dyDescent="0.3">
      <c r="A1" s="36" t="s">
        <v>74</v>
      </c>
      <c r="B1" s="11" t="s">
        <v>7</v>
      </c>
      <c r="C1" s="11" t="s">
        <v>49</v>
      </c>
      <c r="D1" s="12" t="s">
        <v>47</v>
      </c>
      <c r="E1" s="12" t="s">
        <v>48</v>
      </c>
    </row>
    <row r="2" spans="1:5" s="1" customFormat="1" x14ac:dyDescent="0.3">
      <c r="A2" s="118" t="s">
        <v>205</v>
      </c>
      <c r="B2" s="124" t="s">
        <v>50</v>
      </c>
      <c r="C2" s="132" cm="1">
        <f t="array" ref="C2">LOOKUP(2,1/(LEN(TbTradesBinance[Estoque BRL])&gt;0),TbTradesBinance[Estoque BRL])</f>
        <v>119747.60595781</v>
      </c>
      <c r="D2" s="126">
        <v>0</v>
      </c>
      <c r="E2" s="126">
        <v>0</v>
      </c>
    </row>
    <row r="3" spans="1:5" x14ac:dyDescent="0.3">
      <c r="B3" s="3" t="s">
        <v>42</v>
      </c>
      <c r="C3" s="28" cm="1">
        <f t="array" ref="C3">LOOKUP(2,1/(LEN(TbTradesBinance[Estoque USDT])&gt;0),TbTradesBinance[Estoque USDT])</f>
        <v>62.412566339999998</v>
      </c>
      <c r="D3" s="29">
        <v>0</v>
      </c>
      <c r="E3" s="29">
        <v>0</v>
      </c>
    </row>
    <row r="4" spans="1:5" x14ac:dyDescent="0.3">
      <c r="B4" s="3" t="s">
        <v>6</v>
      </c>
      <c r="C4" s="25" cm="1">
        <f t="array" ref="C4">LOOKUP(2,1/(LEN(TbTradesBinance[Estoque BTC])&gt;0),TbTradesBinance[Estoque BTC])</f>
        <v>4.3039899999999997E-3</v>
      </c>
      <c r="D4" s="27">
        <v>0</v>
      </c>
      <c r="E4" s="31">
        <v>0</v>
      </c>
    </row>
    <row r="5" spans="1:5" x14ac:dyDescent="0.3">
      <c r="B5" s="3" t="s">
        <v>45</v>
      </c>
      <c r="C5" s="25" cm="1">
        <f t="array" ref="C5">LOOKUP(2,1/(LEN(TbTradesBinance[Estoque BNB])&gt;0),TbTradesBinance[Estoque BNB])-TbARCABinance[[#This Row],[Stake]]</f>
        <v>2.7081050000000002E-2</v>
      </c>
      <c r="D5" s="26">
        <v>3.8899999999999997E-2</v>
      </c>
      <c r="E5" s="26">
        <v>0</v>
      </c>
    </row>
    <row r="6" spans="1:5" x14ac:dyDescent="0.3">
      <c r="B6" s="3" t="s">
        <v>38</v>
      </c>
      <c r="C6" s="25" cm="1">
        <f t="array" ref="C6">LOOKUP(2,1/(LEN(TbTradesBinance[Estoque LINK])&gt;0),TbTradesBinance[Estoque LINK])</f>
        <v>0.32838000000000001</v>
      </c>
      <c r="D6" s="27">
        <v>0</v>
      </c>
      <c r="E6" s="27">
        <v>0</v>
      </c>
    </row>
    <row r="7" spans="1:5" x14ac:dyDescent="0.3">
      <c r="B7" s="3" t="s">
        <v>9</v>
      </c>
      <c r="C7" s="25" cm="1">
        <f t="array" ref="C7">LOOKUP(2,1/(LEN(TbTradesBinance[Estoque DOT])&gt;0),TbTradesBinance[Estoque DOT])</f>
        <v>0.51</v>
      </c>
      <c r="D7" s="27">
        <v>0</v>
      </c>
      <c r="E7" s="27">
        <v>0</v>
      </c>
    </row>
  </sheetData>
  <sortState xmlns:xlrd2="http://schemas.microsoft.com/office/spreadsheetml/2017/richdata2" ref="B5:E5">
    <sortCondition ref="B5"/>
  </sortState>
  <hyperlinks>
    <hyperlink ref="A1" location="Sumário!A1" display="SUMÁRIO" xr:uid="{9DB1CB74-5825-48E0-A6CF-22B4AAA8B2D2}"/>
    <hyperlink ref="A2" location="'Trades Binance'!A1" display="TRADES" xr:uid="{DA2CE198-840A-42EB-88F3-532D406F2AD8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C3:C5 C6:C7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721B1-5015-4F6C-BF86-5C11435762A6}">
  <dimension ref="A1:E3"/>
  <sheetViews>
    <sheetView zoomScale="400" zoomScaleNormal="400" workbookViewId="0">
      <selection activeCell="E3" sqref="E3"/>
    </sheetView>
  </sheetViews>
  <sheetFormatPr defaultColWidth="9.109375" defaultRowHeight="14.4" x14ac:dyDescent="0.3"/>
  <cols>
    <col min="1" max="1" width="9.44140625" style="5" bestFit="1" customWidth="1"/>
    <col min="2" max="2" width="7.88671875" style="3" bestFit="1" customWidth="1"/>
    <col min="3" max="3" width="13" style="10" bestFit="1" customWidth="1"/>
    <col min="4" max="4" width="13" style="9" bestFit="1" customWidth="1"/>
    <col min="5" max="5" width="14" style="9" bestFit="1" customWidth="1"/>
    <col min="6" max="16384" width="9.109375" style="5"/>
  </cols>
  <sheetData>
    <row r="1" spans="1:5" s="13" customFormat="1" ht="15.6" x14ac:dyDescent="0.3">
      <c r="A1" s="36" t="s">
        <v>74</v>
      </c>
      <c r="B1" s="11" t="s">
        <v>7</v>
      </c>
      <c r="C1" s="11" t="s">
        <v>49</v>
      </c>
      <c r="D1" s="12" t="s">
        <v>47</v>
      </c>
      <c r="E1" s="12" t="s">
        <v>48</v>
      </c>
    </row>
    <row r="2" spans="1:5" s="1" customFormat="1" x14ac:dyDescent="0.3">
      <c r="A2" s="118" t="s">
        <v>205</v>
      </c>
      <c r="B2" s="124" t="s">
        <v>50</v>
      </c>
      <c r="C2" s="125">
        <v>0</v>
      </c>
      <c r="D2" s="126">
        <v>0</v>
      </c>
      <c r="E2" s="126">
        <v>0</v>
      </c>
    </row>
    <row r="3" spans="1:5" x14ac:dyDescent="0.3">
      <c r="B3" s="3" t="s">
        <v>6</v>
      </c>
      <c r="C3" s="26">
        <v>0</v>
      </c>
      <c r="D3" s="27">
        <v>0</v>
      </c>
      <c r="E3" s="30" cm="1">
        <f t="array" ref="E3">LOOKUP(2,1/(LEN(TbTradesBSC[Estoque BTC])&gt;0),TbTradesBSC[Estoque BTC])</f>
        <v>2.0191E-4</v>
      </c>
    </row>
  </sheetData>
  <hyperlinks>
    <hyperlink ref="A1" location="Sumário!A1" display="SUMÁRIO" xr:uid="{595A4E6B-71C1-4397-90F7-F7E3AF53258D}"/>
    <hyperlink ref="A2" location="'Trades BSC'!A1" display="TRADES" xr:uid="{B3DCB8BD-F411-427B-BC1B-9435E0857BDB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E2" calculatedColumn="1"/>
  </ignoredErrors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89788-3796-4CBF-B1CB-3A76E4A68371}">
  <dimension ref="A1:E4"/>
  <sheetViews>
    <sheetView zoomScale="400" zoomScaleNormal="400" workbookViewId="0">
      <selection activeCell="C2" sqref="C2"/>
    </sheetView>
  </sheetViews>
  <sheetFormatPr defaultColWidth="9.109375" defaultRowHeight="14.4" x14ac:dyDescent="0.3"/>
  <cols>
    <col min="1" max="1" width="9.44140625" style="5" bestFit="1" customWidth="1"/>
    <col min="2" max="2" width="7.88671875" style="3" bestFit="1" customWidth="1"/>
    <col min="3" max="3" width="14" style="8" bestFit="1" customWidth="1"/>
    <col min="4" max="4" width="13" style="7" bestFit="1" customWidth="1"/>
    <col min="5" max="5" width="14" style="7" bestFit="1" customWidth="1"/>
    <col min="6" max="16384" width="9.109375" style="5"/>
  </cols>
  <sheetData>
    <row r="1" spans="1:5" s="13" customFormat="1" ht="15.6" x14ac:dyDescent="0.3">
      <c r="A1" s="36" t="s">
        <v>74</v>
      </c>
      <c r="B1" s="11" t="s">
        <v>7</v>
      </c>
      <c r="C1" s="11" t="s">
        <v>49</v>
      </c>
      <c r="D1" s="12" t="s">
        <v>47</v>
      </c>
      <c r="E1" s="12" t="s">
        <v>48</v>
      </c>
    </row>
    <row r="2" spans="1:5" s="1" customFormat="1" x14ac:dyDescent="0.3">
      <c r="A2" s="118" t="s">
        <v>205</v>
      </c>
      <c r="B2" s="124" t="s">
        <v>50</v>
      </c>
      <c r="C2" s="127" cm="1">
        <f t="array" ref="C2">LOOKUP(2,1/(LEN(TbTradesBitPreço[Estoque BRL])&gt;0),TbTradesBitPreço[Estoque BRL])</f>
        <v>0.33098172999999997</v>
      </c>
      <c r="D2" s="126">
        <v>0</v>
      </c>
      <c r="E2" s="126">
        <v>0</v>
      </c>
    </row>
    <row r="3" spans="1:5" x14ac:dyDescent="0.3">
      <c r="B3" s="3" t="s">
        <v>6</v>
      </c>
      <c r="C3" s="26">
        <v>0</v>
      </c>
      <c r="D3" s="26">
        <v>0</v>
      </c>
      <c r="E3" s="25" cm="1">
        <f t="array" ref="E3">LOOKUP(2,1/(LEN(TbTradesBitPreço[Estoque BTC])&gt;0),TbTradesBitPreço[Estoque BTC])</f>
        <v>5.1825000000000005E-4</v>
      </c>
    </row>
    <row r="4" spans="1:5" x14ac:dyDescent="0.3">
      <c r="B4" s="3" t="s">
        <v>8</v>
      </c>
      <c r="C4" s="25" cm="1">
        <f t="array" ref="C4">LOOKUP(2,1/(LEN(TbTradesBitPreço[Estoque ETH])&gt;0),TbTradesBitPreço[Estoque ETH])</f>
        <v>5.2328000000000001E-3</v>
      </c>
      <c r="D4" s="26">
        <v>0</v>
      </c>
      <c r="E4" s="26">
        <v>0</v>
      </c>
    </row>
  </sheetData>
  <hyperlinks>
    <hyperlink ref="A1" location="Sumário!A1" display="SUMÁRIO" xr:uid="{E9BE3B03-A716-4A8C-A85B-F97026056B1F}"/>
    <hyperlink ref="A2" location="'Trades BitPreço'!A1" display="TRADES" xr:uid="{119E9D6C-38BC-4D5B-91C5-5EEF8FB845B6}"/>
  </hyperlink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D1E14-F3E3-4289-A7A2-63A86DE617D4}">
  <dimension ref="A1:E4"/>
  <sheetViews>
    <sheetView zoomScale="400" zoomScaleNormal="400" workbookViewId="0">
      <selection activeCell="E2" sqref="E2"/>
    </sheetView>
  </sheetViews>
  <sheetFormatPr defaultColWidth="9.109375" defaultRowHeight="14.4" x14ac:dyDescent="0.3"/>
  <cols>
    <col min="1" max="1" width="9.44140625" style="5" bestFit="1" customWidth="1"/>
    <col min="2" max="2" width="7.88671875" style="3" bestFit="1" customWidth="1"/>
    <col min="3" max="3" width="13" style="10" bestFit="1" customWidth="1"/>
    <col min="4" max="4" width="13" style="9" bestFit="1" customWidth="1"/>
    <col min="5" max="5" width="14" style="9" bestFit="1" customWidth="1"/>
    <col min="6" max="16384" width="9.109375" style="5"/>
  </cols>
  <sheetData>
    <row r="1" spans="1:5" s="13" customFormat="1" ht="15.6" x14ac:dyDescent="0.3">
      <c r="A1" s="36" t="s">
        <v>74</v>
      </c>
      <c r="B1" s="11" t="s">
        <v>7</v>
      </c>
      <c r="C1" s="11" t="s">
        <v>49</v>
      </c>
      <c r="D1" s="12" t="s">
        <v>47</v>
      </c>
      <c r="E1" s="12" t="s">
        <v>48</v>
      </c>
    </row>
    <row r="2" spans="1:5" s="1" customFormat="1" x14ac:dyDescent="0.3">
      <c r="A2" s="118" t="s">
        <v>205</v>
      </c>
      <c r="B2" s="124" t="s">
        <v>50</v>
      </c>
      <c r="C2" s="125">
        <v>0</v>
      </c>
      <c r="D2" s="126">
        <v>0</v>
      </c>
      <c r="E2" s="128" cm="1">
        <f t="array" ref="E2">LOOKUP(2,1/(LEN(TbTradesUpHold[Estoque BRL])&gt;0),TbTradesUpHold[Estoque BRL])</f>
        <v>8.5908000000000009E-3</v>
      </c>
    </row>
    <row r="3" spans="1:5" x14ac:dyDescent="0.3">
      <c r="B3" s="3" t="s">
        <v>43</v>
      </c>
      <c r="C3" s="26">
        <v>0</v>
      </c>
      <c r="D3" s="26">
        <v>0</v>
      </c>
      <c r="E3" s="30" cm="1">
        <f t="array" ref="E3">LOOKUP(2,1/(LEN(TbTradesUpHold[Estoque ADA])&gt;0),TbTradesUpHold[Estoque ADA])</f>
        <v>0.158751</v>
      </c>
    </row>
    <row r="4" spans="1:5" x14ac:dyDescent="0.3">
      <c r="B4" s="3" t="s">
        <v>41</v>
      </c>
      <c r="C4" s="26">
        <v>0</v>
      </c>
      <c r="D4" s="27">
        <v>0</v>
      </c>
      <c r="E4" s="30" cm="1">
        <f t="array" ref="E4">LOOKUP(2,1/(LEN(TbTradesUpHold[Estoque BAT])&gt;0),TbTradesUpHold[Estoque BAT])</f>
        <v>1.19</v>
      </c>
    </row>
  </sheetData>
  <hyperlinks>
    <hyperlink ref="A1" location="Sumário!A1" display="SUMÁRIO" xr:uid="{008465D4-89B8-4DCF-87C4-C7440A6482F9}"/>
    <hyperlink ref="A2" location="'Trades UpHold'!A1" display="TRADES" xr:uid="{AEE33434-7EF6-4F0C-A7B8-DCD66243D1DE}"/>
  </hyperlink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3953D-106E-41DE-AC02-DBBF0ECFB27F}">
  <dimension ref="A1:E4"/>
  <sheetViews>
    <sheetView zoomScale="400" zoomScaleNormal="400" workbookViewId="0">
      <selection activeCell="D3" sqref="D3"/>
    </sheetView>
  </sheetViews>
  <sheetFormatPr defaultColWidth="9.109375" defaultRowHeight="14.4" x14ac:dyDescent="0.3"/>
  <cols>
    <col min="1" max="1" width="9.44140625" style="5" bestFit="1" customWidth="1"/>
    <col min="2" max="2" width="7.88671875" style="3" bestFit="1" customWidth="1"/>
    <col min="3" max="3" width="13" style="10" bestFit="1" customWidth="1"/>
    <col min="4" max="4" width="15.109375" style="9" bestFit="1" customWidth="1"/>
    <col min="5" max="5" width="13" style="9" bestFit="1" customWidth="1"/>
    <col min="6" max="16384" width="9.109375" style="5"/>
  </cols>
  <sheetData>
    <row r="1" spans="1:5" s="13" customFormat="1" ht="15.6" x14ac:dyDescent="0.3">
      <c r="A1" s="36" t="s">
        <v>74</v>
      </c>
      <c r="B1" s="11" t="s">
        <v>7</v>
      </c>
      <c r="C1" s="11" t="s">
        <v>49</v>
      </c>
      <c r="D1" s="12" t="s">
        <v>47</v>
      </c>
      <c r="E1" s="12" t="s">
        <v>48</v>
      </c>
    </row>
    <row r="2" spans="1:5" s="1" customFormat="1" x14ac:dyDescent="0.3">
      <c r="A2" s="118" t="s">
        <v>205</v>
      </c>
      <c r="B2" s="124" t="s">
        <v>50</v>
      </c>
      <c r="C2" s="125">
        <v>0</v>
      </c>
      <c r="D2" s="126">
        <v>0</v>
      </c>
      <c r="E2" s="126">
        <v>0</v>
      </c>
    </row>
    <row r="3" spans="1:5" x14ac:dyDescent="0.3">
      <c r="B3" s="3" t="s">
        <v>43</v>
      </c>
      <c r="C3" s="26">
        <v>0</v>
      </c>
      <c r="D3" s="30" cm="1">
        <f t="array" ref="D3">LOOKUP(2,1/(LEN(TbTradesExodus[Estoque ADA])&gt;0),TbTradesExodus[Estoque ADA])</f>
        <v>13.984999999999999</v>
      </c>
      <c r="E3" s="27">
        <v>0</v>
      </c>
    </row>
    <row r="4" spans="1:5" x14ac:dyDescent="0.3">
      <c r="B4" s="3" t="s">
        <v>44</v>
      </c>
      <c r="C4" s="26">
        <v>0</v>
      </c>
      <c r="D4" s="30" cm="1">
        <f t="array" ref="D4">LOOKUP(2,1/(LEN(TbTradesExodus[Estoque ATOM])&gt;0),TbTradesExodus[Estoque ATOM])</f>
        <v>0.29499999999999998</v>
      </c>
      <c r="E4" s="27">
        <v>0</v>
      </c>
    </row>
  </sheetData>
  <hyperlinks>
    <hyperlink ref="A1" location="Sumário!A1" display="SUMÁRIO" xr:uid="{32F5BBE7-5FFC-4542-87DF-D11BE9045F59}"/>
    <hyperlink ref="A2" location="'Trades Exodus'!A1" display="TRADES" xr:uid="{BE06ADD8-3375-41FC-BCCE-CEF97119DF5B}"/>
  </hyperlink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6CB5-50A1-4692-B8B1-494FA585AE64}">
  <dimension ref="A1:E11"/>
  <sheetViews>
    <sheetView zoomScale="400" zoomScaleNormal="400" workbookViewId="0">
      <selection activeCell="A2" sqref="A2"/>
    </sheetView>
  </sheetViews>
  <sheetFormatPr defaultColWidth="9.109375" defaultRowHeight="14.4" x14ac:dyDescent="0.3"/>
  <cols>
    <col min="1" max="1" width="9.44140625" style="5" bestFit="1" customWidth="1"/>
    <col min="2" max="2" width="7.88671875" style="3" bestFit="1" customWidth="1"/>
    <col min="3" max="3" width="13" style="10" bestFit="1" customWidth="1"/>
    <col min="4" max="4" width="13" style="9" bestFit="1" customWidth="1"/>
    <col min="5" max="5" width="14" style="9" bestFit="1" customWidth="1"/>
    <col min="6" max="16384" width="9.109375" style="5"/>
  </cols>
  <sheetData>
    <row r="1" spans="1:5" s="13" customFormat="1" ht="15.6" x14ac:dyDescent="0.3">
      <c r="A1" s="36" t="s">
        <v>74</v>
      </c>
      <c r="B1" s="11" t="s">
        <v>7</v>
      </c>
      <c r="C1" s="11" t="s">
        <v>49</v>
      </c>
      <c r="D1" s="12" t="s">
        <v>47</v>
      </c>
      <c r="E1" s="12" t="s">
        <v>48</v>
      </c>
    </row>
    <row r="2" spans="1:5" s="1" customFormat="1" x14ac:dyDescent="0.3">
      <c r="A2" s="118" t="s">
        <v>205</v>
      </c>
      <c r="B2" s="124" t="s">
        <v>50</v>
      </c>
      <c r="C2" s="125">
        <v>0</v>
      </c>
      <c r="D2" s="126">
        <v>0</v>
      </c>
      <c r="E2" s="128" cm="1">
        <f t="array" ref="E2">LOOKUP(2,1/(LEN(TbTradesNovaDAX[Estoque BRL])&gt;0),TbTradesNovaDAX[Estoque BRL])</f>
        <v>9.68223E-3</v>
      </c>
    </row>
    <row r="3" spans="1:5" x14ac:dyDescent="0.3">
      <c r="B3" s="3" t="s">
        <v>42</v>
      </c>
      <c r="C3" s="26">
        <v>0</v>
      </c>
      <c r="D3" s="26">
        <v>0</v>
      </c>
      <c r="E3" s="25" cm="1">
        <f t="array" ref="E3">LOOKUP(2,1/(LEN(TbTradesNovaDAX[Estoque USDT])&gt;0),TbTradesNovaDAX[Estoque USDT])</f>
        <v>3.8949999999999999E-2</v>
      </c>
    </row>
    <row r="4" spans="1:5" x14ac:dyDescent="0.3">
      <c r="B4" s="3" t="s">
        <v>6</v>
      </c>
      <c r="C4" s="26">
        <v>0</v>
      </c>
      <c r="D4" s="26">
        <v>0</v>
      </c>
      <c r="E4" s="25" cm="1">
        <f t="array" ref="E4">LOOKUP(2,1/(LEN(TbTradesNovaDAX[Estoque BTC])&gt;0),TbTradesNovaDAX[Estoque BTC])</f>
        <v>1.3E-7</v>
      </c>
    </row>
    <row r="5" spans="1:5" x14ac:dyDescent="0.3">
      <c r="B5" s="3" t="s">
        <v>9</v>
      </c>
      <c r="C5" s="26">
        <v>0</v>
      </c>
      <c r="D5" s="27">
        <v>0</v>
      </c>
      <c r="E5" s="25" cm="1">
        <f t="array" ref="E5">LOOKUP(2,1/(LEN(TbTradesNovaDAX[Estoque DOT])&gt;0),TbTradesNovaDAX[Estoque DOT])</f>
        <v>5.5000000000000002E-5</v>
      </c>
    </row>
    <row r="6" spans="1:5" x14ac:dyDescent="0.3">
      <c r="B6" s="3" t="s">
        <v>52</v>
      </c>
      <c r="C6" s="26">
        <v>0</v>
      </c>
      <c r="D6" s="27">
        <v>0</v>
      </c>
      <c r="E6" s="30" cm="1">
        <f t="array" ref="E6">LOOKUP(2,1/(LEN(TbTradesNovaDAX[Estoque ETC])&gt;0),TbTradesNovaDAX[Estoque ETC])</f>
        <v>1.649E-5</v>
      </c>
    </row>
    <row r="7" spans="1:5" x14ac:dyDescent="0.3">
      <c r="B7" s="3" t="s">
        <v>53</v>
      </c>
      <c r="C7" s="26">
        <v>0</v>
      </c>
      <c r="D7" s="27">
        <v>0</v>
      </c>
      <c r="E7" s="30" cm="1">
        <f t="array" ref="E7">LOOKUP(2,1/(LEN(TbTradesNovaDAX[Estoque IOTA])&gt;0),TbTradesNovaDAX[Estoque IOTA])</f>
        <v>7.6990000000000007E-5</v>
      </c>
    </row>
    <row r="8" spans="1:5" x14ac:dyDescent="0.3">
      <c r="B8" s="3" t="s">
        <v>38</v>
      </c>
      <c r="C8" s="26">
        <v>0</v>
      </c>
      <c r="D8" s="27">
        <v>0</v>
      </c>
      <c r="E8" s="25" cm="1">
        <f t="array" ref="E8">LOOKUP(2,1/(LEN(TbTradesNovaDAX[Estoque LINK])&gt;0),TbTradesNovaDAX[Estoque LINK])</f>
        <v>9.8900000000000008E-4</v>
      </c>
    </row>
    <row r="9" spans="1:5" x14ac:dyDescent="0.3">
      <c r="B9" s="3" t="s">
        <v>177</v>
      </c>
      <c r="C9" s="26">
        <v>0</v>
      </c>
      <c r="D9" s="27">
        <v>0</v>
      </c>
      <c r="E9" s="30" cm="1">
        <f t="array" ref="E9">LOOKUP(2,1/(LEN(TbTradesNovaDAX[Estoque DCR])&gt;0),TbTradesNovaDAX[Estoque DCR])</f>
        <v>1.15E-5</v>
      </c>
    </row>
    <row r="10" spans="1:5" x14ac:dyDescent="0.3">
      <c r="B10" s="3" t="s">
        <v>8</v>
      </c>
      <c r="C10" s="26">
        <v>0</v>
      </c>
      <c r="D10" s="27">
        <v>0</v>
      </c>
      <c r="E10" s="30" cm="1">
        <f t="array" ref="E10">LOOKUP(2,1/(LEN(TbTradesNovaDAX[Estoque ETH])&gt;0),TbTradesNovaDAX[Estoque ETH])</f>
        <v>0</v>
      </c>
    </row>
    <row r="11" spans="1:5" x14ac:dyDescent="0.3">
      <c r="B11" s="3" t="s">
        <v>161</v>
      </c>
      <c r="C11" s="26">
        <v>0</v>
      </c>
      <c r="D11" s="27">
        <v>0</v>
      </c>
      <c r="E11" s="30" cm="1">
        <f t="array" ref="E11">LOOKUP(2,1/(LEN(TbTradesNovaDAX[Estoque BCH])&gt;0),TbTradesNovaDAX[Estoque BCH])</f>
        <v>0</v>
      </c>
    </row>
  </sheetData>
  <sortState xmlns:xlrd2="http://schemas.microsoft.com/office/spreadsheetml/2017/richdata2" ref="B5:E8">
    <sortCondition ref="B5:B8"/>
  </sortState>
  <hyperlinks>
    <hyperlink ref="A1" location="Sumário!A1" display="SUMÁRIO" xr:uid="{12C9224F-03C8-4D61-9545-C1BA57AA7846}"/>
    <hyperlink ref="A2" location="'Trades NovaDAX'!A1" display="TRADES" xr:uid="{D1B3020B-968F-4CB5-9CBC-307442D34666}"/>
  </hyperlink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BC598-CEC8-41C3-96DA-7906A9E88678}">
  <dimension ref="A1:E3"/>
  <sheetViews>
    <sheetView zoomScale="400" zoomScaleNormal="400" workbookViewId="0"/>
  </sheetViews>
  <sheetFormatPr defaultColWidth="9.109375" defaultRowHeight="14.4" x14ac:dyDescent="0.3"/>
  <cols>
    <col min="1" max="1" width="9.44140625" style="5" bestFit="1" customWidth="1"/>
    <col min="2" max="2" width="7.88671875" style="1" bestFit="1" customWidth="1"/>
    <col min="3" max="3" width="13" style="23" bestFit="1" customWidth="1"/>
    <col min="4" max="4" width="13" style="24" bestFit="1" customWidth="1"/>
    <col min="5" max="5" width="14" style="24" bestFit="1" customWidth="1"/>
    <col min="6" max="16384" width="9.109375" style="5"/>
  </cols>
  <sheetData>
    <row r="1" spans="1:5" s="13" customFormat="1" ht="15.6" x14ac:dyDescent="0.3">
      <c r="A1" s="36" t="s">
        <v>74</v>
      </c>
      <c r="B1" s="11" t="s">
        <v>7</v>
      </c>
      <c r="C1" s="11" t="s">
        <v>49</v>
      </c>
      <c r="D1" s="12" t="s">
        <v>47</v>
      </c>
      <c r="E1" s="12" t="s">
        <v>48</v>
      </c>
    </row>
    <row r="2" spans="1:5" s="1" customFormat="1" x14ac:dyDescent="0.3">
      <c r="A2" s="118" t="s">
        <v>205</v>
      </c>
      <c r="B2" s="129" t="s">
        <v>50</v>
      </c>
      <c r="C2" s="130">
        <v>0</v>
      </c>
      <c r="D2" s="131">
        <v>0</v>
      </c>
      <c r="E2" s="131">
        <v>0</v>
      </c>
    </row>
    <row r="3" spans="1:5" x14ac:dyDescent="0.3">
      <c r="B3" s="3" t="s">
        <v>6</v>
      </c>
      <c r="C3" s="26">
        <v>0</v>
      </c>
      <c r="D3" s="27">
        <v>0</v>
      </c>
      <c r="E3" s="25" cm="1">
        <f t="array" ref="E3">LOOKUP(2,1/(LEN(TbTradesAlter[Estoque BTC])&gt;0),TbTradesAlter[Estoque BTC])</f>
        <v>1.8419599999999999E-3</v>
      </c>
    </row>
  </sheetData>
  <hyperlinks>
    <hyperlink ref="A1" location="Sumário!A1" display="SUMÁRIO" xr:uid="{6E8FF586-E0F9-403E-9945-1B5ED3FACDEC}"/>
    <hyperlink ref="A2" location="'Trades Alter'!A1" display="TRADES" xr:uid="{66494EE8-CBE1-412E-BD3C-24C39177AA9F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E2" calculatedColumn="1"/>
  </ignoredErrors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342F-417C-4368-A23F-578E45E573CE}">
  <dimension ref="A1:BO234"/>
  <sheetViews>
    <sheetView topLeftCell="A208" zoomScale="115" zoomScaleNormal="115" workbookViewId="0">
      <selection activeCell="H136" sqref="H136"/>
    </sheetView>
  </sheetViews>
  <sheetFormatPr defaultColWidth="9.109375" defaultRowHeight="15" x14ac:dyDescent="0.3"/>
  <cols>
    <col min="1" max="1" width="17.6640625" style="143" bestFit="1" customWidth="1"/>
    <col min="2" max="2" width="15.88671875" style="143" bestFit="1" customWidth="1"/>
    <col min="3" max="3" width="14" style="155" bestFit="1" customWidth="1"/>
    <col min="4" max="4" width="17.33203125" style="156" bestFit="1" customWidth="1"/>
    <col min="5" max="5" width="8.109375" style="156" bestFit="1" customWidth="1"/>
    <col min="6" max="6" width="8.6640625" style="156" bestFit="1" customWidth="1"/>
    <col min="7" max="7" width="13.5546875" style="156" bestFit="1" customWidth="1"/>
    <col min="8" max="8" width="15.6640625" style="156" bestFit="1" customWidth="1"/>
    <col min="9" max="9" width="9.33203125" style="156" bestFit="1" customWidth="1"/>
    <col min="10" max="10" width="16.44140625" style="156" bestFit="1" customWidth="1"/>
    <col min="11" max="11" width="15" style="143" bestFit="1" customWidth="1"/>
    <col min="12" max="12" width="16" style="143" bestFit="1" customWidth="1"/>
    <col min="13" max="13" width="12.44140625" style="143" bestFit="1" customWidth="1"/>
    <col min="14" max="14" width="15.6640625" style="145" bestFit="1" customWidth="1"/>
    <col min="15" max="15" width="16.33203125" style="145" bestFit="1" customWidth="1"/>
    <col min="16" max="16" width="19.109375" style="145" bestFit="1" customWidth="1"/>
    <col min="17" max="17" width="16.88671875" style="146" bestFit="1" customWidth="1"/>
    <col min="18" max="18" width="17.6640625" style="145" bestFit="1" customWidth="1"/>
    <col min="19" max="19" width="20.44140625" style="145" bestFit="1" customWidth="1"/>
    <col min="20" max="20" width="15.5546875" style="147" bestFit="1" customWidth="1"/>
    <col min="21" max="21" width="16.33203125" style="145" bestFit="1" customWidth="1"/>
    <col min="22" max="22" width="19.109375" style="145" bestFit="1" customWidth="1"/>
    <col min="23" max="23" width="15.88671875" style="148" bestFit="1" customWidth="1"/>
    <col min="24" max="24" width="16.5546875" style="145" bestFit="1" customWidth="1"/>
    <col min="25" max="25" width="19.44140625" style="145" bestFit="1" customWidth="1"/>
    <col min="26" max="26" width="15.5546875" style="148" bestFit="1" customWidth="1"/>
    <col min="27" max="27" width="16.33203125" style="145" bestFit="1" customWidth="1"/>
    <col min="28" max="28" width="19.109375" style="145" bestFit="1" customWidth="1"/>
    <col min="29" max="29" width="16.5546875" style="148" bestFit="1" customWidth="1"/>
    <col min="30" max="30" width="17.33203125" style="145" bestFit="1" customWidth="1"/>
    <col min="31" max="31" width="20.109375" style="145" bestFit="1" customWidth="1"/>
    <col min="32" max="32" width="15.88671875" style="148" bestFit="1" customWidth="1"/>
    <col min="33" max="33" width="16.5546875" style="145" bestFit="1" customWidth="1"/>
    <col min="34" max="34" width="19.44140625" style="145" bestFit="1" customWidth="1"/>
    <col min="35" max="35" width="17" style="148" bestFit="1" customWidth="1"/>
    <col min="36" max="36" width="17.88671875" style="145" bestFit="1" customWidth="1"/>
    <col min="37" max="37" width="20.5546875" style="145" bestFit="1" customWidth="1"/>
    <col min="38" max="38" width="16.88671875" style="148" bestFit="1" customWidth="1"/>
    <col min="39" max="39" width="17.6640625" style="145" bestFit="1" customWidth="1"/>
    <col min="40" max="40" width="20.44140625" style="145" bestFit="1" customWidth="1"/>
    <col min="41" max="41" width="15.88671875" style="148" bestFit="1" customWidth="1"/>
    <col min="42" max="42" width="16.5546875" style="145" bestFit="1" customWidth="1"/>
    <col min="43" max="43" width="19.44140625" style="145" bestFit="1" customWidth="1"/>
    <col min="44" max="44" width="15.6640625" style="148" bestFit="1" customWidth="1"/>
    <col min="45" max="45" width="16.44140625" style="145" bestFit="1" customWidth="1"/>
    <col min="46" max="46" width="19.33203125" style="145" bestFit="1" customWidth="1"/>
    <col min="47" max="47" width="15.88671875" style="148" bestFit="1" customWidth="1"/>
    <col min="48" max="48" width="16.5546875" style="145" bestFit="1" customWidth="1"/>
    <col min="49" max="49" width="19.44140625" style="145" bestFit="1" customWidth="1"/>
    <col min="50" max="50" width="15.88671875" style="148" bestFit="1" customWidth="1"/>
    <col min="51" max="51" width="16.5546875" style="145" bestFit="1" customWidth="1"/>
    <col min="52" max="52" width="19.44140625" style="145" bestFit="1" customWidth="1"/>
    <col min="53" max="53" width="15.5546875" style="148" bestFit="1" customWidth="1"/>
    <col min="54" max="54" width="16.33203125" style="145" bestFit="1" customWidth="1"/>
    <col min="55" max="55" width="19.109375" style="145" bestFit="1" customWidth="1"/>
    <col min="56" max="56" width="16" style="148" bestFit="1" customWidth="1"/>
    <col min="57" max="57" width="16.6640625" style="145" bestFit="1" customWidth="1"/>
    <col min="58" max="58" width="19.5546875" style="145" bestFit="1" customWidth="1"/>
    <col min="59" max="59" width="15.5546875" style="148" bestFit="1" customWidth="1"/>
    <col min="60" max="60" width="16.33203125" style="145" bestFit="1" customWidth="1"/>
    <col min="61" max="61" width="19.109375" style="145" bestFit="1" customWidth="1"/>
    <col min="62" max="62" width="16.6640625" style="148" bestFit="1" customWidth="1"/>
    <col min="63" max="63" width="17.44140625" style="145" bestFit="1" customWidth="1"/>
    <col min="64" max="64" width="20.33203125" style="145" bestFit="1" customWidth="1"/>
    <col min="65" max="65" width="15.6640625" style="148" bestFit="1" customWidth="1"/>
    <col min="66" max="66" width="16.44140625" style="145" bestFit="1" customWidth="1"/>
    <col min="67" max="67" width="19.33203125" style="145" bestFit="1" customWidth="1"/>
    <col min="68" max="16384" width="9.109375" style="143"/>
  </cols>
  <sheetData>
    <row r="1" spans="1:67" s="141" customFormat="1" x14ac:dyDescent="0.3">
      <c r="A1" s="140" t="s">
        <v>74</v>
      </c>
      <c r="B1" s="62" t="s">
        <v>98</v>
      </c>
      <c r="C1" s="149" t="s">
        <v>99</v>
      </c>
      <c r="D1" s="53" t="s">
        <v>100</v>
      </c>
      <c r="E1" s="37" t="s">
        <v>101</v>
      </c>
      <c r="F1" s="37" t="s">
        <v>102</v>
      </c>
      <c r="G1" s="37" t="s">
        <v>103</v>
      </c>
      <c r="H1" s="38" t="s">
        <v>104</v>
      </c>
      <c r="I1" s="38" t="s">
        <v>105</v>
      </c>
      <c r="J1" s="37" t="s">
        <v>106</v>
      </c>
      <c r="K1" s="39" t="s">
        <v>107</v>
      </c>
      <c r="L1" s="40" t="s">
        <v>108</v>
      </c>
      <c r="M1" s="40" t="s">
        <v>109</v>
      </c>
      <c r="N1" s="41" t="s">
        <v>110</v>
      </c>
      <c r="O1" s="41" t="s">
        <v>111</v>
      </c>
      <c r="P1" s="41" t="s">
        <v>112</v>
      </c>
      <c r="Q1" s="138" t="s">
        <v>113</v>
      </c>
      <c r="R1" s="41" t="s">
        <v>114</v>
      </c>
      <c r="S1" s="41" t="s">
        <v>115</v>
      </c>
      <c r="T1" s="139" t="s">
        <v>206</v>
      </c>
      <c r="U1" s="41" t="s">
        <v>207</v>
      </c>
      <c r="V1" s="41" t="s">
        <v>208</v>
      </c>
      <c r="W1" s="43" t="s">
        <v>116</v>
      </c>
      <c r="X1" s="41" t="s">
        <v>117</v>
      </c>
      <c r="Y1" s="41" t="s">
        <v>118</v>
      </c>
      <c r="Z1" s="43" t="s">
        <v>128</v>
      </c>
      <c r="AA1" s="41" t="s">
        <v>129</v>
      </c>
      <c r="AB1" s="41" t="s">
        <v>130</v>
      </c>
      <c r="AC1" s="43" t="s">
        <v>209</v>
      </c>
      <c r="AD1" s="41" t="s">
        <v>210</v>
      </c>
      <c r="AE1" s="41" t="s">
        <v>211</v>
      </c>
      <c r="AF1" s="43" t="s">
        <v>119</v>
      </c>
      <c r="AG1" s="41" t="s">
        <v>120</v>
      </c>
      <c r="AH1" s="41" t="s">
        <v>121</v>
      </c>
      <c r="AI1" s="43" t="s">
        <v>122</v>
      </c>
      <c r="AJ1" s="41" t="s">
        <v>123</v>
      </c>
      <c r="AK1" s="41" t="s">
        <v>124</v>
      </c>
      <c r="AL1" s="43" t="s">
        <v>212</v>
      </c>
      <c r="AM1" s="41" t="s">
        <v>213</v>
      </c>
      <c r="AN1" s="41" t="s">
        <v>214</v>
      </c>
      <c r="AO1" s="43" t="s">
        <v>215</v>
      </c>
      <c r="AP1" s="41" t="s">
        <v>216</v>
      </c>
      <c r="AQ1" s="41" t="s">
        <v>217</v>
      </c>
      <c r="AR1" s="43" t="s">
        <v>218</v>
      </c>
      <c r="AS1" s="41" t="s">
        <v>219</v>
      </c>
      <c r="AT1" s="41" t="s">
        <v>220</v>
      </c>
      <c r="AU1" s="43" t="s">
        <v>125</v>
      </c>
      <c r="AV1" s="41" t="s">
        <v>126</v>
      </c>
      <c r="AW1" s="41" t="s">
        <v>127</v>
      </c>
      <c r="AX1" s="43" t="s">
        <v>131</v>
      </c>
      <c r="AY1" s="41" t="s">
        <v>132</v>
      </c>
      <c r="AZ1" s="41" t="s">
        <v>133</v>
      </c>
      <c r="BA1" s="43" t="s">
        <v>221</v>
      </c>
      <c r="BB1" s="41" t="s">
        <v>222</v>
      </c>
      <c r="BC1" s="41" t="s">
        <v>223</v>
      </c>
      <c r="BD1" s="43" t="s">
        <v>224</v>
      </c>
      <c r="BE1" s="41" t="s">
        <v>225</v>
      </c>
      <c r="BF1" s="41" t="s">
        <v>226</v>
      </c>
      <c r="BG1" s="43" t="s">
        <v>227</v>
      </c>
      <c r="BH1" s="41" t="s">
        <v>228</v>
      </c>
      <c r="BI1" s="41" t="s">
        <v>229</v>
      </c>
      <c r="BJ1" s="43" t="s">
        <v>230</v>
      </c>
      <c r="BK1" s="41" t="s">
        <v>231</v>
      </c>
      <c r="BL1" s="41" t="s">
        <v>232</v>
      </c>
      <c r="BM1" s="43" t="s">
        <v>233</v>
      </c>
      <c r="BN1" s="41" t="s">
        <v>234</v>
      </c>
      <c r="BO1" s="41" t="s">
        <v>235</v>
      </c>
    </row>
    <row r="2" spans="1:67" x14ac:dyDescent="0.3">
      <c r="A2" s="142" t="s">
        <v>90</v>
      </c>
      <c r="B2" s="45" t="s">
        <v>134</v>
      </c>
      <c r="C2" s="40">
        <f>TRUNC(IF(AND(TbTradesBinance[[#This Row],[Tipo]]="SEND",TbTradesBinance[[#This Row],[Par]]="BRL"),TbTradesBinance[[#This Row],[Qtt]]*(1-#REF!)-IF(TbTradesBinance[[#This Row],[Moeda da Taxa]]="BRL",TbTradesBinance[[#This Row],[Taxa]],0),0)+IF(AND(TbTradesBinance[[#This Row],[Tipo]]="BURN",TbTradesBinance[[#This Row],[Par]]="BRL"),-TbTradesBinance[[#This Row],[Qtt]]*#REF!,0),2)</f>
        <v>0</v>
      </c>
      <c r="D2" s="53"/>
      <c r="E2" s="47"/>
      <c r="F2" s="47" t="s">
        <v>135</v>
      </c>
      <c r="G2" s="48">
        <v>0</v>
      </c>
      <c r="H2" s="48">
        <v>0</v>
      </c>
      <c r="I2" s="48">
        <v>0</v>
      </c>
      <c r="J2" s="47"/>
      <c r="K2" s="49">
        <v>0</v>
      </c>
      <c r="L2" s="40">
        <f t="shared" ref="L2:L65" si="0">TRUNC(K2*G2,2)</f>
        <v>0</v>
      </c>
      <c r="M2" s="40">
        <f>IF(OR(TbTradesBinance[[#This Row],[Tipo]]="BUY",TbTradesBinance[[#This Row],[Tipo]]="RECEIVE",TbTradesBinance[[#This Row],[Tipo]]="DROP"),L2*H2,-L2*H2)</f>
        <v>0</v>
      </c>
      <c r="N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Row],[Tipo]]="DROP"),N1+TbTradesBinance[[#This Row],[Qtt]],N1-TbTradesBinance[[#This Row],[Qtt]]),IF(TbTradesBinance[[#This Row],[Tipo]]="BUY",N1-TbTradesBinance[[#This Row],[Qtt]]*TbTradesBinance[[#This Row],[Preço]],N1+TbTradesBinance[[#This Row],[Qtt]]*TbTradesBinance[[#This Row],[Preço]])),N1)-IF(TbTradesBinance[[#This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Row],[Tipo]]="DROP"),N1+TbTradesBinance[[#This Row],[Qtt]],N1-TbTradesBinance[[#This Row],[Qtt]]),IF(TbTradesBinance[[#This Row],[Tipo]]="BUY",N1-TbTradesBinance[[#This Row],[Qtt]]*TbTradesBinance[[#This Row],[Preço]],N1+TbTradesBinance[[#This Row],[Qtt]]*TbTradesBinance[[#This Row],[Preço]])),N1)-IF(TbTradesBinance[[#This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Row],[Tipo]]="DROP"),N1+TbTradesBinance[[#This Row],[Qtt]],N1-TbTradesBinance[[#This Row],[Qtt]]),IF(TbTradesBinance[[#This Row],[Tipo]]="BUY",N1-TbTradesBinance[[#This Row],[Qtt]]*TbTradesBinance[[#This Row],[Preço]],N1+TbTradesBinance[[#This Row],[Qtt]]*TbTradesBinance[[#This Row],[Preço]])),N1)-IF(TbTradesBinance[[#This Row],[Moeda da Taxa]]=MID(N$1,9,5),TbTradesBinance[[#This Row],[Taxa]],0),8)))</f>
        <v>0</v>
      </c>
      <c r="O2" s="145" cm="1">
        <f t="array" ref="O2">IF(TbTradesBinance[[#This Row],[Tipo]]="EMPTY",0,O1+IF(TbTradesBinance[[#This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Row],[Par]]))),$1:$1,0)),-(N1-N2)/N1*O1),0),0)+IF(TbTradesBinance[[#This Row],[Tipo]]="SELL",IF(ISNUMBER(FIND(MID(O$1,10,5),TbTradesBinance[[#This Row],[Par]])),IF(FIND(MID(O$1,10,5),TbTradesBinance[[#This Row],[Par]])=1, -(N1-N2)/N1*O1,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Row],[Par]])),(-(N1-N2)/N1*O1)+IF(TbTradesBinance[[#This Row],[Resultado]]&gt;0,0,TbTradesBinance[[#This Row],[Taxa]]),0),0))</f>
        <v>0</v>
      </c>
      <c r="P2" s="145">
        <f t="shared" ref="P2:P65" si="1">IF(N2=0,0,O2/N2)</f>
        <v>0</v>
      </c>
      <c r="Q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Row],[Tipo]]="DROP"),Q1+TbTradesBinance[[#This Row],[Qtt]],Q1-TbTradesBinance[[#This Row],[Qtt]]),IF(TbTradesBinance[[#This Row],[Tipo]]="BUY",Q1-TbTradesBinance[[#This Row],[Qtt]]*TbTradesBinance[[#This Row],[Preço]],Q1+TbTradesBinance[[#This Row],[Qtt]]*TbTradesBinance[[#This Row],[Preço]])),Q1)-IF(TbTradesBinance[[#This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Row],[Tipo]]="DROP"),Q1+TbTradesBinance[[#This Row],[Qtt]],Q1-TbTradesBinance[[#This Row],[Qtt]]),IF(TbTradesBinance[[#This Row],[Tipo]]="BUY",Q1-TbTradesBinance[[#This Row],[Qtt]]*TbTradesBinance[[#This Row],[Preço]],Q1+TbTradesBinance[[#This Row],[Qtt]]*TbTradesBinance[[#This Row],[Preço]])),Q1)-IF(TbTradesBinance[[#This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Row],[Tipo]]="DROP"),Q1+TbTradesBinance[[#This Row],[Qtt]],Q1-TbTradesBinance[[#This Row],[Qtt]]),IF(TbTradesBinance[[#This Row],[Tipo]]="BUY",Q1-TbTradesBinance[[#This Row],[Qtt]]*TbTradesBinance[[#This Row],[Preço]],Q1+TbTradesBinance[[#This Row],[Qtt]]*TbTradesBinance[[#This Row],[Preço]])),Q1)-IF(TbTradesBinance[[#This Row],[Moeda da Taxa]]=MID(Q$1,9,5),TbTradesBinance[[#This Row],[Taxa]],0),8)))</f>
        <v>0</v>
      </c>
      <c r="R2" s="145" cm="1">
        <f t="array" ref="R2">IF(TbTradesBinance[[#This Row],[Tipo]]="EMPTY",0,R1+IF(TbTradesBinance[[#This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Row],[Par]]))),$1:$1,0)),-(Q1-Q2)/Q1*R1),0),0)+IF(TbTradesBinance[[#This Row],[Tipo]]="SELL",IF(ISNUMBER(FIND(MID(R$1,10,5),TbTradesBinance[[#This Row],[Par]])),IF(FIND(MID(R$1,10,5),TbTradesBinance[[#This Row],[Par]])=1, -(Q1-Q2)/Q1*R1,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Row],[Par]])),(-(Q1-Q2)/Q1*R1)+IF(TbTradesBinance[[#This Row],[Resultado]]&gt;0,0,TbTradesBinance[[#This Row],[Taxa]]),0),0))</f>
        <v>0</v>
      </c>
      <c r="S2" s="145">
        <f t="shared" ref="S2:S65" si="2">IF(Q2=0,0,R2/Q2)</f>
        <v>0</v>
      </c>
      <c r="T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Row],[Tipo]]="DROP"),T1+TbTradesBinance[[#This Row],[Qtt]],T1-TbTradesBinance[[#This Row],[Qtt]]),IF(TbTradesBinance[[#This Row],[Tipo]]="BUY",T1-TbTradesBinance[[#This Row],[Qtt]]*TbTradesBinance[[#This Row],[Preço]],T1+TbTradesBinance[[#This Row],[Qtt]]*TbTradesBinance[[#This Row],[Preço]])),T1)-IF(TbTradesBinance[[#This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Row],[Tipo]]="DROP"),T1+TbTradesBinance[[#This Row],[Qtt]],T1-TbTradesBinance[[#This Row],[Qtt]]),IF(TbTradesBinance[[#This Row],[Tipo]]="BUY",T1-TbTradesBinance[[#This Row],[Qtt]]*TbTradesBinance[[#This Row],[Preço]],T1+TbTradesBinance[[#This Row],[Qtt]]*TbTradesBinance[[#This Row],[Preço]])),T1)-IF(TbTradesBinance[[#This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Row],[Tipo]]="DROP"),T1+TbTradesBinance[[#This Row],[Qtt]],T1-TbTradesBinance[[#This Row],[Qtt]]),IF(TbTradesBinance[[#This Row],[Tipo]]="BUY",T1-TbTradesBinance[[#This Row],[Qtt]]*TbTradesBinance[[#This Row],[Preço]],T1+TbTradesBinance[[#This Row],[Qtt]]*TbTradesBinance[[#This Row],[Preço]])),T1)-IF(TbTradesBinance[[#This Row],[Moeda da Taxa]]=MID(T$1,9,5),TbTradesBinance[[#This Row],[Taxa]],0),8)))</f>
        <v>0</v>
      </c>
      <c r="U2" s="145" cm="1">
        <f t="array" ref="U2">IF(TbTradesBinance[[#This Row],[Tipo]]="EMPTY",0,U1+IF(TbTradesBinance[[#This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Row],[Par]]))),$1:$1,0)),-(T1-T2)/T1*U1),0),0)+IF(TbTradesBinance[[#This Row],[Tipo]]="SELL",IF(ISNUMBER(FIND(MID(U$1,10,5),TbTradesBinance[[#This Row],[Par]])),IF(FIND(MID(U$1,10,5),TbTradesBinance[[#This Row],[Par]])=1, -(T1-T2)/T1*U1,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Row],[Par]])),(-(T1-T2)/T1*U1)+IF(TbTradesBinance[[#This Row],[Resultado]]&gt;0,0,TbTradesBinance[[#This Row],[Taxa]]),0),0))</f>
        <v>0</v>
      </c>
      <c r="V2" s="145">
        <f t="shared" ref="V2:V65" si="3">IF(T2=0,0,U2/T2)</f>
        <v>0</v>
      </c>
      <c r="W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Row],[Tipo]]="DROP"),W1+TbTradesBinance[[#This Row],[Qtt]],W1-TbTradesBinance[[#This Row],[Qtt]]),IF(TbTradesBinance[[#This Row],[Tipo]]="BUY",W1-TbTradesBinance[[#This Row],[Qtt]]*TbTradesBinance[[#This Row],[Preço]],W1+TbTradesBinance[[#This Row],[Qtt]]*TbTradesBinance[[#This Row],[Preço]])),W1)-IF(TbTradesBinance[[#This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Row],[Tipo]]="DROP"),W1+TbTradesBinance[[#This Row],[Qtt]],W1-TbTradesBinance[[#This Row],[Qtt]]),IF(TbTradesBinance[[#This Row],[Tipo]]="BUY",W1-TbTradesBinance[[#This Row],[Qtt]]*TbTradesBinance[[#This Row],[Preço]],W1+TbTradesBinance[[#This Row],[Qtt]]*TbTradesBinance[[#This Row],[Preço]])),W1)-IF(TbTradesBinance[[#This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Row],[Tipo]]="DROP"),W1+TbTradesBinance[[#This Row],[Qtt]],W1-TbTradesBinance[[#This Row],[Qtt]]),IF(TbTradesBinance[[#This Row],[Tipo]]="BUY",W1-TbTradesBinance[[#This Row],[Qtt]]*TbTradesBinance[[#This Row],[Preço]],W1+TbTradesBinance[[#This Row],[Qtt]]*TbTradesBinance[[#This Row],[Preço]])),W1)-IF(TbTradesBinance[[#This Row],[Moeda da Taxa]]=MID(W$1,9,5),TbTradesBinance[[#This Row],[Taxa]],0),8)))</f>
        <v>0</v>
      </c>
      <c r="X2" s="145" cm="1">
        <f t="array" ref="X2">IF(TbTradesBinance[[#This Row],[Tipo]]="EMPTY",0,X1+IF(TbTradesBinance[[#This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Row],[Par]]))),$1:$1,0)),-(W1-W2)/W1*X1),0),0)+IF(TbTradesBinance[[#This Row],[Tipo]]="SELL",IF(ISNUMBER(FIND(MID(X$1,10,5),TbTradesBinance[[#This Row],[Par]])),IF(FIND(MID(X$1,10,5),TbTradesBinance[[#This Row],[Par]])=1, -(W1-W2)/W1*X1,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Row],[Par]])),(-(W1-W2)/W1*X1)+IF(TbTradesBinance[[#This Row],[Resultado]]&gt;0,0,TbTradesBinance[[#This Row],[Taxa]]),0),0))</f>
        <v>0</v>
      </c>
      <c r="Y2" s="145">
        <f t="shared" ref="Y2:Y65" si="4">IF(W2=0,0,X2/W2)</f>
        <v>0</v>
      </c>
      <c r="Z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Row],[Tipo]]="DROP"),Z1+TbTradesBinance[[#This Row],[Qtt]],Z1-TbTradesBinance[[#This Row],[Qtt]]),IF(TbTradesBinance[[#This Row],[Tipo]]="BUY",Z1-TbTradesBinance[[#This Row],[Qtt]]*TbTradesBinance[[#This Row],[Preço]],Z1+TbTradesBinance[[#This Row],[Qtt]]*TbTradesBinance[[#This Row],[Preço]])),Z1)-IF(TbTradesBinance[[#This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Row],[Tipo]]="DROP"),Z1+TbTradesBinance[[#This Row],[Qtt]],Z1-TbTradesBinance[[#This Row],[Qtt]]),IF(TbTradesBinance[[#This Row],[Tipo]]="BUY",Z1-TbTradesBinance[[#This Row],[Qtt]]*TbTradesBinance[[#This Row],[Preço]],Z1+TbTradesBinance[[#This Row],[Qtt]]*TbTradesBinance[[#This Row],[Preço]])),Z1)-IF(TbTradesBinance[[#This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Row],[Tipo]]="DROP"),Z1+TbTradesBinance[[#This Row],[Qtt]],Z1-TbTradesBinance[[#This Row],[Qtt]]),IF(TbTradesBinance[[#This Row],[Tipo]]="BUY",Z1-TbTradesBinance[[#This Row],[Qtt]]*TbTradesBinance[[#This Row],[Preço]],Z1+TbTradesBinance[[#This Row],[Qtt]]*TbTradesBinance[[#This Row],[Preço]])),Z1)-IF(TbTradesBinance[[#This Row],[Moeda da Taxa]]=MID(Z$1,9,5),TbTradesBinance[[#This Row],[Taxa]],0),8)))</f>
        <v>0</v>
      </c>
      <c r="AA2" s="145" cm="1">
        <f t="array" ref="AA2">IF(TbTradesBinance[[#This Row],[Tipo]]="EMPTY",0,AA1+IF(TbTradesBinance[[#This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Row],[Par]]))),$1:$1,0)),-(Z1-Z2)/Z1*AA1),0),0)+IF(TbTradesBinance[[#This Row],[Tipo]]="SELL",IF(ISNUMBER(FIND(MID(AA$1,10,5),TbTradesBinance[[#This Row],[Par]])),IF(FIND(MID(AA$1,10,5),TbTradesBinance[[#This Row],[Par]])=1, -(Z1-Z2)/Z1*AA1,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Row],[Par]])),(-(Z1-Z2)/Z1*AA1)+IF(TbTradesBinance[[#This Row],[Resultado]]&gt;0,0,TbTradesBinance[[#This Row],[Taxa]]),0),0))</f>
        <v>0</v>
      </c>
      <c r="AB2" s="145">
        <f t="shared" ref="AB2:AB65" si="5">IF(Z2=0,0,AA2/Z2)</f>
        <v>0</v>
      </c>
      <c r="AC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Row],[Tipo]]="DROP"),AC1+TbTradesBinance[[#This Row],[Qtt]],AC1-TbTradesBinance[[#This Row],[Qtt]]),IF(TbTradesBinance[[#This Row],[Tipo]]="BUY",AC1-TbTradesBinance[[#This Row],[Qtt]]*TbTradesBinance[[#This Row],[Preço]],AC1+TbTradesBinance[[#This Row],[Qtt]]*TbTradesBinance[[#This Row],[Preço]])),AC1)-IF(TbTradesBinance[[#This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Row],[Tipo]]="DROP"),AC1+TbTradesBinance[[#This Row],[Qtt]],AC1-TbTradesBinance[[#This Row],[Qtt]]),IF(TbTradesBinance[[#This Row],[Tipo]]="BUY",AC1-TbTradesBinance[[#This Row],[Qtt]]*TbTradesBinance[[#This Row],[Preço]],AC1+TbTradesBinance[[#This Row],[Qtt]]*TbTradesBinance[[#This Row],[Preço]])),AC1)-IF(TbTradesBinance[[#This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Row],[Tipo]]="DROP"),AC1+TbTradesBinance[[#This Row],[Qtt]],AC1-TbTradesBinance[[#This Row],[Qtt]]),IF(TbTradesBinance[[#This Row],[Tipo]]="BUY",AC1-TbTradesBinance[[#This Row],[Qtt]]*TbTradesBinance[[#This Row],[Preço]],AC1+TbTradesBinance[[#This Row],[Qtt]]*TbTradesBinance[[#This Row],[Preço]])),AC1)-IF(TbTradesBinance[[#This Row],[Moeda da Taxa]]=MID(AC$1,9,5),TbTradesBinance[[#This Row],[Taxa]],0),8)))</f>
        <v>0</v>
      </c>
      <c r="AD2" s="145" cm="1">
        <f t="array" ref="AD2">IF(TbTradesBinance[[#This Row],[Tipo]]="EMPTY",0,AD1+IF(TbTradesBinance[[#This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Row],[Par]]))),$1:$1,0)),-(AC1-AC2)/AC1*AD1),0),0)+IF(TbTradesBinance[[#This Row],[Tipo]]="SELL",IF(ISNUMBER(FIND(MID(AD$1,10,5),TbTradesBinance[[#This Row],[Par]])),IF(FIND(MID(AD$1,10,5),TbTradesBinance[[#This Row],[Par]])=1, -(AC1-AC2)/AC1*AD1,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Row],[Par]])),(-(AC1-AC2)/AC1*AD1)+IF(TbTradesBinance[[#This Row],[Resultado]]&gt;0,0,TbTradesBinance[[#This Row],[Taxa]]),0),0))</f>
        <v>0</v>
      </c>
      <c r="AE2" s="145">
        <f t="shared" ref="AE2:AE65" si="6">IF(AC2=0,0,AD2/AC2)</f>
        <v>0</v>
      </c>
      <c r="AF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Row],[Tipo]]="DROP"),AF1+TbTradesBinance[[#This Row],[Qtt]],AF1-TbTradesBinance[[#This Row],[Qtt]]),IF(TbTradesBinance[[#This Row],[Tipo]]="BUY",AF1-TbTradesBinance[[#This Row],[Qtt]]*TbTradesBinance[[#This Row],[Preço]],AF1+TbTradesBinance[[#This Row],[Qtt]]*TbTradesBinance[[#This Row],[Preço]])),AF1)-IF(TbTradesBinance[[#This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Row],[Tipo]]="DROP"),AF1+TbTradesBinance[[#This Row],[Qtt]],AF1-TbTradesBinance[[#This Row],[Qtt]]),IF(TbTradesBinance[[#This Row],[Tipo]]="BUY",AF1-TbTradesBinance[[#This Row],[Qtt]]*TbTradesBinance[[#This Row],[Preço]],AF1+TbTradesBinance[[#This Row],[Qtt]]*TbTradesBinance[[#This Row],[Preço]])),AF1)-IF(TbTradesBinance[[#This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Row],[Tipo]]="DROP"),AF1+TbTradesBinance[[#This Row],[Qtt]],AF1-TbTradesBinance[[#This Row],[Qtt]]),IF(TbTradesBinance[[#This Row],[Tipo]]="BUY",AF1-TbTradesBinance[[#This Row],[Qtt]]*TbTradesBinance[[#This Row],[Preço]],AF1+TbTradesBinance[[#This Row],[Qtt]]*TbTradesBinance[[#This Row],[Preço]])),AF1)-IF(TbTradesBinance[[#This Row],[Moeda da Taxa]]=MID(AF$1,9,5),TbTradesBinance[[#This Row],[Taxa]],0),8)))</f>
        <v>0</v>
      </c>
      <c r="AG2" s="145" cm="1">
        <f t="array" ref="AG2">IF(TbTradesBinance[[#This Row],[Tipo]]="EMPTY",0,AG1+IF(TbTradesBinance[[#This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Row],[Par]]))),$1:$1,0)),-(AF1-AF2)/AF1*AG1),0),0)+IF(TbTradesBinance[[#This Row],[Tipo]]="SELL",IF(ISNUMBER(FIND(MID(AG$1,10,5),TbTradesBinance[[#This Row],[Par]])),IF(FIND(MID(AG$1,10,5),TbTradesBinance[[#This Row],[Par]])=1, -(AF1-AF2)/AF1*AG1,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Row],[Par]])),(-(AF1-AF2)/AF1*AG1)+IF(TbTradesBinance[[#This Row],[Resultado]]&gt;0,0,TbTradesBinance[[#This Row],[Taxa]]),0),0))</f>
        <v>0</v>
      </c>
      <c r="AH2" s="145">
        <f t="shared" ref="AH2:AH65" si="7">IF(AF2=0,0,AG2/AF2)</f>
        <v>0</v>
      </c>
      <c r="AI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Row],[Tipo]]="DROP"),AI1+TbTradesBinance[[#This Row],[Qtt]],AI1-TbTradesBinance[[#This Row],[Qtt]]),IF(TbTradesBinance[[#This Row],[Tipo]]="BUY",AI1-TbTradesBinance[[#This Row],[Qtt]]*TbTradesBinance[[#This Row],[Preço]],AI1+TbTradesBinance[[#This Row],[Qtt]]*TbTradesBinance[[#This Row],[Preço]])),AI1)-IF(TbTradesBinance[[#This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Row],[Tipo]]="DROP"),AI1+TbTradesBinance[[#This Row],[Qtt]],AI1-TbTradesBinance[[#This Row],[Qtt]]),IF(TbTradesBinance[[#This Row],[Tipo]]="BUY",AI1-TbTradesBinance[[#This Row],[Qtt]]*TbTradesBinance[[#This Row],[Preço]],AI1+TbTradesBinance[[#This Row],[Qtt]]*TbTradesBinance[[#This Row],[Preço]])),AI1)-IF(TbTradesBinance[[#This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Row],[Tipo]]="DROP"),AI1+TbTradesBinance[[#This Row],[Qtt]],AI1-TbTradesBinance[[#This Row],[Qtt]]),IF(TbTradesBinance[[#This Row],[Tipo]]="BUY",AI1-TbTradesBinance[[#This Row],[Qtt]]*TbTradesBinance[[#This Row],[Preço]],AI1+TbTradesBinance[[#This Row],[Qtt]]*TbTradesBinance[[#This Row],[Preço]])),AI1)-IF(TbTradesBinance[[#This Row],[Moeda da Taxa]]=MID(AI$1,9,5),TbTradesBinance[[#This Row],[Taxa]],0),8)))</f>
        <v>0</v>
      </c>
      <c r="AJ2" s="145" cm="1">
        <f t="array" ref="AJ2">IF(TbTradesBinance[[#This Row],[Tipo]]="EMPTY",0,AJ1+IF(TbTradesBinance[[#This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Row],[Par]]))),$1:$1,0)),-(AI1-AI2)/AI1*AJ1),0),0)+IF(TbTradesBinance[[#This Row],[Tipo]]="SELL",IF(ISNUMBER(FIND(MID(AJ$1,10,5),TbTradesBinance[[#This Row],[Par]])),IF(FIND(MID(AJ$1,10,5),TbTradesBinance[[#This Row],[Par]])=1, -(AI1-AI2)/AI1*AJ1,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Row],[Par]])),(-(AI1-AI2)/AI1*AJ1)+IF(TbTradesBinance[[#This Row],[Resultado]]&gt;0,0,TbTradesBinance[[#This Row],[Taxa]]),0),0))</f>
        <v>0</v>
      </c>
      <c r="AK2" s="145">
        <f t="shared" ref="AK2:AK65" si="8">IF(AI2=0,0,AJ2/AI2)</f>
        <v>0</v>
      </c>
      <c r="AL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Row],[Tipo]]="DROP"),AL1+TbTradesBinance[[#This Row],[Qtt]],AL1-TbTradesBinance[[#This Row],[Qtt]]),IF(TbTradesBinance[[#This Row],[Tipo]]="BUY",AL1-TbTradesBinance[[#This Row],[Qtt]]*TbTradesBinance[[#This Row],[Preço]],AL1+TbTradesBinance[[#This Row],[Qtt]]*TbTradesBinance[[#This Row],[Preço]])),AL1)-IF(TbTradesBinance[[#This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Row],[Tipo]]="DROP"),AL1+TbTradesBinance[[#This Row],[Qtt]],AL1-TbTradesBinance[[#This Row],[Qtt]]),IF(TbTradesBinance[[#This Row],[Tipo]]="BUY",AL1-TbTradesBinance[[#This Row],[Qtt]]*TbTradesBinance[[#This Row],[Preço]],AL1+TbTradesBinance[[#This Row],[Qtt]]*TbTradesBinance[[#This Row],[Preço]])),AL1)-IF(TbTradesBinance[[#This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Row],[Tipo]]="DROP"),AL1+TbTradesBinance[[#This Row],[Qtt]],AL1-TbTradesBinance[[#This Row],[Qtt]]),IF(TbTradesBinance[[#This Row],[Tipo]]="BUY",AL1-TbTradesBinance[[#This Row],[Qtt]]*TbTradesBinance[[#This Row],[Preço]],AL1+TbTradesBinance[[#This Row],[Qtt]]*TbTradesBinance[[#This Row],[Preço]])),AL1)-IF(TbTradesBinance[[#This Row],[Moeda da Taxa]]=MID(AL$1,9,5),TbTradesBinance[[#This Row],[Taxa]],0),8)))</f>
        <v>0</v>
      </c>
      <c r="AM2" s="145" cm="1">
        <f t="array" ref="AM2">IF(TbTradesBinance[[#This Row],[Tipo]]="EMPTY",0,AM1+IF(TbTradesBinance[[#This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Row],[Par]]))),$1:$1,0)),-(AL1-AL2)/AL1*AM1),0),0)+IF(TbTradesBinance[[#This Row],[Tipo]]="SELL",IF(ISNUMBER(FIND(MID(AM$1,10,5),TbTradesBinance[[#This Row],[Par]])),IF(FIND(MID(AM$1,10,5),TbTradesBinance[[#This Row],[Par]])=1, -(AL1-AL2)/AL1*AM1,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Row],[Par]])),(-(AL1-AL2)/AL1*AM1)+IF(TbTradesBinance[[#This Row],[Resultado]]&gt;0,0,TbTradesBinance[[#This Row],[Taxa]]),0),0))</f>
        <v>0</v>
      </c>
      <c r="AN2" s="145">
        <f t="shared" ref="AN2:AN65" si="9">IF(AL2=0,0,AM2/AL2)</f>
        <v>0</v>
      </c>
      <c r="AO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Row],[Tipo]]="DROP"),AO1+TbTradesBinance[[#This Row],[Qtt]],AO1-TbTradesBinance[[#This Row],[Qtt]]),IF(TbTradesBinance[[#This Row],[Tipo]]="BUY",AO1-TbTradesBinance[[#This Row],[Qtt]]*TbTradesBinance[[#This Row],[Preço]],AO1+TbTradesBinance[[#This Row],[Qtt]]*TbTradesBinance[[#This Row],[Preço]])),AO1)-IF(TbTradesBinance[[#This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Row],[Tipo]]="DROP"),AO1+TbTradesBinance[[#This Row],[Qtt]],AO1-TbTradesBinance[[#This Row],[Qtt]]),IF(TbTradesBinance[[#This Row],[Tipo]]="BUY",AO1-TbTradesBinance[[#This Row],[Qtt]]*TbTradesBinance[[#This Row],[Preço]],AO1+TbTradesBinance[[#This Row],[Qtt]]*TbTradesBinance[[#This Row],[Preço]])),AO1)-IF(TbTradesBinance[[#This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Row],[Tipo]]="DROP"),AO1+TbTradesBinance[[#This Row],[Qtt]],AO1-TbTradesBinance[[#This Row],[Qtt]]),IF(TbTradesBinance[[#This Row],[Tipo]]="BUY",AO1-TbTradesBinance[[#This Row],[Qtt]]*TbTradesBinance[[#This Row],[Preço]],AO1+TbTradesBinance[[#This Row],[Qtt]]*TbTradesBinance[[#This Row],[Preço]])),AO1)-IF(TbTradesBinance[[#This Row],[Moeda da Taxa]]=MID(AO$1,9,5),TbTradesBinance[[#This Row],[Taxa]],0),8)))</f>
        <v>0</v>
      </c>
      <c r="AP2" s="145" cm="1">
        <f t="array" ref="AP2">IF(TbTradesBinance[[#This Row],[Tipo]]="EMPTY",0,AP1+IF(TbTradesBinance[[#This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Row],[Par]]))),$1:$1,0)),-(AO1-AO2)/AO1*AP1),0),0)+IF(TbTradesBinance[[#This Row],[Tipo]]="SELL",IF(ISNUMBER(FIND(MID(AP$1,10,5),TbTradesBinance[[#This Row],[Par]])),IF(FIND(MID(AP$1,10,5),TbTradesBinance[[#This Row],[Par]])=1, -(AO1-AO2)/AO1*AP1,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Row],[Par]])),(-(AO1-AO2)/AO1*AP1)+IF(TbTradesBinance[[#This Row],[Resultado]]&gt;0,0,TbTradesBinance[[#This Row],[Taxa]]),0),0))</f>
        <v>0</v>
      </c>
      <c r="AQ2" s="145">
        <f t="shared" ref="AQ2:AQ65" si="10">IF(AO2=0,0,AP2/AO2)</f>
        <v>0</v>
      </c>
      <c r="AR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Row],[Tipo]]="DROP"),AR1+TbTradesBinance[[#This Row],[Qtt]],AR1-TbTradesBinance[[#This Row],[Qtt]]),IF(TbTradesBinance[[#This Row],[Tipo]]="BUY",AR1-TbTradesBinance[[#This Row],[Qtt]]*TbTradesBinance[[#This Row],[Preço]],AR1+TbTradesBinance[[#This Row],[Qtt]]*TbTradesBinance[[#This Row],[Preço]])),AR1)-IF(TbTradesBinance[[#This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Row],[Tipo]]="DROP"),AR1+TbTradesBinance[[#This Row],[Qtt]],AR1-TbTradesBinance[[#This Row],[Qtt]]),IF(TbTradesBinance[[#This Row],[Tipo]]="BUY",AR1-TbTradesBinance[[#This Row],[Qtt]]*TbTradesBinance[[#This Row],[Preço]],AR1+TbTradesBinance[[#This Row],[Qtt]]*TbTradesBinance[[#This Row],[Preço]])),AR1)-IF(TbTradesBinance[[#This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Row],[Tipo]]="DROP"),AR1+TbTradesBinance[[#This Row],[Qtt]],AR1-TbTradesBinance[[#This Row],[Qtt]]),IF(TbTradesBinance[[#This Row],[Tipo]]="BUY",AR1-TbTradesBinance[[#This Row],[Qtt]]*TbTradesBinance[[#This Row],[Preço]],AR1+TbTradesBinance[[#This Row],[Qtt]]*TbTradesBinance[[#This Row],[Preço]])),AR1)-IF(TbTradesBinance[[#This Row],[Moeda da Taxa]]=MID(AR$1,9,5),TbTradesBinance[[#This Row],[Taxa]],0),8)))</f>
        <v>0</v>
      </c>
      <c r="AS2" s="145" cm="1">
        <f t="array" ref="AS2">IF(TbTradesBinance[[#This Row],[Tipo]]="EMPTY",0,AS1+IF(TbTradesBinance[[#This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Row],[Par]]))),$1:$1,0)),-(AR1-AR2)/AR1*AS1),0),0)+IF(TbTradesBinance[[#This Row],[Tipo]]="SELL",IF(ISNUMBER(FIND(MID(AS$1,10,5),TbTradesBinance[[#This Row],[Par]])),IF(FIND(MID(AS$1,10,5),TbTradesBinance[[#This Row],[Par]])=1, -(AR1-AR2)/AR1*AS1,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Row],[Par]])),(-(AR1-AR2)/AR1*AS1)+IF(TbTradesBinance[[#This Row],[Resultado]]&gt;0,0,TbTradesBinance[[#This Row],[Taxa]]),0),0))</f>
        <v>0</v>
      </c>
      <c r="AT2" s="145">
        <f t="shared" ref="AT2:AT65" si="11">IF(AR2=0,0,AS2/AR2)</f>
        <v>0</v>
      </c>
      <c r="AU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Row],[Tipo]]="DROP"),AU1+TbTradesBinance[[#This Row],[Qtt]],AU1-TbTradesBinance[[#This Row],[Qtt]]),IF(TbTradesBinance[[#This Row],[Tipo]]="BUY",AU1-TbTradesBinance[[#This Row],[Qtt]]*TbTradesBinance[[#This Row],[Preço]],AU1+TbTradesBinance[[#This Row],[Qtt]]*TbTradesBinance[[#This Row],[Preço]])),AU1)-IF(TbTradesBinance[[#This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Row],[Tipo]]="DROP"),AU1+TbTradesBinance[[#This Row],[Qtt]],AU1-TbTradesBinance[[#This Row],[Qtt]]),IF(TbTradesBinance[[#This Row],[Tipo]]="BUY",AU1-TbTradesBinance[[#This Row],[Qtt]]*TbTradesBinance[[#This Row],[Preço]],AU1+TbTradesBinance[[#This Row],[Qtt]]*TbTradesBinance[[#This Row],[Preço]])),AU1)-IF(TbTradesBinance[[#This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Row],[Tipo]]="DROP"),AU1+TbTradesBinance[[#This Row],[Qtt]],AU1-TbTradesBinance[[#This Row],[Qtt]]),IF(TbTradesBinance[[#This Row],[Tipo]]="BUY",AU1-TbTradesBinance[[#This Row],[Qtt]]*TbTradesBinance[[#This Row],[Preço]],AU1+TbTradesBinance[[#This Row],[Qtt]]*TbTradesBinance[[#This Row],[Preço]])),AU1)-IF(TbTradesBinance[[#This Row],[Moeda da Taxa]]=MID(AU$1,9,5),TbTradesBinance[[#This Row],[Taxa]],0),8)))</f>
        <v>0</v>
      </c>
      <c r="AV2" s="145" cm="1">
        <f t="array" ref="AV2">IF(TbTradesBinance[[#This Row],[Tipo]]="EMPTY",0,AV1+IF(TbTradesBinance[[#This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Row],[Par]]))),$1:$1,0)),-(AU1-AU2)/AU1*AV1),0),0)+IF(TbTradesBinance[[#This Row],[Tipo]]="SELL",IF(ISNUMBER(FIND(MID(AV$1,10,5),TbTradesBinance[[#This Row],[Par]])),IF(FIND(MID(AV$1,10,5),TbTradesBinance[[#This Row],[Par]])=1, -(AU1-AU2)/AU1*AV1,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Row],[Par]])),(-(AU1-AU2)/AU1*AV1)+IF(TbTradesBinance[[#This Row],[Resultado]]&gt;0,0,TbTradesBinance[[#This Row],[Taxa]]),0),0))</f>
        <v>0</v>
      </c>
      <c r="AW2" s="145">
        <f t="shared" ref="AW2:AW65" si="12">IF(AU2=0,0,AV2/AU2)</f>
        <v>0</v>
      </c>
      <c r="AX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Row],[Tipo]]="DROP"),AX1+TbTradesBinance[[#This Row],[Qtt]],AX1-TbTradesBinance[[#This Row],[Qtt]]),IF(TbTradesBinance[[#This Row],[Tipo]]="BUY",AX1-TbTradesBinance[[#This Row],[Qtt]]*TbTradesBinance[[#This Row],[Preço]],AX1+TbTradesBinance[[#This Row],[Qtt]]*TbTradesBinance[[#This Row],[Preço]])),AX1)-IF(TbTradesBinance[[#This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Row],[Tipo]]="DROP"),AX1+TbTradesBinance[[#This Row],[Qtt]],AX1-TbTradesBinance[[#This Row],[Qtt]]),IF(TbTradesBinance[[#This Row],[Tipo]]="BUY",AX1-TbTradesBinance[[#This Row],[Qtt]]*TbTradesBinance[[#This Row],[Preço]],AX1+TbTradesBinance[[#This Row],[Qtt]]*TbTradesBinance[[#This Row],[Preço]])),AX1)-IF(TbTradesBinance[[#This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Row],[Tipo]]="DROP"),AX1+TbTradesBinance[[#This Row],[Qtt]],AX1-TbTradesBinance[[#This Row],[Qtt]]),IF(TbTradesBinance[[#This Row],[Tipo]]="BUY",AX1-TbTradesBinance[[#This Row],[Qtt]]*TbTradesBinance[[#This Row],[Preço]],AX1+TbTradesBinance[[#This Row],[Qtt]]*TbTradesBinance[[#This Row],[Preço]])),AX1)-IF(TbTradesBinance[[#This Row],[Moeda da Taxa]]=MID(AX$1,9,5),TbTradesBinance[[#This Row],[Taxa]],0),8)))</f>
        <v>0</v>
      </c>
      <c r="AY2" s="145" cm="1">
        <f t="array" ref="AY2">IF(TbTradesBinance[[#This Row],[Tipo]]="EMPTY",0,AY1+IF(TbTradesBinance[[#This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Row],[Par]]))),$1:$1,0)),-(AX1-AX2)/AX1*AY1),0),0)+IF(TbTradesBinance[[#This Row],[Tipo]]="SELL",IF(ISNUMBER(FIND(MID(AY$1,10,5),TbTradesBinance[[#This Row],[Par]])),IF(FIND(MID(AY$1,10,5),TbTradesBinance[[#This Row],[Par]])=1, -(AX1-AX2)/AX1*AY1,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Row],[Par]])),(-(AX1-AX2)/AX1*AY1)+IF(TbTradesBinance[[#This Row],[Resultado]]&gt;0,0,TbTradesBinance[[#This Row],[Taxa]]),0),0))</f>
        <v>0</v>
      </c>
      <c r="AZ2" s="145">
        <f t="shared" ref="AZ2:AZ65" si="13">IF(AX2=0,0,AY2/AX2)</f>
        <v>0</v>
      </c>
      <c r="BA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Row],[Tipo]]="DROP"),BA1+TbTradesBinance[[#This Row],[Qtt]],BA1-TbTradesBinance[[#This Row],[Qtt]]),IF(TbTradesBinance[[#This Row],[Tipo]]="BUY",BA1-TbTradesBinance[[#This Row],[Qtt]]*TbTradesBinance[[#This Row],[Preço]],BA1+TbTradesBinance[[#This Row],[Qtt]]*TbTradesBinance[[#This Row],[Preço]])),BA1)-IF(TbTradesBinance[[#This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Row],[Tipo]]="DROP"),BA1+TbTradesBinance[[#This Row],[Qtt]],BA1-TbTradesBinance[[#This Row],[Qtt]]),IF(TbTradesBinance[[#This Row],[Tipo]]="BUY",BA1-TbTradesBinance[[#This Row],[Qtt]]*TbTradesBinance[[#This Row],[Preço]],BA1+TbTradesBinance[[#This Row],[Qtt]]*TbTradesBinance[[#This Row],[Preço]])),BA1)-IF(TbTradesBinance[[#This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Row],[Tipo]]="DROP"),BA1+TbTradesBinance[[#This Row],[Qtt]],BA1-TbTradesBinance[[#This Row],[Qtt]]),IF(TbTradesBinance[[#This Row],[Tipo]]="BUY",BA1-TbTradesBinance[[#This Row],[Qtt]]*TbTradesBinance[[#This Row],[Preço]],BA1+TbTradesBinance[[#This Row],[Qtt]]*TbTradesBinance[[#This Row],[Preço]])),BA1)-IF(TbTradesBinance[[#This Row],[Moeda da Taxa]]=MID(BA$1,9,5),TbTradesBinance[[#This Row],[Taxa]],0),8)))</f>
        <v>0</v>
      </c>
      <c r="BB2" s="145" cm="1">
        <f t="array" ref="BB2">IF(TbTradesBinance[[#This Row],[Tipo]]="EMPTY",0,BB1+IF(TbTradesBinance[[#This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Row],[Par]]))),$1:$1,0)),-(BA1-BA2)/BA1*BB1),0),0)+IF(TbTradesBinance[[#This Row],[Tipo]]="SELL",IF(ISNUMBER(FIND(MID(BB$1,10,5),TbTradesBinance[[#This Row],[Par]])),IF(FIND(MID(BB$1,10,5),TbTradesBinance[[#This Row],[Par]])=1, -(BA1-BA2)/BA1*BB1,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Row],[Par]])),(-(BA1-BA2)/BA1*BB1)+IF(TbTradesBinance[[#This Row],[Resultado]]&gt;0,0,TbTradesBinance[[#This Row],[Taxa]]),0),0))</f>
        <v>0</v>
      </c>
      <c r="BC2" s="145">
        <f t="shared" ref="BC2:BC65" si="14">IF(BA2=0,0,BB2/BA2)</f>
        <v>0</v>
      </c>
      <c r="BD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Row],[Tipo]]="DROP"),BD1+TbTradesBinance[[#This Row],[Qtt]],BD1-TbTradesBinance[[#This Row],[Qtt]]),IF(TbTradesBinance[[#This Row],[Tipo]]="BUY",BD1-TbTradesBinance[[#This Row],[Qtt]]*TbTradesBinance[[#This Row],[Preço]],BD1+TbTradesBinance[[#This Row],[Qtt]]*TbTradesBinance[[#This Row],[Preço]])),BD1)-IF(TbTradesBinance[[#This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Row],[Tipo]]="DROP"),BD1+TbTradesBinance[[#This Row],[Qtt]],BD1-TbTradesBinance[[#This Row],[Qtt]]),IF(TbTradesBinance[[#This Row],[Tipo]]="BUY",BD1-TbTradesBinance[[#This Row],[Qtt]]*TbTradesBinance[[#This Row],[Preço]],BD1+TbTradesBinance[[#This Row],[Qtt]]*TbTradesBinance[[#This Row],[Preço]])),BD1)-IF(TbTradesBinance[[#This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Row],[Tipo]]="DROP"),BD1+TbTradesBinance[[#This Row],[Qtt]],BD1-TbTradesBinance[[#This Row],[Qtt]]),IF(TbTradesBinance[[#This Row],[Tipo]]="BUY",BD1-TbTradesBinance[[#This Row],[Qtt]]*TbTradesBinance[[#This Row],[Preço]],BD1+TbTradesBinance[[#This Row],[Qtt]]*TbTradesBinance[[#This Row],[Preço]])),BD1)-IF(TbTradesBinance[[#This Row],[Moeda da Taxa]]=MID(BD$1,9,5),TbTradesBinance[[#This Row],[Taxa]],0),8)))</f>
        <v>0</v>
      </c>
      <c r="BE2" s="145" cm="1">
        <f t="array" ref="BE2">IF(TbTradesBinance[[#This Row],[Tipo]]="EMPTY",0,BE1+IF(TbTradesBinance[[#This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Row],[Par]]))),$1:$1,0)),-(BD1-BD2)/BD1*BE1),0),0)+IF(TbTradesBinance[[#This Row],[Tipo]]="SELL",IF(ISNUMBER(FIND(MID(BE$1,10,5),TbTradesBinance[[#This Row],[Par]])),IF(FIND(MID(BE$1,10,5),TbTradesBinance[[#This Row],[Par]])=1, -(BD1-BD2)/BD1*BE1,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Row],[Par]])),(-(BD1-BD2)/BD1*BE1)+IF(TbTradesBinance[[#This Row],[Resultado]]&gt;0,0,TbTradesBinance[[#This Row],[Taxa]]),0),0))</f>
        <v>0</v>
      </c>
      <c r="BF2" s="145">
        <f t="shared" ref="BF2:BF65" si="15">IF(BD2=0,0,BE2/BD2)</f>
        <v>0</v>
      </c>
      <c r="BG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Row],[Tipo]]="DROP"),BG1+TbTradesBinance[[#This Row],[Qtt]],BG1-TbTradesBinance[[#This Row],[Qtt]]),IF(TbTradesBinance[[#This Row],[Tipo]]="BUY",BG1-TbTradesBinance[[#This Row],[Qtt]]*TbTradesBinance[[#This Row],[Preço]],BG1+TbTradesBinance[[#This Row],[Qtt]]*TbTradesBinance[[#This Row],[Preço]])),BG1)-IF(TbTradesBinance[[#This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Row],[Tipo]]="DROP"),BG1+TbTradesBinance[[#This Row],[Qtt]],BG1-TbTradesBinance[[#This Row],[Qtt]]),IF(TbTradesBinance[[#This Row],[Tipo]]="BUY",BG1-TbTradesBinance[[#This Row],[Qtt]]*TbTradesBinance[[#This Row],[Preço]],BG1+TbTradesBinance[[#This Row],[Qtt]]*TbTradesBinance[[#This Row],[Preço]])),BG1)-IF(TbTradesBinance[[#This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Row],[Tipo]]="DROP"),BG1+TbTradesBinance[[#This Row],[Qtt]],BG1-TbTradesBinance[[#This Row],[Qtt]]),IF(TbTradesBinance[[#This Row],[Tipo]]="BUY",BG1-TbTradesBinance[[#This Row],[Qtt]]*TbTradesBinance[[#This Row],[Preço]],BG1+TbTradesBinance[[#This Row],[Qtt]]*TbTradesBinance[[#This Row],[Preço]])),BG1)-IF(TbTradesBinance[[#This Row],[Moeda da Taxa]]=MID(BG$1,9,5),TbTradesBinance[[#This Row],[Taxa]],0),8)))</f>
        <v>0</v>
      </c>
      <c r="BH2" s="145" cm="1">
        <f t="array" ref="BH2">IF(TbTradesBinance[[#This Row],[Tipo]]="EMPTY",0,BH1+IF(TbTradesBinance[[#This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Row],[Par]]))),$1:$1,0)),-(BG1-BG2)/BG1*BH1),0),0)+IF(TbTradesBinance[[#This Row],[Tipo]]="SELL",IF(ISNUMBER(FIND(MID(BH$1,10,5),TbTradesBinance[[#This Row],[Par]])),IF(FIND(MID(BH$1,10,5),TbTradesBinance[[#This Row],[Par]])=1, -(BG1-BG2)/BG1*BH1,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Row],[Par]])),(-(BG1-BG2)/BG1*BH1)+IF(TbTradesBinance[[#This Row],[Resultado]]&gt;0,0,TbTradesBinance[[#This Row],[Taxa]]),0),0))</f>
        <v>0</v>
      </c>
      <c r="BI2" s="145">
        <f t="shared" ref="BI2:BI65" si="16">IF(BG2=0,0,BH2/BG2)</f>
        <v>0</v>
      </c>
      <c r="BJ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Row],[Tipo]]="DROP"),BJ1+TbTradesBinance[[#This Row],[Qtt]],BJ1-TbTradesBinance[[#This Row],[Qtt]]),IF(TbTradesBinance[[#This Row],[Tipo]]="BUY",BJ1-TbTradesBinance[[#This Row],[Qtt]]*TbTradesBinance[[#This Row],[Preço]],BJ1+TbTradesBinance[[#This Row],[Qtt]]*TbTradesBinance[[#This Row],[Preço]])),BJ1)-IF(TbTradesBinance[[#This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Row],[Tipo]]="DROP"),BJ1+TbTradesBinance[[#This Row],[Qtt]],BJ1-TbTradesBinance[[#This Row],[Qtt]]),IF(TbTradesBinance[[#This Row],[Tipo]]="BUY",BJ1-TbTradesBinance[[#This Row],[Qtt]]*TbTradesBinance[[#This Row],[Preço]],BJ1+TbTradesBinance[[#This Row],[Qtt]]*TbTradesBinance[[#This Row],[Preço]])),BJ1)-IF(TbTradesBinance[[#This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Row],[Tipo]]="DROP"),BJ1+TbTradesBinance[[#This Row],[Qtt]],BJ1-TbTradesBinance[[#This Row],[Qtt]]),IF(TbTradesBinance[[#This Row],[Tipo]]="BUY",BJ1-TbTradesBinance[[#This Row],[Qtt]]*TbTradesBinance[[#This Row],[Preço]],BJ1+TbTradesBinance[[#This Row],[Qtt]]*TbTradesBinance[[#This Row],[Preço]])),BJ1)-IF(TbTradesBinance[[#This Row],[Moeda da Taxa]]=MID(BJ$1,9,5),TbTradesBinance[[#This Row],[Taxa]],0),8)))</f>
        <v>0</v>
      </c>
      <c r="BK2" s="145" cm="1">
        <f t="array" ref="BK2">IF(TbTradesBinance[[#This Row],[Tipo]]="EMPTY",0,BK1+IF(TbTradesBinance[[#This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Row],[Par]]))),$1:$1,0)),-(BJ1-BJ2)/BJ1*BK1),0),0)+IF(TbTradesBinance[[#This Row],[Tipo]]="SELL",IF(ISNUMBER(FIND(MID(BK$1,10,5),TbTradesBinance[[#This Row],[Par]])),IF(FIND(MID(BK$1,10,5),TbTradesBinance[[#This Row],[Par]])=1, -(BJ1-BJ2)/BJ1*BK1,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Row],[Par]])),(-(BJ1-BJ2)/BJ1*BK1)+IF(TbTradesBinance[[#This Row],[Resultado]]&gt;0,0,TbTradesBinance[[#This Row],[Taxa]]),0),0))</f>
        <v>0</v>
      </c>
      <c r="BL2" s="145">
        <f t="shared" ref="BL2:BL65" si="17">IF(BJ2=0,0,BK2/BJ2)</f>
        <v>0</v>
      </c>
      <c r="BM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Row],[Tipo]]="DROP"),BM1+TbTradesBinance[[#This Row],[Qtt]],BM1-TbTradesBinance[[#This Row],[Qtt]]),IF(TbTradesBinance[[#This Row],[Tipo]]="BUY",BM1-TbTradesBinance[[#This Row],[Qtt]]*TbTradesBinance[[#This Row],[Preço]],BM1+TbTradesBinance[[#This Row],[Qtt]]*TbTradesBinance[[#This Row],[Preço]])),BM1)-IF(TbTradesBinance[[#This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Row],[Tipo]]="DROP"),BM1+TbTradesBinance[[#This Row],[Qtt]],BM1-TbTradesBinance[[#This Row],[Qtt]]),IF(TbTradesBinance[[#This Row],[Tipo]]="BUY",BM1-TbTradesBinance[[#This Row],[Qtt]]*TbTradesBinance[[#This Row],[Preço]],BM1+TbTradesBinance[[#This Row],[Qtt]]*TbTradesBinance[[#This Row],[Preço]])),BM1)-IF(TbTradesBinance[[#This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Row],[Tipo]]="DROP"),BM1+TbTradesBinance[[#This Row],[Qtt]],BM1-TbTradesBinance[[#This Row],[Qtt]]),IF(TbTradesBinance[[#This Row],[Tipo]]="BUY",BM1-TbTradesBinance[[#This Row],[Qtt]]*TbTradesBinance[[#This Row],[Preço]],BM1+TbTradesBinance[[#This Row],[Qtt]]*TbTradesBinance[[#This Row],[Preço]])),BM1)-IF(TbTradesBinance[[#This Row],[Moeda da Taxa]]=MID(BM$1,9,5),TbTradesBinance[[#This Row],[Taxa]],0),8)))</f>
        <v>0</v>
      </c>
      <c r="BN2" s="145" cm="1">
        <f t="array" ref="BN2">IF(TbTradesBinance[[#This Row],[Tipo]]="EMPTY",0,BN1+IF(TbTradesBinance[[#This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Row],[Par]]))),$1:$1,0)),-(BM1-BM2)/BM1*BN1),0),0)+IF(TbTradesBinance[[#This Row],[Tipo]]="SELL",IF(ISNUMBER(FIND(MID(BN$1,10,5),TbTradesBinance[[#This Row],[Par]])),IF(FIND(MID(BN$1,10,5),TbTradesBinance[[#This Row],[Par]])=1, -(BM1-BM2)/BM1*BN1,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Row],[Par]])),(-(BM1-BM2)/BM1*BN1)+IF(TbTradesBinance[[#This Row],[Resultado]]&gt;0,0,TbTradesBinance[[#This Row],[Taxa]]),0),0))</f>
        <v>0</v>
      </c>
      <c r="BO2" s="145">
        <f t="shared" ref="BO2:BO65" si="18">IF(BM2=0,0,BN2/BM2)</f>
        <v>0</v>
      </c>
    </row>
    <row r="3" spans="1:67" x14ac:dyDescent="0.3">
      <c r="A3" s="167"/>
      <c r="B3" s="51" t="s">
        <v>136</v>
      </c>
      <c r="C3" s="40">
        <f>TRUNC(IF(AND(TbTradesBinance[[#This Row],[Tipo]]="SEND",TbTradesBinance[[#This Row],[Par]]="BRL"),TbTradesBinance[[#This Row],[Qtt]]*(1-P1)-IF(TbTradesBinance[[#This Row],[Moeda da Taxa]]="BRL",TbTradesBinance[[#This Row],[Taxa]],0),0)+IF(AND(TbTradesBinance[[#This Row],[Tipo]]="BURN",TbTradesBinance[[#This Row],[Par]]="BRL"),-TbTradesBinance[[#This Row],[Qtt]]*P1,0),2)</f>
        <v>0</v>
      </c>
      <c r="D3" s="53">
        <v>44234.676574074074</v>
      </c>
      <c r="E3" s="37" t="s">
        <v>50</v>
      </c>
      <c r="F3" s="47" t="s">
        <v>137</v>
      </c>
      <c r="G3" s="38">
        <v>1</v>
      </c>
      <c r="H3" s="38">
        <v>10000</v>
      </c>
      <c r="I3" s="38">
        <v>0</v>
      </c>
      <c r="J3" s="37" t="s">
        <v>50</v>
      </c>
      <c r="K3" s="52">
        <v>1</v>
      </c>
      <c r="L3" s="40">
        <f t="shared" si="0"/>
        <v>1</v>
      </c>
      <c r="M3" s="40">
        <f>IF(OR(TbTradesBinance[[#This Row],[Tipo]]="BUY",TbTradesBinance[[#This Row],[Tipo]]="RECEIVE",TbTradesBinance[[#This Row],[Tipo]]="DROP"),L3*H3,-L3*H3)</f>
        <v>10000</v>
      </c>
      <c r="N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Row],[Tipo]]="DROP"),N2+TbTradesBinance[[#This Row],[Qtt]],N2-TbTradesBinance[[#This Row],[Qtt]]),IF(TbTradesBinance[[#This Row],[Tipo]]="BUY",N2-TbTradesBinance[[#This Row],[Qtt]]*TbTradesBinance[[#This Row],[Preço]],N2+TbTradesBinance[[#This Row],[Qtt]]*TbTradesBinance[[#This Row],[Preço]])),N2)-IF(TbTradesBinance[[#This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Row],[Tipo]]="DROP"),N2+TbTradesBinance[[#This Row],[Qtt]],N2-TbTradesBinance[[#This Row],[Qtt]]),IF(TbTradesBinance[[#This Row],[Tipo]]="BUY",N2-TbTradesBinance[[#This Row],[Qtt]]*TbTradesBinance[[#This Row],[Preço]],N2+TbTradesBinance[[#This Row],[Qtt]]*TbTradesBinance[[#This Row],[Preço]])),N2)-IF(TbTradesBinance[[#This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Row],[Tipo]]="DROP"),N2+TbTradesBinance[[#This Row],[Qtt]],N2-TbTradesBinance[[#This Row],[Qtt]]),IF(TbTradesBinance[[#This Row],[Tipo]]="BUY",N2-TbTradesBinance[[#This Row],[Qtt]]*TbTradesBinance[[#This Row],[Preço]],N2+TbTradesBinance[[#This Row],[Qtt]]*TbTradesBinance[[#This Row],[Preço]])),N2)-IF(TbTradesBinance[[#This Row],[Moeda da Taxa]]=MID(N$1,9,5),TbTradesBinance[[#This Row],[Taxa]],0),8)))</f>
        <v>10000</v>
      </c>
      <c r="O3" s="145" cm="1">
        <f t="array" ref="O3">IF(TbTradesBinance[[#This Row],[Tipo]]="EMPTY",0,O2+IF(TbTradesBinance[[#This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Row],[Par]]))),$1:$1,0)),-(N2-N3)/N2*O2),0),0)+IF(TbTradesBinance[[#This Row],[Tipo]]="SELL",IF(ISNUMBER(FIND(MID(O$1,10,5),TbTradesBinance[[#This Row],[Par]])),IF(FIND(MID(O$1,10,5),TbTradesBinance[[#This Row],[Par]])=1, -(N2-N3)/N2*O2,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Row],[Par]])),(-(N2-N3)/N2*O2)+IF(TbTradesBinance[[#This Row],[Resultado]]&gt;0,0,TbTradesBinance[[#This Row],[Taxa]]),0),0))</f>
        <v>10000</v>
      </c>
      <c r="P3" s="145">
        <f t="shared" si="1"/>
        <v>1</v>
      </c>
      <c r="Q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Row],[Tipo]]="DROP"),Q2+TbTradesBinance[[#This Row],[Qtt]],Q2-TbTradesBinance[[#This Row],[Qtt]]),IF(TbTradesBinance[[#This Row],[Tipo]]="BUY",Q2-TbTradesBinance[[#This Row],[Qtt]]*TbTradesBinance[[#This Row],[Preço]],Q2+TbTradesBinance[[#This Row],[Qtt]]*TbTradesBinance[[#This Row],[Preço]])),Q2)-IF(TbTradesBinance[[#This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Row],[Tipo]]="DROP"),Q2+TbTradesBinance[[#This Row],[Qtt]],Q2-TbTradesBinance[[#This Row],[Qtt]]),IF(TbTradesBinance[[#This Row],[Tipo]]="BUY",Q2-TbTradesBinance[[#This Row],[Qtt]]*TbTradesBinance[[#This Row],[Preço]],Q2+TbTradesBinance[[#This Row],[Qtt]]*TbTradesBinance[[#This Row],[Preço]])),Q2)-IF(TbTradesBinance[[#This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Row],[Tipo]]="DROP"),Q2+TbTradesBinance[[#This Row],[Qtt]],Q2-TbTradesBinance[[#This Row],[Qtt]]),IF(TbTradesBinance[[#This Row],[Tipo]]="BUY",Q2-TbTradesBinance[[#This Row],[Qtt]]*TbTradesBinance[[#This Row],[Preço]],Q2+TbTradesBinance[[#This Row],[Qtt]]*TbTradesBinance[[#This Row],[Preço]])),Q2)-IF(TbTradesBinance[[#This Row],[Moeda da Taxa]]=MID(Q$1,9,5),TbTradesBinance[[#This Row],[Taxa]],0),8)))</f>
        <v>0</v>
      </c>
      <c r="R3" s="145" cm="1">
        <f t="array" ref="R3">IF(TbTradesBinance[[#This Row],[Tipo]]="EMPTY",0,R2+IF(TbTradesBinance[[#This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Row],[Par]]))),$1:$1,0)),-(Q2-Q3)/Q2*R2),0),0)+IF(TbTradesBinance[[#This Row],[Tipo]]="SELL",IF(ISNUMBER(FIND(MID(R$1,10,5),TbTradesBinance[[#This Row],[Par]])),IF(FIND(MID(R$1,10,5),TbTradesBinance[[#This Row],[Par]])=1, -(Q2-Q3)/Q2*R2,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Row],[Par]])),(-(Q2-Q3)/Q2*R2)+IF(TbTradesBinance[[#This Row],[Resultado]]&gt;0,0,TbTradesBinance[[#This Row],[Taxa]]),0),0))</f>
        <v>0</v>
      </c>
      <c r="S3" s="145">
        <f t="shared" si="2"/>
        <v>0</v>
      </c>
      <c r="T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Row],[Tipo]]="DROP"),T2+TbTradesBinance[[#This Row],[Qtt]],T2-TbTradesBinance[[#This Row],[Qtt]]),IF(TbTradesBinance[[#This Row],[Tipo]]="BUY",T2-TbTradesBinance[[#This Row],[Qtt]]*TbTradesBinance[[#This Row],[Preço]],T2+TbTradesBinance[[#This Row],[Qtt]]*TbTradesBinance[[#This Row],[Preço]])),T2)-IF(TbTradesBinance[[#This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Row],[Tipo]]="DROP"),T2+TbTradesBinance[[#This Row],[Qtt]],T2-TbTradesBinance[[#This Row],[Qtt]]),IF(TbTradesBinance[[#This Row],[Tipo]]="BUY",T2-TbTradesBinance[[#This Row],[Qtt]]*TbTradesBinance[[#This Row],[Preço]],T2+TbTradesBinance[[#This Row],[Qtt]]*TbTradesBinance[[#This Row],[Preço]])),T2)-IF(TbTradesBinance[[#This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Row],[Tipo]]="DROP"),T2+TbTradesBinance[[#This Row],[Qtt]],T2-TbTradesBinance[[#This Row],[Qtt]]),IF(TbTradesBinance[[#This Row],[Tipo]]="BUY",T2-TbTradesBinance[[#This Row],[Qtt]]*TbTradesBinance[[#This Row],[Preço]],T2+TbTradesBinance[[#This Row],[Qtt]]*TbTradesBinance[[#This Row],[Preço]])),T2)-IF(TbTradesBinance[[#This Row],[Moeda da Taxa]]=MID(T$1,9,5),TbTradesBinance[[#This Row],[Taxa]],0),8)))</f>
        <v>0</v>
      </c>
      <c r="U3" s="145" cm="1">
        <f t="array" ref="U3">IF(TbTradesBinance[[#This Row],[Tipo]]="EMPTY",0,U2+IF(TbTradesBinance[[#This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Row],[Par]]))),$1:$1,0)),-(T2-T3)/T2*U2),0),0)+IF(TbTradesBinance[[#This Row],[Tipo]]="SELL",IF(ISNUMBER(FIND(MID(U$1,10,5),TbTradesBinance[[#This Row],[Par]])),IF(FIND(MID(U$1,10,5),TbTradesBinance[[#This Row],[Par]])=1, -(T2-T3)/T2*U2,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Row],[Par]])),(-(T2-T3)/T2*U2)+IF(TbTradesBinance[[#This Row],[Resultado]]&gt;0,0,TbTradesBinance[[#This Row],[Taxa]]),0),0))</f>
        <v>0</v>
      </c>
      <c r="V3" s="145">
        <f t="shared" si="3"/>
        <v>0</v>
      </c>
      <c r="W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Row],[Tipo]]="DROP"),W2+TbTradesBinance[[#This Row],[Qtt]],W2-TbTradesBinance[[#This Row],[Qtt]]),IF(TbTradesBinance[[#This Row],[Tipo]]="BUY",W2-TbTradesBinance[[#This Row],[Qtt]]*TbTradesBinance[[#This Row],[Preço]],W2+TbTradesBinance[[#This Row],[Qtt]]*TbTradesBinance[[#This Row],[Preço]])),W2)-IF(TbTradesBinance[[#This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Row],[Tipo]]="DROP"),W2+TbTradesBinance[[#This Row],[Qtt]],W2-TbTradesBinance[[#This Row],[Qtt]]),IF(TbTradesBinance[[#This Row],[Tipo]]="BUY",W2-TbTradesBinance[[#This Row],[Qtt]]*TbTradesBinance[[#This Row],[Preço]],W2+TbTradesBinance[[#This Row],[Qtt]]*TbTradesBinance[[#This Row],[Preço]])),W2)-IF(TbTradesBinance[[#This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Row],[Tipo]]="DROP"),W2+TbTradesBinance[[#This Row],[Qtt]],W2-TbTradesBinance[[#This Row],[Qtt]]),IF(TbTradesBinance[[#This Row],[Tipo]]="BUY",W2-TbTradesBinance[[#This Row],[Qtt]]*TbTradesBinance[[#This Row],[Preço]],W2+TbTradesBinance[[#This Row],[Qtt]]*TbTradesBinance[[#This Row],[Preço]])),W2)-IF(TbTradesBinance[[#This Row],[Moeda da Taxa]]=MID(W$1,9,5),TbTradesBinance[[#This Row],[Taxa]],0),8)))</f>
        <v>0</v>
      </c>
      <c r="X3" s="145" cm="1">
        <f t="array" ref="X3">IF(TbTradesBinance[[#This Row],[Tipo]]="EMPTY",0,X2+IF(TbTradesBinance[[#This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Row],[Par]]))),$1:$1,0)),-(W2-W3)/W2*X2),0),0)+IF(TbTradesBinance[[#This Row],[Tipo]]="SELL",IF(ISNUMBER(FIND(MID(X$1,10,5),TbTradesBinance[[#This Row],[Par]])),IF(FIND(MID(X$1,10,5),TbTradesBinance[[#This Row],[Par]])=1, -(W2-W3)/W2*X2,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Row],[Par]])),(-(W2-W3)/W2*X2)+IF(TbTradesBinance[[#This Row],[Resultado]]&gt;0,0,TbTradesBinance[[#This Row],[Taxa]]),0),0))</f>
        <v>0</v>
      </c>
      <c r="Y3" s="145">
        <f t="shared" si="4"/>
        <v>0</v>
      </c>
      <c r="Z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Row],[Tipo]]="DROP"),Z2+TbTradesBinance[[#This Row],[Qtt]],Z2-TbTradesBinance[[#This Row],[Qtt]]),IF(TbTradesBinance[[#This Row],[Tipo]]="BUY",Z2-TbTradesBinance[[#This Row],[Qtt]]*TbTradesBinance[[#This Row],[Preço]],Z2+TbTradesBinance[[#This Row],[Qtt]]*TbTradesBinance[[#This Row],[Preço]])),Z2)-IF(TbTradesBinance[[#This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Row],[Tipo]]="DROP"),Z2+TbTradesBinance[[#This Row],[Qtt]],Z2-TbTradesBinance[[#This Row],[Qtt]]),IF(TbTradesBinance[[#This Row],[Tipo]]="BUY",Z2-TbTradesBinance[[#This Row],[Qtt]]*TbTradesBinance[[#This Row],[Preço]],Z2+TbTradesBinance[[#This Row],[Qtt]]*TbTradesBinance[[#This Row],[Preço]])),Z2)-IF(TbTradesBinance[[#This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Row],[Tipo]]="DROP"),Z2+TbTradesBinance[[#This Row],[Qtt]],Z2-TbTradesBinance[[#This Row],[Qtt]]),IF(TbTradesBinance[[#This Row],[Tipo]]="BUY",Z2-TbTradesBinance[[#This Row],[Qtt]]*TbTradesBinance[[#This Row],[Preço]],Z2+TbTradesBinance[[#This Row],[Qtt]]*TbTradesBinance[[#This Row],[Preço]])),Z2)-IF(TbTradesBinance[[#This Row],[Moeda da Taxa]]=MID(Z$1,9,5),TbTradesBinance[[#This Row],[Taxa]],0),8)))</f>
        <v>0</v>
      </c>
      <c r="AA3" s="145" cm="1">
        <f t="array" ref="AA3">IF(TbTradesBinance[[#This Row],[Tipo]]="EMPTY",0,AA2+IF(TbTradesBinance[[#This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Row],[Par]]))),$1:$1,0)),-(Z2-Z3)/Z2*AA2),0),0)+IF(TbTradesBinance[[#This Row],[Tipo]]="SELL",IF(ISNUMBER(FIND(MID(AA$1,10,5),TbTradesBinance[[#This Row],[Par]])),IF(FIND(MID(AA$1,10,5),TbTradesBinance[[#This Row],[Par]])=1, -(Z2-Z3)/Z2*AA2,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Row],[Par]])),(-(Z2-Z3)/Z2*AA2)+IF(TbTradesBinance[[#This Row],[Resultado]]&gt;0,0,TbTradesBinance[[#This Row],[Taxa]]),0),0))</f>
        <v>0</v>
      </c>
      <c r="AB3" s="145">
        <f t="shared" si="5"/>
        <v>0</v>
      </c>
      <c r="AC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Row],[Tipo]]="DROP"),AC2+TbTradesBinance[[#This Row],[Qtt]],AC2-TbTradesBinance[[#This Row],[Qtt]]),IF(TbTradesBinance[[#This Row],[Tipo]]="BUY",AC2-TbTradesBinance[[#This Row],[Qtt]]*TbTradesBinance[[#This Row],[Preço]],AC2+TbTradesBinance[[#This Row],[Qtt]]*TbTradesBinance[[#This Row],[Preço]])),AC2)-IF(TbTradesBinance[[#This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Row],[Tipo]]="DROP"),AC2+TbTradesBinance[[#This Row],[Qtt]],AC2-TbTradesBinance[[#This Row],[Qtt]]),IF(TbTradesBinance[[#This Row],[Tipo]]="BUY",AC2-TbTradesBinance[[#This Row],[Qtt]]*TbTradesBinance[[#This Row],[Preço]],AC2+TbTradesBinance[[#This Row],[Qtt]]*TbTradesBinance[[#This Row],[Preço]])),AC2)-IF(TbTradesBinance[[#This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Row],[Tipo]]="DROP"),AC2+TbTradesBinance[[#This Row],[Qtt]],AC2-TbTradesBinance[[#This Row],[Qtt]]),IF(TbTradesBinance[[#This Row],[Tipo]]="BUY",AC2-TbTradesBinance[[#This Row],[Qtt]]*TbTradesBinance[[#This Row],[Preço]],AC2+TbTradesBinance[[#This Row],[Qtt]]*TbTradesBinance[[#This Row],[Preço]])),AC2)-IF(TbTradesBinance[[#This Row],[Moeda da Taxa]]=MID(AC$1,9,5),TbTradesBinance[[#This Row],[Taxa]],0),8)))</f>
        <v>0</v>
      </c>
      <c r="AD3" s="145" cm="1">
        <f t="array" ref="AD3">IF(TbTradesBinance[[#This Row],[Tipo]]="EMPTY",0,AD2+IF(TbTradesBinance[[#This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Row],[Par]]))),$1:$1,0)),-(AC2-AC3)/AC2*AD2),0),0)+IF(TbTradesBinance[[#This Row],[Tipo]]="SELL",IF(ISNUMBER(FIND(MID(AD$1,10,5),TbTradesBinance[[#This Row],[Par]])),IF(FIND(MID(AD$1,10,5),TbTradesBinance[[#This Row],[Par]])=1, -(AC2-AC3)/AC2*AD2,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Row],[Par]])),(-(AC2-AC3)/AC2*AD2)+IF(TbTradesBinance[[#This Row],[Resultado]]&gt;0,0,TbTradesBinance[[#This Row],[Taxa]]),0),0))</f>
        <v>0</v>
      </c>
      <c r="AE3" s="145">
        <f t="shared" si="6"/>
        <v>0</v>
      </c>
      <c r="AF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Row],[Tipo]]="DROP"),AF2+TbTradesBinance[[#This Row],[Qtt]],AF2-TbTradesBinance[[#This Row],[Qtt]]),IF(TbTradesBinance[[#This Row],[Tipo]]="BUY",AF2-TbTradesBinance[[#This Row],[Qtt]]*TbTradesBinance[[#This Row],[Preço]],AF2+TbTradesBinance[[#This Row],[Qtt]]*TbTradesBinance[[#This Row],[Preço]])),AF2)-IF(TbTradesBinance[[#This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Row],[Tipo]]="DROP"),AF2+TbTradesBinance[[#This Row],[Qtt]],AF2-TbTradesBinance[[#This Row],[Qtt]]),IF(TbTradesBinance[[#This Row],[Tipo]]="BUY",AF2-TbTradesBinance[[#This Row],[Qtt]]*TbTradesBinance[[#This Row],[Preço]],AF2+TbTradesBinance[[#This Row],[Qtt]]*TbTradesBinance[[#This Row],[Preço]])),AF2)-IF(TbTradesBinance[[#This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Row],[Tipo]]="DROP"),AF2+TbTradesBinance[[#This Row],[Qtt]],AF2-TbTradesBinance[[#This Row],[Qtt]]),IF(TbTradesBinance[[#This Row],[Tipo]]="BUY",AF2-TbTradesBinance[[#This Row],[Qtt]]*TbTradesBinance[[#This Row],[Preço]],AF2+TbTradesBinance[[#This Row],[Qtt]]*TbTradesBinance[[#This Row],[Preço]])),AF2)-IF(TbTradesBinance[[#This Row],[Moeda da Taxa]]=MID(AF$1,9,5),TbTradesBinance[[#This Row],[Taxa]],0),8)))</f>
        <v>0</v>
      </c>
      <c r="AG3" s="145" cm="1">
        <f t="array" ref="AG3">IF(TbTradesBinance[[#This Row],[Tipo]]="EMPTY",0,AG2+IF(TbTradesBinance[[#This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Row],[Par]]))),$1:$1,0)),-(AF2-AF3)/AF2*AG2),0),0)+IF(TbTradesBinance[[#This Row],[Tipo]]="SELL",IF(ISNUMBER(FIND(MID(AG$1,10,5),TbTradesBinance[[#This Row],[Par]])),IF(FIND(MID(AG$1,10,5),TbTradesBinance[[#This Row],[Par]])=1, -(AF2-AF3)/AF2*AG2,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Row],[Par]])),(-(AF2-AF3)/AF2*AG2)+IF(TbTradesBinance[[#This Row],[Resultado]]&gt;0,0,TbTradesBinance[[#This Row],[Taxa]]),0),0))</f>
        <v>0</v>
      </c>
      <c r="AH3" s="145">
        <f t="shared" si="7"/>
        <v>0</v>
      </c>
      <c r="AI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Row],[Tipo]]="DROP"),AI2+TbTradesBinance[[#This Row],[Qtt]],AI2-TbTradesBinance[[#This Row],[Qtt]]),IF(TbTradesBinance[[#This Row],[Tipo]]="BUY",AI2-TbTradesBinance[[#This Row],[Qtt]]*TbTradesBinance[[#This Row],[Preço]],AI2+TbTradesBinance[[#This Row],[Qtt]]*TbTradesBinance[[#This Row],[Preço]])),AI2)-IF(TbTradesBinance[[#This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Row],[Tipo]]="DROP"),AI2+TbTradesBinance[[#This Row],[Qtt]],AI2-TbTradesBinance[[#This Row],[Qtt]]),IF(TbTradesBinance[[#This Row],[Tipo]]="BUY",AI2-TbTradesBinance[[#This Row],[Qtt]]*TbTradesBinance[[#This Row],[Preço]],AI2+TbTradesBinance[[#This Row],[Qtt]]*TbTradesBinance[[#This Row],[Preço]])),AI2)-IF(TbTradesBinance[[#This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Row],[Tipo]]="DROP"),AI2+TbTradesBinance[[#This Row],[Qtt]],AI2-TbTradesBinance[[#This Row],[Qtt]]),IF(TbTradesBinance[[#This Row],[Tipo]]="BUY",AI2-TbTradesBinance[[#This Row],[Qtt]]*TbTradesBinance[[#This Row],[Preço]],AI2+TbTradesBinance[[#This Row],[Qtt]]*TbTradesBinance[[#This Row],[Preço]])),AI2)-IF(TbTradesBinance[[#This Row],[Moeda da Taxa]]=MID(AI$1,9,5),TbTradesBinance[[#This Row],[Taxa]],0),8)))</f>
        <v>0</v>
      </c>
      <c r="AJ3" s="145" cm="1">
        <f t="array" ref="AJ3">IF(TbTradesBinance[[#This Row],[Tipo]]="EMPTY",0,AJ2+IF(TbTradesBinance[[#This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Row],[Par]]))),$1:$1,0)),-(AI2-AI3)/AI2*AJ2),0),0)+IF(TbTradesBinance[[#This Row],[Tipo]]="SELL",IF(ISNUMBER(FIND(MID(AJ$1,10,5),TbTradesBinance[[#This Row],[Par]])),IF(FIND(MID(AJ$1,10,5),TbTradesBinance[[#This Row],[Par]])=1, -(AI2-AI3)/AI2*AJ2,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Row],[Par]])),(-(AI2-AI3)/AI2*AJ2)+IF(TbTradesBinance[[#This Row],[Resultado]]&gt;0,0,TbTradesBinance[[#This Row],[Taxa]]),0),0))</f>
        <v>0</v>
      </c>
      <c r="AK3" s="145">
        <f t="shared" si="8"/>
        <v>0</v>
      </c>
      <c r="AL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Row],[Tipo]]="DROP"),AL2+TbTradesBinance[[#This Row],[Qtt]],AL2-TbTradesBinance[[#This Row],[Qtt]]),IF(TbTradesBinance[[#This Row],[Tipo]]="BUY",AL2-TbTradesBinance[[#This Row],[Qtt]]*TbTradesBinance[[#This Row],[Preço]],AL2+TbTradesBinance[[#This Row],[Qtt]]*TbTradesBinance[[#This Row],[Preço]])),AL2)-IF(TbTradesBinance[[#This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Row],[Tipo]]="DROP"),AL2+TbTradesBinance[[#This Row],[Qtt]],AL2-TbTradesBinance[[#This Row],[Qtt]]),IF(TbTradesBinance[[#This Row],[Tipo]]="BUY",AL2-TbTradesBinance[[#This Row],[Qtt]]*TbTradesBinance[[#This Row],[Preço]],AL2+TbTradesBinance[[#This Row],[Qtt]]*TbTradesBinance[[#This Row],[Preço]])),AL2)-IF(TbTradesBinance[[#This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Row],[Tipo]]="DROP"),AL2+TbTradesBinance[[#This Row],[Qtt]],AL2-TbTradesBinance[[#This Row],[Qtt]]),IF(TbTradesBinance[[#This Row],[Tipo]]="BUY",AL2-TbTradesBinance[[#This Row],[Qtt]]*TbTradesBinance[[#This Row],[Preço]],AL2+TbTradesBinance[[#This Row],[Qtt]]*TbTradesBinance[[#This Row],[Preço]])),AL2)-IF(TbTradesBinance[[#This Row],[Moeda da Taxa]]=MID(AL$1,9,5),TbTradesBinance[[#This Row],[Taxa]],0),8)))</f>
        <v>0</v>
      </c>
      <c r="AM3" s="145" cm="1">
        <f t="array" ref="AM3">IF(TbTradesBinance[[#This Row],[Tipo]]="EMPTY",0,AM2+IF(TbTradesBinance[[#This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Row],[Par]]))),$1:$1,0)),-(AL2-AL3)/AL2*AM2),0),0)+IF(TbTradesBinance[[#This Row],[Tipo]]="SELL",IF(ISNUMBER(FIND(MID(AM$1,10,5),TbTradesBinance[[#This Row],[Par]])),IF(FIND(MID(AM$1,10,5),TbTradesBinance[[#This Row],[Par]])=1, -(AL2-AL3)/AL2*AM2,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Row],[Par]])),(-(AL2-AL3)/AL2*AM2)+IF(TbTradesBinance[[#This Row],[Resultado]]&gt;0,0,TbTradesBinance[[#This Row],[Taxa]]),0),0))</f>
        <v>0</v>
      </c>
      <c r="AN3" s="145">
        <f t="shared" si="9"/>
        <v>0</v>
      </c>
      <c r="AO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Row],[Tipo]]="DROP"),AO2+TbTradesBinance[[#This Row],[Qtt]],AO2-TbTradesBinance[[#This Row],[Qtt]]),IF(TbTradesBinance[[#This Row],[Tipo]]="BUY",AO2-TbTradesBinance[[#This Row],[Qtt]]*TbTradesBinance[[#This Row],[Preço]],AO2+TbTradesBinance[[#This Row],[Qtt]]*TbTradesBinance[[#This Row],[Preço]])),AO2)-IF(TbTradesBinance[[#This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Row],[Tipo]]="DROP"),AO2+TbTradesBinance[[#This Row],[Qtt]],AO2-TbTradesBinance[[#This Row],[Qtt]]),IF(TbTradesBinance[[#This Row],[Tipo]]="BUY",AO2-TbTradesBinance[[#This Row],[Qtt]]*TbTradesBinance[[#This Row],[Preço]],AO2+TbTradesBinance[[#This Row],[Qtt]]*TbTradesBinance[[#This Row],[Preço]])),AO2)-IF(TbTradesBinance[[#This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Row],[Tipo]]="DROP"),AO2+TbTradesBinance[[#This Row],[Qtt]],AO2-TbTradesBinance[[#This Row],[Qtt]]),IF(TbTradesBinance[[#This Row],[Tipo]]="BUY",AO2-TbTradesBinance[[#This Row],[Qtt]]*TbTradesBinance[[#This Row],[Preço]],AO2+TbTradesBinance[[#This Row],[Qtt]]*TbTradesBinance[[#This Row],[Preço]])),AO2)-IF(TbTradesBinance[[#This Row],[Moeda da Taxa]]=MID(AO$1,9,5),TbTradesBinance[[#This Row],[Taxa]],0),8)))</f>
        <v>0</v>
      </c>
      <c r="AP3" s="145" cm="1">
        <f t="array" ref="AP3">IF(TbTradesBinance[[#This Row],[Tipo]]="EMPTY",0,AP2+IF(TbTradesBinance[[#This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Row],[Par]]))),$1:$1,0)),-(AO2-AO3)/AO2*AP2),0),0)+IF(TbTradesBinance[[#This Row],[Tipo]]="SELL",IF(ISNUMBER(FIND(MID(AP$1,10,5),TbTradesBinance[[#This Row],[Par]])),IF(FIND(MID(AP$1,10,5),TbTradesBinance[[#This Row],[Par]])=1, -(AO2-AO3)/AO2*AP2,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Row],[Par]])),(-(AO2-AO3)/AO2*AP2)+IF(TbTradesBinance[[#This Row],[Resultado]]&gt;0,0,TbTradesBinance[[#This Row],[Taxa]]),0),0))</f>
        <v>0</v>
      </c>
      <c r="AQ3" s="145">
        <f t="shared" si="10"/>
        <v>0</v>
      </c>
      <c r="AR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Row],[Tipo]]="DROP"),AR2+TbTradesBinance[[#This Row],[Qtt]],AR2-TbTradesBinance[[#This Row],[Qtt]]),IF(TbTradesBinance[[#This Row],[Tipo]]="BUY",AR2-TbTradesBinance[[#This Row],[Qtt]]*TbTradesBinance[[#This Row],[Preço]],AR2+TbTradesBinance[[#This Row],[Qtt]]*TbTradesBinance[[#This Row],[Preço]])),AR2)-IF(TbTradesBinance[[#This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Row],[Tipo]]="DROP"),AR2+TbTradesBinance[[#This Row],[Qtt]],AR2-TbTradesBinance[[#This Row],[Qtt]]),IF(TbTradesBinance[[#This Row],[Tipo]]="BUY",AR2-TbTradesBinance[[#This Row],[Qtt]]*TbTradesBinance[[#This Row],[Preço]],AR2+TbTradesBinance[[#This Row],[Qtt]]*TbTradesBinance[[#This Row],[Preço]])),AR2)-IF(TbTradesBinance[[#This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Row],[Tipo]]="DROP"),AR2+TbTradesBinance[[#This Row],[Qtt]],AR2-TbTradesBinance[[#This Row],[Qtt]]),IF(TbTradesBinance[[#This Row],[Tipo]]="BUY",AR2-TbTradesBinance[[#This Row],[Qtt]]*TbTradesBinance[[#This Row],[Preço]],AR2+TbTradesBinance[[#This Row],[Qtt]]*TbTradesBinance[[#This Row],[Preço]])),AR2)-IF(TbTradesBinance[[#This Row],[Moeda da Taxa]]=MID(AR$1,9,5),TbTradesBinance[[#This Row],[Taxa]],0),8)))</f>
        <v>0</v>
      </c>
      <c r="AS3" s="145" cm="1">
        <f t="array" ref="AS3">IF(TbTradesBinance[[#This Row],[Tipo]]="EMPTY",0,AS2+IF(TbTradesBinance[[#This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Row],[Par]]))),$1:$1,0)),-(AR2-AR3)/AR2*AS2),0),0)+IF(TbTradesBinance[[#This Row],[Tipo]]="SELL",IF(ISNUMBER(FIND(MID(AS$1,10,5),TbTradesBinance[[#This Row],[Par]])),IF(FIND(MID(AS$1,10,5),TbTradesBinance[[#This Row],[Par]])=1, -(AR2-AR3)/AR2*AS2,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Row],[Par]])),(-(AR2-AR3)/AR2*AS2)+IF(TbTradesBinance[[#This Row],[Resultado]]&gt;0,0,TbTradesBinance[[#This Row],[Taxa]]),0),0))</f>
        <v>0</v>
      </c>
      <c r="AT3" s="145">
        <f t="shared" si="11"/>
        <v>0</v>
      </c>
      <c r="AU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Row],[Tipo]]="DROP"),AU2+TbTradesBinance[[#This Row],[Qtt]],AU2-TbTradesBinance[[#This Row],[Qtt]]),IF(TbTradesBinance[[#This Row],[Tipo]]="BUY",AU2-TbTradesBinance[[#This Row],[Qtt]]*TbTradesBinance[[#This Row],[Preço]],AU2+TbTradesBinance[[#This Row],[Qtt]]*TbTradesBinance[[#This Row],[Preço]])),AU2)-IF(TbTradesBinance[[#This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Row],[Tipo]]="DROP"),AU2+TbTradesBinance[[#This Row],[Qtt]],AU2-TbTradesBinance[[#This Row],[Qtt]]),IF(TbTradesBinance[[#This Row],[Tipo]]="BUY",AU2-TbTradesBinance[[#This Row],[Qtt]]*TbTradesBinance[[#This Row],[Preço]],AU2+TbTradesBinance[[#This Row],[Qtt]]*TbTradesBinance[[#This Row],[Preço]])),AU2)-IF(TbTradesBinance[[#This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Row],[Tipo]]="DROP"),AU2+TbTradesBinance[[#This Row],[Qtt]],AU2-TbTradesBinance[[#This Row],[Qtt]]),IF(TbTradesBinance[[#This Row],[Tipo]]="BUY",AU2-TbTradesBinance[[#This Row],[Qtt]]*TbTradesBinance[[#This Row],[Preço]],AU2+TbTradesBinance[[#This Row],[Qtt]]*TbTradesBinance[[#This Row],[Preço]])),AU2)-IF(TbTradesBinance[[#This Row],[Moeda da Taxa]]=MID(AU$1,9,5),TbTradesBinance[[#This Row],[Taxa]],0),8)))</f>
        <v>0</v>
      </c>
      <c r="AV3" s="145" cm="1">
        <f t="array" ref="AV3">IF(TbTradesBinance[[#This Row],[Tipo]]="EMPTY",0,AV2+IF(TbTradesBinance[[#This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Row],[Par]]))),$1:$1,0)),-(AU2-AU3)/AU2*AV2),0),0)+IF(TbTradesBinance[[#This Row],[Tipo]]="SELL",IF(ISNUMBER(FIND(MID(AV$1,10,5),TbTradesBinance[[#This Row],[Par]])),IF(FIND(MID(AV$1,10,5),TbTradesBinance[[#This Row],[Par]])=1, -(AU2-AU3)/AU2*AV2,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Row],[Par]])),(-(AU2-AU3)/AU2*AV2)+IF(TbTradesBinance[[#This Row],[Resultado]]&gt;0,0,TbTradesBinance[[#This Row],[Taxa]]),0),0))</f>
        <v>0</v>
      </c>
      <c r="AW3" s="145">
        <f t="shared" si="12"/>
        <v>0</v>
      </c>
      <c r="AX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Row],[Tipo]]="DROP"),AX2+TbTradesBinance[[#This Row],[Qtt]],AX2-TbTradesBinance[[#This Row],[Qtt]]),IF(TbTradesBinance[[#This Row],[Tipo]]="BUY",AX2-TbTradesBinance[[#This Row],[Qtt]]*TbTradesBinance[[#This Row],[Preço]],AX2+TbTradesBinance[[#This Row],[Qtt]]*TbTradesBinance[[#This Row],[Preço]])),AX2)-IF(TbTradesBinance[[#This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Row],[Tipo]]="DROP"),AX2+TbTradesBinance[[#This Row],[Qtt]],AX2-TbTradesBinance[[#This Row],[Qtt]]),IF(TbTradesBinance[[#This Row],[Tipo]]="BUY",AX2-TbTradesBinance[[#This Row],[Qtt]]*TbTradesBinance[[#This Row],[Preço]],AX2+TbTradesBinance[[#This Row],[Qtt]]*TbTradesBinance[[#This Row],[Preço]])),AX2)-IF(TbTradesBinance[[#This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Row],[Tipo]]="DROP"),AX2+TbTradesBinance[[#This Row],[Qtt]],AX2-TbTradesBinance[[#This Row],[Qtt]]),IF(TbTradesBinance[[#This Row],[Tipo]]="BUY",AX2-TbTradesBinance[[#This Row],[Qtt]]*TbTradesBinance[[#This Row],[Preço]],AX2+TbTradesBinance[[#This Row],[Qtt]]*TbTradesBinance[[#This Row],[Preço]])),AX2)-IF(TbTradesBinance[[#This Row],[Moeda da Taxa]]=MID(AX$1,9,5),TbTradesBinance[[#This Row],[Taxa]],0),8)))</f>
        <v>0</v>
      </c>
      <c r="AY3" s="145" cm="1">
        <f t="array" ref="AY3">IF(TbTradesBinance[[#This Row],[Tipo]]="EMPTY",0,AY2+IF(TbTradesBinance[[#This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Row],[Par]]))),$1:$1,0)),-(AX2-AX3)/AX2*AY2),0),0)+IF(TbTradesBinance[[#This Row],[Tipo]]="SELL",IF(ISNUMBER(FIND(MID(AY$1,10,5),TbTradesBinance[[#This Row],[Par]])),IF(FIND(MID(AY$1,10,5),TbTradesBinance[[#This Row],[Par]])=1, -(AX2-AX3)/AX2*AY2,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Row],[Par]])),(-(AX2-AX3)/AX2*AY2)+IF(TbTradesBinance[[#This Row],[Resultado]]&gt;0,0,TbTradesBinance[[#This Row],[Taxa]]),0),0))</f>
        <v>0</v>
      </c>
      <c r="AZ3" s="145">
        <f t="shared" si="13"/>
        <v>0</v>
      </c>
      <c r="BA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Row],[Tipo]]="DROP"),BA2+TbTradesBinance[[#This Row],[Qtt]],BA2-TbTradesBinance[[#This Row],[Qtt]]),IF(TbTradesBinance[[#This Row],[Tipo]]="BUY",BA2-TbTradesBinance[[#This Row],[Qtt]]*TbTradesBinance[[#This Row],[Preço]],BA2+TbTradesBinance[[#This Row],[Qtt]]*TbTradesBinance[[#This Row],[Preço]])),BA2)-IF(TbTradesBinance[[#This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Row],[Tipo]]="DROP"),BA2+TbTradesBinance[[#This Row],[Qtt]],BA2-TbTradesBinance[[#This Row],[Qtt]]),IF(TbTradesBinance[[#This Row],[Tipo]]="BUY",BA2-TbTradesBinance[[#This Row],[Qtt]]*TbTradesBinance[[#This Row],[Preço]],BA2+TbTradesBinance[[#This Row],[Qtt]]*TbTradesBinance[[#This Row],[Preço]])),BA2)-IF(TbTradesBinance[[#This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Row],[Tipo]]="DROP"),BA2+TbTradesBinance[[#This Row],[Qtt]],BA2-TbTradesBinance[[#This Row],[Qtt]]),IF(TbTradesBinance[[#This Row],[Tipo]]="BUY",BA2-TbTradesBinance[[#This Row],[Qtt]]*TbTradesBinance[[#This Row],[Preço]],BA2+TbTradesBinance[[#This Row],[Qtt]]*TbTradesBinance[[#This Row],[Preço]])),BA2)-IF(TbTradesBinance[[#This Row],[Moeda da Taxa]]=MID(BA$1,9,5),TbTradesBinance[[#This Row],[Taxa]],0),8)))</f>
        <v>0</v>
      </c>
      <c r="BB3" s="145" cm="1">
        <f t="array" ref="BB3">IF(TbTradesBinance[[#This Row],[Tipo]]="EMPTY",0,BB2+IF(TbTradesBinance[[#This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Row],[Par]]))),$1:$1,0)),-(BA2-BA3)/BA2*BB2),0),0)+IF(TbTradesBinance[[#This Row],[Tipo]]="SELL",IF(ISNUMBER(FIND(MID(BB$1,10,5),TbTradesBinance[[#This Row],[Par]])),IF(FIND(MID(BB$1,10,5),TbTradesBinance[[#This Row],[Par]])=1, -(BA2-BA3)/BA2*BB2,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Row],[Par]])),(-(BA2-BA3)/BA2*BB2)+IF(TbTradesBinance[[#This Row],[Resultado]]&gt;0,0,TbTradesBinance[[#This Row],[Taxa]]),0),0))</f>
        <v>0</v>
      </c>
      <c r="BC3" s="145">
        <f t="shared" si="14"/>
        <v>0</v>
      </c>
      <c r="BD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Row],[Tipo]]="DROP"),BD2+TbTradesBinance[[#This Row],[Qtt]],BD2-TbTradesBinance[[#This Row],[Qtt]]),IF(TbTradesBinance[[#This Row],[Tipo]]="BUY",BD2-TbTradesBinance[[#This Row],[Qtt]]*TbTradesBinance[[#This Row],[Preço]],BD2+TbTradesBinance[[#This Row],[Qtt]]*TbTradesBinance[[#This Row],[Preço]])),BD2)-IF(TbTradesBinance[[#This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Row],[Tipo]]="DROP"),BD2+TbTradesBinance[[#This Row],[Qtt]],BD2-TbTradesBinance[[#This Row],[Qtt]]),IF(TbTradesBinance[[#This Row],[Tipo]]="BUY",BD2-TbTradesBinance[[#This Row],[Qtt]]*TbTradesBinance[[#This Row],[Preço]],BD2+TbTradesBinance[[#This Row],[Qtt]]*TbTradesBinance[[#This Row],[Preço]])),BD2)-IF(TbTradesBinance[[#This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Row],[Tipo]]="DROP"),BD2+TbTradesBinance[[#This Row],[Qtt]],BD2-TbTradesBinance[[#This Row],[Qtt]]),IF(TbTradesBinance[[#This Row],[Tipo]]="BUY",BD2-TbTradesBinance[[#This Row],[Qtt]]*TbTradesBinance[[#This Row],[Preço]],BD2+TbTradesBinance[[#This Row],[Qtt]]*TbTradesBinance[[#This Row],[Preço]])),BD2)-IF(TbTradesBinance[[#This Row],[Moeda da Taxa]]=MID(BD$1,9,5),TbTradesBinance[[#This Row],[Taxa]],0),8)))</f>
        <v>0</v>
      </c>
      <c r="BE3" s="145" cm="1">
        <f t="array" ref="BE3">IF(TbTradesBinance[[#This Row],[Tipo]]="EMPTY",0,BE2+IF(TbTradesBinance[[#This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Row],[Par]]))),$1:$1,0)),-(BD2-BD3)/BD2*BE2),0),0)+IF(TbTradesBinance[[#This Row],[Tipo]]="SELL",IF(ISNUMBER(FIND(MID(BE$1,10,5),TbTradesBinance[[#This Row],[Par]])),IF(FIND(MID(BE$1,10,5),TbTradesBinance[[#This Row],[Par]])=1, -(BD2-BD3)/BD2*BE2,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Row],[Par]])),(-(BD2-BD3)/BD2*BE2)+IF(TbTradesBinance[[#This Row],[Resultado]]&gt;0,0,TbTradesBinance[[#This Row],[Taxa]]),0),0))</f>
        <v>0</v>
      </c>
      <c r="BF3" s="145">
        <f t="shared" si="15"/>
        <v>0</v>
      </c>
      <c r="BG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Row],[Tipo]]="DROP"),BG2+TbTradesBinance[[#This Row],[Qtt]],BG2-TbTradesBinance[[#This Row],[Qtt]]),IF(TbTradesBinance[[#This Row],[Tipo]]="BUY",BG2-TbTradesBinance[[#This Row],[Qtt]]*TbTradesBinance[[#This Row],[Preço]],BG2+TbTradesBinance[[#This Row],[Qtt]]*TbTradesBinance[[#This Row],[Preço]])),BG2)-IF(TbTradesBinance[[#This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Row],[Tipo]]="DROP"),BG2+TbTradesBinance[[#This Row],[Qtt]],BG2-TbTradesBinance[[#This Row],[Qtt]]),IF(TbTradesBinance[[#This Row],[Tipo]]="BUY",BG2-TbTradesBinance[[#This Row],[Qtt]]*TbTradesBinance[[#This Row],[Preço]],BG2+TbTradesBinance[[#This Row],[Qtt]]*TbTradesBinance[[#This Row],[Preço]])),BG2)-IF(TbTradesBinance[[#This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Row],[Tipo]]="DROP"),BG2+TbTradesBinance[[#This Row],[Qtt]],BG2-TbTradesBinance[[#This Row],[Qtt]]),IF(TbTradesBinance[[#This Row],[Tipo]]="BUY",BG2-TbTradesBinance[[#This Row],[Qtt]]*TbTradesBinance[[#This Row],[Preço]],BG2+TbTradesBinance[[#This Row],[Qtt]]*TbTradesBinance[[#This Row],[Preço]])),BG2)-IF(TbTradesBinance[[#This Row],[Moeda da Taxa]]=MID(BG$1,9,5),TbTradesBinance[[#This Row],[Taxa]],0),8)))</f>
        <v>0</v>
      </c>
      <c r="BH3" s="145" cm="1">
        <f t="array" ref="BH3">IF(TbTradesBinance[[#This Row],[Tipo]]="EMPTY",0,BH2+IF(TbTradesBinance[[#This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Row],[Par]]))),$1:$1,0)),-(BG2-BG3)/BG2*BH2),0),0)+IF(TbTradesBinance[[#This Row],[Tipo]]="SELL",IF(ISNUMBER(FIND(MID(BH$1,10,5),TbTradesBinance[[#This Row],[Par]])),IF(FIND(MID(BH$1,10,5),TbTradesBinance[[#This Row],[Par]])=1, -(BG2-BG3)/BG2*BH2,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Row],[Par]])),(-(BG2-BG3)/BG2*BH2)+IF(TbTradesBinance[[#This Row],[Resultado]]&gt;0,0,TbTradesBinance[[#This Row],[Taxa]]),0),0))</f>
        <v>0</v>
      </c>
      <c r="BI3" s="145">
        <f t="shared" si="16"/>
        <v>0</v>
      </c>
      <c r="BJ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Row],[Tipo]]="DROP"),BJ2+TbTradesBinance[[#This Row],[Qtt]],BJ2-TbTradesBinance[[#This Row],[Qtt]]),IF(TbTradesBinance[[#This Row],[Tipo]]="BUY",BJ2-TbTradesBinance[[#This Row],[Qtt]]*TbTradesBinance[[#This Row],[Preço]],BJ2+TbTradesBinance[[#This Row],[Qtt]]*TbTradesBinance[[#This Row],[Preço]])),BJ2)-IF(TbTradesBinance[[#This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Row],[Tipo]]="DROP"),BJ2+TbTradesBinance[[#This Row],[Qtt]],BJ2-TbTradesBinance[[#This Row],[Qtt]]),IF(TbTradesBinance[[#This Row],[Tipo]]="BUY",BJ2-TbTradesBinance[[#This Row],[Qtt]]*TbTradesBinance[[#This Row],[Preço]],BJ2+TbTradesBinance[[#This Row],[Qtt]]*TbTradesBinance[[#This Row],[Preço]])),BJ2)-IF(TbTradesBinance[[#This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Row],[Tipo]]="DROP"),BJ2+TbTradesBinance[[#This Row],[Qtt]],BJ2-TbTradesBinance[[#This Row],[Qtt]]),IF(TbTradesBinance[[#This Row],[Tipo]]="BUY",BJ2-TbTradesBinance[[#This Row],[Qtt]]*TbTradesBinance[[#This Row],[Preço]],BJ2+TbTradesBinance[[#This Row],[Qtt]]*TbTradesBinance[[#This Row],[Preço]])),BJ2)-IF(TbTradesBinance[[#This Row],[Moeda da Taxa]]=MID(BJ$1,9,5),TbTradesBinance[[#This Row],[Taxa]],0),8)))</f>
        <v>0</v>
      </c>
      <c r="BK3" s="145" cm="1">
        <f t="array" ref="BK3">IF(TbTradesBinance[[#This Row],[Tipo]]="EMPTY",0,BK2+IF(TbTradesBinance[[#This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Row],[Par]]))),$1:$1,0)),-(BJ2-BJ3)/BJ2*BK2),0),0)+IF(TbTradesBinance[[#This Row],[Tipo]]="SELL",IF(ISNUMBER(FIND(MID(BK$1,10,5),TbTradesBinance[[#This Row],[Par]])),IF(FIND(MID(BK$1,10,5),TbTradesBinance[[#This Row],[Par]])=1, -(BJ2-BJ3)/BJ2*BK2,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Row],[Par]])),(-(BJ2-BJ3)/BJ2*BK2)+IF(TbTradesBinance[[#This Row],[Resultado]]&gt;0,0,TbTradesBinance[[#This Row],[Taxa]]),0),0))</f>
        <v>0</v>
      </c>
      <c r="BL3" s="145">
        <f t="shared" si="17"/>
        <v>0</v>
      </c>
      <c r="BM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Row],[Tipo]]="DROP"),BM2+TbTradesBinance[[#This Row],[Qtt]],BM2-TbTradesBinance[[#This Row],[Qtt]]),IF(TbTradesBinance[[#This Row],[Tipo]]="BUY",BM2-TbTradesBinance[[#This Row],[Qtt]]*TbTradesBinance[[#This Row],[Preço]],BM2+TbTradesBinance[[#This Row],[Qtt]]*TbTradesBinance[[#This Row],[Preço]])),BM2)-IF(TbTradesBinance[[#This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Row],[Tipo]]="DROP"),BM2+TbTradesBinance[[#This Row],[Qtt]],BM2-TbTradesBinance[[#This Row],[Qtt]]),IF(TbTradesBinance[[#This Row],[Tipo]]="BUY",BM2-TbTradesBinance[[#This Row],[Qtt]]*TbTradesBinance[[#This Row],[Preço]],BM2+TbTradesBinance[[#This Row],[Qtt]]*TbTradesBinance[[#This Row],[Preço]])),BM2)-IF(TbTradesBinance[[#This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Row],[Tipo]]="DROP"),BM2+TbTradesBinance[[#This Row],[Qtt]],BM2-TbTradesBinance[[#This Row],[Qtt]]),IF(TbTradesBinance[[#This Row],[Tipo]]="BUY",BM2-TbTradesBinance[[#This Row],[Qtt]]*TbTradesBinance[[#This Row],[Preço]],BM2+TbTradesBinance[[#This Row],[Qtt]]*TbTradesBinance[[#This Row],[Preço]])),BM2)-IF(TbTradesBinance[[#This Row],[Moeda da Taxa]]=MID(BM$1,9,5),TbTradesBinance[[#This Row],[Taxa]],0),8)))</f>
        <v>0</v>
      </c>
      <c r="BN3" s="145" cm="1">
        <f t="array" ref="BN3">IF(TbTradesBinance[[#This Row],[Tipo]]="EMPTY",0,BN2+IF(TbTradesBinance[[#This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Row],[Par]]))),$1:$1,0)),-(BM2-BM3)/BM2*BN2),0),0)+IF(TbTradesBinance[[#This Row],[Tipo]]="SELL",IF(ISNUMBER(FIND(MID(BN$1,10,5),TbTradesBinance[[#This Row],[Par]])),IF(FIND(MID(BN$1,10,5),TbTradesBinance[[#This Row],[Par]])=1, -(BM2-BM3)/BM2*BN2,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Row],[Par]])),(-(BM2-BM3)/BM2*BN2)+IF(TbTradesBinance[[#This Row],[Resultado]]&gt;0,0,TbTradesBinance[[#This Row],[Taxa]]),0),0))</f>
        <v>0</v>
      </c>
      <c r="BO3" s="145">
        <f t="shared" si="18"/>
        <v>0</v>
      </c>
    </row>
    <row r="4" spans="1:67" x14ac:dyDescent="0.3">
      <c r="A4" s="169"/>
      <c r="B4" s="51" t="s">
        <v>136</v>
      </c>
      <c r="C4" s="40">
        <f>TRUNC(IF(AND(TbTradesBinance[[#This Row],[Tipo]]="SEND",TbTradesBinance[[#This Row],[Par]]="BRL"),TbTradesBinance[[#This Row],[Qtt]]*(1-P2)-IF(TbTradesBinance[[#This Row],[Moeda da Taxa]]="BRL",TbTradesBinance[[#This Row],[Taxa]],0),0)+IF(AND(TbTradesBinance[[#This Row],[Tipo]]="BURN",TbTradesBinance[[#This Row],[Par]]="BRL"),-TbTradesBinance[[#This Row],[Qtt]]*P2,0),2)</f>
        <v>0</v>
      </c>
      <c r="D4" s="53">
        <v>44234.691076388888</v>
      </c>
      <c r="E4" s="37" t="s">
        <v>50</v>
      </c>
      <c r="F4" s="47" t="s">
        <v>137</v>
      </c>
      <c r="G4" s="38">
        <v>1</v>
      </c>
      <c r="H4" s="38">
        <v>10000</v>
      </c>
      <c r="I4" s="38">
        <v>0</v>
      </c>
      <c r="J4" s="37" t="s">
        <v>50</v>
      </c>
      <c r="K4" s="52">
        <v>1</v>
      </c>
      <c r="L4" s="40">
        <f t="shared" si="0"/>
        <v>1</v>
      </c>
      <c r="M4" s="40">
        <f>IF(OR(TbTradesBinance[[#This Row],[Tipo]]="BUY",TbTradesBinance[[#This Row],[Tipo]]="RECEIVE",TbTradesBinance[[#This Row],[Tipo]]="DROP"),L4*H4,-L4*H4)</f>
        <v>10000</v>
      </c>
      <c r="N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Row],[Tipo]]="DROP"),N3+TbTradesBinance[[#This Row],[Qtt]],N3-TbTradesBinance[[#This Row],[Qtt]]),IF(TbTradesBinance[[#This Row],[Tipo]]="BUY",N3-TbTradesBinance[[#This Row],[Qtt]]*TbTradesBinance[[#This Row],[Preço]],N3+TbTradesBinance[[#This Row],[Qtt]]*TbTradesBinance[[#This Row],[Preço]])),N3)-IF(TbTradesBinance[[#This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Row],[Tipo]]="DROP"),N3+TbTradesBinance[[#This Row],[Qtt]],N3-TbTradesBinance[[#This Row],[Qtt]]),IF(TbTradesBinance[[#This Row],[Tipo]]="BUY",N3-TbTradesBinance[[#This Row],[Qtt]]*TbTradesBinance[[#This Row],[Preço]],N3+TbTradesBinance[[#This Row],[Qtt]]*TbTradesBinance[[#This Row],[Preço]])),N3)-IF(TbTradesBinance[[#This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Row],[Tipo]]="DROP"),N3+TbTradesBinance[[#This Row],[Qtt]],N3-TbTradesBinance[[#This Row],[Qtt]]),IF(TbTradesBinance[[#This Row],[Tipo]]="BUY",N3-TbTradesBinance[[#This Row],[Qtt]]*TbTradesBinance[[#This Row],[Preço]],N3+TbTradesBinance[[#This Row],[Qtt]]*TbTradesBinance[[#This Row],[Preço]])),N3)-IF(TbTradesBinance[[#This Row],[Moeda da Taxa]]=MID(N$1,9,5),TbTradesBinance[[#This Row],[Taxa]],0),8)))</f>
        <v>20000</v>
      </c>
      <c r="O4" s="145" cm="1">
        <f t="array" ref="O4">IF(TbTradesBinance[[#This Row],[Tipo]]="EMPTY",0,O3+IF(TbTradesBinance[[#This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Row],[Par]]))),$1:$1,0)),-(N3-N4)/N3*O3),0),0)+IF(TbTradesBinance[[#This Row],[Tipo]]="SELL",IF(ISNUMBER(FIND(MID(O$1,10,5),TbTradesBinance[[#This Row],[Par]])),IF(FIND(MID(O$1,10,5),TbTradesBinance[[#This Row],[Par]])=1, -(N3-N4)/N3*O3,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Row],[Par]])),(-(N3-N4)/N3*O3)+IF(TbTradesBinance[[#This Row],[Resultado]]&gt;0,0,TbTradesBinance[[#This Row],[Taxa]]),0),0))</f>
        <v>20000</v>
      </c>
      <c r="P4" s="145">
        <f t="shared" si="1"/>
        <v>1</v>
      </c>
      <c r="Q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Row],[Tipo]]="DROP"),Q3+TbTradesBinance[[#This Row],[Qtt]],Q3-TbTradesBinance[[#This Row],[Qtt]]),IF(TbTradesBinance[[#This Row],[Tipo]]="BUY",Q3-TbTradesBinance[[#This Row],[Qtt]]*TbTradesBinance[[#This Row],[Preço]],Q3+TbTradesBinance[[#This Row],[Qtt]]*TbTradesBinance[[#This Row],[Preço]])),Q3)-IF(TbTradesBinance[[#This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Row],[Tipo]]="DROP"),Q3+TbTradesBinance[[#This Row],[Qtt]],Q3-TbTradesBinance[[#This Row],[Qtt]]),IF(TbTradesBinance[[#This Row],[Tipo]]="BUY",Q3-TbTradesBinance[[#This Row],[Qtt]]*TbTradesBinance[[#This Row],[Preço]],Q3+TbTradesBinance[[#This Row],[Qtt]]*TbTradesBinance[[#This Row],[Preço]])),Q3)-IF(TbTradesBinance[[#This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Row],[Tipo]]="DROP"),Q3+TbTradesBinance[[#This Row],[Qtt]],Q3-TbTradesBinance[[#This Row],[Qtt]]),IF(TbTradesBinance[[#This Row],[Tipo]]="BUY",Q3-TbTradesBinance[[#This Row],[Qtt]]*TbTradesBinance[[#This Row],[Preço]],Q3+TbTradesBinance[[#This Row],[Qtt]]*TbTradesBinance[[#This Row],[Preço]])),Q3)-IF(TbTradesBinance[[#This Row],[Moeda da Taxa]]=MID(Q$1,9,5),TbTradesBinance[[#This Row],[Taxa]],0),8)))</f>
        <v>0</v>
      </c>
      <c r="R4" s="145" cm="1">
        <f t="array" ref="R4">IF(TbTradesBinance[[#This Row],[Tipo]]="EMPTY",0,R3+IF(TbTradesBinance[[#This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Row],[Par]]))),$1:$1,0)),-(Q3-Q4)/Q3*R3),0),0)+IF(TbTradesBinance[[#This Row],[Tipo]]="SELL",IF(ISNUMBER(FIND(MID(R$1,10,5),TbTradesBinance[[#This Row],[Par]])),IF(FIND(MID(R$1,10,5),TbTradesBinance[[#This Row],[Par]])=1, -(Q3-Q4)/Q3*R3,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Row],[Par]])),(-(Q3-Q4)/Q3*R3)+IF(TbTradesBinance[[#This Row],[Resultado]]&gt;0,0,TbTradesBinance[[#This Row],[Taxa]]),0),0))</f>
        <v>0</v>
      </c>
      <c r="S4" s="145">
        <f t="shared" si="2"/>
        <v>0</v>
      </c>
      <c r="T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Row],[Tipo]]="DROP"),T3+TbTradesBinance[[#This Row],[Qtt]],T3-TbTradesBinance[[#This Row],[Qtt]]),IF(TbTradesBinance[[#This Row],[Tipo]]="BUY",T3-TbTradesBinance[[#This Row],[Qtt]]*TbTradesBinance[[#This Row],[Preço]],T3+TbTradesBinance[[#This Row],[Qtt]]*TbTradesBinance[[#This Row],[Preço]])),T3)-IF(TbTradesBinance[[#This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Row],[Tipo]]="DROP"),T3+TbTradesBinance[[#This Row],[Qtt]],T3-TbTradesBinance[[#This Row],[Qtt]]),IF(TbTradesBinance[[#This Row],[Tipo]]="BUY",T3-TbTradesBinance[[#This Row],[Qtt]]*TbTradesBinance[[#This Row],[Preço]],T3+TbTradesBinance[[#This Row],[Qtt]]*TbTradesBinance[[#This Row],[Preço]])),T3)-IF(TbTradesBinance[[#This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Row],[Tipo]]="DROP"),T3+TbTradesBinance[[#This Row],[Qtt]],T3-TbTradesBinance[[#This Row],[Qtt]]),IF(TbTradesBinance[[#This Row],[Tipo]]="BUY",T3-TbTradesBinance[[#This Row],[Qtt]]*TbTradesBinance[[#This Row],[Preço]],T3+TbTradesBinance[[#This Row],[Qtt]]*TbTradesBinance[[#This Row],[Preço]])),T3)-IF(TbTradesBinance[[#This Row],[Moeda da Taxa]]=MID(T$1,9,5),TbTradesBinance[[#This Row],[Taxa]],0),8)))</f>
        <v>0</v>
      </c>
      <c r="U4" s="145" cm="1">
        <f t="array" ref="U4">IF(TbTradesBinance[[#This Row],[Tipo]]="EMPTY",0,U3+IF(TbTradesBinance[[#This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Row],[Par]]))),$1:$1,0)),-(T3-T4)/T3*U3),0),0)+IF(TbTradesBinance[[#This Row],[Tipo]]="SELL",IF(ISNUMBER(FIND(MID(U$1,10,5),TbTradesBinance[[#This Row],[Par]])),IF(FIND(MID(U$1,10,5),TbTradesBinance[[#This Row],[Par]])=1, -(T3-T4)/T3*U3,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Row],[Par]])),(-(T3-T4)/T3*U3)+IF(TbTradesBinance[[#This Row],[Resultado]]&gt;0,0,TbTradesBinance[[#This Row],[Taxa]]),0),0))</f>
        <v>0</v>
      </c>
      <c r="V4" s="145">
        <f t="shared" si="3"/>
        <v>0</v>
      </c>
      <c r="W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Row],[Tipo]]="DROP"),W3+TbTradesBinance[[#This Row],[Qtt]],W3-TbTradesBinance[[#This Row],[Qtt]]),IF(TbTradesBinance[[#This Row],[Tipo]]="BUY",W3-TbTradesBinance[[#This Row],[Qtt]]*TbTradesBinance[[#This Row],[Preço]],W3+TbTradesBinance[[#This Row],[Qtt]]*TbTradesBinance[[#This Row],[Preço]])),W3)-IF(TbTradesBinance[[#This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Row],[Tipo]]="DROP"),W3+TbTradesBinance[[#This Row],[Qtt]],W3-TbTradesBinance[[#This Row],[Qtt]]),IF(TbTradesBinance[[#This Row],[Tipo]]="BUY",W3-TbTradesBinance[[#This Row],[Qtt]]*TbTradesBinance[[#This Row],[Preço]],W3+TbTradesBinance[[#This Row],[Qtt]]*TbTradesBinance[[#This Row],[Preço]])),W3)-IF(TbTradesBinance[[#This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Row],[Tipo]]="DROP"),W3+TbTradesBinance[[#This Row],[Qtt]],W3-TbTradesBinance[[#This Row],[Qtt]]),IF(TbTradesBinance[[#This Row],[Tipo]]="BUY",W3-TbTradesBinance[[#This Row],[Qtt]]*TbTradesBinance[[#This Row],[Preço]],W3+TbTradesBinance[[#This Row],[Qtt]]*TbTradesBinance[[#This Row],[Preço]])),W3)-IF(TbTradesBinance[[#This Row],[Moeda da Taxa]]=MID(W$1,9,5),TbTradesBinance[[#This Row],[Taxa]],0),8)))</f>
        <v>0</v>
      </c>
      <c r="X4" s="145" cm="1">
        <f t="array" ref="X4">IF(TbTradesBinance[[#This Row],[Tipo]]="EMPTY",0,X3+IF(TbTradesBinance[[#This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Row],[Par]]))),$1:$1,0)),-(W3-W4)/W3*X3),0),0)+IF(TbTradesBinance[[#This Row],[Tipo]]="SELL",IF(ISNUMBER(FIND(MID(X$1,10,5),TbTradesBinance[[#This Row],[Par]])),IF(FIND(MID(X$1,10,5),TbTradesBinance[[#This Row],[Par]])=1, -(W3-W4)/W3*X3,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Row],[Par]])),(-(W3-W4)/W3*X3)+IF(TbTradesBinance[[#This Row],[Resultado]]&gt;0,0,TbTradesBinance[[#This Row],[Taxa]]),0),0))</f>
        <v>0</v>
      </c>
      <c r="Y4" s="145">
        <f t="shared" si="4"/>
        <v>0</v>
      </c>
      <c r="Z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Row],[Tipo]]="DROP"),Z3+TbTradesBinance[[#This Row],[Qtt]],Z3-TbTradesBinance[[#This Row],[Qtt]]),IF(TbTradesBinance[[#This Row],[Tipo]]="BUY",Z3-TbTradesBinance[[#This Row],[Qtt]]*TbTradesBinance[[#This Row],[Preço]],Z3+TbTradesBinance[[#This Row],[Qtt]]*TbTradesBinance[[#This Row],[Preço]])),Z3)-IF(TbTradesBinance[[#This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Row],[Tipo]]="DROP"),Z3+TbTradesBinance[[#This Row],[Qtt]],Z3-TbTradesBinance[[#This Row],[Qtt]]),IF(TbTradesBinance[[#This Row],[Tipo]]="BUY",Z3-TbTradesBinance[[#This Row],[Qtt]]*TbTradesBinance[[#This Row],[Preço]],Z3+TbTradesBinance[[#This Row],[Qtt]]*TbTradesBinance[[#This Row],[Preço]])),Z3)-IF(TbTradesBinance[[#This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Row],[Tipo]]="DROP"),Z3+TbTradesBinance[[#This Row],[Qtt]],Z3-TbTradesBinance[[#This Row],[Qtt]]),IF(TbTradesBinance[[#This Row],[Tipo]]="BUY",Z3-TbTradesBinance[[#This Row],[Qtt]]*TbTradesBinance[[#This Row],[Preço]],Z3+TbTradesBinance[[#This Row],[Qtt]]*TbTradesBinance[[#This Row],[Preço]])),Z3)-IF(TbTradesBinance[[#This Row],[Moeda da Taxa]]=MID(Z$1,9,5),TbTradesBinance[[#This Row],[Taxa]],0),8)))</f>
        <v>0</v>
      </c>
      <c r="AA4" s="145" cm="1">
        <f t="array" ref="AA4">IF(TbTradesBinance[[#This Row],[Tipo]]="EMPTY",0,AA3+IF(TbTradesBinance[[#This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Row],[Par]]))),$1:$1,0)),-(Z3-Z4)/Z3*AA3),0),0)+IF(TbTradesBinance[[#This Row],[Tipo]]="SELL",IF(ISNUMBER(FIND(MID(AA$1,10,5),TbTradesBinance[[#This Row],[Par]])),IF(FIND(MID(AA$1,10,5),TbTradesBinance[[#This Row],[Par]])=1, -(Z3-Z4)/Z3*AA3,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Row],[Par]])),(-(Z3-Z4)/Z3*AA3)+IF(TbTradesBinance[[#This Row],[Resultado]]&gt;0,0,TbTradesBinance[[#This Row],[Taxa]]),0),0))</f>
        <v>0</v>
      </c>
      <c r="AB4" s="145">
        <f t="shared" si="5"/>
        <v>0</v>
      </c>
      <c r="AC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Row],[Tipo]]="DROP"),AC3+TbTradesBinance[[#This Row],[Qtt]],AC3-TbTradesBinance[[#This Row],[Qtt]]),IF(TbTradesBinance[[#This Row],[Tipo]]="BUY",AC3-TbTradesBinance[[#This Row],[Qtt]]*TbTradesBinance[[#This Row],[Preço]],AC3+TbTradesBinance[[#This Row],[Qtt]]*TbTradesBinance[[#This Row],[Preço]])),AC3)-IF(TbTradesBinance[[#This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Row],[Tipo]]="DROP"),AC3+TbTradesBinance[[#This Row],[Qtt]],AC3-TbTradesBinance[[#This Row],[Qtt]]),IF(TbTradesBinance[[#This Row],[Tipo]]="BUY",AC3-TbTradesBinance[[#This Row],[Qtt]]*TbTradesBinance[[#This Row],[Preço]],AC3+TbTradesBinance[[#This Row],[Qtt]]*TbTradesBinance[[#This Row],[Preço]])),AC3)-IF(TbTradesBinance[[#This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Row],[Tipo]]="DROP"),AC3+TbTradesBinance[[#This Row],[Qtt]],AC3-TbTradesBinance[[#This Row],[Qtt]]),IF(TbTradesBinance[[#This Row],[Tipo]]="BUY",AC3-TbTradesBinance[[#This Row],[Qtt]]*TbTradesBinance[[#This Row],[Preço]],AC3+TbTradesBinance[[#This Row],[Qtt]]*TbTradesBinance[[#This Row],[Preço]])),AC3)-IF(TbTradesBinance[[#This Row],[Moeda da Taxa]]=MID(AC$1,9,5),TbTradesBinance[[#This Row],[Taxa]],0),8)))</f>
        <v>0</v>
      </c>
      <c r="AD4" s="145" cm="1">
        <f t="array" ref="AD4">IF(TbTradesBinance[[#This Row],[Tipo]]="EMPTY",0,AD3+IF(TbTradesBinance[[#This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Row],[Par]]))),$1:$1,0)),-(AC3-AC4)/AC3*AD3),0),0)+IF(TbTradesBinance[[#This Row],[Tipo]]="SELL",IF(ISNUMBER(FIND(MID(AD$1,10,5),TbTradesBinance[[#This Row],[Par]])),IF(FIND(MID(AD$1,10,5),TbTradesBinance[[#This Row],[Par]])=1, -(AC3-AC4)/AC3*AD3,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Row],[Par]])),(-(AC3-AC4)/AC3*AD3)+IF(TbTradesBinance[[#This Row],[Resultado]]&gt;0,0,TbTradesBinance[[#This Row],[Taxa]]),0),0))</f>
        <v>0</v>
      </c>
      <c r="AE4" s="145">
        <f t="shared" si="6"/>
        <v>0</v>
      </c>
      <c r="AF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Row],[Tipo]]="DROP"),AF3+TbTradesBinance[[#This Row],[Qtt]],AF3-TbTradesBinance[[#This Row],[Qtt]]),IF(TbTradesBinance[[#This Row],[Tipo]]="BUY",AF3-TbTradesBinance[[#This Row],[Qtt]]*TbTradesBinance[[#This Row],[Preço]],AF3+TbTradesBinance[[#This Row],[Qtt]]*TbTradesBinance[[#This Row],[Preço]])),AF3)-IF(TbTradesBinance[[#This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Row],[Tipo]]="DROP"),AF3+TbTradesBinance[[#This Row],[Qtt]],AF3-TbTradesBinance[[#This Row],[Qtt]]),IF(TbTradesBinance[[#This Row],[Tipo]]="BUY",AF3-TbTradesBinance[[#This Row],[Qtt]]*TbTradesBinance[[#This Row],[Preço]],AF3+TbTradesBinance[[#This Row],[Qtt]]*TbTradesBinance[[#This Row],[Preço]])),AF3)-IF(TbTradesBinance[[#This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Row],[Tipo]]="DROP"),AF3+TbTradesBinance[[#This Row],[Qtt]],AF3-TbTradesBinance[[#This Row],[Qtt]]),IF(TbTradesBinance[[#This Row],[Tipo]]="BUY",AF3-TbTradesBinance[[#This Row],[Qtt]]*TbTradesBinance[[#This Row],[Preço]],AF3+TbTradesBinance[[#This Row],[Qtt]]*TbTradesBinance[[#This Row],[Preço]])),AF3)-IF(TbTradesBinance[[#This Row],[Moeda da Taxa]]=MID(AF$1,9,5),TbTradesBinance[[#This Row],[Taxa]],0),8)))</f>
        <v>0</v>
      </c>
      <c r="AG4" s="145" cm="1">
        <f t="array" ref="AG4">IF(TbTradesBinance[[#This Row],[Tipo]]="EMPTY",0,AG3+IF(TbTradesBinance[[#This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Row],[Par]]))),$1:$1,0)),-(AF3-AF4)/AF3*AG3),0),0)+IF(TbTradesBinance[[#This Row],[Tipo]]="SELL",IF(ISNUMBER(FIND(MID(AG$1,10,5),TbTradesBinance[[#This Row],[Par]])),IF(FIND(MID(AG$1,10,5),TbTradesBinance[[#This Row],[Par]])=1, -(AF3-AF4)/AF3*AG3,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Row],[Par]])),(-(AF3-AF4)/AF3*AG3)+IF(TbTradesBinance[[#This Row],[Resultado]]&gt;0,0,TbTradesBinance[[#This Row],[Taxa]]),0),0))</f>
        <v>0</v>
      </c>
      <c r="AH4" s="145">
        <f t="shared" si="7"/>
        <v>0</v>
      </c>
      <c r="AI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Row],[Tipo]]="DROP"),AI3+TbTradesBinance[[#This Row],[Qtt]],AI3-TbTradesBinance[[#This Row],[Qtt]]),IF(TbTradesBinance[[#This Row],[Tipo]]="BUY",AI3-TbTradesBinance[[#This Row],[Qtt]]*TbTradesBinance[[#This Row],[Preço]],AI3+TbTradesBinance[[#This Row],[Qtt]]*TbTradesBinance[[#This Row],[Preço]])),AI3)-IF(TbTradesBinance[[#This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Row],[Tipo]]="DROP"),AI3+TbTradesBinance[[#This Row],[Qtt]],AI3-TbTradesBinance[[#This Row],[Qtt]]),IF(TbTradesBinance[[#This Row],[Tipo]]="BUY",AI3-TbTradesBinance[[#This Row],[Qtt]]*TbTradesBinance[[#This Row],[Preço]],AI3+TbTradesBinance[[#This Row],[Qtt]]*TbTradesBinance[[#This Row],[Preço]])),AI3)-IF(TbTradesBinance[[#This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Row],[Tipo]]="DROP"),AI3+TbTradesBinance[[#This Row],[Qtt]],AI3-TbTradesBinance[[#This Row],[Qtt]]),IF(TbTradesBinance[[#This Row],[Tipo]]="BUY",AI3-TbTradesBinance[[#This Row],[Qtt]]*TbTradesBinance[[#This Row],[Preço]],AI3+TbTradesBinance[[#This Row],[Qtt]]*TbTradesBinance[[#This Row],[Preço]])),AI3)-IF(TbTradesBinance[[#This Row],[Moeda da Taxa]]=MID(AI$1,9,5),TbTradesBinance[[#This Row],[Taxa]],0),8)))</f>
        <v>0</v>
      </c>
      <c r="AJ4" s="145" cm="1">
        <f t="array" ref="AJ4">IF(TbTradesBinance[[#This Row],[Tipo]]="EMPTY",0,AJ3+IF(TbTradesBinance[[#This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Row],[Par]]))),$1:$1,0)),-(AI3-AI4)/AI3*AJ3),0),0)+IF(TbTradesBinance[[#This Row],[Tipo]]="SELL",IF(ISNUMBER(FIND(MID(AJ$1,10,5),TbTradesBinance[[#This Row],[Par]])),IF(FIND(MID(AJ$1,10,5),TbTradesBinance[[#This Row],[Par]])=1, -(AI3-AI4)/AI3*AJ3,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Row],[Par]])),(-(AI3-AI4)/AI3*AJ3)+IF(TbTradesBinance[[#This Row],[Resultado]]&gt;0,0,TbTradesBinance[[#This Row],[Taxa]]),0),0))</f>
        <v>0</v>
      </c>
      <c r="AK4" s="145">
        <f t="shared" si="8"/>
        <v>0</v>
      </c>
      <c r="AL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Row],[Tipo]]="DROP"),AL3+TbTradesBinance[[#This Row],[Qtt]],AL3-TbTradesBinance[[#This Row],[Qtt]]),IF(TbTradesBinance[[#This Row],[Tipo]]="BUY",AL3-TbTradesBinance[[#This Row],[Qtt]]*TbTradesBinance[[#This Row],[Preço]],AL3+TbTradesBinance[[#This Row],[Qtt]]*TbTradesBinance[[#This Row],[Preço]])),AL3)-IF(TbTradesBinance[[#This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Row],[Tipo]]="DROP"),AL3+TbTradesBinance[[#This Row],[Qtt]],AL3-TbTradesBinance[[#This Row],[Qtt]]),IF(TbTradesBinance[[#This Row],[Tipo]]="BUY",AL3-TbTradesBinance[[#This Row],[Qtt]]*TbTradesBinance[[#This Row],[Preço]],AL3+TbTradesBinance[[#This Row],[Qtt]]*TbTradesBinance[[#This Row],[Preço]])),AL3)-IF(TbTradesBinance[[#This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Row],[Tipo]]="DROP"),AL3+TbTradesBinance[[#This Row],[Qtt]],AL3-TbTradesBinance[[#This Row],[Qtt]]),IF(TbTradesBinance[[#This Row],[Tipo]]="BUY",AL3-TbTradesBinance[[#This Row],[Qtt]]*TbTradesBinance[[#This Row],[Preço]],AL3+TbTradesBinance[[#This Row],[Qtt]]*TbTradesBinance[[#This Row],[Preço]])),AL3)-IF(TbTradesBinance[[#This Row],[Moeda da Taxa]]=MID(AL$1,9,5),TbTradesBinance[[#This Row],[Taxa]],0),8)))</f>
        <v>0</v>
      </c>
      <c r="AM4" s="145" cm="1">
        <f t="array" ref="AM4">IF(TbTradesBinance[[#This Row],[Tipo]]="EMPTY",0,AM3+IF(TbTradesBinance[[#This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Row],[Par]]))),$1:$1,0)),-(AL3-AL4)/AL3*AM3),0),0)+IF(TbTradesBinance[[#This Row],[Tipo]]="SELL",IF(ISNUMBER(FIND(MID(AM$1,10,5),TbTradesBinance[[#This Row],[Par]])),IF(FIND(MID(AM$1,10,5),TbTradesBinance[[#This Row],[Par]])=1, -(AL3-AL4)/AL3*AM3,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Row],[Par]])),(-(AL3-AL4)/AL3*AM3)+IF(TbTradesBinance[[#This Row],[Resultado]]&gt;0,0,TbTradesBinance[[#This Row],[Taxa]]),0),0))</f>
        <v>0</v>
      </c>
      <c r="AN4" s="145">
        <f t="shared" si="9"/>
        <v>0</v>
      </c>
      <c r="AO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Row],[Tipo]]="DROP"),AO3+TbTradesBinance[[#This Row],[Qtt]],AO3-TbTradesBinance[[#This Row],[Qtt]]),IF(TbTradesBinance[[#This Row],[Tipo]]="BUY",AO3-TbTradesBinance[[#This Row],[Qtt]]*TbTradesBinance[[#This Row],[Preço]],AO3+TbTradesBinance[[#This Row],[Qtt]]*TbTradesBinance[[#This Row],[Preço]])),AO3)-IF(TbTradesBinance[[#This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Row],[Tipo]]="DROP"),AO3+TbTradesBinance[[#This Row],[Qtt]],AO3-TbTradesBinance[[#This Row],[Qtt]]),IF(TbTradesBinance[[#This Row],[Tipo]]="BUY",AO3-TbTradesBinance[[#This Row],[Qtt]]*TbTradesBinance[[#This Row],[Preço]],AO3+TbTradesBinance[[#This Row],[Qtt]]*TbTradesBinance[[#This Row],[Preço]])),AO3)-IF(TbTradesBinance[[#This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Row],[Tipo]]="DROP"),AO3+TbTradesBinance[[#This Row],[Qtt]],AO3-TbTradesBinance[[#This Row],[Qtt]]),IF(TbTradesBinance[[#This Row],[Tipo]]="BUY",AO3-TbTradesBinance[[#This Row],[Qtt]]*TbTradesBinance[[#This Row],[Preço]],AO3+TbTradesBinance[[#This Row],[Qtt]]*TbTradesBinance[[#This Row],[Preço]])),AO3)-IF(TbTradesBinance[[#This Row],[Moeda da Taxa]]=MID(AO$1,9,5),TbTradesBinance[[#This Row],[Taxa]],0),8)))</f>
        <v>0</v>
      </c>
      <c r="AP4" s="145" cm="1">
        <f t="array" ref="AP4">IF(TbTradesBinance[[#This Row],[Tipo]]="EMPTY",0,AP3+IF(TbTradesBinance[[#This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Row],[Par]]))),$1:$1,0)),-(AO3-AO4)/AO3*AP3),0),0)+IF(TbTradesBinance[[#This Row],[Tipo]]="SELL",IF(ISNUMBER(FIND(MID(AP$1,10,5),TbTradesBinance[[#This Row],[Par]])),IF(FIND(MID(AP$1,10,5),TbTradesBinance[[#This Row],[Par]])=1, -(AO3-AO4)/AO3*AP3,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Row],[Par]])),(-(AO3-AO4)/AO3*AP3)+IF(TbTradesBinance[[#This Row],[Resultado]]&gt;0,0,TbTradesBinance[[#This Row],[Taxa]]),0),0))</f>
        <v>0</v>
      </c>
      <c r="AQ4" s="145">
        <f t="shared" si="10"/>
        <v>0</v>
      </c>
      <c r="AR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Row],[Tipo]]="DROP"),AR3+TbTradesBinance[[#This Row],[Qtt]],AR3-TbTradesBinance[[#This Row],[Qtt]]),IF(TbTradesBinance[[#This Row],[Tipo]]="BUY",AR3-TbTradesBinance[[#This Row],[Qtt]]*TbTradesBinance[[#This Row],[Preço]],AR3+TbTradesBinance[[#This Row],[Qtt]]*TbTradesBinance[[#This Row],[Preço]])),AR3)-IF(TbTradesBinance[[#This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Row],[Tipo]]="DROP"),AR3+TbTradesBinance[[#This Row],[Qtt]],AR3-TbTradesBinance[[#This Row],[Qtt]]),IF(TbTradesBinance[[#This Row],[Tipo]]="BUY",AR3-TbTradesBinance[[#This Row],[Qtt]]*TbTradesBinance[[#This Row],[Preço]],AR3+TbTradesBinance[[#This Row],[Qtt]]*TbTradesBinance[[#This Row],[Preço]])),AR3)-IF(TbTradesBinance[[#This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Row],[Tipo]]="DROP"),AR3+TbTradesBinance[[#This Row],[Qtt]],AR3-TbTradesBinance[[#This Row],[Qtt]]),IF(TbTradesBinance[[#This Row],[Tipo]]="BUY",AR3-TbTradesBinance[[#This Row],[Qtt]]*TbTradesBinance[[#This Row],[Preço]],AR3+TbTradesBinance[[#This Row],[Qtt]]*TbTradesBinance[[#This Row],[Preço]])),AR3)-IF(TbTradesBinance[[#This Row],[Moeda da Taxa]]=MID(AR$1,9,5),TbTradesBinance[[#This Row],[Taxa]],0),8)))</f>
        <v>0</v>
      </c>
      <c r="AS4" s="145" cm="1">
        <f t="array" ref="AS4">IF(TbTradesBinance[[#This Row],[Tipo]]="EMPTY",0,AS3+IF(TbTradesBinance[[#This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Row],[Par]]))),$1:$1,0)),-(AR3-AR4)/AR3*AS3),0),0)+IF(TbTradesBinance[[#This Row],[Tipo]]="SELL",IF(ISNUMBER(FIND(MID(AS$1,10,5),TbTradesBinance[[#This Row],[Par]])),IF(FIND(MID(AS$1,10,5),TbTradesBinance[[#This Row],[Par]])=1, -(AR3-AR4)/AR3*AS3,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Row],[Par]])),(-(AR3-AR4)/AR3*AS3)+IF(TbTradesBinance[[#This Row],[Resultado]]&gt;0,0,TbTradesBinance[[#This Row],[Taxa]]),0),0))</f>
        <v>0</v>
      </c>
      <c r="AT4" s="145">
        <f t="shared" si="11"/>
        <v>0</v>
      </c>
      <c r="AU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Row],[Tipo]]="DROP"),AU3+TbTradesBinance[[#This Row],[Qtt]],AU3-TbTradesBinance[[#This Row],[Qtt]]),IF(TbTradesBinance[[#This Row],[Tipo]]="BUY",AU3-TbTradesBinance[[#This Row],[Qtt]]*TbTradesBinance[[#This Row],[Preço]],AU3+TbTradesBinance[[#This Row],[Qtt]]*TbTradesBinance[[#This Row],[Preço]])),AU3)-IF(TbTradesBinance[[#This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Row],[Tipo]]="DROP"),AU3+TbTradesBinance[[#This Row],[Qtt]],AU3-TbTradesBinance[[#This Row],[Qtt]]),IF(TbTradesBinance[[#This Row],[Tipo]]="BUY",AU3-TbTradesBinance[[#This Row],[Qtt]]*TbTradesBinance[[#This Row],[Preço]],AU3+TbTradesBinance[[#This Row],[Qtt]]*TbTradesBinance[[#This Row],[Preço]])),AU3)-IF(TbTradesBinance[[#This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Row],[Tipo]]="DROP"),AU3+TbTradesBinance[[#This Row],[Qtt]],AU3-TbTradesBinance[[#This Row],[Qtt]]),IF(TbTradesBinance[[#This Row],[Tipo]]="BUY",AU3-TbTradesBinance[[#This Row],[Qtt]]*TbTradesBinance[[#This Row],[Preço]],AU3+TbTradesBinance[[#This Row],[Qtt]]*TbTradesBinance[[#This Row],[Preço]])),AU3)-IF(TbTradesBinance[[#This Row],[Moeda da Taxa]]=MID(AU$1,9,5),TbTradesBinance[[#This Row],[Taxa]],0),8)))</f>
        <v>0</v>
      </c>
      <c r="AV4" s="145" cm="1">
        <f t="array" ref="AV4">IF(TbTradesBinance[[#This Row],[Tipo]]="EMPTY",0,AV3+IF(TbTradesBinance[[#This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Row],[Par]]))),$1:$1,0)),-(AU3-AU4)/AU3*AV3),0),0)+IF(TbTradesBinance[[#This Row],[Tipo]]="SELL",IF(ISNUMBER(FIND(MID(AV$1,10,5),TbTradesBinance[[#This Row],[Par]])),IF(FIND(MID(AV$1,10,5),TbTradesBinance[[#This Row],[Par]])=1, -(AU3-AU4)/AU3*AV3,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Row],[Par]])),(-(AU3-AU4)/AU3*AV3)+IF(TbTradesBinance[[#This Row],[Resultado]]&gt;0,0,TbTradesBinance[[#This Row],[Taxa]]),0),0))</f>
        <v>0</v>
      </c>
      <c r="AW4" s="145">
        <f t="shared" si="12"/>
        <v>0</v>
      </c>
      <c r="AX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Row],[Tipo]]="DROP"),AX3+TbTradesBinance[[#This Row],[Qtt]],AX3-TbTradesBinance[[#This Row],[Qtt]]),IF(TbTradesBinance[[#This Row],[Tipo]]="BUY",AX3-TbTradesBinance[[#This Row],[Qtt]]*TbTradesBinance[[#This Row],[Preço]],AX3+TbTradesBinance[[#This Row],[Qtt]]*TbTradesBinance[[#This Row],[Preço]])),AX3)-IF(TbTradesBinance[[#This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Row],[Tipo]]="DROP"),AX3+TbTradesBinance[[#This Row],[Qtt]],AX3-TbTradesBinance[[#This Row],[Qtt]]),IF(TbTradesBinance[[#This Row],[Tipo]]="BUY",AX3-TbTradesBinance[[#This Row],[Qtt]]*TbTradesBinance[[#This Row],[Preço]],AX3+TbTradesBinance[[#This Row],[Qtt]]*TbTradesBinance[[#This Row],[Preço]])),AX3)-IF(TbTradesBinance[[#This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Row],[Tipo]]="DROP"),AX3+TbTradesBinance[[#This Row],[Qtt]],AX3-TbTradesBinance[[#This Row],[Qtt]]),IF(TbTradesBinance[[#This Row],[Tipo]]="BUY",AX3-TbTradesBinance[[#This Row],[Qtt]]*TbTradesBinance[[#This Row],[Preço]],AX3+TbTradesBinance[[#This Row],[Qtt]]*TbTradesBinance[[#This Row],[Preço]])),AX3)-IF(TbTradesBinance[[#This Row],[Moeda da Taxa]]=MID(AX$1,9,5),TbTradesBinance[[#This Row],[Taxa]],0),8)))</f>
        <v>0</v>
      </c>
      <c r="AY4" s="145" cm="1">
        <f t="array" ref="AY4">IF(TbTradesBinance[[#This Row],[Tipo]]="EMPTY",0,AY3+IF(TbTradesBinance[[#This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Row],[Par]]))),$1:$1,0)),-(AX3-AX4)/AX3*AY3),0),0)+IF(TbTradesBinance[[#This Row],[Tipo]]="SELL",IF(ISNUMBER(FIND(MID(AY$1,10,5),TbTradesBinance[[#This Row],[Par]])),IF(FIND(MID(AY$1,10,5),TbTradesBinance[[#This Row],[Par]])=1, -(AX3-AX4)/AX3*AY3,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Row],[Par]])),(-(AX3-AX4)/AX3*AY3)+IF(TbTradesBinance[[#This Row],[Resultado]]&gt;0,0,TbTradesBinance[[#This Row],[Taxa]]),0),0))</f>
        <v>0</v>
      </c>
      <c r="AZ4" s="145">
        <f t="shared" si="13"/>
        <v>0</v>
      </c>
      <c r="BA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Row],[Tipo]]="DROP"),BA3+TbTradesBinance[[#This Row],[Qtt]],BA3-TbTradesBinance[[#This Row],[Qtt]]),IF(TbTradesBinance[[#This Row],[Tipo]]="BUY",BA3-TbTradesBinance[[#This Row],[Qtt]]*TbTradesBinance[[#This Row],[Preço]],BA3+TbTradesBinance[[#This Row],[Qtt]]*TbTradesBinance[[#This Row],[Preço]])),BA3)-IF(TbTradesBinance[[#This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Row],[Tipo]]="DROP"),BA3+TbTradesBinance[[#This Row],[Qtt]],BA3-TbTradesBinance[[#This Row],[Qtt]]),IF(TbTradesBinance[[#This Row],[Tipo]]="BUY",BA3-TbTradesBinance[[#This Row],[Qtt]]*TbTradesBinance[[#This Row],[Preço]],BA3+TbTradesBinance[[#This Row],[Qtt]]*TbTradesBinance[[#This Row],[Preço]])),BA3)-IF(TbTradesBinance[[#This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Row],[Tipo]]="DROP"),BA3+TbTradesBinance[[#This Row],[Qtt]],BA3-TbTradesBinance[[#This Row],[Qtt]]),IF(TbTradesBinance[[#This Row],[Tipo]]="BUY",BA3-TbTradesBinance[[#This Row],[Qtt]]*TbTradesBinance[[#This Row],[Preço]],BA3+TbTradesBinance[[#This Row],[Qtt]]*TbTradesBinance[[#This Row],[Preço]])),BA3)-IF(TbTradesBinance[[#This Row],[Moeda da Taxa]]=MID(BA$1,9,5),TbTradesBinance[[#This Row],[Taxa]],0),8)))</f>
        <v>0</v>
      </c>
      <c r="BB4" s="145" cm="1">
        <f t="array" ref="BB4">IF(TbTradesBinance[[#This Row],[Tipo]]="EMPTY",0,BB3+IF(TbTradesBinance[[#This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Row],[Par]]))),$1:$1,0)),-(BA3-BA4)/BA3*BB3),0),0)+IF(TbTradesBinance[[#This Row],[Tipo]]="SELL",IF(ISNUMBER(FIND(MID(BB$1,10,5),TbTradesBinance[[#This Row],[Par]])),IF(FIND(MID(BB$1,10,5),TbTradesBinance[[#This Row],[Par]])=1, -(BA3-BA4)/BA3*BB3,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Row],[Par]])),(-(BA3-BA4)/BA3*BB3)+IF(TbTradesBinance[[#This Row],[Resultado]]&gt;0,0,TbTradesBinance[[#This Row],[Taxa]]),0),0))</f>
        <v>0</v>
      </c>
      <c r="BC4" s="145">
        <f t="shared" si="14"/>
        <v>0</v>
      </c>
      <c r="BD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Row],[Tipo]]="DROP"),BD3+TbTradesBinance[[#This Row],[Qtt]],BD3-TbTradesBinance[[#This Row],[Qtt]]),IF(TbTradesBinance[[#This Row],[Tipo]]="BUY",BD3-TbTradesBinance[[#This Row],[Qtt]]*TbTradesBinance[[#This Row],[Preço]],BD3+TbTradesBinance[[#This Row],[Qtt]]*TbTradesBinance[[#This Row],[Preço]])),BD3)-IF(TbTradesBinance[[#This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Row],[Tipo]]="DROP"),BD3+TbTradesBinance[[#This Row],[Qtt]],BD3-TbTradesBinance[[#This Row],[Qtt]]),IF(TbTradesBinance[[#This Row],[Tipo]]="BUY",BD3-TbTradesBinance[[#This Row],[Qtt]]*TbTradesBinance[[#This Row],[Preço]],BD3+TbTradesBinance[[#This Row],[Qtt]]*TbTradesBinance[[#This Row],[Preço]])),BD3)-IF(TbTradesBinance[[#This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Row],[Tipo]]="DROP"),BD3+TbTradesBinance[[#This Row],[Qtt]],BD3-TbTradesBinance[[#This Row],[Qtt]]),IF(TbTradesBinance[[#This Row],[Tipo]]="BUY",BD3-TbTradesBinance[[#This Row],[Qtt]]*TbTradesBinance[[#This Row],[Preço]],BD3+TbTradesBinance[[#This Row],[Qtt]]*TbTradesBinance[[#This Row],[Preço]])),BD3)-IF(TbTradesBinance[[#This Row],[Moeda da Taxa]]=MID(BD$1,9,5),TbTradesBinance[[#This Row],[Taxa]],0),8)))</f>
        <v>0</v>
      </c>
      <c r="BE4" s="145" cm="1">
        <f t="array" ref="BE4">IF(TbTradesBinance[[#This Row],[Tipo]]="EMPTY",0,BE3+IF(TbTradesBinance[[#This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Row],[Par]]))),$1:$1,0)),-(BD3-BD4)/BD3*BE3),0),0)+IF(TbTradesBinance[[#This Row],[Tipo]]="SELL",IF(ISNUMBER(FIND(MID(BE$1,10,5),TbTradesBinance[[#This Row],[Par]])),IF(FIND(MID(BE$1,10,5),TbTradesBinance[[#This Row],[Par]])=1, -(BD3-BD4)/BD3*BE3,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Row],[Par]])),(-(BD3-BD4)/BD3*BE3)+IF(TbTradesBinance[[#This Row],[Resultado]]&gt;0,0,TbTradesBinance[[#This Row],[Taxa]]),0),0))</f>
        <v>0</v>
      </c>
      <c r="BF4" s="145">
        <f t="shared" si="15"/>
        <v>0</v>
      </c>
      <c r="BG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Row],[Tipo]]="DROP"),BG3+TbTradesBinance[[#This Row],[Qtt]],BG3-TbTradesBinance[[#This Row],[Qtt]]),IF(TbTradesBinance[[#This Row],[Tipo]]="BUY",BG3-TbTradesBinance[[#This Row],[Qtt]]*TbTradesBinance[[#This Row],[Preço]],BG3+TbTradesBinance[[#This Row],[Qtt]]*TbTradesBinance[[#This Row],[Preço]])),BG3)-IF(TbTradesBinance[[#This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Row],[Tipo]]="DROP"),BG3+TbTradesBinance[[#This Row],[Qtt]],BG3-TbTradesBinance[[#This Row],[Qtt]]),IF(TbTradesBinance[[#This Row],[Tipo]]="BUY",BG3-TbTradesBinance[[#This Row],[Qtt]]*TbTradesBinance[[#This Row],[Preço]],BG3+TbTradesBinance[[#This Row],[Qtt]]*TbTradesBinance[[#This Row],[Preço]])),BG3)-IF(TbTradesBinance[[#This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Row],[Tipo]]="DROP"),BG3+TbTradesBinance[[#This Row],[Qtt]],BG3-TbTradesBinance[[#This Row],[Qtt]]),IF(TbTradesBinance[[#This Row],[Tipo]]="BUY",BG3-TbTradesBinance[[#This Row],[Qtt]]*TbTradesBinance[[#This Row],[Preço]],BG3+TbTradesBinance[[#This Row],[Qtt]]*TbTradesBinance[[#This Row],[Preço]])),BG3)-IF(TbTradesBinance[[#This Row],[Moeda da Taxa]]=MID(BG$1,9,5),TbTradesBinance[[#This Row],[Taxa]],0),8)))</f>
        <v>0</v>
      </c>
      <c r="BH4" s="145" cm="1">
        <f t="array" ref="BH4">IF(TbTradesBinance[[#This Row],[Tipo]]="EMPTY",0,BH3+IF(TbTradesBinance[[#This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Row],[Par]]))),$1:$1,0)),-(BG3-BG4)/BG3*BH3),0),0)+IF(TbTradesBinance[[#This Row],[Tipo]]="SELL",IF(ISNUMBER(FIND(MID(BH$1,10,5),TbTradesBinance[[#This Row],[Par]])),IF(FIND(MID(BH$1,10,5),TbTradesBinance[[#This Row],[Par]])=1, -(BG3-BG4)/BG3*BH3,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Row],[Par]])),(-(BG3-BG4)/BG3*BH3)+IF(TbTradesBinance[[#This Row],[Resultado]]&gt;0,0,TbTradesBinance[[#This Row],[Taxa]]),0),0))</f>
        <v>0</v>
      </c>
      <c r="BI4" s="145">
        <f t="shared" si="16"/>
        <v>0</v>
      </c>
      <c r="BJ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Row],[Tipo]]="DROP"),BJ3+TbTradesBinance[[#This Row],[Qtt]],BJ3-TbTradesBinance[[#This Row],[Qtt]]),IF(TbTradesBinance[[#This Row],[Tipo]]="BUY",BJ3-TbTradesBinance[[#This Row],[Qtt]]*TbTradesBinance[[#This Row],[Preço]],BJ3+TbTradesBinance[[#This Row],[Qtt]]*TbTradesBinance[[#This Row],[Preço]])),BJ3)-IF(TbTradesBinance[[#This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Row],[Tipo]]="DROP"),BJ3+TbTradesBinance[[#This Row],[Qtt]],BJ3-TbTradesBinance[[#This Row],[Qtt]]),IF(TbTradesBinance[[#This Row],[Tipo]]="BUY",BJ3-TbTradesBinance[[#This Row],[Qtt]]*TbTradesBinance[[#This Row],[Preço]],BJ3+TbTradesBinance[[#This Row],[Qtt]]*TbTradesBinance[[#This Row],[Preço]])),BJ3)-IF(TbTradesBinance[[#This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Row],[Tipo]]="DROP"),BJ3+TbTradesBinance[[#This Row],[Qtt]],BJ3-TbTradesBinance[[#This Row],[Qtt]]),IF(TbTradesBinance[[#This Row],[Tipo]]="BUY",BJ3-TbTradesBinance[[#This Row],[Qtt]]*TbTradesBinance[[#This Row],[Preço]],BJ3+TbTradesBinance[[#This Row],[Qtt]]*TbTradesBinance[[#This Row],[Preço]])),BJ3)-IF(TbTradesBinance[[#This Row],[Moeda da Taxa]]=MID(BJ$1,9,5),TbTradesBinance[[#This Row],[Taxa]],0),8)))</f>
        <v>0</v>
      </c>
      <c r="BK4" s="145" cm="1">
        <f t="array" ref="BK4">IF(TbTradesBinance[[#This Row],[Tipo]]="EMPTY",0,BK3+IF(TbTradesBinance[[#This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Row],[Par]]))),$1:$1,0)),-(BJ3-BJ4)/BJ3*BK3),0),0)+IF(TbTradesBinance[[#This Row],[Tipo]]="SELL",IF(ISNUMBER(FIND(MID(BK$1,10,5),TbTradesBinance[[#This Row],[Par]])),IF(FIND(MID(BK$1,10,5),TbTradesBinance[[#This Row],[Par]])=1, -(BJ3-BJ4)/BJ3*BK3,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Row],[Par]])),(-(BJ3-BJ4)/BJ3*BK3)+IF(TbTradesBinance[[#This Row],[Resultado]]&gt;0,0,TbTradesBinance[[#This Row],[Taxa]]),0),0))</f>
        <v>0</v>
      </c>
      <c r="BL4" s="145">
        <f t="shared" si="17"/>
        <v>0</v>
      </c>
      <c r="BM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Row],[Tipo]]="DROP"),BM3+TbTradesBinance[[#This Row],[Qtt]],BM3-TbTradesBinance[[#This Row],[Qtt]]),IF(TbTradesBinance[[#This Row],[Tipo]]="BUY",BM3-TbTradesBinance[[#This Row],[Qtt]]*TbTradesBinance[[#This Row],[Preço]],BM3+TbTradesBinance[[#This Row],[Qtt]]*TbTradesBinance[[#This Row],[Preço]])),BM3)-IF(TbTradesBinance[[#This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Row],[Tipo]]="DROP"),BM3+TbTradesBinance[[#This Row],[Qtt]],BM3-TbTradesBinance[[#This Row],[Qtt]]),IF(TbTradesBinance[[#This Row],[Tipo]]="BUY",BM3-TbTradesBinance[[#This Row],[Qtt]]*TbTradesBinance[[#This Row],[Preço]],BM3+TbTradesBinance[[#This Row],[Qtt]]*TbTradesBinance[[#This Row],[Preço]])),BM3)-IF(TbTradesBinance[[#This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Row],[Tipo]]="DROP"),BM3+TbTradesBinance[[#This Row],[Qtt]],BM3-TbTradesBinance[[#This Row],[Qtt]]),IF(TbTradesBinance[[#This Row],[Tipo]]="BUY",BM3-TbTradesBinance[[#This Row],[Qtt]]*TbTradesBinance[[#This Row],[Preço]],BM3+TbTradesBinance[[#This Row],[Qtt]]*TbTradesBinance[[#This Row],[Preço]])),BM3)-IF(TbTradesBinance[[#This Row],[Moeda da Taxa]]=MID(BM$1,9,5),TbTradesBinance[[#This Row],[Taxa]],0),8)))</f>
        <v>0</v>
      </c>
      <c r="BN4" s="145" cm="1">
        <f t="array" ref="BN4">IF(TbTradesBinance[[#This Row],[Tipo]]="EMPTY",0,BN3+IF(TbTradesBinance[[#This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Row],[Par]]))),$1:$1,0)),-(BM3-BM4)/BM3*BN3),0),0)+IF(TbTradesBinance[[#This Row],[Tipo]]="SELL",IF(ISNUMBER(FIND(MID(BN$1,10,5),TbTradesBinance[[#This Row],[Par]])),IF(FIND(MID(BN$1,10,5),TbTradesBinance[[#This Row],[Par]])=1, -(BM3-BM4)/BM3*BN3,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Row],[Par]])),(-(BM3-BM4)/BM3*BN3)+IF(TbTradesBinance[[#This Row],[Resultado]]&gt;0,0,TbTradesBinance[[#This Row],[Taxa]]),0),0))</f>
        <v>0</v>
      </c>
      <c r="BO4" s="145">
        <f t="shared" si="18"/>
        <v>0</v>
      </c>
    </row>
    <row r="5" spans="1:67" ht="17.399999999999999" x14ac:dyDescent="0.35">
      <c r="A5" s="166"/>
      <c r="B5" s="51"/>
      <c r="C5" s="40">
        <f>TRUNC(IF(AND(TbTradesBinance[[#This Row],[Tipo]]="SEND",TbTradesBinance[[#This Row],[Par]]="BRL"),TbTradesBinance[[#This Row],[Qtt]]*(1-P3)-IF(TbTradesBinance[[#This Row],[Moeda da Taxa]]="BRL",TbTradesBinance[[#This Row],[Taxa]],0),0)+IF(AND(TbTradesBinance[[#This Row],[Tipo]]="BURN",TbTradesBinance[[#This Row],[Par]]="BRL"),-TbTradesBinance[[#This Row],[Qtt]]*P3,0),2)</f>
        <v>0</v>
      </c>
      <c r="D5" s="53">
        <v>44234.699976851851</v>
      </c>
      <c r="E5" s="37" t="s">
        <v>138</v>
      </c>
      <c r="F5" s="47" t="s">
        <v>139</v>
      </c>
      <c r="G5" s="38">
        <v>209292</v>
      </c>
      <c r="H5" s="38">
        <v>4.7699999999999999E-4</v>
      </c>
      <c r="I5" s="38">
        <v>0</v>
      </c>
      <c r="J5" s="37" t="s">
        <v>6</v>
      </c>
      <c r="K5" s="52">
        <v>1</v>
      </c>
      <c r="L5" s="40">
        <f t="shared" si="0"/>
        <v>209292</v>
      </c>
      <c r="M5" s="40">
        <f>IF(OR(TbTradesBinance[[#This Row],[Tipo]]="BUY",TbTradesBinance[[#This Row],[Tipo]]="RECEIVE",TbTradesBinance[[#This Row],[Tipo]]="DROP"),L5*H5,-L5*H5)</f>
        <v>99.832284000000001</v>
      </c>
      <c r="N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Row],[Tipo]]="DROP"),N4+TbTradesBinance[[#This Row],[Qtt]],N4-TbTradesBinance[[#This Row],[Qtt]]),IF(TbTradesBinance[[#This Row],[Tipo]]="BUY",N4-TbTradesBinance[[#This Row],[Qtt]]*TbTradesBinance[[#This Row],[Preço]],N4+TbTradesBinance[[#This Row],[Qtt]]*TbTradesBinance[[#This Row],[Preço]])),N4)-IF(TbTradesBinance[[#This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Row],[Tipo]]="DROP"),N4+TbTradesBinance[[#This Row],[Qtt]],N4-TbTradesBinance[[#This Row],[Qtt]]),IF(TbTradesBinance[[#This Row],[Tipo]]="BUY",N4-TbTradesBinance[[#This Row],[Qtt]]*TbTradesBinance[[#This Row],[Preço]],N4+TbTradesBinance[[#This Row],[Qtt]]*TbTradesBinance[[#This Row],[Preço]])),N4)-IF(TbTradesBinance[[#This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Row],[Tipo]]="DROP"),N4+TbTradesBinance[[#This Row],[Qtt]],N4-TbTradesBinance[[#This Row],[Qtt]]),IF(TbTradesBinance[[#This Row],[Tipo]]="BUY",N4-TbTradesBinance[[#This Row],[Qtt]]*TbTradesBinance[[#This Row],[Preço]],N4+TbTradesBinance[[#This Row],[Qtt]]*TbTradesBinance[[#This Row],[Preço]])),N4)-IF(TbTradesBinance[[#This Row],[Moeda da Taxa]]=MID(N$1,9,5),TbTradesBinance[[#This Row],[Taxa]],0),8)))</f>
        <v>19900.167716</v>
      </c>
      <c r="O5" s="145" cm="1">
        <f t="array" ref="O5">IF(TbTradesBinance[[#This Row],[Tipo]]="EMPTY",0,O4+IF(TbTradesBinance[[#This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Row],[Par]]))),$1:$1,0)),-(N4-N5)/N4*O4),0),0)+IF(TbTradesBinance[[#This Row],[Tipo]]="SELL",IF(ISNUMBER(FIND(MID(O$1,10,5),TbTradesBinance[[#This Row],[Par]])),IF(FIND(MID(O$1,10,5),TbTradesBinance[[#This Row],[Par]])=1, -(N4-N5)/N4*O4,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Row],[Par]])),(-(N4-N5)/N4*O4)+IF(TbTradesBinance[[#This Row],[Resultado]]&gt;0,0,TbTradesBinance[[#This Row],[Taxa]]),0),0))</f>
        <v>19900.167716</v>
      </c>
      <c r="P5" s="145">
        <f t="shared" si="1"/>
        <v>1</v>
      </c>
      <c r="Q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Row],[Tipo]]="DROP"),Q4+TbTradesBinance[[#This Row],[Qtt]],Q4-TbTradesBinance[[#This Row],[Qtt]]),IF(TbTradesBinance[[#This Row],[Tipo]]="BUY",Q4-TbTradesBinance[[#This Row],[Qtt]]*TbTradesBinance[[#This Row],[Preço]],Q4+TbTradesBinance[[#This Row],[Qtt]]*TbTradesBinance[[#This Row],[Preço]])),Q4)-IF(TbTradesBinance[[#This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Row],[Tipo]]="DROP"),Q4+TbTradesBinance[[#This Row],[Qtt]],Q4-TbTradesBinance[[#This Row],[Qtt]]),IF(TbTradesBinance[[#This Row],[Tipo]]="BUY",Q4-TbTradesBinance[[#This Row],[Qtt]]*TbTradesBinance[[#This Row],[Preço]],Q4+TbTradesBinance[[#This Row],[Qtt]]*TbTradesBinance[[#This Row],[Preço]])),Q4)-IF(TbTradesBinance[[#This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Row],[Tipo]]="DROP"),Q4+TbTradesBinance[[#This Row],[Qtt]],Q4-TbTradesBinance[[#This Row],[Qtt]]),IF(TbTradesBinance[[#This Row],[Tipo]]="BUY",Q4-TbTradesBinance[[#This Row],[Qtt]]*TbTradesBinance[[#This Row],[Preço]],Q4+TbTradesBinance[[#This Row],[Qtt]]*TbTradesBinance[[#This Row],[Preço]])),Q4)-IF(TbTradesBinance[[#This Row],[Moeda da Taxa]]=MID(Q$1,9,5),TbTradesBinance[[#This Row],[Taxa]],0),8)))</f>
        <v>0</v>
      </c>
      <c r="R5" s="145" cm="1">
        <f t="array" ref="R5">IF(TbTradesBinance[[#This Row],[Tipo]]="EMPTY",0,R4+IF(TbTradesBinance[[#This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Row],[Par]]))),$1:$1,0)),-(Q4-Q5)/Q4*R4),0),0)+IF(TbTradesBinance[[#This Row],[Tipo]]="SELL",IF(ISNUMBER(FIND(MID(R$1,10,5),TbTradesBinance[[#This Row],[Par]])),IF(FIND(MID(R$1,10,5),TbTradesBinance[[#This Row],[Par]])=1, -(Q4-Q5)/Q4*R4,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Row],[Par]])),(-(Q4-Q5)/Q4*R4)+IF(TbTradesBinance[[#This Row],[Resultado]]&gt;0,0,TbTradesBinance[[#This Row],[Taxa]]),0),0))</f>
        <v>0</v>
      </c>
      <c r="S5" s="145">
        <f t="shared" si="2"/>
        <v>0</v>
      </c>
      <c r="T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Row],[Tipo]]="DROP"),T4+TbTradesBinance[[#This Row],[Qtt]],T4-TbTradesBinance[[#This Row],[Qtt]]),IF(TbTradesBinance[[#This Row],[Tipo]]="BUY",T4-TbTradesBinance[[#This Row],[Qtt]]*TbTradesBinance[[#This Row],[Preço]],T4+TbTradesBinance[[#This Row],[Qtt]]*TbTradesBinance[[#This Row],[Preço]])),T4)-IF(TbTradesBinance[[#This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Row],[Tipo]]="DROP"),T4+TbTradesBinance[[#This Row],[Qtt]],T4-TbTradesBinance[[#This Row],[Qtt]]),IF(TbTradesBinance[[#This Row],[Tipo]]="BUY",T4-TbTradesBinance[[#This Row],[Qtt]]*TbTradesBinance[[#This Row],[Preço]],T4+TbTradesBinance[[#This Row],[Qtt]]*TbTradesBinance[[#This Row],[Preço]])),T4)-IF(TbTradesBinance[[#This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Row],[Tipo]]="DROP"),T4+TbTradesBinance[[#This Row],[Qtt]],T4-TbTradesBinance[[#This Row],[Qtt]]),IF(TbTradesBinance[[#This Row],[Tipo]]="BUY",T4-TbTradesBinance[[#This Row],[Qtt]]*TbTradesBinance[[#This Row],[Preço]],T4+TbTradesBinance[[#This Row],[Qtt]]*TbTradesBinance[[#This Row],[Preço]])),T4)-IF(TbTradesBinance[[#This Row],[Moeda da Taxa]]=MID(T$1,9,5),TbTradesBinance[[#This Row],[Taxa]],0),8)))</f>
        <v>0</v>
      </c>
      <c r="U5" s="145" cm="1">
        <f t="array" ref="U5">IF(TbTradesBinance[[#This Row],[Tipo]]="EMPTY",0,U4+IF(TbTradesBinance[[#This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Row],[Par]]))),$1:$1,0)),-(T4-T5)/T4*U4),0),0)+IF(TbTradesBinance[[#This Row],[Tipo]]="SELL",IF(ISNUMBER(FIND(MID(U$1,10,5),TbTradesBinance[[#This Row],[Par]])),IF(FIND(MID(U$1,10,5),TbTradesBinance[[#This Row],[Par]])=1, -(T4-T5)/T4*U4,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Row],[Par]])),(-(T4-T5)/T4*U4)+IF(TbTradesBinance[[#This Row],[Resultado]]&gt;0,0,TbTradesBinance[[#This Row],[Taxa]]),0),0))</f>
        <v>0</v>
      </c>
      <c r="V5" s="145">
        <f t="shared" si="3"/>
        <v>0</v>
      </c>
      <c r="W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Row],[Tipo]]="DROP"),W4+TbTradesBinance[[#This Row],[Qtt]],W4-TbTradesBinance[[#This Row],[Qtt]]),IF(TbTradesBinance[[#This Row],[Tipo]]="BUY",W4-TbTradesBinance[[#This Row],[Qtt]]*TbTradesBinance[[#This Row],[Preço]],W4+TbTradesBinance[[#This Row],[Qtt]]*TbTradesBinance[[#This Row],[Preço]])),W4)-IF(TbTradesBinance[[#This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Row],[Tipo]]="DROP"),W4+TbTradesBinance[[#This Row],[Qtt]],W4-TbTradesBinance[[#This Row],[Qtt]]),IF(TbTradesBinance[[#This Row],[Tipo]]="BUY",W4-TbTradesBinance[[#This Row],[Qtt]]*TbTradesBinance[[#This Row],[Preço]],W4+TbTradesBinance[[#This Row],[Qtt]]*TbTradesBinance[[#This Row],[Preço]])),W4)-IF(TbTradesBinance[[#This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Row],[Tipo]]="DROP"),W4+TbTradesBinance[[#This Row],[Qtt]],W4-TbTradesBinance[[#This Row],[Qtt]]),IF(TbTradesBinance[[#This Row],[Tipo]]="BUY",W4-TbTradesBinance[[#This Row],[Qtt]]*TbTradesBinance[[#This Row],[Preço]],W4+TbTradesBinance[[#This Row],[Qtt]]*TbTradesBinance[[#This Row],[Preço]])),W4)-IF(TbTradesBinance[[#This Row],[Moeda da Taxa]]=MID(W$1,9,5),TbTradesBinance[[#This Row],[Taxa]],0),8)))</f>
        <v>4.7699999999999999E-4</v>
      </c>
      <c r="X5" s="145" cm="1">
        <f t="array" ref="X5">IF(TbTradesBinance[[#This Row],[Tipo]]="EMPTY",0,X4+IF(TbTradesBinance[[#This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Row],[Par]]))),$1:$1,0)),-(W4-W5)/W4*X4),0),0)+IF(TbTradesBinance[[#This Row],[Tipo]]="SELL",IF(ISNUMBER(FIND(MID(X$1,10,5),TbTradesBinance[[#This Row],[Par]])),IF(FIND(MID(X$1,10,5),TbTradesBinance[[#This Row],[Par]])=1, -(W4-W5)/W4*X4,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Row],[Par]])),(-(W4-W5)/W4*X4)+IF(TbTradesBinance[[#This Row],[Resultado]]&gt;0,0,TbTradesBinance[[#This Row],[Taxa]]),0),0))</f>
        <v>99.832284000000072</v>
      </c>
      <c r="Y5" s="145">
        <f t="shared" si="4"/>
        <v>209292.00000000015</v>
      </c>
      <c r="Z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Row],[Tipo]]="DROP"),Z4+TbTradesBinance[[#This Row],[Qtt]],Z4-TbTradesBinance[[#This Row],[Qtt]]),IF(TbTradesBinance[[#This Row],[Tipo]]="BUY",Z4-TbTradesBinance[[#This Row],[Qtt]]*TbTradesBinance[[#This Row],[Preço]],Z4+TbTradesBinance[[#This Row],[Qtt]]*TbTradesBinance[[#This Row],[Preço]])),Z4)-IF(TbTradesBinance[[#This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Row],[Tipo]]="DROP"),Z4+TbTradesBinance[[#This Row],[Qtt]],Z4-TbTradesBinance[[#This Row],[Qtt]]),IF(TbTradesBinance[[#This Row],[Tipo]]="BUY",Z4-TbTradesBinance[[#This Row],[Qtt]]*TbTradesBinance[[#This Row],[Preço]],Z4+TbTradesBinance[[#This Row],[Qtt]]*TbTradesBinance[[#This Row],[Preço]])),Z4)-IF(TbTradesBinance[[#This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Row],[Tipo]]="DROP"),Z4+TbTradesBinance[[#This Row],[Qtt]],Z4-TbTradesBinance[[#This Row],[Qtt]]),IF(TbTradesBinance[[#This Row],[Tipo]]="BUY",Z4-TbTradesBinance[[#This Row],[Qtt]]*TbTradesBinance[[#This Row],[Preço]],Z4+TbTradesBinance[[#This Row],[Qtt]]*TbTradesBinance[[#This Row],[Preço]])),Z4)-IF(TbTradesBinance[[#This Row],[Moeda da Taxa]]=MID(Z$1,9,5),TbTradesBinance[[#This Row],[Taxa]],0),8)))</f>
        <v>0</v>
      </c>
      <c r="AA5" s="145" cm="1">
        <f t="array" ref="AA5">IF(TbTradesBinance[[#This Row],[Tipo]]="EMPTY",0,AA4+IF(TbTradesBinance[[#This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Row],[Par]]))),$1:$1,0)),-(Z4-Z5)/Z4*AA4),0),0)+IF(TbTradesBinance[[#This Row],[Tipo]]="SELL",IF(ISNUMBER(FIND(MID(AA$1,10,5),TbTradesBinance[[#This Row],[Par]])),IF(FIND(MID(AA$1,10,5),TbTradesBinance[[#This Row],[Par]])=1, -(Z4-Z5)/Z4*AA4,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Row],[Par]])),(-(Z4-Z5)/Z4*AA4)+IF(TbTradesBinance[[#This Row],[Resultado]]&gt;0,0,TbTradesBinance[[#This Row],[Taxa]]),0),0))</f>
        <v>0</v>
      </c>
      <c r="AB5" s="145">
        <f t="shared" si="5"/>
        <v>0</v>
      </c>
      <c r="AC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Row],[Tipo]]="DROP"),AC4+TbTradesBinance[[#This Row],[Qtt]],AC4-TbTradesBinance[[#This Row],[Qtt]]),IF(TbTradesBinance[[#This Row],[Tipo]]="BUY",AC4-TbTradesBinance[[#This Row],[Qtt]]*TbTradesBinance[[#This Row],[Preço]],AC4+TbTradesBinance[[#This Row],[Qtt]]*TbTradesBinance[[#This Row],[Preço]])),AC4)-IF(TbTradesBinance[[#This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Row],[Tipo]]="DROP"),AC4+TbTradesBinance[[#This Row],[Qtt]],AC4-TbTradesBinance[[#This Row],[Qtt]]),IF(TbTradesBinance[[#This Row],[Tipo]]="BUY",AC4-TbTradesBinance[[#This Row],[Qtt]]*TbTradesBinance[[#This Row],[Preço]],AC4+TbTradesBinance[[#This Row],[Qtt]]*TbTradesBinance[[#This Row],[Preço]])),AC4)-IF(TbTradesBinance[[#This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Row],[Tipo]]="DROP"),AC4+TbTradesBinance[[#This Row],[Qtt]],AC4-TbTradesBinance[[#This Row],[Qtt]]),IF(TbTradesBinance[[#This Row],[Tipo]]="BUY",AC4-TbTradesBinance[[#This Row],[Qtt]]*TbTradesBinance[[#This Row],[Preço]],AC4+TbTradesBinance[[#This Row],[Qtt]]*TbTradesBinance[[#This Row],[Preço]])),AC4)-IF(TbTradesBinance[[#This Row],[Moeda da Taxa]]=MID(AC$1,9,5),TbTradesBinance[[#This Row],[Taxa]],0),8)))</f>
        <v>0</v>
      </c>
      <c r="AD5" s="145" cm="1">
        <f t="array" ref="AD5">IF(TbTradesBinance[[#This Row],[Tipo]]="EMPTY",0,AD4+IF(TbTradesBinance[[#This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Row],[Par]]))),$1:$1,0)),-(AC4-AC5)/AC4*AD4),0),0)+IF(TbTradesBinance[[#This Row],[Tipo]]="SELL",IF(ISNUMBER(FIND(MID(AD$1,10,5),TbTradesBinance[[#This Row],[Par]])),IF(FIND(MID(AD$1,10,5),TbTradesBinance[[#This Row],[Par]])=1, -(AC4-AC5)/AC4*AD4,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Row],[Par]])),(-(AC4-AC5)/AC4*AD4)+IF(TbTradesBinance[[#This Row],[Resultado]]&gt;0,0,TbTradesBinance[[#This Row],[Taxa]]),0),0))</f>
        <v>0</v>
      </c>
      <c r="AE5" s="145">
        <f t="shared" si="6"/>
        <v>0</v>
      </c>
      <c r="AF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Row],[Tipo]]="DROP"),AF4+TbTradesBinance[[#This Row],[Qtt]],AF4-TbTradesBinance[[#This Row],[Qtt]]),IF(TbTradesBinance[[#This Row],[Tipo]]="BUY",AF4-TbTradesBinance[[#This Row],[Qtt]]*TbTradesBinance[[#This Row],[Preço]],AF4+TbTradesBinance[[#This Row],[Qtt]]*TbTradesBinance[[#This Row],[Preço]])),AF4)-IF(TbTradesBinance[[#This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Row],[Tipo]]="DROP"),AF4+TbTradesBinance[[#This Row],[Qtt]],AF4-TbTradesBinance[[#This Row],[Qtt]]),IF(TbTradesBinance[[#This Row],[Tipo]]="BUY",AF4-TbTradesBinance[[#This Row],[Qtt]]*TbTradesBinance[[#This Row],[Preço]],AF4+TbTradesBinance[[#This Row],[Qtt]]*TbTradesBinance[[#This Row],[Preço]])),AF4)-IF(TbTradesBinance[[#This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Row],[Tipo]]="DROP"),AF4+TbTradesBinance[[#This Row],[Qtt]],AF4-TbTradesBinance[[#This Row],[Qtt]]),IF(TbTradesBinance[[#This Row],[Tipo]]="BUY",AF4-TbTradesBinance[[#This Row],[Qtt]]*TbTradesBinance[[#This Row],[Preço]],AF4+TbTradesBinance[[#This Row],[Qtt]]*TbTradesBinance[[#This Row],[Preço]])),AF4)-IF(TbTradesBinance[[#This Row],[Moeda da Taxa]]=MID(AF$1,9,5),TbTradesBinance[[#This Row],[Taxa]],0),8)))</f>
        <v>0</v>
      </c>
      <c r="AG5" s="145" cm="1">
        <f t="array" ref="AG5">IF(TbTradesBinance[[#This Row],[Tipo]]="EMPTY",0,AG4+IF(TbTradesBinance[[#This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Row],[Par]]))),$1:$1,0)),-(AF4-AF5)/AF4*AG4),0),0)+IF(TbTradesBinance[[#This Row],[Tipo]]="SELL",IF(ISNUMBER(FIND(MID(AG$1,10,5),TbTradesBinance[[#This Row],[Par]])),IF(FIND(MID(AG$1,10,5),TbTradesBinance[[#This Row],[Par]])=1, -(AF4-AF5)/AF4*AG4,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Row],[Par]])),(-(AF4-AF5)/AF4*AG4)+IF(TbTradesBinance[[#This Row],[Resultado]]&gt;0,0,TbTradesBinance[[#This Row],[Taxa]]),0),0))</f>
        <v>0</v>
      </c>
      <c r="AH5" s="145">
        <f t="shared" si="7"/>
        <v>0</v>
      </c>
      <c r="AI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Row],[Tipo]]="DROP"),AI4+TbTradesBinance[[#This Row],[Qtt]],AI4-TbTradesBinance[[#This Row],[Qtt]]),IF(TbTradesBinance[[#This Row],[Tipo]]="BUY",AI4-TbTradesBinance[[#This Row],[Qtt]]*TbTradesBinance[[#This Row],[Preço]],AI4+TbTradesBinance[[#This Row],[Qtt]]*TbTradesBinance[[#This Row],[Preço]])),AI4)-IF(TbTradesBinance[[#This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Row],[Tipo]]="DROP"),AI4+TbTradesBinance[[#This Row],[Qtt]],AI4-TbTradesBinance[[#This Row],[Qtt]]),IF(TbTradesBinance[[#This Row],[Tipo]]="BUY",AI4-TbTradesBinance[[#This Row],[Qtt]]*TbTradesBinance[[#This Row],[Preço]],AI4+TbTradesBinance[[#This Row],[Qtt]]*TbTradesBinance[[#This Row],[Preço]])),AI4)-IF(TbTradesBinance[[#This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Row],[Tipo]]="DROP"),AI4+TbTradesBinance[[#This Row],[Qtt]],AI4-TbTradesBinance[[#This Row],[Qtt]]),IF(TbTradesBinance[[#This Row],[Tipo]]="BUY",AI4-TbTradesBinance[[#This Row],[Qtt]]*TbTradesBinance[[#This Row],[Preço]],AI4+TbTradesBinance[[#This Row],[Qtt]]*TbTradesBinance[[#This Row],[Preço]])),AI4)-IF(TbTradesBinance[[#This Row],[Moeda da Taxa]]=MID(AI$1,9,5),TbTradesBinance[[#This Row],[Taxa]],0),8)))</f>
        <v>0</v>
      </c>
      <c r="AJ5" s="145" cm="1">
        <f t="array" ref="AJ5">IF(TbTradesBinance[[#This Row],[Tipo]]="EMPTY",0,AJ4+IF(TbTradesBinance[[#This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Row],[Par]]))),$1:$1,0)),-(AI4-AI5)/AI4*AJ4),0),0)+IF(TbTradesBinance[[#This Row],[Tipo]]="SELL",IF(ISNUMBER(FIND(MID(AJ$1,10,5),TbTradesBinance[[#This Row],[Par]])),IF(FIND(MID(AJ$1,10,5),TbTradesBinance[[#This Row],[Par]])=1, -(AI4-AI5)/AI4*AJ4,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Row],[Par]])),(-(AI4-AI5)/AI4*AJ4)+IF(TbTradesBinance[[#This Row],[Resultado]]&gt;0,0,TbTradesBinance[[#This Row],[Taxa]]),0),0))</f>
        <v>0</v>
      </c>
      <c r="AK5" s="145">
        <f t="shared" si="8"/>
        <v>0</v>
      </c>
      <c r="AL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Row],[Tipo]]="DROP"),AL4+TbTradesBinance[[#This Row],[Qtt]],AL4-TbTradesBinance[[#This Row],[Qtt]]),IF(TbTradesBinance[[#This Row],[Tipo]]="BUY",AL4-TbTradesBinance[[#This Row],[Qtt]]*TbTradesBinance[[#This Row],[Preço]],AL4+TbTradesBinance[[#This Row],[Qtt]]*TbTradesBinance[[#This Row],[Preço]])),AL4)-IF(TbTradesBinance[[#This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Row],[Tipo]]="DROP"),AL4+TbTradesBinance[[#This Row],[Qtt]],AL4-TbTradesBinance[[#This Row],[Qtt]]),IF(TbTradesBinance[[#This Row],[Tipo]]="BUY",AL4-TbTradesBinance[[#This Row],[Qtt]]*TbTradesBinance[[#This Row],[Preço]],AL4+TbTradesBinance[[#This Row],[Qtt]]*TbTradesBinance[[#This Row],[Preço]])),AL4)-IF(TbTradesBinance[[#This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Row],[Tipo]]="DROP"),AL4+TbTradesBinance[[#This Row],[Qtt]],AL4-TbTradesBinance[[#This Row],[Qtt]]),IF(TbTradesBinance[[#This Row],[Tipo]]="BUY",AL4-TbTradesBinance[[#This Row],[Qtt]]*TbTradesBinance[[#This Row],[Preço]],AL4+TbTradesBinance[[#This Row],[Qtt]]*TbTradesBinance[[#This Row],[Preço]])),AL4)-IF(TbTradesBinance[[#This Row],[Moeda da Taxa]]=MID(AL$1,9,5),TbTradesBinance[[#This Row],[Taxa]],0),8)))</f>
        <v>0</v>
      </c>
      <c r="AM5" s="145" cm="1">
        <f t="array" ref="AM5">IF(TbTradesBinance[[#This Row],[Tipo]]="EMPTY",0,AM4+IF(TbTradesBinance[[#This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Row],[Par]]))),$1:$1,0)),-(AL4-AL5)/AL4*AM4),0),0)+IF(TbTradesBinance[[#This Row],[Tipo]]="SELL",IF(ISNUMBER(FIND(MID(AM$1,10,5),TbTradesBinance[[#This Row],[Par]])),IF(FIND(MID(AM$1,10,5),TbTradesBinance[[#This Row],[Par]])=1, -(AL4-AL5)/AL4*AM4,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Row],[Par]])),(-(AL4-AL5)/AL4*AM4)+IF(TbTradesBinance[[#This Row],[Resultado]]&gt;0,0,TbTradesBinance[[#This Row],[Taxa]]),0),0))</f>
        <v>0</v>
      </c>
      <c r="AN5" s="145">
        <f t="shared" si="9"/>
        <v>0</v>
      </c>
      <c r="AO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Row],[Tipo]]="DROP"),AO4+TbTradesBinance[[#This Row],[Qtt]],AO4-TbTradesBinance[[#This Row],[Qtt]]),IF(TbTradesBinance[[#This Row],[Tipo]]="BUY",AO4-TbTradesBinance[[#This Row],[Qtt]]*TbTradesBinance[[#This Row],[Preço]],AO4+TbTradesBinance[[#This Row],[Qtt]]*TbTradesBinance[[#This Row],[Preço]])),AO4)-IF(TbTradesBinance[[#This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Row],[Tipo]]="DROP"),AO4+TbTradesBinance[[#This Row],[Qtt]],AO4-TbTradesBinance[[#This Row],[Qtt]]),IF(TbTradesBinance[[#This Row],[Tipo]]="BUY",AO4-TbTradesBinance[[#This Row],[Qtt]]*TbTradesBinance[[#This Row],[Preço]],AO4+TbTradesBinance[[#This Row],[Qtt]]*TbTradesBinance[[#This Row],[Preço]])),AO4)-IF(TbTradesBinance[[#This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Row],[Tipo]]="DROP"),AO4+TbTradesBinance[[#This Row],[Qtt]],AO4-TbTradesBinance[[#This Row],[Qtt]]),IF(TbTradesBinance[[#This Row],[Tipo]]="BUY",AO4-TbTradesBinance[[#This Row],[Qtt]]*TbTradesBinance[[#This Row],[Preço]],AO4+TbTradesBinance[[#This Row],[Qtt]]*TbTradesBinance[[#This Row],[Preço]])),AO4)-IF(TbTradesBinance[[#This Row],[Moeda da Taxa]]=MID(AO$1,9,5),TbTradesBinance[[#This Row],[Taxa]],0),8)))</f>
        <v>0</v>
      </c>
      <c r="AP5" s="145" cm="1">
        <f t="array" ref="AP5">IF(TbTradesBinance[[#This Row],[Tipo]]="EMPTY",0,AP4+IF(TbTradesBinance[[#This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Row],[Par]]))),$1:$1,0)),-(AO4-AO5)/AO4*AP4),0),0)+IF(TbTradesBinance[[#This Row],[Tipo]]="SELL",IF(ISNUMBER(FIND(MID(AP$1,10,5),TbTradesBinance[[#This Row],[Par]])),IF(FIND(MID(AP$1,10,5),TbTradesBinance[[#This Row],[Par]])=1, -(AO4-AO5)/AO4*AP4,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Row],[Par]])),(-(AO4-AO5)/AO4*AP4)+IF(TbTradesBinance[[#This Row],[Resultado]]&gt;0,0,TbTradesBinance[[#This Row],[Taxa]]),0),0))</f>
        <v>0</v>
      </c>
      <c r="AQ5" s="145">
        <f t="shared" si="10"/>
        <v>0</v>
      </c>
      <c r="AR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Row],[Tipo]]="DROP"),AR4+TbTradesBinance[[#This Row],[Qtt]],AR4-TbTradesBinance[[#This Row],[Qtt]]),IF(TbTradesBinance[[#This Row],[Tipo]]="BUY",AR4-TbTradesBinance[[#This Row],[Qtt]]*TbTradesBinance[[#This Row],[Preço]],AR4+TbTradesBinance[[#This Row],[Qtt]]*TbTradesBinance[[#This Row],[Preço]])),AR4)-IF(TbTradesBinance[[#This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Row],[Tipo]]="DROP"),AR4+TbTradesBinance[[#This Row],[Qtt]],AR4-TbTradesBinance[[#This Row],[Qtt]]),IF(TbTradesBinance[[#This Row],[Tipo]]="BUY",AR4-TbTradesBinance[[#This Row],[Qtt]]*TbTradesBinance[[#This Row],[Preço]],AR4+TbTradesBinance[[#This Row],[Qtt]]*TbTradesBinance[[#This Row],[Preço]])),AR4)-IF(TbTradesBinance[[#This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Row],[Tipo]]="DROP"),AR4+TbTradesBinance[[#This Row],[Qtt]],AR4-TbTradesBinance[[#This Row],[Qtt]]),IF(TbTradesBinance[[#This Row],[Tipo]]="BUY",AR4-TbTradesBinance[[#This Row],[Qtt]]*TbTradesBinance[[#This Row],[Preço]],AR4+TbTradesBinance[[#This Row],[Qtt]]*TbTradesBinance[[#This Row],[Preço]])),AR4)-IF(TbTradesBinance[[#This Row],[Moeda da Taxa]]=MID(AR$1,9,5),TbTradesBinance[[#This Row],[Taxa]],0),8)))</f>
        <v>0</v>
      </c>
      <c r="AS5" s="145" cm="1">
        <f t="array" ref="AS5">IF(TbTradesBinance[[#This Row],[Tipo]]="EMPTY",0,AS4+IF(TbTradesBinance[[#This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Row],[Par]]))),$1:$1,0)),-(AR4-AR5)/AR4*AS4),0),0)+IF(TbTradesBinance[[#This Row],[Tipo]]="SELL",IF(ISNUMBER(FIND(MID(AS$1,10,5),TbTradesBinance[[#This Row],[Par]])),IF(FIND(MID(AS$1,10,5),TbTradesBinance[[#This Row],[Par]])=1, -(AR4-AR5)/AR4*AS4,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Row],[Par]])),(-(AR4-AR5)/AR4*AS4)+IF(TbTradesBinance[[#This Row],[Resultado]]&gt;0,0,TbTradesBinance[[#This Row],[Taxa]]),0),0))</f>
        <v>0</v>
      </c>
      <c r="AT5" s="145">
        <f t="shared" si="11"/>
        <v>0</v>
      </c>
      <c r="AU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Row],[Tipo]]="DROP"),AU4+TbTradesBinance[[#This Row],[Qtt]],AU4-TbTradesBinance[[#This Row],[Qtt]]),IF(TbTradesBinance[[#This Row],[Tipo]]="BUY",AU4-TbTradesBinance[[#This Row],[Qtt]]*TbTradesBinance[[#This Row],[Preço]],AU4+TbTradesBinance[[#This Row],[Qtt]]*TbTradesBinance[[#This Row],[Preço]])),AU4)-IF(TbTradesBinance[[#This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Row],[Tipo]]="DROP"),AU4+TbTradesBinance[[#This Row],[Qtt]],AU4-TbTradesBinance[[#This Row],[Qtt]]),IF(TbTradesBinance[[#This Row],[Tipo]]="BUY",AU4-TbTradesBinance[[#This Row],[Qtt]]*TbTradesBinance[[#This Row],[Preço]],AU4+TbTradesBinance[[#This Row],[Qtt]]*TbTradesBinance[[#This Row],[Preço]])),AU4)-IF(TbTradesBinance[[#This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Row],[Tipo]]="DROP"),AU4+TbTradesBinance[[#This Row],[Qtt]],AU4-TbTradesBinance[[#This Row],[Qtt]]),IF(TbTradesBinance[[#This Row],[Tipo]]="BUY",AU4-TbTradesBinance[[#This Row],[Qtt]]*TbTradesBinance[[#This Row],[Preço]],AU4+TbTradesBinance[[#This Row],[Qtt]]*TbTradesBinance[[#This Row],[Preço]])),AU4)-IF(TbTradesBinance[[#This Row],[Moeda da Taxa]]=MID(AU$1,9,5),TbTradesBinance[[#This Row],[Taxa]],0),8)))</f>
        <v>0</v>
      </c>
      <c r="AV5" s="145" cm="1">
        <f t="array" ref="AV5">IF(TbTradesBinance[[#This Row],[Tipo]]="EMPTY",0,AV4+IF(TbTradesBinance[[#This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Row],[Par]]))),$1:$1,0)),-(AU4-AU5)/AU4*AV4),0),0)+IF(TbTradesBinance[[#This Row],[Tipo]]="SELL",IF(ISNUMBER(FIND(MID(AV$1,10,5),TbTradesBinance[[#This Row],[Par]])),IF(FIND(MID(AV$1,10,5),TbTradesBinance[[#This Row],[Par]])=1, -(AU4-AU5)/AU4*AV4,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Row],[Par]])),(-(AU4-AU5)/AU4*AV4)+IF(TbTradesBinance[[#This Row],[Resultado]]&gt;0,0,TbTradesBinance[[#This Row],[Taxa]]),0),0))</f>
        <v>0</v>
      </c>
      <c r="AW5" s="145">
        <f t="shared" si="12"/>
        <v>0</v>
      </c>
      <c r="AX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Row],[Tipo]]="DROP"),AX4+TbTradesBinance[[#This Row],[Qtt]],AX4-TbTradesBinance[[#This Row],[Qtt]]),IF(TbTradesBinance[[#This Row],[Tipo]]="BUY",AX4-TbTradesBinance[[#This Row],[Qtt]]*TbTradesBinance[[#This Row],[Preço]],AX4+TbTradesBinance[[#This Row],[Qtt]]*TbTradesBinance[[#This Row],[Preço]])),AX4)-IF(TbTradesBinance[[#This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Row],[Tipo]]="DROP"),AX4+TbTradesBinance[[#This Row],[Qtt]],AX4-TbTradesBinance[[#This Row],[Qtt]]),IF(TbTradesBinance[[#This Row],[Tipo]]="BUY",AX4-TbTradesBinance[[#This Row],[Qtt]]*TbTradesBinance[[#This Row],[Preço]],AX4+TbTradesBinance[[#This Row],[Qtt]]*TbTradesBinance[[#This Row],[Preço]])),AX4)-IF(TbTradesBinance[[#This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Row],[Tipo]]="DROP"),AX4+TbTradesBinance[[#This Row],[Qtt]],AX4-TbTradesBinance[[#This Row],[Qtt]]),IF(TbTradesBinance[[#This Row],[Tipo]]="BUY",AX4-TbTradesBinance[[#This Row],[Qtt]]*TbTradesBinance[[#This Row],[Preço]],AX4+TbTradesBinance[[#This Row],[Qtt]]*TbTradesBinance[[#This Row],[Preço]])),AX4)-IF(TbTradesBinance[[#This Row],[Moeda da Taxa]]=MID(AX$1,9,5),TbTradesBinance[[#This Row],[Taxa]],0),8)))</f>
        <v>0</v>
      </c>
      <c r="AY5" s="145" cm="1">
        <f t="array" ref="AY5">IF(TbTradesBinance[[#This Row],[Tipo]]="EMPTY",0,AY4+IF(TbTradesBinance[[#This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Row],[Par]]))),$1:$1,0)),-(AX4-AX5)/AX4*AY4),0),0)+IF(TbTradesBinance[[#This Row],[Tipo]]="SELL",IF(ISNUMBER(FIND(MID(AY$1,10,5),TbTradesBinance[[#This Row],[Par]])),IF(FIND(MID(AY$1,10,5),TbTradesBinance[[#This Row],[Par]])=1, -(AX4-AX5)/AX4*AY4,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Row],[Par]])),(-(AX4-AX5)/AX4*AY4)+IF(TbTradesBinance[[#This Row],[Resultado]]&gt;0,0,TbTradesBinance[[#This Row],[Taxa]]),0),0))</f>
        <v>0</v>
      </c>
      <c r="AZ5" s="145">
        <f t="shared" si="13"/>
        <v>0</v>
      </c>
      <c r="BA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Row],[Tipo]]="DROP"),BA4+TbTradesBinance[[#This Row],[Qtt]],BA4-TbTradesBinance[[#This Row],[Qtt]]),IF(TbTradesBinance[[#This Row],[Tipo]]="BUY",BA4-TbTradesBinance[[#This Row],[Qtt]]*TbTradesBinance[[#This Row],[Preço]],BA4+TbTradesBinance[[#This Row],[Qtt]]*TbTradesBinance[[#This Row],[Preço]])),BA4)-IF(TbTradesBinance[[#This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Row],[Tipo]]="DROP"),BA4+TbTradesBinance[[#This Row],[Qtt]],BA4-TbTradesBinance[[#This Row],[Qtt]]),IF(TbTradesBinance[[#This Row],[Tipo]]="BUY",BA4-TbTradesBinance[[#This Row],[Qtt]]*TbTradesBinance[[#This Row],[Preço]],BA4+TbTradesBinance[[#This Row],[Qtt]]*TbTradesBinance[[#This Row],[Preço]])),BA4)-IF(TbTradesBinance[[#This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Row],[Tipo]]="DROP"),BA4+TbTradesBinance[[#This Row],[Qtt]],BA4-TbTradesBinance[[#This Row],[Qtt]]),IF(TbTradesBinance[[#This Row],[Tipo]]="BUY",BA4-TbTradesBinance[[#This Row],[Qtt]]*TbTradesBinance[[#This Row],[Preço]],BA4+TbTradesBinance[[#This Row],[Qtt]]*TbTradesBinance[[#This Row],[Preço]])),BA4)-IF(TbTradesBinance[[#This Row],[Moeda da Taxa]]=MID(BA$1,9,5),TbTradesBinance[[#This Row],[Taxa]],0),8)))</f>
        <v>0</v>
      </c>
      <c r="BB5" s="145" cm="1">
        <f t="array" ref="BB5">IF(TbTradesBinance[[#This Row],[Tipo]]="EMPTY",0,BB4+IF(TbTradesBinance[[#This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Row],[Par]]))),$1:$1,0)),-(BA4-BA5)/BA4*BB4),0),0)+IF(TbTradesBinance[[#This Row],[Tipo]]="SELL",IF(ISNUMBER(FIND(MID(BB$1,10,5),TbTradesBinance[[#This Row],[Par]])),IF(FIND(MID(BB$1,10,5),TbTradesBinance[[#This Row],[Par]])=1, -(BA4-BA5)/BA4*BB4,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Row],[Par]])),(-(BA4-BA5)/BA4*BB4)+IF(TbTradesBinance[[#This Row],[Resultado]]&gt;0,0,TbTradesBinance[[#This Row],[Taxa]]),0),0))</f>
        <v>0</v>
      </c>
      <c r="BC5" s="145">
        <f t="shared" si="14"/>
        <v>0</v>
      </c>
      <c r="BD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Row],[Tipo]]="DROP"),BD4+TbTradesBinance[[#This Row],[Qtt]],BD4-TbTradesBinance[[#This Row],[Qtt]]),IF(TbTradesBinance[[#This Row],[Tipo]]="BUY",BD4-TbTradesBinance[[#This Row],[Qtt]]*TbTradesBinance[[#This Row],[Preço]],BD4+TbTradesBinance[[#This Row],[Qtt]]*TbTradesBinance[[#This Row],[Preço]])),BD4)-IF(TbTradesBinance[[#This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Row],[Tipo]]="DROP"),BD4+TbTradesBinance[[#This Row],[Qtt]],BD4-TbTradesBinance[[#This Row],[Qtt]]),IF(TbTradesBinance[[#This Row],[Tipo]]="BUY",BD4-TbTradesBinance[[#This Row],[Qtt]]*TbTradesBinance[[#This Row],[Preço]],BD4+TbTradesBinance[[#This Row],[Qtt]]*TbTradesBinance[[#This Row],[Preço]])),BD4)-IF(TbTradesBinance[[#This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Row],[Tipo]]="DROP"),BD4+TbTradesBinance[[#This Row],[Qtt]],BD4-TbTradesBinance[[#This Row],[Qtt]]),IF(TbTradesBinance[[#This Row],[Tipo]]="BUY",BD4-TbTradesBinance[[#This Row],[Qtt]]*TbTradesBinance[[#This Row],[Preço]],BD4+TbTradesBinance[[#This Row],[Qtt]]*TbTradesBinance[[#This Row],[Preço]])),BD4)-IF(TbTradesBinance[[#This Row],[Moeda da Taxa]]=MID(BD$1,9,5),TbTradesBinance[[#This Row],[Taxa]],0),8)))</f>
        <v>0</v>
      </c>
      <c r="BE5" s="145" cm="1">
        <f t="array" ref="BE5">IF(TbTradesBinance[[#This Row],[Tipo]]="EMPTY",0,BE4+IF(TbTradesBinance[[#This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Row],[Par]]))),$1:$1,0)),-(BD4-BD5)/BD4*BE4),0),0)+IF(TbTradesBinance[[#This Row],[Tipo]]="SELL",IF(ISNUMBER(FIND(MID(BE$1,10,5),TbTradesBinance[[#This Row],[Par]])),IF(FIND(MID(BE$1,10,5),TbTradesBinance[[#This Row],[Par]])=1, -(BD4-BD5)/BD4*BE4,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Row],[Par]])),(-(BD4-BD5)/BD4*BE4)+IF(TbTradesBinance[[#This Row],[Resultado]]&gt;0,0,TbTradesBinance[[#This Row],[Taxa]]),0),0))</f>
        <v>0</v>
      </c>
      <c r="BF5" s="145">
        <f t="shared" si="15"/>
        <v>0</v>
      </c>
      <c r="BG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Row],[Tipo]]="DROP"),BG4+TbTradesBinance[[#This Row],[Qtt]],BG4-TbTradesBinance[[#This Row],[Qtt]]),IF(TbTradesBinance[[#This Row],[Tipo]]="BUY",BG4-TbTradesBinance[[#This Row],[Qtt]]*TbTradesBinance[[#This Row],[Preço]],BG4+TbTradesBinance[[#This Row],[Qtt]]*TbTradesBinance[[#This Row],[Preço]])),BG4)-IF(TbTradesBinance[[#This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Row],[Tipo]]="DROP"),BG4+TbTradesBinance[[#This Row],[Qtt]],BG4-TbTradesBinance[[#This Row],[Qtt]]),IF(TbTradesBinance[[#This Row],[Tipo]]="BUY",BG4-TbTradesBinance[[#This Row],[Qtt]]*TbTradesBinance[[#This Row],[Preço]],BG4+TbTradesBinance[[#This Row],[Qtt]]*TbTradesBinance[[#This Row],[Preço]])),BG4)-IF(TbTradesBinance[[#This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Row],[Tipo]]="DROP"),BG4+TbTradesBinance[[#This Row],[Qtt]],BG4-TbTradesBinance[[#This Row],[Qtt]]),IF(TbTradesBinance[[#This Row],[Tipo]]="BUY",BG4-TbTradesBinance[[#This Row],[Qtt]]*TbTradesBinance[[#This Row],[Preço]],BG4+TbTradesBinance[[#This Row],[Qtt]]*TbTradesBinance[[#This Row],[Preço]])),BG4)-IF(TbTradesBinance[[#This Row],[Moeda da Taxa]]=MID(BG$1,9,5),TbTradesBinance[[#This Row],[Taxa]],0),8)))</f>
        <v>0</v>
      </c>
      <c r="BH5" s="145" cm="1">
        <f t="array" ref="BH5">IF(TbTradesBinance[[#This Row],[Tipo]]="EMPTY",0,BH4+IF(TbTradesBinance[[#This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Row],[Par]]))),$1:$1,0)),-(BG4-BG5)/BG4*BH4),0),0)+IF(TbTradesBinance[[#This Row],[Tipo]]="SELL",IF(ISNUMBER(FIND(MID(BH$1,10,5),TbTradesBinance[[#This Row],[Par]])),IF(FIND(MID(BH$1,10,5),TbTradesBinance[[#This Row],[Par]])=1, -(BG4-BG5)/BG4*BH4,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Row],[Par]])),(-(BG4-BG5)/BG4*BH4)+IF(TbTradesBinance[[#This Row],[Resultado]]&gt;0,0,TbTradesBinance[[#This Row],[Taxa]]),0),0))</f>
        <v>0</v>
      </c>
      <c r="BI5" s="145">
        <f t="shared" si="16"/>
        <v>0</v>
      </c>
      <c r="BJ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Row],[Tipo]]="DROP"),BJ4+TbTradesBinance[[#This Row],[Qtt]],BJ4-TbTradesBinance[[#This Row],[Qtt]]),IF(TbTradesBinance[[#This Row],[Tipo]]="BUY",BJ4-TbTradesBinance[[#This Row],[Qtt]]*TbTradesBinance[[#This Row],[Preço]],BJ4+TbTradesBinance[[#This Row],[Qtt]]*TbTradesBinance[[#This Row],[Preço]])),BJ4)-IF(TbTradesBinance[[#This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Row],[Tipo]]="DROP"),BJ4+TbTradesBinance[[#This Row],[Qtt]],BJ4-TbTradesBinance[[#This Row],[Qtt]]),IF(TbTradesBinance[[#This Row],[Tipo]]="BUY",BJ4-TbTradesBinance[[#This Row],[Qtt]]*TbTradesBinance[[#This Row],[Preço]],BJ4+TbTradesBinance[[#This Row],[Qtt]]*TbTradesBinance[[#This Row],[Preço]])),BJ4)-IF(TbTradesBinance[[#This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Row],[Tipo]]="DROP"),BJ4+TbTradesBinance[[#This Row],[Qtt]],BJ4-TbTradesBinance[[#This Row],[Qtt]]),IF(TbTradesBinance[[#This Row],[Tipo]]="BUY",BJ4-TbTradesBinance[[#This Row],[Qtt]]*TbTradesBinance[[#This Row],[Preço]],BJ4+TbTradesBinance[[#This Row],[Qtt]]*TbTradesBinance[[#This Row],[Preço]])),BJ4)-IF(TbTradesBinance[[#This Row],[Moeda da Taxa]]=MID(BJ$1,9,5),TbTradesBinance[[#This Row],[Taxa]],0),8)))</f>
        <v>0</v>
      </c>
      <c r="BK5" s="145" cm="1">
        <f t="array" ref="BK5">IF(TbTradesBinance[[#This Row],[Tipo]]="EMPTY",0,BK4+IF(TbTradesBinance[[#This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Row],[Par]]))),$1:$1,0)),-(BJ4-BJ5)/BJ4*BK4),0),0)+IF(TbTradesBinance[[#This Row],[Tipo]]="SELL",IF(ISNUMBER(FIND(MID(BK$1,10,5),TbTradesBinance[[#This Row],[Par]])),IF(FIND(MID(BK$1,10,5),TbTradesBinance[[#This Row],[Par]])=1, -(BJ4-BJ5)/BJ4*BK4,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Row],[Par]])),(-(BJ4-BJ5)/BJ4*BK4)+IF(TbTradesBinance[[#This Row],[Resultado]]&gt;0,0,TbTradesBinance[[#This Row],[Taxa]]),0),0))</f>
        <v>0</v>
      </c>
      <c r="BL5" s="145">
        <f t="shared" si="17"/>
        <v>0</v>
      </c>
      <c r="BM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Row],[Tipo]]="DROP"),BM4+TbTradesBinance[[#This Row],[Qtt]],BM4-TbTradesBinance[[#This Row],[Qtt]]),IF(TbTradesBinance[[#This Row],[Tipo]]="BUY",BM4-TbTradesBinance[[#This Row],[Qtt]]*TbTradesBinance[[#This Row],[Preço]],BM4+TbTradesBinance[[#This Row],[Qtt]]*TbTradesBinance[[#This Row],[Preço]])),BM4)-IF(TbTradesBinance[[#This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Row],[Tipo]]="DROP"),BM4+TbTradesBinance[[#This Row],[Qtt]],BM4-TbTradesBinance[[#This Row],[Qtt]]),IF(TbTradesBinance[[#This Row],[Tipo]]="BUY",BM4-TbTradesBinance[[#This Row],[Qtt]]*TbTradesBinance[[#This Row],[Preço]],BM4+TbTradesBinance[[#This Row],[Qtt]]*TbTradesBinance[[#This Row],[Preço]])),BM4)-IF(TbTradesBinance[[#This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Row],[Tipo]]="DROP"),BM4+TbTradesBinance[[#This Row],[Qtt]],BM4-TbTradesBinance[[#This Row],[Qtt]]),IF(TbTradesBinance[[#This Row],[Tipo]]="BUY",BM4-TbTradesBinance[[#This Row],[Qtt]]*TbTradesBinance[[#This Row],[Preço]],BM4+TbTradesBinance[[#This Row],[Qtt]]*TbTradesBinance[[#This Row],[Preço]])),BM4)-IF(TbTradesBinance[[#This Row],[Moeda da Taxa]]=MID(BM$1,9,5),TbTradesBinance[[#This Row],[Taxa]],0),8)))</f>
        <v>0</v>
      </c>
      <c r="BN5" s="145" cm="1">
        <f t="array" ref="BN5">IF(TbTradesBinance[[#This Row],[Tipo]]="EMPTY",0,BN4+IF(TbTradesBinance[[#This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Row],[Par]]))),$1:$1,0)),-(BM4-BM5)/BM4*BN4),0),0)+IF(TbTradesBinance[[#This Row],[Tipo]]="SELL",IF(ISNUMBER(FIND(MID(BN$1,10,5),TbTradesBinance[[#This Row],[Par]])),IF(FIND(MID(BN$1,10,5),TbTradesBinance[[#This Row],[Par]])=1, -(BM4-BM5)/BM4*BN4,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Row],[Par]])),(-(BM4-BM5)/BM4*BN4)+IF(TbTradesBinance[[#This Row],[Resultado]]&gt;0,0,TbTradesBinance[[#This Row],[Taxa]]),0),0))</f>
        <v>0</v>
      </c>
      <c r="BO5" s="145">
        <f t="shared" si="18"/>
        <v>0</v>
      </c>
    </row>
    <row r="6" spans="1:67" x14ac:dyDescent="0.3">
      <c r="B6" s="51"/>
      <c r="C6" s="40">
        <f>TRUNC(IF(AND(TbTradesBinance[[#This Row],[Tipo]]="SEND",TbTradesBinance[[#This Row],[Par]]="BRL"),TbTradesBinance[[#This Row],[Qtt]]*(1-P4)-IF(TbTradesBinance[[#This Row],[Moeda da Taxa]]="BRL",TbTradesBinance[[#This Row],[Taxa]],0),0)+IF(AND(TbTradesBinance[[#This Row],[Tipo]]="BURN",TbTradesBinance[[#This Row],[Par]]="BRL"),-TbTradesBinance[[#This Row],[Qtt]]*P4,0),2)</f>
        <v>0</v>
      </c>
      <c r="D6" s="53">
        <v>44246.660833333335</v>
      </c>
      <c r="E6" s="37" t="s">
        <v>138</v>
      </c>
      <c r="F6" s="47" t="s">
        <v>140</v>
      </c>
      <c r="G6" s="38">
        <v>300000</v>
      </c>
      <c r="H6" s="38">
        <v>2.0000000000000001E-4</v>
      </c>
      <c r="I6" s="38">
        <v>0</v>
      </c>
      <c r="J6" s="37" t="s">
        <v>50</v>
      </c>
      <c r="K6" s="52">
        <v>1</v>
      </c>
      <c r="L6" s="40">
        <f t="shared" si="0"/>
        <v>300000</v>
      </c>
      <c r="M6" s="40">
        <f>IF(OR(TbTradesBinance[[#This Row],[Tipo]]="BUY",TbTradesBinance[[#This Row],[Tipo]]="RECEIVE",TbTradesBinance[[#This Row],[Tipo]]="DROP"),L6*H6,-L6*H6)</f>
        <v>-60</v>
      </c>
      <c r="N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Row],[Tipo]]="DROP"),N5+TbTradesBinance[[#This Row],[Qtt]],N5-TbTradesBinance[[#This Row],[Qtt]]),IF(TbTradesBinance[[#This Row],[Tipo]]="BUY",N5-TbTradesBinance[[#This Row],[Qtt]]*TbTradesBinance[[#This Row],[Preço]],N5+TbTradesBinance[[#This Row],[Qtt]]*TbTradesBinance[[#This Row],[Preço]])),N5)-IF(TbTradesBinance[[#This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Row],[Tipo]]="DROP"),N5+TbTradesBinance[[#This Row],[Qtt]],N5-TbTradesBinance[[#This Row],[Qtt]]),IF(TbTradesBinance[[#This Row],[Tipo]]="BUY",N5-TbTradesBinance[[#This Row],[Qtt]]*TbTradesBinance[[#This Row],[Preço]],N5+TbTradesBinance[[#This Row],[Qtt]]*TbTradesBinance[[#This Row],[Preço]])),N5)-IF(TbTradesBinance[[#This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Row],[Tipo]]="DROP"),N5+TbTradesBinance[[#This Row],[Qtt]],N5-TbTradesBinance[[#This Row],[Qtt]]),IF(TbTradesBinance[[#This Row],[Tipo]]="BUY",N5-TbTradesBinance[[#This Row],[Qtt]]*TbTradesBinance[[#This Row],[Preço]],N5+TbTradesBinance[[#This Row],[Qtt]]*TbTradesBinance[[#This Row],[Preço]])),N5)-IF(TbTradesBinance[[#This Row],[Moeda da Taxa]]=MID(N$1,9,5),TbTradesBinance[[#This Row],[Taxa]],0),8)))</f>
        <v>19960.167716</v>
      </c>
      <c r="O6" s="145" cm="1">
        <f t="array" ref="O6">IF(TbTradesBinance[[#This Row],[Tipo]]="EMPTY",0,O5+IF(TbTradesBinance[[#This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Row],[Par]]))),$1:$1,0)),-(N5-N6)/N5*O5),0),0)+IF(TbTradesBinance[[#This Row],[Tipo]]="SELL",IF(ISNUMBER(FIND(MID(O$1,10,5),TbTradesBinance[[#This Row],[Par]])),IF(FIND(MID(O$1,10,5),TbTradesBinance[[#This Row],[Par]])=1, -(N5-N6)/N5*O5,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Row],[Par]])),(-(N5-N6)/N5*O5)+IF(TbTradesBinance[[#This Row],[Resultado]]&gt;0,0,TbTradesBinance[[#This Row],[Taxa]]),0),0))</f>
        <v>19942.026116000001</v>
      </c>
      <c r="P6" s="145">
        <f t="shared" si="1"/>
        <v>0.99909110984145399</v>
      </c>
      <c r="Q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Row],[Tipo]]="DROP"),Q5+TbTradesBinance[[#This Row],[Qtt]],Q5-TbTradesBinance[[#This Row],[Qtt]]),IF(TbTradesBinance[[#This Row],[Tipo]]="BUY",Q5-TbTradesBinance[[#This Row],[Qtt]]*TbTradesBinance[[#This Row],[Preço]],Q5+TbTradesBinance[[#This Row],[Qtt]]*TbTradesBinance[[#This Row],[Preço]])),Q5)-IF(TbTradesBinance[[#This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Row],[Tipo]]="DROP"),Q5+TbTradesBinance[[#This Row],[Qtt]],Q5-TbTradesBinance[[#This Row],[Qtt]]),IF(TbTradesBinance[[#This Row],[Tipo]]="BUY",Q5-TbTradesBinance[[#This Row],[Qtt]]*TbTradesBinance[[#This Row],[Preço]],Q5+TbTradesBinance[[#This Row],[Qtt]]*TbTradesBinance[[#This Row],[Preço]])),Q5)-IF(TbTradesBinance[[#This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Row],[Tipo]]="DROP"),Q5+TbTradesBinance[[#This Row],[Qtt]],Q5-TbTradesBinance[[#This Row],[Qtt]]),IF(TbTradesBinance[[#This Row],[Tipo]]="BUY",Q5-TbTradesBinance[[#This Row],[Qtt]]*TbTradesBinance[[#This Row],[Preço]],Q5+TbTradesBinance[[#This Row],[Qtt]]*TbTradesBinance[[#This Row],[Preço]])),Q5)-IF(TbTradesBinance[[#This Row],[Moeda da Taxa]]=MID(Q$1,9,5),TbTradesBinance[[#This Row],[Taxa]],0),8)))</f>
        <v>0</v>
      </c>
      <c r="R6" s="145" cm="1">
        <f t="array" ref="R6">IF(TbTradesBinance[[#This Row],[Tipo]]="EMPTY",0,R5+IF(TbTradesBinance[[#This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Row],[Par]]))),$1:$1,0)),-(Q5-Q6)/Q5*R5),0),0)+IF(TbTradesBinance[[#This Row],[Tipo]]="SELL",IF(ISNUMBER(FIND(MID(R$1,10,5),TbTradesBinance[[#This Row],[Par]])),IF(FIND(MID(R$1,10,5),TbTradesBinance[[#This Row],[Par]])=1, -(Q5-Q6)/Q5*R5,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Row],[Par]])),(-(Q5-Q6)/Q5*R5)+IF(TbTradesBinance[[#This Row],[Resultado]]&gt;0,0,TbTradesBinance[[#This Row],[Taxa]]),0),0))</f>
        <v>0</v>
      </c>
      <c r="S6" s="145">
        <f t="shared" si="2"/>
        <v>0</v>
      </c>
      <c r="T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Row],[Tipo]]="DROP"),T5+TbTradesBinance[[#This Row],[Qtt]],T5-TbTradesBinance[[#This Row],[Qtt]]),IF(TbTradesBinance[[#This Row],[Tipo]]="BUY",T5-TbTradesBinance[[#This Row],[Qtt]]*TbTradesBinance[[#This Row],[Preço]],T5+TbTradesBinance[[#This Row],[Qtt]]*TbTradesBinance[[#This Row],[Preço]])),T5)-IF(TbTradesBinance[[#This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Row],[Tipo]]="DROP"),T5+TbTradesBinance[[#This Row],[Qtt]],T5-TbTradesBinance[[#This Row],[Qtt]]),IF(TbTradesBinance[[#This Row],[Tipo]]="BUY",T5-TbTradesBinance[[#This Row],[Qtt]]*TbTradesBinance[[#This Row],[Preço]],T5+TbTradesBinance[[#This Row],[Qtt]]*TbTradesBinance[[#This Row],[Preço]])),T5)-IF(TbTradesBinance[[#This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Row],[Tipo]]="DROP"),T5+TbTradesBinance[[#This Row],[Qtt]],T5-TbTradesBinance[[#This Row],[Qtt]]),IF(TbTradesBinance[[#This Row],[Tipo]]="BUY",T5-TbTradesBinance[[#This Row],[Qtt]]*TbTradesBinance[[#This Row],[Preço]],T5+TbTradesBinance[[#This Row],[Qtt]]*TbTradesBinance[[#This Row],[Preço]])),T5)-IF(TbTradesBinance[[#This Row],[Moeda da Taxa]]=MID(T$1,9,5),TbTradesBinance[[#This Row],[Taxa]],0),8)))</f>
        <v>0</v>
      </c>
      <c r="U6" s="145" cm="1">
        <f t="array" ref="U6">IF(TbTradesBinance[[#This Row],[Tipo]]="EMPTY",0,U5+IF(TbTradesBinance[[#This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Row],[Par]]))),$1:$1,0)),-(T5-T6)/T5*U5),0),0)+IF(TbTradesBinance[[#This Row],[Tipo]]="SELL",IF(ISNUMBER(FIND(MID(U$1,10,5),TbTradesBinance[[#This Row],[Par]])),IF(FIND(MID(U$1,10,5),TbTradesBinance[[#This Row],[Par]])=1, -(T5-T6)/T5*U5,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Row],[Par]])),(-(T5-T6)/T5*U5)+IF(TbTradesBinance[[#This Row],[Resultado]]&gt;0,0,TbTradesBinance[[#This Row],[Taxa]]),0),0))</f>
        <v>0</v>
      </c>
      <c r="V6" s="145">
        <f t="shared" si="3"/>
        <v>0</v>
      </c>
      <c r="W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Row],[Tipo]]="DROP"),W5+TbTradesBinance[[#This Row],[Qtt]],W5-TbTradesBinance[[#This Row],[Qtt]]),IF(TbTradesBinance[[#This Row],[Tipo]]="BUY",W5-TbTradesBinance[[#This Row],[Qtt]]*TbTradesBinance[[#This Row],[Preço]],W5+TbTradesBinance[[#This Row],[Qtt]]*TbTradesBinance[[#This Row],[Preço]])),W5)-IF(TbTradesBinance[[#This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Row],[Tipo]]="DROP"),W5+TbTradesBinance[[#This Row],[Qtt]],W5-TbTradesBinance[[#This Row],[Qtt]]),IF(TbTradesBinance[[#This Row],[Tipo]]="BUY",W5-TbTradesBinance[[#This Row],[Qtt]]*TbTradesBinance[[#This Row],[Preço]],W5+TbTradesBinance[[#This Row],[Qtt]]*TbTradesBinance[[#This Row],[Preço]])),W5)-IF(TbTradesBinance[[#This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Row],[Tipo]]="DROP"),W5+TbTradesBinance[[#This Row],[Qtt]],W5-TbTradesBinance[[#This Row],[Qtt]]),IF(TbTradesBinance[[#This Row],[Tipo]]="BUY",W5-TbTradesBinance[[#This Row],[Qtt]]*TbTradesBinance[[#This Row],[Preço]],W5+TbTradesBinance[[#This Row],[Qtt]]*TbTradesBinance[[#This Row],[Preço]])),W5)-IF(TbTradesBinance[[#This Row],[Moeda da Taxa]]=MID(W$1,9,5),TbTradesBinance[[#This Row],[Taxa]],0),8)))</f>
        <v>2.7700000000000001E-4</v>
      </c>
      <c r="X6" s="145" cm="1">
        <f t="array" ref="X6">IF(TbTradesBinance[[#This Row],[Tipo]]="EMPTY",0,X5+IF(TbTradesBinance[[#This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Row],[Par]]))),$1:$1,0)),-(W5-W6)/W5*X5),0),0)+IF(TbTradesBinance[[#This Row],[Tipo]]="SELL",IF(ISNUMBER(FIND(MID(X$1,10,5),TbTradesBinance[[#This Row],[Par]])),IF(FIND(MID(X$1,10,5),TbTradesBinance[[#This Row],[Par]])=1, -(W5-W6)/W5*X5,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Row],[Par]])),(-(W5-W6)/W5*X5)+IF(TbTradesBinance[[#This Row],[Resultado]]&gt;0,0,TbTradesBinance[[#This Row],[Taxa]]),0),0))</f>
        <v>57.973884000000041</v>
      </c>
      <c r="Y6" s="145">
        <f t="shared" si="4"/>
        <v>209292.00000000015</v>
      </c>
      <c r="Z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Row],[Tipo]]="DROP"),Z5+TbTradesBinance[[#This Row],[Qtt]],Z5-TbTradesBinance[[#This Row],[Qtt]]),IF(TbTradesBinance[[#This Row],[Tipo]]="BUY",Z5-TbTradesBinance[[#This Row],[Qtt]]*TbTradesBinance[[#This Row],[Preço]],Z5+TbTradesBinance[[#This Row],[Qtt]]*TbTradesBinance[[#This Row],[Preço]])),Z5)-IF(TbTradesBinance[[#This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Row],[Tipo]]="DROP"),Z5+TbTradesBinance[[#This Row],[Qtt]],Z5-TbTradesBinance[[#This Row],[Qtt]]),IF(TbTradesBinance[[#This Row],[Tipo]]="BUY",Z5-TbTradesBinance[[#This Row],[Qtt]]*TbTradesBinance[[#This Row],[Preço]],Z5+TbTradesBinance[[#This Row],[Qtt]]*TbTradesBinance[[#This Row],[Preço]])),Z5)-IF(TbTradesBinance[[#This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Row],[Tipo]]="DROP"),Z5+TbTradesBinance[[#This Row],[Qtt]],Z5-TbTradesBinance[[#This Row],[Qtt]]),IF(TbTradesBinance[[#This Row],[Tipo]]="BUY",Z5-TbTradesBinance[[#This Row],[Qtt]]*TbTradesBinance[[#This Row],[Preço]],Z5+TbTradesBinance[[#This Row],[Qtt]]*TbTradesBinance[[#This Row],[Preço]])),Z5)-IF(TbTradesBinance[[#This Row],[Moeda da Taxa]]=MID(Z$1,9,5),TbTradesBinance[[#This Row],[Taxa]],0),8)))</f>
        <v>0</v>
      </c>
      <c r="AA6" s="145" cm="1">
        <f t="array" ref="AA6">IF(TbTradesBinance[[#This Row],[Tipo]]="EMPTY",0,AA5+IF(TbTradesBinance[[#This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Row],[Par]]))),$1:$1,0)),-(Z5-Z6)/Z5*AA5),0),0)+IF(TbTradesBinance[[#This Row],[Tipo]]="SELL",IF(ISNUMBER(FIND(MID(AA$1,10,5),TbTradesBinance[[#This Row],[Par]])),IF(FIND(MID(AA$1,10,5),TbTradesBinance[[#This Row],[Par]])=1, -(Z5-Z6)/Z5*AA5,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Row],[Par]])),(-(Z5-Z6)/Z5*AA5)+IF(TbTradesBinance[[#This Row],[Resultado]]&gt;0,0,TbTradesBinance[[#This Row],[Taxa]]),0),0))</f>
        <v>0</v>
      </c>
      <c r="AB6" s="145">
        <f t="shared" si="5"/>
        <v>0</v>
      </c>
      <c r="AC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Row],[Tipo]]="DROP"),AC5+TbTradesBinance[[#This Row],[Qtt]],AC5-TbTradesBinance[[#This Row],[Qtt]]),IF(TbTradesBinance[[#This Row],[Tipo]]="BUY",AC5-TbTradesBinance[[#This Row],[Qtt]]*TbTradesBinance[[#This Row],[Preço]],AC5+TbTradesBinance[[#This Row],[Qtt]]*TbTradesBinance[[#This Row],[Preço]])),AC5)-IF(TbTradesBinance[[#This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Row],[Tipo]]="DROP"),AC5+TbTradesBinance[[#This Row],[Qtt]],AC5-TbTradesBinance[[#This Row],[Qtt]]),IF(TbTradesBinance[[#This Row],[Tipo]]="BUY",AC5-TbTradesBinance[[#This Row],[Qtt]]*TbTradesBinance[[#This Row],[Preço]],AC5+TbTradesBinance[[#This Row],[Qtt]]*TbTradesBinance[[#This Row],[Preço]])),AC5)-IF(TbTradesBinance[[#This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Row],[Tipo]]="DROP"),AC5+TbTradesBinance[[#This Row],[Qtt]],AC5-TbTradesBinance[[#This Row],[Qtt]]),IF(TbTradesBinance[[#This Row],[Tipo]]="BUY",AC5-TbTradesBinance[[#This Row],[Qtt]]*TbTradesBinance[[#This Row],[Preço]],AC5+TbTradesBinance[[#This Row],[Qtt]]*TbTradesBinance[[#This Row],[Preço]])),AC5)-IF(TbTradesBinance[[#This Row],[Moeda da Taxa]]=MID(AC$1,9,5),TbTradesBinance[[#This Row],[Taxa]],0),8)))</f>
        <v>0</v>
      </c>
      <c r="AD6" s="145" cm="1">
        <f t="array" ref="AD6">IF(TbTradesBinance[[#This Row],[Tipo]]="EMPTY",0,AD5+IF(TbTradesBinance[[#This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Row],[Par]]))),$1:$1,0)),-(AC5-AC6)/AC5*AD5),0),0)+IF(TbTradesBinance[[#This Row],[Tipo]]="SELL",IF(ISNUMBER(FIND(MID(AD$1,10,5),TbTradesBinance[[#This Row],[Par]])),IF(FIND(MID(AD$1,10,5),TbTradesBinance[[#This Row],[Par]])=1, -(AC5-AC6)/AC5*AD5,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Row],[Par]])),(-(AC5-AC6)/AC5*AD5)+IF(TbTradesBinance[[#This Row],[Resultado]]&gt;0,0,TbTradesBinance[[#This Row],[Taxa]]),0),0))</f>
        <v>0</v>
      </c>
      <c r="AE6" s="145">
        <f t="shared" si="6"/>
        <v>0</v>
      </c>
      <c r="AF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Row],[Tipo]]="DROP"),AF5+TbTradesBinance[[#This Row],[Qtt]],AF5-TbTradesBinance[[#This Row],[Qtt]]),IF(TbTradesBinance[[#This Row],[Tipo]]="BUY",AF5-TbTradesBinance[[#This Row],[Qtt]]*TbTradesBinance[[#This Row],[Preço]],AF5+TbTradesBinance[[#This Row],[Qtt]]*TbTradesBinance[[#This Row],[Preço]])),AF5)-IF(TbTradesBinance[[#This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Row],[Tipo]]="DROP"),AF5+TbTradesBinance[[#This Row],[Qtt]],AF5-TbTradesBinance[[#This Row],[Qtt]]),IF(TbTradesBinance[[#This Row],[Tipo]]="BUY",AF5-TbTradesBinance[[#This Row],[Qtt]]*TbTradesBinance[[#This Row],[Preço]],AF5+TbTradesBinance[[#This Row],[Qtt]]*TbTradesBinance[[#This Row],[Preço]])),AF5)-IF(TbTradesBinance[[#This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Row],[Tipo]]="DROP"),AF5+TbTradesBinance[[#This Row],[Qtt]],AF5-TbTradesBinance[[#This Row],[Qtt]]),IF(TbTradesBinance[[#This Row],[Tipo]]="BUY",AF5-TbTradesBinance[[#This Row],[Qtt]]*TbTradesBinance[[#This Row],[Preço]],AF5+TbTradesBinance[[#This Row],[Qtt]]*TbTradesBinance[[#This Row],[Preço]])),AF5)-IF(TbTradesBinance[[#This Row],[Moeda da Taxa]]=MID(AF$1,9,5),TbTradesBinance[[#This Row],[Taxa]],0),8)))</f>
        <v>0</v>
      </c>
      <c r="AG6" s="145" cm="1">
        <f t="array" ref="AG6">IF(TbTradesBinance[[#This Row],[Tipo]]="EMPTY",0,AG5+IF(TbTradesBinance[[#This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Row],[Par]]))),$1:$1,0)),-(AF5-AF6)/AF5*AG5),0),0)+IF(TbTradesBinance[[#This Row],[Tipo]]="SELL",IF(ISNUMBER(FIND(MID(AG$1,10,5),TbTradesBinance[[#This Row],[Par]])),IF(FIND(MID(AG$1,10,5),TbTradesBinance[[#This Row],[Par]])=1, -(AF5-AF6)/AF5*AG5,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Row],[Par]])),(-(AF5-AF6)/AF5*AG5)+IF(TbTradesBinance[[#This Row],[Resultado]]&gt;0,0,TbTradesBinance[[#This Row],[Taxa]]),0),0))</f>
        <v>0</v>
      </c>
      <c r="AH6" s="145">
        <f t="shared" si="7"/>
        <v>0</v>
      </c>
      <c r="AI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Row],[Tipo]]="DROP"),AI5+TbTradesBinance[[#This Row],[Qtt]],AI5-TbTradesBinance[[#This Row],[Qtt]]),IF(TbTradesBinance[[#This Row],[Tipo]]="BUY",AI5-TbTradesBinance[[#This Row],[Qtt]]*TbTradesBinance[[#This Row],[Preço]],AI5+TbTradesBinance[[#This Row],[Qtt]]*TbTradesBinance[[#This Row],[Preço]])),AI5)-IF(TbTradesBinance[[#This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Row],[Tipo]]="DROP"),AI5+TbTradesBinance[[#This Row],[Qtt]],AI5-TbTradesBinance[[#This Row],[Qtt]]),IF(TbTradesBinance[[#This Row],[Tipo]]="BUY",AI5-TbTradesBinance[[#This Row],[Qtt]]*TbTradesBinance[[#This Row],[Preço]],AI5+TbTradesBinance[[#This Row],[Qtt]]*TbTradesBinance[[#This Row],[Preço]])),AI5)-IF(TbTradesBinance[[#This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Row],[Tipo]]="DROP"),AI5+TbTradesBinance[[#This Row],[Qtt]],AI5-TbTradesBinance[[#This Row],[Qtt]]),IF(TbTradesBinance[[#This Row],[Tipo]]="BUY",AI5-TbTradesBinance[[#This Row],[Qtt]]*TbTradesBinance[[#This Row],[Preço]],AI5+TbTradesBinance[[#This Row],[Qtt]]*TbTradesBinance[[#This Row],[Preço]])),AI5)-IF(TbTradesBinance[[#This Row],[Moeda da Taxa]]=MID(AI$1,9,5),TbTradesBinance[[#This Row],[Taxa]],0),8)))</f>
        <v>0</v>
      </c>
      <c r="AJ6" s="145" cm="1">
        <f t="array" ref="AJ6">IF(TbTradesBinance[[#This Row],[Tipo]]="EMPTY",0,AJ5+IF(TbTradesBinance[[#This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Row],[Par]]))),$1:$1,0)),-(AI5-AI6)/AI5*AJ5),0),0)+IF(TbTradesBinance[[#This Row],[Tipo]]="SELL",IF(ISNUMBER(FIND(MID(AJ$1,10,5),TbTradesBinance[[#This Row],[Par]])),IF(FIND(MID(AJ$1,10,5),TbTradesBinance[[#This Row],[Par]])=1, -(AI5-AI6)/AI5*AJ5,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Row],[Par]])),(-(AI5-AI6)/AI5*AJ5)+IF(TbTradesBinance[[#This Row],[Resultado]]&gt;0,0,TbTradesBinance[[#This Row],[Taxa]]),0),0))</f>
        <v>0</v>
      </c>
      <c r="AK6" s="145">
        <f t="shared" si="8"/>
        <v>0</v>
      </c>
      <c r="AL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Row],[Tipo]]="DROP"),AL5+TbTradesBinance[[#This Row],[Qtt]],AL5-TbTradesBinance[[#This Row],[Qtt]]),IF(TbTradesBinance[[#This Row],[Tipo]]="BUY",AL5-TbTradesBinance[[#This Row],[Qtt]]*TbTradesBinance[[#This Row],[Preço]],AL5+TbTradesBinance[[#This Row],[Qtt]]*TbTradesBinance[[#This Row],[Preço]])),AL5)-IF(TbTradesBinance[[#This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Row],[Tipo]]="DROP"),AL5+TbTradesBinance[[#This Row],[Qtt]],AL5-TbTradesBinance[[#This Row],[Qtt]]),IF(TbTradesBinance[[#This Row],[Tipo]]="BUY",AL5-TbTradesBinance[[#This Row],[Qtt]]*TbTradesBinance[[#This Row],[Preço]],AL5+TbTradesBinance[[#This Row],[Qtt]]*TbTradesBinance[[#This Row],[Preço]])),AL5)-IF(TbTradesBinance[[#This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Row],[Tipo]]="DROP"),AL5+TbTradesBinance[[#This Row],[Qtt]],AL5-TbTradesBinance[[#This Row],[Qtt]]),IF(TbTradesBinance[[#This Row],[Tipo]]="BUY",AL5-TbTradesBinance[[#This Row],[Qtt]]*TbTradesBinance[[#This Row],[Preço]],AL5+TbTradesBinance[[#This Row],[Qtt]]*TbTradesBinance[[#This Row],[Preço]])),AL5)-IF(TbTradesBinance[[#This Row],[Moeda da Taxa]]=MID(AL$1,9,5),TbTradesBinance[[#This Row],[Taxa]],0),8)))</f>
        <v>0</v>
      </c>
      <c r="AM6" s="145" cm="1">
        <f t="array" ref="AM6">IF(TbTradesBinance[[#This Row],[Tipo]]="EMPTY",0,AM5+IF(TbTradesBinance[[#This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Row],[Par]]))),$1:$1,0)),-(AL5-AL6)/AL5*AM5),0),0)+IF(TbTradesBinance[[#This Row],[Tipo]]="SELL",IF(ISNUMBER(FIND(MID(AM$1,10,5),TbTradesBinance[[#This Row],[Par]])),IF(FIND(MID(AM$1,10,5),TbTradesBinance[[#This Row],[Par]])=1, -(AL5-AL6)/AL5*AM5,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Row],[Par]])),(-(AL5-AL6)/AL5*AM5)+IF(TbTradesBinance[[#This Row],[Resultado]]&gt;0,0,TbTradesBinance[[#This Row],[Taxa]]),0),0))</f>
        <v>0</v>
      </c>
      <c r="AN6" s="145">
        <f t="shared" si="9"/>
        <v>0</v>
      </c>
      <c r="AO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Row],[Tipo]]="DROP"),AO5+TbTradesBinance[[#This Row],[Qtt]],AO5-TbTradesBinance[[#This Row],[Qtt]]),IF(TbTradesBinance[[#This Row],[Tipo]]="BUY",AO5-TbTradesBinance[[#This Row],[Qtt]]*TbTradesBinance[[#This Row],[Preço]],AO5+TbTradesBinance[[#This Row],[Qtt]]*TbTradesBinance[[#This Row],[Preço]])),AO5)-IF(TbTradesBinance[[#This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Row],[Tipo]]="DROP"),AO5+TbTradesBinance[[#This Row],[Qtt]],AO5-TbTradesBinance[[#This Row],[Qtt]]),IF(TbTradesBinance[[#This Row],[Tipo]]="BUY",AO5-TbTradesBinance[[#This Row],[Qtt]]*TbTradesBinance[[#This Row],[Preço]],AO5+TbTradesBinance[[#This Row],[Qtt]]*TbTradesBinance[[#This Row],[Preço]])),AO5)-IF(TbTradesBinance[[#This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Row],[Tipo]]="DROP"),AO5+TbTradesBinance[[#This Row],[Qtt]],AO5-TbTradesBinance[[#This Row],[Qtt]]),IF(TbTradesBinance[[#This Row],[Tipo]]="BUY",AO5-TbTradesBinance[[#This Row],[Qtt]]*TbTradesBinance[[#This Row],[Preço]],AO5+TbTradesBinance[[#This Row],[Qtt]]*TbTradesBinance[[#This Row],[Preço]])),AO5)-IF(TbTradesBinance[[#This Row],[Moeda da Taxa]]=MID(AO$1,9,5),TbTradesBinance[[#This Row],[Taxa]],0),8)))</f>
        <v>0</v>
      </c>
      <c r="AP6" s="145" cm="1">
        <f t="array" ref="AP6">IF(TbTradesBinance[[#This Row],[Tipo]]="EMPTY",0,AP5+IF(TbTradesBinance[[#This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Row],[Par]]))),$1:$1,0)),-(AO5-AO6)/AO5*AP5),0),0)+IF(TbTradesBinance[[#This Row],[Tipo]]="SELL",IF(ISNUMBER(FIND(MID(AP$1,10,5),TbTradesBinance[[#This Row],[Par]])),IF(FIND(MID(AP$1,10,5),TbTradesBinance[[#This Row],[Par]])=1, -(AO5-AO6)/AO5*AP5,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Row],[Par]])),(-(AO5-AO6)/AO5*AP5)+IF(TbTradesBinance[[#This Row],[Resultado]]&gt;0,0,TbTradesBinance[[#This Row],[Taxa]]),0),0))</f>
        <v>0</v>
      </c>
      <c r="AQ6" s="145">
        <f t="shared" si="10"/>
        <v>0</v>
      </c>
      <c r="AR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Row],[Tipo]]="DROP"),AR5+TbTradesBinance[[#This Row],[Qtt]],AR5-TbTradesBinance[[#This Row],[Qtt]]),IF(TbTradesBinance[[#This Row],[Tipo]]="BUY",AR5-TbTradesBinance[[#This Row],[Qtt]]*TbTradesBinance[[#This Row],[Preço]],AR5+TbTradesBinance[[#This Row],[Qtt]]*TbTradesBinance[[#This Row],[Preço]])),AR5)-IF(TbTradesBinance[[#This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Row],[Tipo]]="DROP"),AR5+TbTradesBinance[[#This Row],[Qtt]],AR5-TbTradesBinance[[#This Row],[Qtt]]),IF(TbTradesBinance[[#This Row],[Tipo]]="BUY",AR5-TbTradesBinance[[#This Row],[Qtt]]*TbTradesBinance[[#This Row],[Preço]],AR5+TbTradesBinance[[#This Row],[Qtt]]*TbTradesBinance[[#This Row],[Preço]])),AR5)-IF(TbTradesBinance[[#This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Row],[Tipo]]="DROP"),AR5+TbTradesBinance[[#This Row],[Qtt]],AR5-TbTradesBinance[[#This Row],[Qtt]]),IF(TbTradesBinance[[#This Row],[Tipo]]="BUY",AR5-TbTradesBinance[[#This Row],[Qtt]]*TbTradesBinance[[#This Row],[Preço]],AR5+TbTradesBinance[[#This Row],[Qtt]]*TbTradesBinance[[#This Row],[Preço]])),AR5)-IF(TbTradesBinance[[#This Row],[Moeda da Taxa]]=MID(AR$1,9,5),TbTradesBinance[[#This Row],[Taxa]],0),8)))</f>
        <v>0</v>
      </c>
      <c r="AS6" s="145" cm="1">
        <f t="array" ref="AS6">IF(TbTradesBinance[[#This Row],[Tipo]]="EMPTY",0,AS5+IF(TbTradesBinance[[#This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Row],[Par]]))),$1:$1,0)),-(AR5-AR6)/AR5*AS5),0),0)+IF(TbTradesBinance[[#This Row],[Tipo]]="SELL",IF(ISNUMBER(FIND(MID(AS$1,10,5),TbTradesBinance[[#This Row],[Par]])),IF(FIND(MID(AS$1,10,5),TbTradesBinance[[#This Row],[Par]])=1, -(AR5-AR6)/AR5*AS5,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Row],[Par]])),(-(AR5-AR6)/AR5*AS5)+IF(TbTradesBinance[[#This Row],[Resultado]]&gt;0,0,TbTradesBinance[[#This Row],[Taxa]]),0),0))</f>
        <v>0</v>
      </c>
      <c r="AT6" s="145">
        <f t="shared" si="11"/>
        <v>0</v>
      </c>
      <c r="AU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Row],[Tipo]]="DROP"),AU5+TbTradesBinance[[#This Row],[Qtt]],AU5-TbTradesBinance[[#This Row],[Qtt]]),IF(TbTradesBinance[[#This Row],[Tipo]]="BUY",AU5-TbTradesBinance[[#This Row],[Qtt]]*TbTradesBinance[[#This Row],[Preço]],AU5+TbTradesBinance[[#This Row],[Qtt]]*TbTradesBinance[[#This Row],[Preço]])),AU5)-IF(TbTradesBinance[[#This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Row],[Tipo]]="DROP"),AU5+TbTradesBinance[[#This Row],[Qtt]],AU5-TbTradesBinance[[#This Row],[Qtt]]),IF(TbTradesBinance[[#This Row],[Tipo]]="BUY",AU5-TbTradesBinance[[#This Row],[Qtt]]*TbTradesBinance[[#This Row],[Preço]],AU5+TbTradesBinance[[#This Row],[Qtt]]*TbTradesBinance[[#This Row],[Preço]])),AU5)-IF(TbTradesBinance[[#This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Row],[Tipo]]="DROP"),AU5+TbTradesBinance[[#This Row],[Qtt]],AU5-TbTradesBinance[[#This Row],[Qtt]]),IF(TbTradesBinance[[#This Row],[Tipo]]="BUY",AU5-TbTradesBinance[[#This Row],[Qtt]]*TbTradesBinance[[#This Row],[Preço]],AU5+TbTradesBinance[[#This Row],[Qtt]]*TbTradesBinance[[#This Row],[Preço]])),AU5)-IF(TbTradesBinance[[#This Row],[Moeda da Taxa]]=MID(AU$1,9,5),TbTradesBinance[[#This Row],[Taxa]],0),8)))</f>
        <v>0</v>
      </c>
      <c r="AV6" s="145" cm="1">
        <f t="array" ref="AV6">IF(TbTradesBinance[[#This Row],[Tipo]]="EMPTY",0,AV5+IF(TbTradesBinance[[#This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Row],[Par]]))),$1:$1,0)),-(AU5-AU6)/AU5*AV5),0),0)+IF(TbTradesBinance[[#This Row],[Tipo]]="SELL",IF(ISNUMBER(FIND(MID(AV$1,10,5),TbTradesBinance[[#This Row],[Par]])),IF(FIND(MID(AV$1,10,5),TbTradesBinance[[#This Row],[Par]])=1, -(AU5-AU6)/AU5*AV5,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Row],[Par]])),(-(AU5-AU6)/AU5*AV5)+IF(TbTradesBinance[[#This Row],[Resultado]]&gt;0,0,TbTradesBinance[[#This Row],[Taxa]]),0),0))</f>
        <v>0</v>
      </c>
      <c r="AW6" s="145">
        <f t="shared" si="12"/>
        <v>0</v>
      </c>
      <c r="AX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Row],[Tipo]]="DROP"),AX5+TbTradesBinance[[#This Row],[Qtt]],AX5-TbTradesBinance[[#This Row],[Qtt]]),IF(TbTradesBinance[[#This Row],[Tipo]]="BUY",AX5-TbTradesBinance[[#This Row],[Qtt]]*TbTradesBinance[[#This Row],[Preço]],AX5+TbTradesBinance[[#This Row],[Qtt]]*TbTradesBinance[[#This Row],[Preço]])),AX5)-IF(TbTradesBinance[[#This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Row],[Tipo]]="DROP"),AX5+TbTradesBinance[[#This Row],[Qtt]],AX5-TbTradesBinance[[#This Row],[Qtt]]),IF(TbTradesBinance[[#This Row],[Tipo]]="BUY",AX5-TbTradesBinance[[#This Row],[Qtt]]*TbTradesBinance[[#This Row],[Preço]],AX5+TbTradesBinance[[#This Row],[Qtt]]*TbTradesBinance[[#This Row],[Preço]])),AX5)-IF(TbTradesBinance[[#This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Row],[Tipo]]="DROP"),AX5+TbTradesBinance[[#This Row],[Qtt]],AX5-TbTradesBinance[[#This Row],[Qtt]]),IF(TbTradesBinance[[#This Row],[Tipo]]="BUY",AX5-TbTradesBinance[[#This Row],[Qtt]]*TbTradesBinance[[#This Row],[Preço]],AX5+TbTradesBinance[[#This Row],[Qtt]]*TbTradesBinance[[#This Row],[Preço]])),AX5)-IF(TbTradesBinance[[#This Row],[Moeda da Taxa]]=MID(AX$1,9,5),TbTradesBinance[[#This Row],[Taxa]],0),8)))</f>
        <v>0</v>
      </c>
      <c r="AY6" s="145" cm="1">
        <f t="array" ref="AY6">IF(TbTradesBinance[[#This Row],[Tipo]]="EMPTY",0,AY5+IF(TbTradesBinance[[#This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Row],[Par]]))),$1:$1,0)),-(AX5-AX6)/AX5*AY5),0),0)+IF(TbTradesBinance[[#This Row],[Tipo]]="SELL",IF(ISNUMBER(FIND(MID(AY$1,10,5),TbTradesBinance[[#This Row],[Par]])),IF(FIND(MID(AY$1,10,5),TbTradesBinance[[#This Row],[Par]])=1, -(AX5-AX6)/AX5*AY5,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Row],[Par]])),(-(AX5-AX6)/AX5*AY5)+IF(TbTradesBinance[[#This Row],[Resultado]]&gt;0,0,TbTradesBinance[[#This Row],[Taxa]]),0),0))</f>
        <v>0</v>
      </c>
      <c r="AZ6" s="145">
        <f t="shared" si="13"/>
        <v>0</v>
      </c>
      <c r="BA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Row],[Tipo]]="DROP"),BA5+TbTradesBinance[[#This Row],[Qtt]],BA5-TbTradesBinance[[#This Row],[Qtt]]),IF(TbTradesBinance[[#This Row],[Tipo]]="BUY",BA5-TbTradesBinance[[#This Row],[Qtt]]*TbTradesBinance[[#This Row],[Preço]],BA5+TbTradesBinance[[#This Row],[Qtt]]*TbTradesBinance[[#This Row],[Preço]])),BA5)-IF(TbTradesBinance[[#This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Row],[Tipo]]="DROP"),BA5+TbTradesBinance[[#This Row],[Qtt]],BA5-TbTradesBinance[[#This Row],[Qtt]]),IF(TbTradesBinance[[#This Row],[Tipo]]="BUY",BA5-TbTradesBinance[[#This Row],[Qtt]]*TbTradesBinance[[#This Row],[Preço]],BA5+TbTradesBinance[[#This Row],[Qtt]]*TbTradesBinance[[#This Row],[Preço]])),BA5)-IF(TbTradesBinance[[#This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Row],[Tipo]]="DROP"),BA5+TbTradesBinance[[#This Row],[Qtt]],BA5-TbTradesBinance[[#This Row],[Qtt]]),IF(TbTradesBinance[[#This Row],[Tipo]]="BUY",BA5-TbTradesBinance[[#This Row],[Qtt]]*TbTradesBinance[[#This Row],[Preço]],BA5+TbTradesBinance[[#This Row],[Qtt]]*TbTradesBinance[[#This Row],[Preço]])),BA5)-IF(TbTradesBinance[[#This Row],[Moeda da Taxa]]=MID(BA$1,9,5),TbTradesBinance[[#This Row],[Taxa]],0),8)))</f>
        <v>0</v>
      </c>
      <c r="BB6" s="145" cm="1">
        <f t="array" ref="BB6">IF(TbTradesBinance[[#This Row],[Tipo]]="EMPTY",0,BB5+IF(TbTradesBinance[[#This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Row],[Par]]))),$1:$1,0)),-(BA5-BA6)/BA5*BB5),0),0)+IF(TbTradesBinance[[#This Row],[Tipo]]="SELL",IF(ISNUMBER(FIND(MID(BB$1,10,5),TbTradesBinance[[#This Row],[Par]])),IF(FIND(MID(BB$1,10,5),TbTradesBinance[[#This Row],[Par]])=1, -(BA5-BA6)/BA5*BB5,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Row],[Par]])),(-(BA5-BA6)/BA5*BB5)+IF(TbTradesBinance[[#This Row],[Resultado]]&gt;0,0,TbTradesBinance[[#This Row],[Taxa]]),0),0))</f>
        <v>0</v>
      </c>
      <c r="BC6" s="145">
        <f t="shared" si="14"/>
        <v>0</v>
      </c>
      <c r="BD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Row],[Tipo]]="DROP"),BD5+TbTradesBinance[[#This Row],[Qtt]],BD5-TbTradesBinance[[#This Row],[Qtt]]),IF(TbTradesBinance[[#This Row],[Tipo]]="BUY",BD5-TbTradesBinance[[#This Row],[Qtt]]*TbTradesBinance[[#This Row],[Preço]],BD5+TbTradesBinance[[#This Row],[Qtt]]*TbTradesBinance[[#This Row],[Preço]])),BD5)-IF(TbTradesBinance[[#This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Row],[Tipo]]="DROP"),BD5+TbTradesBinance[[#This Row],[Qtt]],BD5-TbTradesBinance[[#This Row],[Qtt]]),IF(TbTradesBinance[[#This Row],[Tipo]]="BUY",BD5-TbTradesBinance[[#This Row],[Qtt]]*TbTradesBinance[[#This Row],[Preço]],BD5+TbTradesBinance[[#This Row],[Qtt]]*TbTradesBinance[[#This Row],[Preço]])),BD5)-IF(TbTradesBinance[[#This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Row],[Tipo]]="DROP"),BD5+TbTradesBinance[[#This Row],[Qtt]],BD5-TbTradesBinance[[#This Row],[Qtt]]),IF(TbTradesBinance[[#This Row],[Tipo]]="BUY",BD5-TbTradesBinance[[#This Row],[Qtt]]*TbTradesBinance[[#This Row],[Preço]],BD5+TbTradesBinance[[#This Row],[Qtt]]*TbTradesBinance[[#This Row],[Preço]])),BD5)-IF(TbTradesBinance[[#This Row],[Moeda da Taxa]]=MID(BD$1,9,5),TbTradesBinance[[#This Row],[Taxa]],0),8)))</f>
        <v>0</v>
      </c>
      <c r="BE6" s="145" cm="1">
        <f t="array" ref="BE6">IF(TbTradesBinance[[#This Row],[Tipo]]="EMPTY",0,BE5+IF(TbTradesBinance[[#This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Row],[Par]]))),$1:$1,0)),-(BD5-BD6)/BD5*BE5),0),0)+IF(TbTradesBinance[[#This Row],[Tipo]]="SELL",IF(ISNUMBER(FIND(MID(BE$1,10,5),TbTradesBinance[[#This Row],[Par]])),IF(FIND(MID(BE$1,10,5),TbTradesBinance[[#This Row],[Par]])=1, -(BD5-BD6)/BD5*BE5,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Row],[Par]])),(-(BD5-BD6)/BD5*BE5)+IF(TbTradesBinance[[#This Row],[Resultado]]&gt;0,0,TbTradesBinance[[#This Row],[Taxa]]),0),0))</f>
        <v>0</v>
      </c>
      <c r="BF6" s="145">
        <f t="shared" si="15"/>
        <v>0</v>
      </c>
      <c r="BG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Row],[Tipo]]="DROP"),BG5+TbTradesBinance[[#This Row],[Qtt]],BG5-TbTradesBinance[[#This Row],[Qtt]]),IF(TbTradesBinance[[#This Row],[Tipo]]="BUY",BG5-TbTradesBinance[[#This Row],[Qtt]]*TbTradesBinance[[#This Row],[Preço]],BG5+TbTradesBinance[[#This Row],[Qtt]]*TbTradesBinance[[#This Row],[Preço]])),BG5)-IF(TbTradesBinance[[#This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Row],[Tipo]]="DROP"),BG5+TbTradesBinance[[#This Row],[Qtt]],BG5-TbTradesBinance[[#This Row],[Qtt]]),IF(TbTradesBinance[[#This Row],[Tipo]]="BUY",BG5-TbTradesBinance[[#This Row],[Qtt]]*TbTradesBinance[[#This Row],[Preço]],BG5+TbTradesBinance[[#This Row],[Qtt]]*TbTradesBinance[[#This Row],[Preço]])),BG5)-IF(TbTradesBinance[[#This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Row],[Tipo]]="DROP"),BG5+TbTradesBinance[[#This Row],[Qtt]],BG5-TbTradesBinance[[#This Row],[Qtt]]),IF(TbTradesBinance[[#This Row],[Tipo]]="BUY",BG5-TbTradesBinance[[#This Row],[Qtt]]*TbTradesBinance[[#This Row],[Preço]],BG5+TbTradesBinance[[#This Row],[Qtt]]*TbTradesBinance[[#This Row],[Preço]])),BG5)-IF(TbTradesBinance[[#This Row],[Moeda da Taxa]]=MID(BG$1,9,5),TbTradesBinance[[#This Row],[Taxa]],0),8)))</f>
        <v>0</v>
      </c>
      <c r="BH6" s="145" cm="1">
        <f t="array" ref="BH6">IF(TbTradesBinance[[#This Row],[Tipo]]="EMPTY",0,BH5+IF(TbTradesBinance[[#This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Row],[Par]]))),$1:$1,0)),-(BG5-BG6)/BG5*BH5),0),0)+IF(TbTradesBinance[[#This Row],[Tipo]]="SELL",IF(ISNUMBER(FIND(MID(BH$1,10,5),TbTradesBinance[[#This Row],[Par]])),IF(FIND(MID(BH$1,10,5),TbTradesBinance[[#This Row],[Par]])=1, -(BG5-BG6)/BG5*BH5,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Row],[Par]])),(-(BG5-BG6)/BG5*BH5)+IF(TbTradesBinance[[#This Row],[Resultado]]&gt;0,0,TbTradesBinance[[#This Row],[Taxa]]),0),0))</f>
        <v>0</v>
      </c>
      <c r="BI6" s="145">
        <f t="shared" si="16"/>
        <v>0</v>
      </c>
      <c r="BJ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Row],[Tipo]]="DROP"),BJ5+TbTradesBinance[[#This Row],[Qtt]],BJ5-TbTradesBinance[[#This Row],[Qtt]]),IF(TbTradesBinance[[#This Row],[Tipo]]="BUY",BJ5-TbTradesBinance[[#This Row],[Qtt]]*TbTradesBinance[[#This Row],[Preço]],BJ5+TbTradesBinance[[#This Row],[Qtt]]*TbTradesBinance[[#This Row],[Preço]])),BJ5)-IF(TbTradesBinance[[#This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Row],[Tipo]]="DROP"),BJ5+TbTradesBinance[[#This Row],[Qtt]],BJ5-TbTradesBinance[[#This Row],[Qtt]]),IF(TbTradesBinance[[#This Row],[Tipo]]="BUY",BJ5-TbTradesBinance[[#This Row],[Qtt]]*TbTradesBinance[[#This Row],[Preço]],BJ5+TbTradesBinance[[#This Row],[Qtt]]*TbTradesBinance[[#This Row],[Preço]])),BJ5)-IF(TbTradesBinance[[#This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Row],[Tipo]]="DROP"),BJ5+TbTradesBinance[[#This Row],[Qtt]],BJ5-TbTradesBinance[[#This Row],[Qtt]]),IF(TbTradesBinance[[#This Row],[Tipo]]="BUY",BJ5-TbTradesBinance[[#This Row],[Qtt]]*TbTradesBinance[[#This Row],[Preço]],BJ5+TbTradesBinance[[#This Row],[Qtt]]*TbTradesBinance[[#This Row],[Preço]])),BJ5)-IF(TbTradesBinance[[#This Row],[Moeda da Taxa]]=MID(BJ$1,9,5),TbTradesBinance[[#This Row],[Taxa]],0),8)))</f>
        <v>0</v>
      </c>
      <c r="BK6" s="145" cm="1">
        <f t="array" ref="BK6">IF(TbTradesBinance[[#This Row],[Tipo]]="EMPTY",0,BK5+IF(TbTradesBinance[[#This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Row],[Par]]))),$1:$1,0)),-(BJ5-BJ6)/BJ5*BK5),0),0)+IF(TbTradesBinance[[#This Row],[Tipo]]="SELL",IF(ISNUMBER(FIND(MID(BK$1,10,5),TbTradesBinance[[#This Row],[Par]])),IF(FIND(MID(BK$1,10,5),TbTradesBinance[[#This Row],[Par]])=1, -(BJ5-BJ6)/BJ5*BK5,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Row],[Par]])),(-(BJ5-BJ6)/BJ5*BK5)+IF(TbTradesBinance[[#This Row],[Resultado]]&gt;0,0,TbTradesBinance[[#This Row],[Taxa]]),0),0))</f>
        <v>0</v>
      </c>
      <c r="BL6" s="145">
        <f t="shared" si="17"/>
        <v>0</v>
      </c>
      <c r="BM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Row],[Tipo]]="DROP"),BM5+TbTradesBinance[[#This Row],[Qtt]],BM5-TbTradesBinance[[#This Row],[Qtt]]),IF(TbTradesBinance[[#This Row],[Tipo]]="BUY",BM5-TbTradesBinance[[#This Row],[Qtt]]*TbTradesBinance[[#This Row],[Preço]],BM5+TbTradesBinance[[#This Row],[Qtt]]*TbTradesBinance[[#This Row],[Preço]])),BM5)-IF(TbTradesBinance[[#This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Row],[Tipo]]="DROP"),BM5+TbTradesBinance[[#This Row],[Qtt]],BM5-TbTradesBinance[[#This Row],[Qtt]]),IF(TbTradesBinance[[#This Row],[Tipo]]="BUY",BM5-TbTradesBinance[[#This Row],[Qtt]]*TbTradesBinance[[#This Row],[Preço]],BM5+TbTradesBinance[[#This Row],[Qtt]]*TbTradesBinance[[#This Row],[Preço]])),BM5)-IF(TbTradesBinance[[#This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Row],[Tipo]]="DROP"),BM5+TbTradesBinance[[#This Row],[Qtt]],BM5-TbTradesBinance[[#This Row],[Qtt]]),IF(TbTradesBinance[[#This Row],[Tipo]]="BUY",BM5-TbTradesBinance[[#This Row],[Qtt]]*TbTradesBinance[[#This Row],[Preço]],BM5+TbTradesBinance[[#This Row],[Qtt]]*TbTradesBinance[[#This Row],[Preço]])),BM5)-IF(TbTradesBinance[[#This Row],[Moeda da Taxa]]=MID(BM$1,9,5),TbTradesBinance[[#This Row],[Taxa]],0),8)))</f>
        <v>0</v>
      </c>
      <c r="BN6" s="145" cm="1">
        <f t="array" ref="BN6">IF(TbTradesBinance[[#This Row],[Tipo]]="EMPTY",0,BN5+IF(TbTradesBinance[[#This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Row],[Par]]))),$1:$1,0)),-(BM5-BM6)/BM5*BN5),0),0)+IF(TbTradesBinance[[#This Row],[Tipo]]="SELL",IF(ISNUMBER(FIND(MID(BN$1,10,5),TbTradesBinance[[#This Row],[Par]])),IF(FIND(MID(BN$1,10,5),TbTradesBinance[[#This Row],[Par]])=1, -(BM5-BM6)/BM5*BN5,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Row],[Par]])),(-(BM5-BM6)/BM5*BN5)+IF(TbTradesBinance[[#This Row],[Resultado]]&gt;0,0,TbTradesBinance[[#This Row],[Taxa]]),0),0))</f>
        <v>0</v>
      </c>
      <c r="BO6" s="145">
        <f t="shared" si="18"/>
        <v>0</v>
      </c>
    </row>
    <row r="7" spans="1:67" x14ac:dyDescent="0.3">
      <c r="A7" s="168"/>
      <c r="B7" s="51"/>
      <c r="C7" s="40">
        <f>TRUNC(IF(AND(TbTradesBinance[[#This Row],[Tipo]]="SEND",TbTradesBinance[[#This Row],[Par]]="BRL"),TbTradesBinance[[#This Row],[Qtt]]*(1-P5)-IF(TbTradesBinance[[#This Row],[Moeda da Taxa]]="BRL",TbTradesBinance[[#This Row],[Taxa]],0),0)+IF(AND(TbTradesBinance[[#This Row],[Tipo]]="BURN",TbTradesBinance[[#This Row],[Par]]="BRL"),-TbTradesBinance[[#This Row],[Qtt]]*P5,0),2)</f>
        <v>0</v>
      </c>
      <c r="D7" s="53">
        <v>44249.041898148149</v>
      </c>
      <c r="E7" s="37" t="s">
        <v>138</v>
      </c>
      <c r="F7" s="47" t="s">
        <v>139</v>
      </c>
      <c r="G7" s="38">
        <v>306573</v>
      </c>
      <c r="H7" s="38">
        <v>9.7999999999999997E-5</v>
      </c>
      <c r="I7" s="38">
        <v>0</v>
      </c>
      <c r="J7" s="37" t="s">
        <v>6</v>
      </c>
      <c r="K7" s="52">
        <v>1</v>
      </c>
      <c r="L7" s="40">
        <f t="shared" si="0"/>
        <v>306573</v>
      </c>
      <c r="M7" s="40">
        <f>IF(OR(TbTradesBinance[[#This Row],[Tipo]]="BUY",TbTradesBinance[[#This Row],[Tipo]]="RECEIVE",TbTradesBinance[[#This Row],[Tipo]]="DROP"),L7*H7,-L7*H7)</f>
        <v>30.044153999999999</v>
      </c>
      <c r="N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Row],[Tipo]]="DROP"),N6+TbTradesBinance[[#This Row],[Qtt]],N6-TbTradesBinance[[#This Row],[Qtt]]),IF(TbTradesBinance[[#This Row],[Tipo]]="BUY",N6-TbTradesBinance[[#This Row],[Qtt]]*TbTradesBinance[[#This Row],[Preço]],N6+TbTradesBinance[[#This Row],[Qtt]]*TbTradesBinance[[#This Row],[Preço]])),N6)-IF(TbTradesBinance[[#This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Row],[Tipo]]="DROP"),N6+TbTradesBinance[[#This Row],[Qtt]],N6-TbTradesBinance[[#This Row],[Qtt]]),IF(TbTradesBinance[[#This Row],[Tipo]]="BUY",N6-TbTradesBinance[[#This Row],[Qtt]]*TbTradesBinance[[#This Row],[Preço]],N6+TbTradesBinance[[#This Row],[Qtt]]*TbTradesBinance[[#This Row],[Preço]])),N6)-IF(TbTradesBinance[[#This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Row],[Tipo]]="DROP"),N6+TbTradesBinance[[#This Row],[Qtt]],N6-TbTradesBinance[[#This Row],[Qtt]]),IF(TbTradesBinance[[#This Row],[Tipo]]="BUY",N6-TbTradesBinance[[#This Row],[Qtt]]*TbTradesBinance[[#This Row],[Preço]],N6+TbTradesBinance[[#This Row],[Qtt]]*TbTradesBinance[[#This Row],[Preço]])),N6)-IF(TbTradesBinance[[#This Row],[Moeda da Taxa]]=MID(N$1,9,5),TbTradesBinance[[#This Row],[Taxa]],0),8)))</f>
        <v>19930.123562000001</v>
      </c>
      <c r="O7" s="145" cm="1">
        <f t="array" ref="O7">IF(TbTradesBinance[[#This Row],[Tipo]]="EMPTY",0,O6+IF(TbTradesBinance[[#This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Row],[Par]]))),$1:$1,0)),-(N6-N7)/N6*O6),0),0)+IF(TbTradesBinance[[#This Row],[Tipo]]="SELL",IF(ISNUMBER(FIND(MID(O$1,10,5),TbTradesBinance[[#This Row],[Par]])),IF(FIND(MID(O$1,10,5),TbTradesBinance[[#This Row],[Par]])=1, -(N6-N7)/N6*O6,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Row],[Par]])),(-(N6-N7)/N6*O6)+IF(TbTradesBinance[[#This Row],[Resultado]]&gt;0,0,TbTradesBinance[[#This Row],[Taxa]]),0),0))</f>
        <v>19912.009268835893</v>
      </c>
      <c r="P7" s="145">
        <f t="shared" si="1"/>
        <v>0.99909110984145399</v>
      </c>
      <c r="Q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Row],[Tipo]]="DROP"),Q6+TbTradesBinance[[#This Row],[Qtt]],Q6-TbTradesBinance[[#This Row],[Qtt]]),IF(TbTradesBinance[[#This Row],[Tipo]]="BUY",Q6-TbTradesBinance[[#This Row],[Qtt]]*TbTradesBinance[[#This Row],[Preço]],Q6+TbTradesBinance[[#This Row],[Qtt]]*TbTradesBinance[[#This Row],[Preço]])),Q6)-IF(TbTradesBinance[[#This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Row],[Tipo]]="DROP"),Q6+TbTradesBinance[[#This Row],[Qtt]],Q6-TbTradesBinance[[#This Row],[Qtt]]),IF(TbTradesBinance[[#This Row],[Tipo]]="BUY",Q6-TbTradesBinance[[#This Row],[Qtt]]*TbTradesBinance[[#This Row],[Preço]],Q6+TbTradesBinance[[#This Row],[Qtt]]*TbTradesBinance[[#This Row],[Preço]])),Q6)-IF(TbTradesBinance[[#This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Row],[Tipo]]="DROP"),Q6+TbTradesBinance[[#This Row],[Qtt]],Q6-TbTradesBinance[[#This Row],[Qtt]]),IF(TbTradesBinance[[#This Row],[Tipo]]="BUY",Q6-TbTradesBinance[[#This Row],[Qtt]]*TbTradesBinance[[#This Row],[Preço]],Q6+TbTradesBinance[[#This Row],[Qtt]]*TbTradesBinance[[#This Row],[Preço]])),Q6)-IF(TbTradesBinance[[#This Row],[Moeda da Taxa]]=MID(Q$1,9,5),TbTradesBinance[[#This Row],[Taxa]],0),8)))</f>
        <v>0</v>
      </c>
      <c r="R7" s="145" cm="1">
        <f t="array" ref="R7">IF(TbTradesBinance[[#This Row],[Tipo]]="EMPTY",0,R6+IF(TbTradesBinance[[#This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Row],[Par]]))),$1:$1,0)),-(Q6-Q7)/Q6*R6),0),0)+IF(TbTradesBinance[[#This Row],[Tipo]]="SELL",IF(ISNUMBER(FIND(MID(R$1,10,5),TbTradesBinance[[#This Row],[Par]])),IF(FIND(MID(R$1,10,5),TbTradesBinance[[#This Row],[Par]])=1, -(Q6-Q7)/Q6*R6,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Row],[Par]])),(-(Q6-Q7)/Q6*R6)+IF(TbTradesBinance[[#This Row],[Resultado]]&gt;0,0,TbTradesBinance[[#This Row],[Taxa]]),0),0))</f>
        <v>0</v>
      </c>
      <c r="S7" s="145">
        <f t="shared" si="2"/>
        <v>0</v>
      </c>
      <c r="T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Row],[Tipo]]="DROP"),T6+TbTradesBinance[[#This Row],[Qtt]],T6-TbTradesBinance[[#This Row],[Qtt]]),IF(TbTradesBinance[[#This Row],[Tipo]]="BUY",T6-TbTradesBinance[[#This Row],[Qtt]]*TbTradesBinance[[#This Row],[Preço]],T6+TbTradesBinance[[#This Row],[Qtt]]*TbTradesBinance[[#This Row],[Preço]])),T6)-IF(TbTradesBinance[[#This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Row],[Tipo]]="DROP"),T6+TbTradesBinance[[#This Row],[Qtt]],T6-TbTradesBinance[[#This Row],[Qtt]]),IF(TbTradesBinance[[#This Row],[Tipo]]="BUY",T6-TbTradesBinance[[#This Row],[Qtt]]*TbTradesBinance[[#This Row],[Preço]],T6+TbTradesBinance[[#This Row],[Qtt]]*TbTradesBinance[[#This Row],[Preço]])),T6)-IF(TbTradesBinance[[#This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Row],[Tipo]]="DROP"),T6+TbTradesBinance[[#This Row],[Qtt]],T6-TbTradesBinance[[#This Row],[Qtt]]),IF(TbTradesBinance[[#This Row],[Tipo]]="BUY",T6-TbTradesBinance[[#This Row],[Qtt]]*TbTradesBinance[[#This Row],[Preço]],T6+TbTradesBinance[[#This Row],[Qtt]]*TbTradesBinance[[#This Row],[Preço]])),T6)-IF(TbTradesBinance[[#This Row],[Moeda da Taxa]]=MID(T$1,9,5),TbTradesBinance[[#This Row],[Taxa]],0),8)))</f>
        <v>0</v>
      </c>
      <c r="U7" s="145" cm="1">
        <f t="array" ref="U7">IF(TbTradesBinance[[#This Row],[Tipo]]="EMPTY",0,U6+IF(TbTradesBinance[[#This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Row],[Par]]))),$1:$1,0)),-(T6-T7)/T6*U6),0),0)+IF(TbTradesBinance[[#This Row],[Tipo]]="SELL",IF(ISNUMBER(FIND(MID(U$1,10,5),TbTradesBinance[[#This Row],[Par]])),IF(FIND(MID(U$1,10,5),TbTradesBinance[[#This Row],[Par]])=1, -(T6-T7)/T6*U6,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Row],[Par]])),(-(T6-T7)/T6*U6)+IF(TbTradesBinance[[#This Row],[Resultado]]&gt;0,0,TbTradesBinance[[#This Row],[Taxa]]),0),0))</f>
        <v>0</v>
      </c>
      <c r="V7" s="145">
        <f t="shared" si="3"/>
        <v>0</v>
      </c>
      <c r="W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Row],[Tipo]]="DROP"),W6+TbTradesBinance[[#This Row],[Qtt]],W6-TbTradesBinance[[#This Row],[Qtt]]),IF(TbTradesBinance[[#This Row],[Tipo]]="BUY",W6-TbTradesBinance[[#This Row],[Qtt]]*TbTradesBinance[[#This Row],[Preço]],W6+TbTradesBinance[[#This Row],[Qtt]]*TbTradesBinance[[#This Row],[Preço]])),W6)-IF(TbTradesBinance[[#This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Row],[Tipo]]="DROP"),W6+TbTradesBinance[[#This Row],[Qtt]],W6-TbTradesBinance[[#This Row],[Qtt]]),IF(TbTradesBinance[[#This Row],[Tipo]]="BUY",W6-TbTradesBinance[[#This Row],[Qtt]]*TbTradesBinance[[#This Row],[Preço]],W6+TbTradesBinance[[#This Row],[Qtt]]*TbTradesBinance[[#This Row],[Preço]])),W6)-IF(TbTradesBinance[[#This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Row],[Tipo]]="DROP"),W6+TbTradesBinance[[#This Row],[Qtt]],W6-TbTradesBinance[[#This Row],[Qtt]]),IF(TbTradesBinance[[#This Row],[Tipo]]="BUY",W6-TbTradesBinance[[#This Row],[Qtt]]*TbTradesBinance[[#This Row],[Preço]],W6+TbTradesBinance[[#This Row],[Qtt]]*TbTradesBinance[[#This Row],[Preço]])),W6)-IF(TbTradesBinance[[#This Row],[Moeda da Taxa]]=MID(W$1,9,5),TbTradesBinance[[#This Row],[Taxa]],0),8)))</f>
        <v>3.7500000000000001E-4</v>
      </c>
      <c r="X7" s="145" cm="1">
        <f t="array" ref="X7">IF(TbTradesBinance[[#This Row],[Tipo]]="EMPTY",0,X6+IF(TbTradesBinance[[#This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Row],[Par]]))),$1:$1,0)),-(W6-W7)/W6*X6),0),0)+IF(TbTradesBinance[[#This Row],[Tipo]]="SELL",IF(ISNUMBER(FIND(MID(X$1,10,5),TbTradesBinance[[#This Row],[Par]])),IF(FIND(MID(X$1,10,5),TbTradesBinance[[#This Row],[Par]])=1, -(W6-W7)/W6*X6,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Row],[Par]])),(-(W6-W7)/W6*X6)+IF(TbTradesBinance[[#This Row],[Resultado]]&gt;0,0,TbTradesBinance[[#This Row],[Taxa]]),0),0))</f>
        <v>87.990731164106847</v>
      </c>
      <c r="Y7" s="145">
        <f t="shared" si="4"/>
        <v>234641.94977095159</v>
      </c>
      <c r="Z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Row],[Tipo]]="DROP"),Z6+TbTradesBinance[[#This Row],[Qtt]],Z6-TbTradesBinance[[#This Row],[Qtt]]),IF(TbTradesBinance[[#This Row],[Tipo]]="BUY",Z6-TbTradesBinance[[#This Row],[Qtt]]*TbTradesBinance[[#This Row],[Preço]],Z6+TbTradesBinance[[#This Row],[Qtt]]*TbTradesBinance[[#This Row],[Preço]])),Z6)-IF(TbTradesBinance[[#This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Row],[Tipo]]="DROP"),Z6+TbTradesBinance[[#This Row],[Qtt]],Z6-TbTradesBinance[[#This Row],[Qtt]]),IF(TbTradesBinance[[#This Row],[Tipo]]="BUY",Z6-TbTradesBinance[[#This Row],[Qtt]]*TbTradesBinance[[#This Row],[Preço]],Z6+TbTradesBinance[[#This Row],[Qtt]]*TbTradesBinance[[#This Row],[Preço]])),Z6)-IF(TbTradesBinance[[#This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Row],[Tipo]]="DROP"),Z6+TbTradesBinance[[#This Row],[Qtt]],Z6-TbTradesBinance[[#This Row],[Qtt]]),IF(TbTradesBinance[[#This Row],[Tipo]]="BUY",Z6-TbTradesBinance[[#This Row],[Qtt]]*TbTradesBinance[[#This Row],[Preço]],Z6+TbTradesBinance[[#This Row],[Qtt]]*TbTradesBinance[[#This Row],[Preço]])),Z6)-IF(TbTradesBinance[[#This Row],[Moeda da Taxa]]=MID(Z$1,9,5),TbTradesBinance[[#This Row],[Taxa]],0),8)))</f>
        <v>0</v>
      </c>
      <c r="AA7" s="145" cm="1">
        <f t="array" ref="AA7">IF(TbTradesBinance[[#This Row],[Tipo]]="EMPTY",0,AA6+IF(TbTradesBinance[[#This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Row],[Par]]))),$1:$1,0)),-(Z6-Z7)/Z6*AA6),0),0)+IF(TbTradesBinance[[#This Row],[Tipo]]="SELL",IF(ISNUMBER(FIND(MID(AA$1,10,5),TbTradesBinance[[#This Row],[Par]])),IF(FIND(MID(AA$1,10,5),TbTradesBinance[[#This Row],[Par]])=1, -(Z6-Z7)/Z6*AA6,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Row],[Par]])),(-(Z6-Z7)/Z6*AA6)+IF(TbTradesBinance[[#This Row],[Resultado]]&gt;0,0,TbTradesBinance[[#This Row],[Taxa]]),0),0))</f>
        <v>0</v>
      </c>
      <c r="AB7" s="145">
        <f t="shared" si="5"/>
        <v>0</v>
      </c>
      <c r="AC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Row],[Tipo]]="DROP"),AC6+TbTradesBinance[[#This Row],[Qtt]],AC6-TbTradesBinance[[#This Row],[Qtt]]),IF(TbTradesBinance[[#This Row],[Tipo]]="BUY",AC6-TbTradesBinance[[#This Row],[Qtt]]*TbTradesBinance[[#This Row],[Preço]],AC6+TbTradesBinance[[#This Row],[Qtt]]*TbTradesBinance[[#This Row],[Preço]])),AC6)-IF(TbTradesBinance[[#This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Row],[Tipo]]="DROP"),AC6+TbTradesBinance[[#This Row],[Qtt]],AC6-TbTradesBinance[[#This Row],[Qtt]]),IF(TbTradesBinance[[#This Row],[Tipo]]="BUY",AC6-TbTradesBinance[[#This Row],[Qtt]]*TbTradesBinance[[#This Row],[Preço]],AC6+TbTradesBinance[[#This Row],[Qtt]]*TbTradesBinance[[#This Row],[Preço]])),AC6)-IF(TbTradesBinance[[#This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Row],[Tipo]]="DROP"),AC6+TbTradesBinance[[#This Row],[Qtt]],AC6-TbTradesBinance[[#This Row],[Qtt]]),IF(TbTradesBinance[[#This Row],[Tipo]]="BUY",AC6-TbTradesBinance[[#This Row],[Qtt]]*TbTradesBinance[[#This Row],[Preço]],AC6+TbTradesBinance[[#This Row],[Qtt]]*TbTradesBinance[[#This Row],[Preço]])),AC6)-IF(TbTradesBinance[[#This Row],[Moeda da Taxa]]=MID(AC$1,9,5),TbTradesBinance[[#This Row],[Taxa]],0),8)))</f>
        <v>0</v>
      </c>
      <c r="AD7" s="145" cm="1">
        <f t="array" ref="AD7">IF(TbTradesBinance[[#This Row],[Tipo]]="EMPTY",0,AD6+IF(TbTradesBinance[[#This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Row],[Par]]))),$1:$1,0)),-(AC6-AC7)/AC6*AD6),0),0)+IF(TbTradesBinance[[#This Row],[Tipo]]="SELL",IF(ISNUMBER(FIND(MID(AD$1,10,5),TbTradesBinance[[#This Row],[Par]])),IF(FIND(MID(AD$1,10,5),TbTradesBinance[[#This Row],[Par]])=1, -(AC6-AC7)/AC6*AD6,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Row],[Par]])),(-(AC6-AC7)/AC6*AD6)+IF(TbTradesBinance[[#This Row],[Resultado]]&gt;0,0,TbTradesBinance[[#This Row],[Taxa]]),0),0))</f>
        <v>0</v>
      </c>
      <c r="AE7" s="145">
        <f t="shared" si="6"/>
        <v>0</v>
      </c>
      <c r="AF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Row],[Tipo]]="DROP"),AF6+TbTradesBinance[[#This Row],[Qtt]],AF6-TbTradesBinance[[#This Row],[Qtt]]),IF(TbTradesBinance[[#This Row],[Tipo]]="BUY",AF6-TbTradesBinance[[#This Row],[Qtt]]*TbTradesBinance[[#This Row],[Preço]],AF6+TbTradesBinance[[#This Row],[Qtt]]*TbTradesBinance[[#This Row],[Preço]])),AF6)-IF(TbTradesBinance[[#This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Row],[Tipo]]="DROP"),AF6+TbTradesBinance[[#This Row],[Qtt]],AF6-TbTradesBinance[[#This Row],[Qtt]]),IF(TbTradesBinance[[#This Row],[Tipo]]="BUY",AF6-TbTradesBinance[[#This Row],[Qtt]]*TbTradesBinance[[#This Row],[Preço]],AF6+TbTradesBinance[[#This Row],[Qtt]]*TbTradesBinance[[#This Row],[Preço]])),AF6)-IF(TbTradesBinance[[#This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Row],[Tipo]]="DROP"),AF6+TbTradesBinance[[#This Row],[Qtt]],AF6-TbTradesBinance[[#This Row],[Qtt]]),IF(TbTradesBinance[[#This Row],[Tipo]]="BUY",AF6-TbTradesBinance[[#This Row],[Qtt]]*TbTradesBinance[[#This Row],[Preço]],AF6+TbTradesBinance[[#This Row],[Qtt]]*TbTradesBinance[[#This Row],[Preço]])),AF6)-IF(TbTradesBinance[[#This Row],[Moeda da Taxa]]=MID(AF$1,9,5),TbTradesBinance[[#This Row],[Taxa]],0),8)))</f>
        <v>0</v>
      </c>
      <c r="AG7" s="145" cm="1">
        <f t="array" ref="AG7">IF(TbTradesBinance[[#This Row],[Tipo]]="EMPTY",0,AG6+IF(TbTradesBinance[[#This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Row],[Par]]))),$1:$1,0)),-(AF6-AF7)/AF6*AG6),0),0)+IF(TbTradesBinance[[#This Row],[Tipo]]="SELL",IF(ISNUMBER(FIND(MID(AG$1,10,5),TbTradesBinance[[#This Row],[Par]])),IF(FIND(MID(AG$1,10,5),TbTradesBinance[[#This Row],[Par]])=1, -(AF6-AF7)/AF6*AG6,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Row],[Par]])),(-(AF6-AF7)/AF6*AG6)+IF(TbTradesBinance[[#This Row],[Resultado]]&gt;0,0,TbTradesBinance[[#This Row],[Taxa]]),0),0))</f>
        <v>0</v>
      </c>
      <c r="AH7" s="145">
        <f t="shared" si="7"/>
        <v>0</v>
      </c>
      <c r="AI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Row],[Tipo]]="DROP"),AI6+TbTradesBinance[[#This Row],[Qtt]],AI6-TbTradesBinance[[#This Row],[Qtt]]),IF(TbTradesBinance[[#This Row],[Tipo]]="BUY",AI6-TbTradesBinance[[#This Row],[Qtt]]*TbTradesBinance[[#This Row],[Preço]],AI6+TbTradesBinance[[#This Row],[Qtt]]*TbTradesBinance[[#This Row],[Preço]])),AI6)-IF(TbTradesBinance[[#This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Row],[Tipo]]="DROP"),AI6+TbTradesBinance[[#This Row],[Qtt]],AI6-TbTradesBinance[[#This Row],[Qtt]]),IF(TbTradesBinance[[#This Row],[Tipo]]="BUY",AI6-TbTradesBinance[[#This Row],[Qtt]]*TbTradesBinance[[#This Row],[Preço]],AI6+TbTradesBinance[[#This Row],[Qtt]]*TbTradesBinance[[#This Row],[Preço]])),AI6)-IF(TbTradesBinance[[#This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Row],[Tipo]]="DROP"),AI6+TbTradesBinance[[#This Row],[Qtt]],AI6-TbTradesBinance[[#This Row],[Qtt]]),IF(TbTradesBinance[[#This Row],[Tipo]]="BUY",AI6-TbTradesBinance[[#This Row],[Qtt]]*TbTradesBinance[[#This Row],[Preço]],AI6+TbTradesBinance[[#This Row],[Qtt]]*TbTradesBinance[[#This Row],[Preço]])),AI6)-IF(TbTradesBinance[[#This Row],[Moeda da Taxa]]=MID(AI$1,9,5),TbTradesBinance[[#This Row],[Taxa]],0),8)))</f>
        <v>0</v>
      </c>
      <c r="AJ7" s="145" cm="1">
        <f t="array" ref="AJ7">IF(TbTradesBinance[[#This Row],[Tipo]]="EMPTY",0,AJ6+IF(TbTradesBinance[[#This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Row],[Par]]))),$1:$1,0)),-(AI6-AI7)/AI6*AJ6),0),0)+IF(TbTradesBinance[[#This Row],[Tipo]]="SELL",IF(ISNUMBER(FIND(MID(AJ$1,10,5),TbTradesBinance[[#This Row],[Par]])),IF(FIND(MID(AJ$1,10,5),TbTradesBinance[[#This Row],[Par]])=1, -(AI6-AI7)/AI6*AJ6,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Row],[Par]])),(-(AI6-AI7)/AI6*AJ6)+IF(TbTradesBinance[[#This Row],[Resultado]]&gt;0,0,TbTradesBinance[[#This Row],[Taxa]]),0),0))</f>
        <v>0</v>
      </c>
      <c r="AK7" s="145">
        <f t="shared" si="8"/>
        <v>0</v>
      </c>
      <c r="AL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Row],[Tipo]]="DROP"),AL6+TbTradesBinance[[#This Row],[Qtt]],AL6-TbTradesBinance[[#This Row],[Qtt]]),IF(TbTradesBinance[[#This Row],[Tipo]]="BUY",AL6-TbTradesBinance[[#This Row],[Qtt]]*TbTradesBinance[[#This Row],[Preço]],AL6+TbTradesBinance[[#This Row],[Qtt]]*TbTradesBinance[[#This Row],[Preço]])),AL6)-IF(TbTradesBinance[[#This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Row],[Tipo]]="DROP"),AL6+TbTradesBinance[[#This Row],[Qtt]],AL6-TbTradesBinance[[#This Row],[Qtt]]),IF(TbTradesBinance[[#This Row],[Tipo]]="BUY",AL6-TbTradesBinance[[#This Row],[Qtt]]*TbTradesBinance[[#This Row],[Preço]],AL6+TbTradesBinance[[#This Row],[Qtt]]*TbTradesBinance[[#This Row],[Preço]])),AL6)-IF(TbTradesBinance[[#This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Row],[Tipo]]="DROP"),AL6+TbTradesBinance[[#This Row],[Qtt]],AL6-TbTradesBinance[[#This Row],[Qtt]]),IF(TbTradesBinance[[#This Row],[Tipo]]="BUY",AL6-TbTradesBinance[[#This Row],[Qtt]]*TbTradesBinance[[#This Row],[Preço]],AL6+TbTradesBinance[[#This Row],[Qtt]]*TbTradesBinance[[#This Row],[Preço]])),AL6)-IF(TbTradesBinance[[#This Row],[Moeda da Taxa]]=MID(AL$1,9,5),TbTradesBinance[[#This Row],[Taxa]],0),8)))</f>
        <v>0</v>
      </c>
      <c r="AM7" s="145" cm="1">
        <f t="array" ref="AM7">IF(TbTradesBinance[[#This Row],[Tipo]]="EMPTY",0,AM6+IF(TbTradesBinance[[#This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Row],[Par]]))),$1:$1,0)),-(AL6-AL7)/AL6*AM6),0),0)+IF(TbTradesBinance[[#This Row],[Tipo]]="SELL",IF(ISNUMBER(FIND(MID(AM$1,10,5),TbTradesBinance[[#This Row],[Par]])),IF(FIND(MID(AM$1,10,5),TbTradesBinance[[#This Row],[Par]])=1, -(AL6-AL7)/AL6*AM6,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Row],[Par]])),(-(AL6-AL7)/AL6*AM6)+IF(TbTradesBinance[[#This Row],[Resultado]]&gt;0,0,TbTradesBinance[[#This Row],[Taxa]]),0),0))</f>
        <v>0</v>
      </c>
      <c r="AN7" s="145">
        <f t="shared" si="9"/>
        <v>0</v>
      </c>
      <c r="AO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Row],[Tipo]]="DROP"),AO6+TbTradesBinance[[#This Row],[Qtt]],AO6-TbTradesBinance[[#This Row],[Qtt]]),IF(TbTradesBinance[[#This Row],[Tipo]]="BUY",AO6-TbTradesBinance[[#This Row],[Qtt]]*TbTradesBinance[[#This Row],[Preço]],AO6+TbTradesBinance[[#This Row],[Qtt]]*TbTradesBinance[[#This Row],[Preço]])),AO6)-IF(TbTradesBinance[[#This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Row],[Tipo]]="DROP"),AO6+TbTradesBinance[[#This Row],[Qtt]],AO6-TbTradesBinance[[#This Row],[Qtt]]),IF(TbTradesBinance[[#This Row],[Tipo]]="BUY",AO6-TbTradesBinance[[#This Row],[Qtt]]*TbTradesBinance[[#This Row],[Preço]],AO6+TbTradesBinance[[#This Row],[Qtt]]*TbTradesBinance[[#This Row],[Preço]])),AO6)-IF(TbTradesBinance[[#This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Row],[Tipo]]="DROP"),AO6+TbTradesBinance[[#This Row],[Qtt]],AO6-TbTradesBinance[[#This Row],[Qtt]]),IF(TbTradesBinance[[#This Row],[Tipo]]="BUY",AO6-TbTradesBinance[[#This Row],[Qtt]]*TbTradesBinance[[#This Row],[Preço]],AO6+TbTradesBinance[[#This Row],[Qtt]]*TbTradesBinance[[#This Row],[Preço]])),AO6)-IF(TbTradesBinance[[#This Row],[Moeda da Taxa]]=MID(AO$1,9,5),TbTradesBinance[[#This Row],[Taxa]],0),8)))</f>
        <v>0</v>
      </c>
      <c r="AP7" s="145" cm="1">
        <f t="array" ref="AP7">IF(TbTradesBinance[[#This Row],[Tipo]]="EMPTY",0,AP6+IF(TbTradesBinance[[#This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Row],[Par]]))),$1:$1,0)),-(AO6-AO7)/AO6*AP6),0),0)+IF(TbTradesBinance[[#This Row],[Tipo]]="SELL",IF(ISNUMBER(FIND(MID(AP$1,10,5),TbTradesBinance[[#This Row],[Par]])),IF(FIND(MID(AP$1,10,5),TbTradesBinance[[#This Row],[Par]])=1, -(AO6-AO7)/AO6*AP6,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Row],[Par]])),(-(AO6-AO7)/AO6*AP6)+IF(TbTradesBinance[[#This Row],[Resultado]]&gt;0,0,TbTradesBinance[[#This Row],[Taxa]]),0),0))</f>
        <v>0</v>
      </c>
      <c r="AQ7" s="145">
        <f t="shared" si="10"/>
        <v>0</v>
      </c>
      <c r="AR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Row],[Tipo]]="DROP"),AR6+TbTradesBinance[[#This Row],[Qtt]],AR6-TbTradesBinance[[#This Row],[Qtt]]),IF(TbTradesBinance[[#This Row],[Tipo]]="BUY",AR6-TbTradesBinance[[#This Row],[Qtt]]*TbTradesBinance[[#This Row],[Preço]],AR6+TbTradesBinance[[#This Row],[Qtt]]*TbTradesBinance[[#This Row],[Preço]])),AR6)-IF(TbTradesBinance[[#This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Row],[Tipo]]="DROP"),AR6+TbTradesBinance[[#This Row],[Qtt]],AR6-TbTradesBinance[[#This Row],[Qtt]]),IF(TbTradesBinance[[#This Row],[Tipo]]="BUY",AR6-TbTradesBinance[[#This Row],[Qtt]]*TbTradesBinance[[#This Row],[Preço]],AR6+TbTradesBinance[[#This Row],[Qtt]]*TbTradesBinance[[#This Row],[Preço]])),AR6)-IF(TbTradesBinance[[#This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Row],[Tipo]]="DROP"),AR6+TbTradesBinance[[#This Row],[Qtt]],AR6-TbTradesBinance[[#This Row],[Qtt]]),IF(TbTradesBinance[[#This Row],[Tipo]]="BUY",AR6-TbTradesBinance[[#This Row],[Qtt]]*TbTradesBinance[[#This Row],[Preço]],AR6+TbTradesBinance[[#This Row],[Qtt]]*TbTradesBinance[[#This Row],[Preço]])),AR6)-IF(TbTradesBinance[[#This Row],[Moeda da Taxa]]=MID(AR$1,9,5),TbTradesBinance[[#This Row],[Taxa]],0),8)))</f>
        <v>0</v>
      </c>
      <c r="AS7" s="145" cm="1">
        <f t="array" ref="AS7">IF(TbTradesBinance[[#This Row],[Tipo]]="EMPTY",0,AS6+IF(TbTradesBinance[[#This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Row],[Par]]))),$1:$1,0)),-(AR6-AR7)/AR6*AS6),0),0)+IF(TbTradesBinance[[#This Row],[Tipo]]="SELL",IF(ISNUMBER(FIND(MID(AS$1,10,5),TbTradesBinance[[#This Row],[Par]])),IF(FIND(MID(AS$1,10,5),TbTradesBinance[[#This Row],[Par]])=1, -(AR6-AR7)/AR6*AS6,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Row],[Par]])),(-(AR6-AR7)/AR6*AS6)+IF(TbTradesBinance[[#This Row],[Resultado]]&gt;0,0,TbTradesBinance[[#This Row],[Taxa]]),0),0))</f>
        <v>0</v>
      </c>
      <c r="AT7" s="145">
        <f t="shared" si="11"/>
        <v>0</v>
      </c>
      <c r="AU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Row],[Tipo]]="DROP"),AU6+TbTradesBinance[[#This Row],[Qtt]],AU6-TbTradesBinance[[#This Row],[Qtt]]),IF(TbTradesBinance[[#This Row],[Tipo]]="BUY",AU6-TbTradesBinance[[#This Row],[Qtt]]*TbTradesBinance[[#This Row],[Preço]],AU6+TbTradesBinance[[#This Row],[Qtt]]*TbTradesBinance[[#This Row],[Preço]])),AU6)-IF(TbTradesBinance[[#This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Row],[Tipo]]="DROP"),AU6+TbTradesBinance[[#This Row],[Qtt]],AU6-TbTradesBinance[[#This Row],[Qtt]]),IF(TbTradesBinance[[#This Row],[Tipo]]="BUY",AU6-TbTradesBinance[[#This Row],[Qtt]]*TbTradesBinance[[#This Row],[Preço]],AU6+TbTradesBinance[[#This Row],[Qtt]]*TbTradesBinance[[#This Row],[Preço]])),AU6)-IF(TbTradesBinance[[#This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Row],[Tipo]]="DROP"),AU6+TbTradesBinance[[#This Row],[Qtt]],AU6-TbTradesBinance[[#This Row],[Qtt]]),IF(TbTradesBinance[[#This Row],[Tipo]]="BUY",AU6-TbTradesBinance[[#This Row],[Qtt]]*TbTradesBinance[[#This Row],[Preço]],AU6+TbTradesBinance[[#This Row],[Qtt]]*TbTradesBinance[[#This Row],[Preço]])),AU6)-IF(TbTradesBinance[[#This Row],[Moeda da Taxa]]=MID(AU$1,9,5),TbTradesBinance[[#This Row],[Taxa]],0),8)))</f>
        <v>0</v>
      </c>
      <c r="AV7" s="145" cm="1">
        <f t="array" ref="AV7">IF(TbTradesBinance[[#This Row],[Tipo]]="EMPTY",0,AV6+IF(TbTradesBinance[[#This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Row],[Par]]))),$1:$1,0)),-(AU6-AU7)/AU6*AV6),0),0)+IF(TbTradesBinance[[#This Row],[Tipo]]="SELL",IF(ISNUMBER(FIND(MID(AV$1,10,5),TbTradesBinance[[#This Row],[Par]])),IF(FIND(MID(AV$1,10,5),TbTradesBinance[[#This Row],[Par]])=1, -(AU6-AU7)/AU6*AV6,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Row],[Par]])),(-(AU6-AU7)/AU6*AV6)+IF(TbTradesBinance[[#This Row],[Resultado]]&gt;0,0,TbTradesBinance[[#This Row],[Taxa]]),0),0))</f>
        <v>0</v>
      </c>
      <c r="AW7" s="145">
        <f t="shared" si="12"/>
        <v>0</v>
      </c>
      <c r="AX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Row],[Tipo]]="DROP"),AX6+TbTradesBinance[[#This Row],[Qtt]],AX6-TbTradesBinance[[#This Row],[Qtt]]),IF(TbTradesBinance[[#This Row],[Tipo]]="BUY",AX6-TbTradesBinance[[#This Row],[Qtt]]*TbTradesBinance[[#This Row],[Preço]],AX6+TbTradesBinance[[#This Row],[Qtt]]*TbTradesBinance[[#This Row],[Preço]])),AX6)-IF(TbTradesBinance[[#This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Row],[Tipo]]="DROP"),AX6+TbTradesBinance[[#This Row],[Qtt]],AX6-TbTradesBinance[[#This Row],[Qtt]]),IF(TbTradesBinance[[#This Row],[Tipo]]="BUY",AX6-TbTradesBinance[[#This Row],[Qtt]]*TbTradesBinance[[#This Row],[Preço]],AX6+TbTradesBinance[[#This Row],[Qtt]]*TbTradesBinance[[#This Row],[Preço]])),AX6)-IF(TbTradesBinance[[#This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Row],[Tipo]]="DROP"),AX6+TbTradesBinance[[#This Row],[Qtt]],AX6-TbTradesBinance[[#This Row],[Qtt]]),IF(TbTradesBinance[[#This Row],[Tipo]]="BUY",AX6-TbTradesBinance[[#This Row],[Qtt]]*TbTradesBinance[[#This Row],[Preço]],AX6+TbTradesBinance[[#This Row],[Qtt]]*TbTradesBinance[[#This Row],[Preço]])),AX6)-IF(TbTradesBinance[[#This Row],[Moeda da Taxa]]=MID(AX$1,9,5),TbTradesBinance[[#This Row],[Taxa]],0),8)))</f>
        <v>0</v>
      </c>
      <c r="AY7" s="145" cm="1">
        <f t="array" ref="AY7">IF(TbTradesBinance[[#This Row],[Tipo]]="EMPTY",0,AY6+IF(TbTradesBinance[[#This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Row],[Par]]))),$1:$1,0)),-(AX6-AX7)/AX6*AY6),0),0)+IF(TbTradesBinance[[#This Row],[Tipo]]="SELL",IF(ISNUMBER(FIND(MID(AY$1,10,5),TbTradesBinance[[#This Row],[Par]])),IF(FIND(MID(AY$1,10,5),TbTradesBinance[[#This Row],[Par]])=1, -(AX6-AX7)/AX6*AY6,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Row],[Par]])),(-(AX6-AX7)/AX6*AY6)+IF(TbTradesBinance[[#This Row],[Resultado]]&gt;0,0,TbTradesBinance[[#This Row],[Taxa]]),0),0))</f>
        <v>0</v>
      </c>
      <c r="AZ7" s="145">
        <f t="shared" si="13"/>
        <v>0</v>
      </c>
      <c r="BA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Row],[Tipo]]="DROP"),BA6+TbTradesBinance[[#This Row],[Qtt]],BA6-TbTradesBinance[[#This Row],[Qtt]]),IF(TbTradesBinance[[#This Row],[Tipo]]="BUY",BA6-TbTradesBinance[[#This Row],[Qtt]]*TbTradesBinance[[#This Row],[Preço]],BA6+TbTradesBinance[[#This Row],[Qtt]]*TbTradesBinance[[#This Row],[Preço]])),BA6)-IF(TbTradesBinance[[#This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Row],[Tipo]]="DROP"),BA6+TbTradesBinance[[#This Row],[Qtt]],BA6-TbTradesBinance[[#This Row],[Qtt]]),IF(TbTradesBinance[[#This Row],[Tipo]]="BUY",BA6-TbTradesBinance[[#This Row],[Qtt]]*TbTradesBinance[[#This Row],[Preço]],BA6+TbTradesBinance[[#This Row],[Qtt]]*TbTradesBinance[[#This Row],[Preço]])),BA6)-IF(TbTradesBinance[[#This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Row],[Tipo]]="DROP"),BA6+TbTradesBinance[[#This Row],[Qtt]],BA6-TbTradesBinance[[#This Row],[Qtt]]),IF(TbTradesBinance[[#This Row],[Tipo]]="BUY",BA6-TbTradesBinance[[#This Row],[Qtt]]*TbTradesBinance[[#This Row],[Preço]],BA6+TbTradesBinance[[#This Row],[Qtt]]*TbTradesBinance[[#This Row],[Preço]])),BA6)-IF(TbTradesBinance[[#This Row],[Moeda da Taxa]]=MID(BA$1,9,5),TbTradesBinance[[#This Row],[Taxa]],0),8)))</f>
        <v>0</v>
      </c>
      <c r="BB7" s="145" cm="1">
        <f t="array" ref="BB7">IF(TbTradesBinance[[#This Row],[Tipo]]="EMPTY",0,BB6+IF(TbTradesBinance[[#This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Row],[Par]]))),$1:$1,0)),-(BA6-BA7)/BA6*BB6),0),0)+IF(TbTradesBinance[[#This Row],[Tipo]]="SELL",IF(ISNUMBER(FIND(MID(BB$1,10,5),TbTradesBinance[[#This Row],[Par]])),IF(FIND(MID(BB$1,10,5),TbTradesBinance[[#This Row],[Par]])=1, -(BA6-BA7)/BA6*BB6,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Row],[Par]])),(-(BA6-BA7)/BA6*BB6)+IF(TbTradesBinance[[#This Row],[Resultado]]&gt;0,0,TbTradesBinance[[#This Row],[Taxa]]),0),0))</f>
        <v>0</v>
      </c>
      <c r="BC7" s="145">
        <f t="shared" si="14"/>
        <v>0</v>
      </c>
      <c r="BD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Row],[Tipo]]="DROP"),BD6+TbTradesBinance[[#This Row],[Qtt]],BD6-TbTradesBinance[[#This Row],[Qtt]]),IF(TbTradesBinance[[#This Row],[Tipo]]="BUY",BD6-TbTradesBinance[[#This Row],[Qtt]]*TbTradesBinance[[#This Row],[Preço]],BD6+TbTradesBinance[[#This Row],[Qtt]]*TbTradesBinance[[#This Row],[Preço]])),BD6)-IF(TbTradesBinance[[#This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Row],[Tipo]]="DROP"),BD6+TbTradesBinance[[#This Row],[Qtt]],BD6-TbTradesBinance[[#This Row],[Qtt]]),IF(TbTradesBinance[[#This Row],[Tipo]]="BUY",BD6-TbTradesBinance[[#This Row],[Qtt]]*TbTradesBinance[[#This Row],[Preço]],BD6+TbTradesBinance[[#This Row],[Qtt]]*TbTradesBinance[[#This Row],[Preço]])),BD6)-IF(TbTradesBinance[[#This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Row],[Tipo]]="DROP"),BD6+TbTradesBinance[[#This Row],[Qtt]],BD6-TbTradesBinance[[#This Row],[Qtt]]),IF(TbTradesBinance[[#This Row],[Tipo]]="BUY",BD6-TbTradesBinance[[#This Row],[Qtt]]*TbTradesBinance[[#This Row],[Preço]],BD6+TbTradesBinance[[#This Row],[Qtt]]*TbTradesBinance[[#This Row],[Preço]])),BD6)-IF(TbTradesBinance[[#This Row],[Moeda da Taxa]]=MID(BD$1,9,5),TbTradesBinance[[#This Row],[Taxa]],0),8)))</f>
        <v>0</v>
      </c>
      <c r="BE7" s="145" cm="1">
        <f t="array" ref="BE7">IF(TbTradesBinance[[#This Row],[Tipo]]="EMPTY",0,BE6+IF(TbTradesBinance[[#This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Row],[Par]]))),$1:$1,0)),-(BD6-BD7)/BD6*BE6),0),0)+IF(TbTradesBinance[[#This Row],[Tipo]]="SELL",IF(ISNUMBER(FIND(MID(BE$1,10,5),TbTradesBinance[[#This Row],[Par]])),IF(FIND(MID(BE$1,10,5),TbTradesBinance[[#This Row],[Par]])=1, -(BD6-BD7)/BD6*BE6,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Row],[Par]])),(-(BD6-BD7)/BD6*BE6)+IF(TbTradesBinance[[#This Row],[Resultado]]&gt;0,0,TbTradesBinance[[#This Row],[Taxa]]),0),0))</f>
        <v>0</v>
      </c>
      <c r="BF7" s="145">
        <f t="shared" si="15"/>
        <v>0</v>
      </c>
      <c r="BG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Row],[Tipo]]="DROP"),BG6+TbTradesBinance[[#This Row],[Qtt]],BG6-TbTradesBinance[[#This Row],[Qtt]]),IF(TbTradesBinance[[#This Row],[Tipo]]="BUY",BG6-TbTradesBinance[[#This Row],[Qtt]]*TbTradesBinance[[#This Row],[Preço]],BG6+TbTradesBinance[[#This Row],[Qtt]]*TbTradesBinance[[#This Row],[Preço]])),BG6)-IF(TbTradesBinance[[#This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Row],[Tipo]]="DROP"),BG6+TbTradesBinance[[#This Row],[Qtt]],BG6-TbTradesBinance[[#This Row],[Qtt]]),IF(TbTradesBinance[[#This Row],[Tipo]]="BUY",BG6-TbTradesBinance[[#This Row],[Qtt]]*TbTradesBinance[[#This Row],[Preço]],BG6+TbTradesBinance[[#This Row],[Qtt]]*TbTradesBinance[[#This Row],[Preço]])),BG6)-IF(TbTradesBinance[[#This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Row],[Tipo]]="DROP"),BG6+TbTradesBinance[[#This Row],[Qtt]],BG6-TbTradesBinance[[#This Row],[Qtt]]),IF(TbTradesBinance[[#This Row],[Tipo]]="BUY",BG6-TbTradesBinance[[#This Row],[Qtt]]*TbTradesBinance[[#This Row],[Preço]],BG6+TbTradesBinance[[#This Row],[Qtt]]*TbTradesBinance[[#This Row],[Preço]])),BG6)-IF(TbTradesBinance[[#This Row],[Moeda da Taxa]]=MID(BG$1,9,5),TbTradesBinance[[#This Row],[Taxa]],0),8)))</f>
        <v>0</v>
      </c>
      <c r="BH7" s="145" cm="1">
        <f t="array" ref="BH7">IF(TbTradesBinance[[#This Row],[Tipo]]="EMPTY",0,BH6+IF(TbTradesBinance[[#This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Row],[Par]]))),$1:$1,0)),-(BG6-BG7)/BG6*BH6),0),0)+IF(TbTradesBinance[[#This Row],[Tipo]]="SELL",IF(ISNUMBER(FIND(MID(BH$1,10,5),TbTradesBinance[[#This Row],[Par]])),IF(FIND(MID(BH$1,10,5),TbTradesBinance[[#This Row],[Par]])=1, -(BG6-BG7)/BG6*BH6,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Row],[Par]])),(-(BG6-BG7)/BG6*BH6)+IF(TbTradesBinance[[#This Row],[Resultado]]&gt;0,0,TbTradesBinance[[#This Row],[Taxa]]),0),0))</f>
        <v>0</v>
      </c>
      <c r="BI7" s="145">
        <f t="shared" si="16"/>
        <v>0</v>
      </c>
      <c r="BJ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Row],[Tipo]]="DROP"),BJ6+TbTradesBinance[[#This Row],[Qtt]],BJ6-TbTradesBinance[[#This Row],[Qtt]]),IF(TbTradesBinance[[#This Row],[Tipo]]="BUY",BJ6-TbTradesBinance[[#This Row],[Qtt]]*TbTradesBinance[[#This Row],[Preço]],BJ6+TbTradesBinance[[#This Row],[Qtt]]*TbTradesBinance[[#This Row],[Preço]])),BJ6)-IF(TbTradesBinance[[#This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Row],[Tipo]]="DROP"),BJ6+TbTradesBinance[[#This Row],[Qtt]],BJ6-TbTradesBinance[[#This Row],[Qtt]]),IF(TbTradesBinance[[#This Row],[Tipo]]="BUY",BJ6-TbTradesBinance[[#This Row],[Qtt]]*TbTradesBinance[[#This Row],[Preço]],BJ6+TbTradesBinance[[#This Row],[Qtt]]*TbTradesBinance[[#This Row],[Preço]])),BJ6)-IF(TbTradesBinance[[#This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Row],[Tipo]]="DROP"),BJ6+TbTradesBinance[[#This Row],[Qtt]],BJ6-TbTradesBinance[[#This Row],[Qtt]]),IF(TbTradesBinance[[#This Row],[Tipo]]="BUY",BJ6-TbTradesBinance[[#This Row],[Qtt]]*TbTradesBinance[[#This Row],[Preço]],BJ6+TbTradesBinance[[#This Row],[Qtt]]*TbTradesBinance[[#This Row],[Preço]])),BJ6)-IF(TbTradesBinance[[#This Row],[Moeda da Taxa]]=MID(BJ$1,9,5),TbTradesBinance[[#This Row],[Taxa]],0),8)))</f>
        <v>0</v>
      </c>
      <c r="BK7" s="145" cm="1">
        <f t="array" ref="BK7">IF(TbTradesBinance[[#This Row],[Tipo]]="EMPTY",0,BK6+IF(TbTradesBinance[[#This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Row],[Par]]))),$1:$1,0)),-(BJ6-BJ7)/BJ6*BK6),0),0)+IF(TbTradesBinance[[#This Row],[Tipo]]="SELL",IF(ISNUMBER(FIND(MID(BK$1,10,5),TbTradesBinance[[#This Row],[Par]])),IF(FIND(MID(BK$1,10,5),TbTradesBinance[[#This Row],[Par]])=1, -(BJ6-BJ7)/BJ6*BK6,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Row],[Par]])),(-(BJ6-BJ7)/BJ6*BK6)+IF(TbTradesBinance[[#This Row],[Resultado]]&gt;0,0,TbTradesBinance[[#This Row],[Taxa]]),0),0))</f>
        <v>0</v>
      </c>
      <c r="BL7" s="145">
        <f t="shared" si="17"/>
        <v>0</v>
      </c>
      <c r="BM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Row],[Tipo]]="DROP"),BM6+TbTradesBinance[[#This Row],[Qtt]],BM6-TbTradesBinance[[#This Row],[Qtt]]),IF(TbTradesBinance[[#This Row],[Tipo]]="BUY",BM6-TbTradesBinance[[#This Row],[Qtt]]*TbTradesBinance[[#This Row],[Preço]],BM6+TbTradesBinance[[#This Row],[Qtt]]*TbTradesBinance[[#This Row],[Preço]])),BM6)-IF(TbTradesBinance[[#This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Row],[Tipo]]="DROP"),BM6+TbTradesBinance[[#This Row],[Qtt]],BM6-TbTradesBinance[[#This Row],[Qtt]]),IF(TbTradesBinance[[#This Row],[Tipo]]="BUY",BM6-TbTradesBinance[[#This Row],[Qtt]]*TbTradesBinance[[#This Row],[Preço]],BM6+TbTradesBinance[[#This Row],[Qtt]]*TbTradesBinance[[#This Row],[Preço]])),BM6)-IF(TbTradesBinance[[#This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Row],[Tipo]]="DROP"),BM6+TbTradesBinance[[#This Row],[Qtt]],BM6-TbTradesBinance[[#This Row],[Qtt]]),IF(TbTradesBinance[[#This Row],[Tipo]]="BUY",BM6-TbTradesBinance[[#This Row],[Qtt]]*TbTradesBinance[[#This Row],[Preço]],BM6+TbTradesBinance[[#This Row],[Qtt]]*TbTradesBinance[[#This Row],[Preço]])),BM6)-IF(TbTradesBinance[[#This Row],[Moeda da Taxa]]=MID(BM$1,9,5),TbTradesBinance[[#This Row],[Taxa]],0),8)))</f>
        <v>0</v>
      </c>
      <c r="BN7" s="145" cm="1">
        <f t="array" ref="BN7">IF(TbTradesBinance[[#This Row],[Tipo]]="EMPTY",0,BN6+IF(TbTradesBinance[[#This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Row],[Par]]))),$1:$1,0)),-(BM6-BM7)/BM6*BN6),0),0)+IF(TbTradesBinance[[#This Row],[Tipo]]="SELL",IF(ISNUMBER(FIND(MID(BN$1,10,5),TbTradesBinance[[#This Row],[Par]])),IF(FIND(MID(BN$1,10,5),TbTradesBinance[[#This Row],[Par]])=1, -(BM6-BM7)/BM6*BN6,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Row],[Par]])),(-(BM6-BM7)/BM6*BN6)+IF(TbTradesBinance[[#This Row],[Resultado]]&gt;0,0,TbTradesBinance[[#This Row],[Taxa]]),0),0))</f>
        <v>0</v>
      </c>
      <c r="BO7" s="145">
        <f t="shared" si="18"/>
        <v>0</v>
      </c>
    </row>
    <row r="8" spans="1:67" x14ac:dyDescent="0.3">
      <c r="B8" s="51"/>
      <c r="C8" s="40">
        <f>TRUNC(IF(AND(TbTradesBinance[[#This Row],[Tipo]]="SEND",TbTradesBinance[[#This Row],[Par]]="BRL"),TbTradesBinance[[#This Row],[Qtt]]*(1-P6)-IF(TbTradesBinance[[#This Row],[Moeda da Taxa]]="BRL",TbTradesBinance[[#This Row],[Taxa]],0),0)+IF(AND(TbTradesBinance[[#This Row],[Tipo]]="BURN",TbTradesBinance[[#This Row],[Par]]="BRL"),-TbTradesBinance[[#This Row],[Qtt]]*P6,0),2)</f>
        <v>0</v>
      </c>
      <c r="D8" s="53">
        <v>44249.389513888891</v>
      </c>
      <c r="E8" s="37" t="s">
        <v>138</v>
      </c>
      <c r="F8" s="47" t="s">
        <v>139</v>
      </c>
      <c r="G8" s="38">
        <v>295000</v>
      </c>
      <c r="H8" s="38">
        <v>1.02E-4</v>
      </c>
      <c r="I8" s="38">
        <v>0</v>
      </c>
      <c r="J8" s="37" t="s">
        <v>6</v>
      </c>
      <c r="K8" s="52">
        <v>1</v>
      </c>
      <c r="L8" s="40">
        <f t="shared" si="0"/>
        <v>295000</v>
      </c>
      <c r="M8" s="40">
        <f>IF(OR(TbTradesBinance[[#This Row],[Tipo]]="BUY",TbTradesBinance[[#This Row],[Tipo]]="RECEIVE",TbTradesBinance[[#This Row],[Tipo]]="DROP"),L8*H8,-L8*H8)</f>
        <v>30.09</v>
      </c>
      <c r="N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Row],[Tipo]]="DROP"),N7+TbTradesBinance[[#This Row],[Qtt]],N7-TbTradesBinance[[#This Row],[Qtt]]),IF(TbTradesBinance[[#This Row],[Tipo]]="BUY",N7-TbTradesBinance[[#This Row],[Qtt]]*TbTradesBinance[[#This Row],[Preço]],N7+TbTradesBinance[[#This Row],[Qtt]]*TbTradesBinance[[#This Row],[Preço]])),N7)-IF(TbTradesBinance[[#This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Row],[Tipo]]="DROP"),N7+TbTradesBinance[[#This Row],[Qtt]],N7-TbTradesBinance[[#This Row],[Qtt]]),IF(TbTradesBinance[[#This Row],[Tipo]]="BUY",N7-TbTradesBinance[[#This Row],[Qtt]]*TbTradesBinance[[#This Row],[Preço]],N7+TbTradesBinance[[#This Row],[Qtt]]*TbTradesBinance[[#This Row],[Preço]])),N7)-IF(TbTradesBinance[[#This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Row],[Tipo]]="DROP"),N7+TbTradesBinance[[#This Row],[Qtt]],N7-TbTradesBinance[[#This Row],[Qtt]]),IF(TbTradesBinance[[#This Row],[Tipo]]="BUY",N7-TbTradesBinance[[#This Row],[Qtt]]*TbTradesBinance[[#This Row],[Preço]],N7+TbTradesBinance[[#This Row],[Qtt]]*TbTradesBinance[[#This Row],[Preço]])),N7)-IF(TbTradesBinance[[#This Row],[Moeda da Taxa]]=MID(N$1,9,5),TbTradesBinance[[#This Row],[Taxa]],0),8)))</f>
        <v>19900.033562000001</v>
      </c>
      <c r="O8" s="145" cm="1">
        <f t="array" ref="O8">IF(TbTradesBinance[[#This Row],[Tipo]]="EMPTY",0,O7+IF(TbTradesBinance[[#This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Row],[Par]]))),$1:$1,0)),-(N7-N8)/N7*O7),0),0)+IF(TbTradesBinance[[#This Row],[Tipo]]="SELL",IF(ISNUMBER(FIND(MID(O$1,10,5),TbTradesBinance[[#This Row],[Par]])),IF(FIND(MID(O$1,10,5),TbTradesBinance[[#This Row],[Par]])=1, -(N7-N8)/N7*O7,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Row],[Par]])),(-(N7-N8)/N7*O7)+IF(TbTradesBinance[[#This Row],[Resultado]]&gt;0,0,TbTradesBinance[[#This Row],[Taxa]]),0),0))</f>
        <v>19881.946617340764</v>
      </c>
      <c r="P8" s="145">
        <f t="shared" si="1"/>
        <v>0.99909110984145399</v>
      </c>
      <c r="Q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Row],[Tipo]]="DROP"),Q7+TbTradesBinance[[#This Row],[Qtt]],Q7-TbTradesBinance[[#This Row],[Qtt]]),IF(TbTradesBinance[[#This Row],[Tipo]]="BUY",Q7-TbTradesBinance[[#This Row],[Qtt]]*TbTradesBinance[[#This Row],[Preço]],Q7+TbTradesBinance[[#This Row],[Qtt]]*TbTradesBinance[[#This Row],[Preço]])),Q7)-IF(TbTradesBinance[[#This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Row],[Tipo]]="DROP"),Q7+TbTradesBinance[[#This Row],[Qtt]],Q7-TbTradesBinance[[#This Row],[Qtt]]),IF(TbTradesBinance[[#This Row],[Tipo]]="BUY",Q7-TbTradesBinance[[#This Row],[Qtt]]*TbTradesBinance[[#This Row],[Preço]],Q7+TbTradesBinance[[#This Row],[Qtt]]*TbTradesBinance[[#This Row],[Preço]])),Q7)-IF(TbTradesBinance[[#This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Row],[Tipo]]="DROP"),Q7+TbTradesBinance[[#This Row],[Qtt]],Q7-TbTradesBinance[[#This Row],[Qtt]]),IF(TbTradesBinance[[#This Row],[Tipo]]="BUY",Q7-TbTradesBinance[[#This Row],[Qtt]]*TbTradesBinance[[#This Row],[Preço]],Q7+TbTradesBinance[[#This Row],[Qtt]]*TbTradesBinance[[#This Row],[Preço]])),Q7)-IF(TbTradesBinance[[#This Row],[Moeda da Taxa]]=MID(Q$1,9,5),TbTradesBinance[[#This Row],[Taxa]],0),8)))</f>
        <v>0</v>
      </c>
      <c r="R8" s="145" cm="1">
        <f t="array" ref="R8">IF(TbTradesBinance[[#This Row],[Tipo]]="EMPTY",0,R7+IF(TbTradesBinance[[#This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Row],[Par]]))),$1:$1,0)),-(Q7-Q8)/Q7*R7),0),0)+IF(TbTradesBinance[[#This Row],[Tipo]]="SELL",IF(ISNUMBER(FIND(MID(R$1,10,5),TbTradesBinance[[#This Row],[Par]])),IF(FIND(MID(R$1,10,5),TbTradesBinance[[#This Row],[Par]])=1, -(Q7-Q8)/Q7*R7,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Row],[Par]])),(-(Q7-Q8)/Q7*R7)+IF(TbTradesBinance[[#This Row],[Resultado]]&gt;0,0,TbTradesBinance[[#This Row],[Taxa]]),0),0))</f>
        <v>0</v>
      </c>
      <c r="S8" s="145">
        <f t="shared" si="2"/>
        <v>0</v>
      </c>
      <c r="T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Row],[Tipo]]="DROP"),T7+TbTradesBinance[[#This Row],[Qtt]],T7-TbTradesBinance[[#This Row],[Qtt]]),IF(TbTradesBinance[[#This Row],[Tipo]]="BUY",T7-TbTradesBinance[[#This Row],[Qtt]]*TbTradesBinance[[#This Row],[Preço]],T7+TbTradesBinance[[#This Row],[Qtt]]*TbTradesBinance[[#This Row],[Preço]])),T7)-IF(TbTradesBinance[[#This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Row],[Tipo]]="DROP"),T7+TbTradesBinance[[#This Row],[Qtt]],T7-TbTradesBinance[[#This Row],[Qtt]]),IF(TbTradesBinance[[#This Row],[Tipo]]="BUY",T7-TbTradesBinance[[#This Row],[Qtt]]*TbTradesBinance[[#This Row],[Preço]],T7+TbTradesBinance[[#This Row],[Qtt]]*TbTradesBinance[[#This Row],[Preço]])),T7)-IF(TbTradesBinance[[#This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Row],[Tipo]]="DROP"),T7+TbTradesBinance[[#This Row],[Qtt]],T7-TbTradesBinance[[#This Row],[Qtt]]),IF(TbTradesBinance[[#This Row],[Tipo]]="BUY",T7-TbTradesBinance[[#This Row],[Qtt]]*TbTradesBinance[[#This Row],[Preço]],T7+TbTradesBinance[[#This Row],[Qtt]]*TbTradesBinance[[#This Row],[Preço]])),T7)-IF(TbTradesBinance[[#This Row],[Moeda da Taxa]]=MID(T$1,9,5),TbTradesBinance[[#This Row],[Taxa]],0),8)))</f>
        <v>0</v>
      </c>
      <c r="U8" s="145" cm="1">
        <f t="array" ref="U8">IF(TbTradesBinance[[#This Row],[Tipo]]="EMPTY",0,U7+IF(TbTradesBinance[[#This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Row],[Par]]))),$1:$1,0)),-(T7-T8)/T7*U7),0),0)+IF(TbTradesBinance[[#This Row],[Tipo]]="SELL",IF(ISNUMBER(FIND(MID(U$1,10,5),TbTradesBinance[[#This Row],[Par]])),IF(FIND(MID(U$1,10,5),TbTradesBinance[[#This Row],[Par]])=1, -(T7-T8)/T7*U7,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Row],[Par]])),(-(T7-T8)/T7*U7)+IF(TbTradesBinance[[#This Row],[Resultado]]&gt;0,0,TbTradesBinance[[#This Row],[Taxa]]),0),0))</f>
        <v>0</v>
      </c>
      <c r="V8" s="145">
        <f t="shared" si="3"/>
        <v>0</v>
      </c>
      <c r="W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Row],[Tipo]]="DROP"),W7+TbTradesBinance[[#This Row],[Qtt]],W7-TbTradesBinance[[#This Row],[Qtt]]),IF(TbTradesBinance[[#This Row],[Tipo]]="BUY",W7-TbTradesBinance[[#This Row],[Qtt]]*TbTradesBinance[[#This Row],[Preço]],W7+TbTradesBinance[[#This Row],[Qtt]]*TbTradesBinance[[#This Row],[Preço]])),W7)-IF(TbTradesBinance[[#This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Row],[Tipo]]="DROP"),W7+TbTradesBinance[[#This Row],[Qtt]],W7-TbTradesBinance[[#This Row],[Qtt]]),IF(TbTradesBinance[[#This Row],[Tipo]]="BUY",W7-TbTradesBinance[[#This Row],[Qtt]]*TbTradesBinance[[#This Row],[Preço]],W7+TbTradesBinance[[#This Row],[Qtt]]*TbTradesBinance[[#This Row],[Preço]])),W7)-IF(TbTradesBinance[[#This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Row],[Tipo]]="DROP"),W7+TbTradesBinance[[#This Row],[Qtt]],W7-TbTradesBinance[[#This Row],[Qtt]]),IF(TbTradesBinance[[#This Row],[Tipo]]="BUY",W7-TbTradesBinance[[#This Row],[Qtt]]*TbTradesBinance[[#This Row],[Preço]],W7+TbTradesBinance[[#This Row],[Qtt]]*TbTradesBinance[[#This Row],[Preço]])),W7)-IF(TbTradesBinance[[#This Row],[Moeda da Taxa]]=MID(W$1,9,5),TbTradesBinance[[#This Row],[Taxa]],0),8)))</f>
        <v>4.7699999999999999E-4</v>
      </c>
      <c r="X8" s="145" cm="1">
        <f t="array" ref="X8">IF(TbTradesBinance[[#This Row],[Tipo]]="EMPTY",0,X7+IF(TbTradesBinance[[#This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Row],[Par]]))),$1:$1,0)),-(W7-W8)/W7*X7),0),0)+IF(TbTradesBinance[[#This Row],[Tipo]]="SELL",IF(ISNUMBER(FIND(MID(X$1,10,5),TbTradesBinance[[#This Row],[Par]])),IF(FIND(MID(X$1,10,5),TbTradesBinance[[#This Row],[Par]])=1, -(W7-W8)/W7*X7,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Row],[Par]])),(-(W7-W8)/W7*X7)+IF(TbTradesBinance[[#This Row],[Resultado]]&gt;0,0,TbTradesBinance[[#This Row],[Taxa]]),0),0))</f>
        <v>118.05338265923635</v>
      </c>
      <c r="Y8" s="145">
        <f t="shared" si="4"/>
        <v>247491.36825835714</v>
      </c>
      <c r="Z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Row],[Tipo]]="DROP"),Z7+TbTradesBinance[[#This Row],[Qtt]],Z7-TbTradesBinance[[#This Row],[Qtt]]),IF(TbTradesBinance[[#This Row],[Tipo]]="BUY",Z7-TbTradesBinance[[#This Row],[Qtt]]*TbTradesBinance[[#This Row],[Preço]],Z7+TbTradesBinance[[#This Row],[Qtt]]*TbTradesBinance[[#This Row],[Preço]])),Z7)-IF(TbTradesBinance[[#This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Row],[Tipo]]="DROP"),Z7+TbTradesBinance[[#This Row],[Qtt]],Z7-TbTradesBinance[[#This Row],[Qtt]]),IF(TbTradesBinance[[#This Row],[Tipo]]="BUY",Z7-TbTradesBinance[[#This Row],[Qtt]]*TbTradesBinance[[#This Row],[Preço]],Z7+TbTradesBinance[[#This Row],[Qtt]]*TbTradesBinance[[#This Row],[Preço]])),Z7)-IF(TbTradesBinance[[#This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Row],[Tipo]]="DROP"),Z7+TbTradesBinance[[#This Row],[Qtt]],Z7-TbTradesBinance[[#This Row],[Qtt]]),IF(TbTradesBinance[[#This Row],[Tipo]]="BUY",Z7-TbTradesBinance[[#This Row],[Qtt]]*TbTradesBinance[[#This Row],[Preço]],Z7+TbTradesBinance[[#This Row],[Qtt]]*TbTradesBinance[[#This Row],[Preço]])),Z7)-IF(TbTradesBinance[[#This Row],[Moeda da Taxa]]=MID(Z$1,9,5),TbTradesBinance[[#This Row],[Taxa]],0),8)))</f>
        <v>0</v>
      </c>
      <c r="AA8" s="145" cm="1">
        <f t="array" ref="AA8">IF(TbTradesBinance[[#This Row],[Tipo]]="EMPTY",0,AA7+IF(TbTradesBinance[[#This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Row],[Par]]))),$1:$1,0)),-(Z7-Z8)/Z7*AA7),0),0)+IF(TbTradesBinance[[#This Row],[Tipo]]="SELL",IF(ISNUMBER(FIND(MID(AA$1,10,5),TbTradesBinance[[#This Row],[Par]])),IF(FIND(MID(AA$1,10,5),TbTradesBinance[[#This Row],[Par]])=1, -(Z7-Z8)/Z7*AA7,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Row],[Par]])),(-(Z7-Z8)/Z7*AA7)+IF(TbTradesBinance[[#This Row],[Resultado]]&gt;0,0,TbTradesBinance[[#This Row],[Taxa]]),0),0))</f>
        <v>0</v>
      </c>
      <c r="AB8" s="145">
        <f t="shared" si="5"/>
        <v>0</v>
      </c>
      <c r="AC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Row],[Tipo]]="DROP"),AC7+TbTradesBinance[[#This Row],[Qtt]],AC7-TbTradesBinance[[#This Row],[Qtt]]),IF(TbTradesBinance[[#This Row],[Tipo]]="BUY",AC7-TbTradesBinance[[#This Row],[Qtt]]*TbTradesBinance[[#This Row],[Preço]],AC7+TbTradesBinance[[#This Row],[Qtt]]*TbTradesBinance[[#This Row],[Preço]])),AC7)-IF(TbTradesBinance[[#This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Row],[Tipo]]="DROP"),AC7+TbTradesBinance[[#This Row],[Qtt]],AC7-TbTradesBinance[[#This Row],[Qtt]]),IF(TbTradesBinance[[#This Row],[Tipo]]="BUY",AC7-TbTradesBinance[[#This Row],[Qtt]]*TbTradesBinance[[#This Row],[Preço]],AC7+TbTradesBinance[[#This Row],[Qtt]]*TbTradesBinance[[#This Row],[Preço]])),AC7)-IF(TbTradesBinance[[#This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Row],[Tipo]]="DROP"),AC7+TbTradesBinance[[#This Row],[Qtt]],AC7-TbTradesBinance[[#This Row],[Qtt]]),IF(TbTradesBinance[[#This Row],[Tipo]]="BUY",AC7-TbTradesBinance[[#This Row],[Qtt]]*TbTradesBinance[[#This Row],[Preço]],AC7+TbTradesBinance[[#This Row],[Qtt]]*TbTradesBinance[[#This Row],[Preço]])),AC7)-IF(TbTradesBinance[[#This Row],[Moeda da Taxa]]=MID(AC$1,9,5),TbTradesBinance[[#This Row],[Taxa]],0),8)))</f>
        <v>0</v>
      </c>
      <c r="AD8" s="145" cm="1">
        <f t="array" ref="AD8">IF(TbTradesBinance[[#This Row],[Tipo]]="EMPTY",0,AD7+IF(TbTradesBinance[[#This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Row],[Par]]))),$1:$1,0)),-(AC7-AC8)/AC7*AD7),0),0)+IF(TbTradesBinance[[#This Row],[Tipo]]="SELL",IF(ISNUMBER(FIND(MID(AD$1,10,5),TbTradesBinance[[#This Row],[Par]])),IF(FIND(MID(AD$1,10,5),TbTradesBinance[[#This Row],[Par]])=1, -(AC7-AC8)/AC7*AD7,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Row],[Par]])),(-(AC7-AC8)/AC7*AD7)+IF(TbTradesBinance[[#This Row],[Resultado]]&gt;0,0,TbTradesBinance[[#This Row],[Taxa]]),0),0))</f>
        <v>0</v>
      </c>
      <c r="AE8" s="145">
        <f t="shared" si="6"/>
        <v>0</v>
      </c>
      <c r="AF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Row],[Tipo]]="DROP"),AF7+TbTradesBinance[[#This Row],[Qtt]],AF7-TbTradesBinance[[#This Row],[Qtt]]),IF(TbTradesBinance[[#This Row],[Tipo]]="BUY",AF7-TbTradesBinance[[#This Row],[Qtt]]*TbTradesBinance[[#This Row],[Preço]],AF7+TbTradesBinance[[#This Row],[Qtt]]*TbTradesBinance[[#This Row],[Preço]])),AF7)-IF(TbTradesBinance[[#This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Row],[Tipo]]="DROP"),AF7+TbTradesBinance[[#This Row],[Qtt]],AF7-TbTradesBinance[[#This Row],[Qtt]]),IF(TbTradesBinance[[#This Row],[Tipo]]="BUY",AF7-TbTradesBinance[[#This Row],[Qtt]]*TbTradesBinance[[#This Row],[Preço]],AF7+TbTradesBinance[[#This Row],[Qtt]]*TbTradesBinance[[#This Row],[Preço]])),AF7)-IF(TbTradesBinance[[#This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Row],[Tipo]]="DROP"),AF7+TbTradesBinance[[#This Row],[Qtt]],AF7-TbTradesBinance[[#This Row],[Qtt]]),IF(TbTradesBinance[[#This Row],[Tipo]]="BUY",AF7-TbTradesBinance[[#This Row],[Qtt]]*TbTradesBinance[[#This Row],[Preço]],AF7+TbTradesBinance[[#This Row],[Qtt]]*TbTradesBinance[[#This Row],[Preço]])),AF7)-IF(TbTradesBinance[[#This Row],[Moeda da Taxa]]=MID(AF$1,9,5),TbTradesBinance[[#This Row],[Taxa]],0),8)))</f>
        <v>0</v>
      </c>
      <c r="AG8" s="145" cm="1">
        <f t="array" ref="AG8">IF(TbTradesBinance[[#This Row],[Tipo]]="EMPTY",0,AG7+IF(TbTradesBinance[[#This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Row],[Par]]))),$1:$1,0)),-(AF7-AF8)/AF7*AG7),0),0)+IF(TbTradesBinance[[#This Row],[Tipo]]="SELL",IF(ISNUMBER(FIND(MID(AG$1,10,5),TbTradesBinance[[#This Row],[Par]])),IF(FIND(MID(AG$1,10,5),TbTradesBinance[[#This Row],[Par]])=1, -(AF7-AF8)/AF7*AG7,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Row],[Par]])),(-(AF7-AF8)/AF7*AG7)+IF(TbTradesBinance[[#This Row],[Resultado]]&gt;0,0,TbTradesBinance[[#This Row],[Taxa]]),0),0))</f>
        <v>0</v>
      </c>
      <c r="AH8" s="145">
        <f t="shared" si="7"/>
        <v>0</v>
      </c>
      <c r="AI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Row],[Tipo]]="DROP"),AI7+TbTradesBinance[[#This Row],[Qtt]],AI7-TbTradesBinance[[#This Row],[Qtt]]),IF(TbTradesBinance[[#This Row],[Tipo]]="BUY",AI7-TbTradesBinance[[#This Row],[Qtt]]*TbTradesBinance[[#This Row],[Preço]],AI7+TbTradesBinance[[#This Row],[Qtt]]*TbTradesBinance[[#This Row],[Preço]])),AI7)-IF(TbTradesBinance[[#This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Row],[Tipo]]="DROP"),AI7+TbTradesBinance[[#This Row],[Qtt]],AI7-TbTradesBinance[[#This Row],[Qtt]]),IF(TbTradesBinance[[#This Row],[Tipo]]="BUY",AI7-TbTradesBinance[[#This Row],[Qtt]]*TbTradesBinance[[#This Row],[Preço]],AI7+TbTradesBinance[[#This Row],[Qtt]]*TbTradesBinance[[#This Row],[Preço]])),AI7)-IF(TbTradesBinance[[#This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Row],[Tipo]]="DROP"),AI7+TbTradesBinance[[#This Row],[Qtt]],AI7-TbTradesBinance[[#This Row],[Qtt]]),IF(TbTradesBinance[[#This Row],[Tipo]]="BUY",AI7-TbTradesBinance[[#This Row],[Qtt]]*TbTradesBinance[[#This Row],[Preço]],AI7+TbTradesBinance[[#This Row],[Qtt]]*TbTradesBinance[[#This Row],[Preço]])),AI7)-IF(TbTradesBinance[[#This Row],[Moeda da Taxa]]=MID(AI$1,9,5),TbTradesBinance[[#This Row],[Taxa]],0),8)))</f>
        <v>0</v>
      </c>
      <c r="AJ8" s="145" cm="1">
        <f t="array" ref="AJ8">IF(TbTradesBinance[[#This Row],[Tipo]]="EMPTY",0,AJ7+IF(TbTradesBinance[[#This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Row],[Par]]))),$1:$1,0)),-(AI7-AI8)/AI7*AJ7),0),0)+IF(TbTradesBinance[[#This Row],[Tipo]]="SELL",IF(ISNUMBER(FIND(MID(AJ$1,10,5),TbTradesBinance[[#This Row],[Par]])),IF(FIND(MID(AJ$1,10,5),TbTradesBinance[[#This Row],[Par]])=1, -(AI7-AI8)/AI7*AJ7,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Row],[Par]])),(-(AI7-AI8)/AI7*AJ7)+IF(TbTradesBinance[[#This Row],[Resultado]]&gt;0,0,TbTradesBinance[[#This Row],[Taxa]]),0),0))</f>
        <v>0</v>
      </c>
      <c r="AK8" s="145">
        <f t="shared" si="8"/>
        <v>0</v>
      </c>
      <c r="AL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Row],[Tipo]]="DROP"),AL7+TbTradesBinance[[#This Row],[Qtt]],AL7-TbTradesBinance[[#This Row],[Qtt]]),IF(TbTradesBinance[[#This Row],[Tipo]]="BUY",AL7-TbTradesBinance[[#This Row],[Qtt]]*TbTradesBinance[[#This Row],[Preço]],AL7+TbTradesBinance[[#This Row],[Qtt]]*TbTradesBinance[[#This Row],[Preço]])),AL7)-IF(TbTradesBinance[[#This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Row],[Tipo]]="DROP"),AL7+TbTradesBinance[[#This Row],[Qtt]],AL7-TbTradesBinance[[#This Row],[Qtt]]),IF(TbTradesBinance[[#This Row],[Tipo]]="BUY",AL7-TbTradesBinance[[#This Row],[Qtt]]*TbTradesBinance[[#This Row],[Preço]],AL7+TbTradesBinance[[#This Row],[Qtt]]*TbTradesBinance[[#This Row],[Preço]])),AL7)-IF(TbTradesBinance[[#This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Row],[Tipo]]="DROP"),AL7+TbTradesBinance[[#This Row],[Qtt]],AL7-TbTradesBinance[[#This Row],[Qtt]]),IF(TbTradesBinance[[#This Row],[Tipo]]="BUY",AL7-TbTradesBinance[[#This Row],[Qtt]]*TbTradesBinance[[#This Row],[Preço]],AL7+TbTradesBinance[[#This Row],[Qtt]]*TbTradesBinance[[#This Row],[Preço]])),AL7)-IF(TbTradesBinance[[#This Row],[Moeda da Taxa]]=MID(AL$1,9,5),TbTradesBinance[[#This Row],[Taxa]],0),8)))</f>
        <v>0</v>
      </c>
      <c r="AM8" s="145" cm="1">
        <f t="array" ref="AM8">IF(TbTradesBinance[[#This Row],[Tipo]]="EMPTY",0,AM7+IF(TbTradesBinance[[#This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Row],[Par]]))),$1:$1,0)),-(AL7-AL8)/AL7*AM7),0),0)+IF(TbTradesBinance[[#This Row],[Tipo]]="SELL",IF(ISNUMBER(FIND(MID(AM$1,10,5),TbTradesBinance[[#This Row],[Par]])),IF(FIND(MID(AM$1,10,5),TbTradesBinance[[#This Row],[Par]])=1, -(AL7-AL8)/AL7*AM7,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Row],[Par]])),(-(AL7-AL8)/AL7*AM7)+IF(TbTradesBinance[[#This Row],[Resultado]]&gt;0,0,TbTradesBinance[[#This Row],[Taxa]]),0),0))</f>
        <v>0</v>
      </c>
      <c r="AN8" s="145">
        <f t="shared" si="9"/>
        <v>0</v>
      </c>
      <c r="AO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Row],[Tipo]]="DROP"),AO7+TbTradesBinance[[#This Row],[Qtt]],AO7-TbTradesBinance[[#This Row],[Qtt]]),IF(TbTradesBinance[[#This Row],[Tipo]]="BUY",AO7-TbTradesBinance[[#This Row],[Qtt]]*TbTradesBinance[[#This Row],[Preço]],AO7+TbTradesBinance[[#This Row],[Qtt]]*TbTradesBinance[[#This Row],[Preço]])),AO7)-IF(TbTradesBinance[[#This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Row],[Tipo]]="DROP"),AO7+TbTradesBinance[[#This Row],[Qtt]],AO7-TbTradesBinance[[#This Row],[Qtt]]),IF(TbTradesBinance[[#This Row],[Tipo]]="BUY",AO7-TbTradesBinance[[#This Row],[Qtt]]*TbTradesBinance[[#This Row],[Preço]],AO7+TbTradesBinance[[#This Row],[Qtt]]*TbTradesBinance[[#This Row],[Preço]])),AO7)-IF(TbTradesBinance[[#This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Row],[Tipo]]="DROP"),AO7+TbTradesBinance[[#This Row],[Qtt]],AO7-TbTradesBinance[[#This Row],[Qtt]]),IF(TbTradesBinance[[#This Row],[Tipo]]="BUY",AO7-TbTradesBinance[[#This Row],[Qtt]]*TbTradesBinance[[#This Row],[Preço]],AO7+TbTradesBinance[[#This Row],[Qtt]]*TbTradesBinance[[#This Row],[Preço]])),AO7)-IF(TbTradesBinance[[#This Row],[Moeda da Taxa]]=MID(AO$1,9,5),TbTradesBinance[[#This Row],[Taxa]],0),8)))</f>
        <v>0</v>
      </c>
      <c r="AP8" s="145" cm="1">
        <f t="array" ref="AP8">IF(TbTradesBinance[[#This Row],[Tipo]]="EMPTY",0,AP7+IF(TbTradesBinance[[#This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Row],[Par]]))),$1:$1,0)),-(AO7-AO8)/AO7*AP7),0),0)+IF(TbTradesBinance[[#This Row],[Tipo]]="SELL",IF(ISNUMBER(FIND(MID(AP$1,10,5),TbTradesBinance[[#This Row],[Par]])),IF(FIND(MID(AP$1,10,5),TbTradesBinance[[#This Row],[Par]])=1, -(AO7-AO8)/AO7*AP7,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Row],[Par]])),(-(AO7-AO8)/AO7*AP7)+IF(TbTradesBinance[[#This Row],[Resultado]]&gt;0,0,TbTradesBinance[[#This Row],[Taxa]]),0),0))</f>
        <v>0</v>
      </c>
      <c r="AQ8" s="145">
        <f t="shared" si="10"/>
        <v>0</v>
      </c>
      <c r="AR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Row],[Tipo]]="DROP"),AR7+TbTradesBinance[[#This Row],[Qtt]],AR7-TbTradesBinance[[#This Row],[Qtt]]),IF(TbTradesBinance[[#This Row],[Tipo]]="BUY",AR7-TbTradesBinance[[#This Row],[Qtt]]*TbTradesBinance[[#This Row],[Preço]],AR7+TbTradesBinance[[#This Row],[Qtt]]*TbTradesBinance[[#This Row],[Preço]])),AR7)-IF(TbTradesBinance[[#This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Row],[Tipo]]="DROP"),AR7+TbTradesBinance[[#This Row],[Qtt]],AR7-TbTradesBinance[[#This Row],[Qtt]]),IF(TbTradesBinance[[#This Row],[Tipo]]="BUY",AR7-TbTradesBinance[[#This Row],[Qtt]]*TbTradesBinance[[#This Row],[Preço]],AR7+TbTradesBinance[[#This Row],[Qtt]]*TbTradesBinance[[#This Row],[Preço]])),AR7)-IF(TbTradesBinance[[#This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Row],[Tipo]]="DROP"),AR7+TbTradesBinance[[#This Row],[Qtt]],AR7-TbTradesBinance[[#This Row],[Qtt]]),IF(TbTradesBinance[[#This Row],[Tipo]]="BUY",AR7-TbTradesBinance[[#This Row],[Qtt]]*TbTradesBinance[[#This Row],[Preço]],AR7+TbTradesBinance[[#This Row],[Qtt]]*TbTradesBinance[[#This Row],[Preço]])),AR7)-IF(TbTradesBinance[[#This Row],[Moeda da Taxa]]=MID(AR$1,9,5),TbTradesBinance[[#This Row],[Taxa]],0),8)))</f>
        <v>0</v>
      </c>
      <c r="AS8" s="145" cm="1">
        <f t="array" ref="AS8">IF(TbTradesBinance[[#This Row],[Tipo]]="EMPTY",0,AS7+IF(TbTradesBinance[[#This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Row],[Par]]))),$1:$1,0)),-(AR7-AR8)/AR7*AS7),0),0)+IF(TbTradesBinance[[#This Row],[Tipo]]="SELL",IF(ISNUMBER(FIND(MID(AS$1,10,5),TbTradesBinance[[#This Row],[Par]])),IF(FIND(MID(AS$1,10,5),TbTradesBinance[[#This Row],[Par]])=1, -(AR7-AR8)/AR7*AS7,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Row],[Par]])),(-(AR7-AR8)/AR7*AS7)+IF(TbTradesBinance[[#This Row],[Resultado]]&gt;0,0,TbTradesBinance[[#This Row],[Taxa]]),0),0))</f>
        <v>0</v>
      </c>
      <c r="AT8" s="145">
        <f t="shared" si="11"/>
        <v>0</v>
      </c>
      <c r="AU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Row],[Tipo]]="DROP"),AU7+TbTradesBinance[[#This Row],[Qtt]],AU7-TbTradesBinance[[#This Row],[Qtt]]),IF(TbTradesBinance[[#This Row],[Tipo]]="BUY",AU7-TbTradesBinance[[#This Row],[Qtt]]*TbTradesBinance[[#This Row],[Preço]],AU7+TbTradesBinance[[#This Row],[Qtt]]*TbTradesBinance[[#This Row],[Preço]])),AU7)-IF(TbTradesBinance[[#This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Row],[Tipo]]="DROP"),AU7+TbTradesBinance[[#This Row],[Qtt]],AU7-TbTradesBinance[[#This Row],[Qtt]]),IF(TbTradesBinance[[#This Row],[Tipo]]="BUY",AU7-TbTradesBinance[[#This Row],[Qtt]]*TbTradesBinance[[#This Row],[Preço]],AU7+TbTradesBinance[[#This Row],[Qtt]]*TbTradesBinance[[#This Row],[Preço]])),AU7)-IF(TbTradesBinance[[#This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Row],[Tipo]]="DROP"),AU7+TbTradesBinance[[#This Row],[Qtt]],AU7-TbTradesBinance[[#This Row],[Qtt]]),IF(TbTradesBinance[[#This Row],[Tipo]]="BUY",AU7-TbTradesBinance[[#This Row],[Qtt]]*TbTradesBinance[[#This Row],[Preço]],AU7+TbTradesBinance[[#This Row],[Qtt]]*TbTradesBinance[[#This Row],[Preço]])),AU7)-IF(TbTradesBinance[[#This Row],[Moeda da Taxa]]=MID(AU$1,9,5),TbTradesBinance[[#This Row],[Taxa]],0),8)))</f>
        <v>0</v>
      </c>
      <c r="AV8" s="145" cm="1">
        <f t="array" ref="AV8">IF(TbTradesBinance[[#This Row],[Tipo]]="EMPTY",0,AV7+IF(TbTradesBinance[[#This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Row],[Par]]))),$1:$1,0)),-(AU7-AU8)/AU7*AV7),0),0)+IF(TbTradesBinance[[#This Row],[Tipo]]="SELL",IF(ISNUMBER(FIND(MID(AV$1,10,5),TbTradesBinance[[#This Row],[Par]])),IF(FIND(MID(AV$1,10,5),TbTradesBinance[[#This Row],[Par]])=1, -(AU7-AU8)/AU7*AV7,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Row],[Par]])),(-(AU7-AU8)/AU7*AV7)+IF(TbTradesBinance[[#This Row],[Resultado]]&gt;0,0,TbTradesBinance[[#This Row],[Taxa]]),0),0))</f>
        <v>0</v>
      </c>
      <c r="AW8" s="145">
        <f t="shared" si="12"/>
        <v>0</v>
      </c>
      <c r="AX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Row],[Tipo]]="DROP"),AX7+TbTradesBinance[[#This Row],[Qtt]],AX7-TbTradesBinance[[#This Row],[Qtt]]),IF(TbTradesBinance[[#This Row],[Tipo]]="BUY",AX7-TbTradesBinance[[#This Row],[Qtt]]*TbTradesBinance[[#This Row],[Preço]],AX7+TbTradesBinance[[#This Row],[Qtt]]*TbTradesBinance[[#This Row],[Preço]])),AX7)-IF(TbTradesBinance[[#This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Row],[Tipo]]="DROP"),AX7+TbTradesBinance[[#This Row],[Qtt]],AX7-TbTradesBinance[[#This Row],[Qtt]]),IF(TbTradesBinance[[#This Row],[Tipo]]="BUY",AX7-TbTradesBinance[[#This Row],[Qtt]]*TbTradesBinance[[#This Row],[Preço]],AX7+TbTradesBinance[[#This Row],[Qtt]]*TbTradesBinance[[#This Row],[Preço]])),AX7)-IF(TbTradesBinance[[#This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Row],[Tipo]]="DROP"),AX7+TbTradesBinance[[#This Row],[Qtt]],AX7-TbTradesBinance[[#This Row],[Qtt]]),IF(TbTradesBinance[[#This Row],[Tipo]]="BUY",AX7-TbTradesBinance[[#This Row],[Qtt]]*TbTradesBinance[[#This Row],[Preço]],AX7+TbTradesBinance[[#This Row],[Qtt]]*TbTradesBinance[[#This Row],[Preço]])),AX7)-IF(TbTradesBinance[[#This Row],[Moeda da Taxa]]=MID(AX$1,9,5),TbTradesBinance[[#This Row],[Taxa]],0),8)))</f>
        <v>0</v>
      </c>
      <c r="AY8" s="145" cm="1">
        <f t="array" ref="AY8">IF(TbTradesBinance[[#This Row],[Tipo]]="EMPTY",0,AY7+IF(TbTradesBinance[[#This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Row],[Par]]))),$1:$1,0)),-(AX7-AX8)/AX7*AY7),0),0)+IF(TbTradesBinance[[#This Row],[Tipo]]="SELL",IF(ISNUMBER(FIND(MID(AY$1,10,5),TbTradesBinance[[#This Row],[Par]])),IF(FIND(MID(AY$1,10,5),TbTradesBinance[[#This Row],[Par]])=1, -(AX7-AX8)/AX7*AY7,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Row],[Par]])),(-(AX7-AX8)/AX7*AY7)+IF(TbTradesBinance[[#This Row],[Resultado]]&gt;0,0,TbTradesBinance[[#This Row],[Taxa]]),0),0))</f>
        <v>0</v>
      </c>
      <c r="AZ8" s="145">
        <f t="shared" si="13"/>
        <v>0</v>
      </c>
      <c r="BA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Row],[Tipo]]="DROP"),BA7+TbTradesBinance[[#This Row],[Qtt]],BA7-TbTradesBinance[[#This Row],[Qtt]]),IF(TbTradesBinance[[#This Row],[Tipo]]="BUY",BA7-TbTradesBinance[[#This Row],[Qtt]]*TbTradesBinance[[#This Row],[Preço]],BA7+TbTradesBinance[[#This Row],[Qtt]]*TbTradesBinance[[#This Row],[Preço]])),BA7)-IF(TbTradesBinance[[#This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Row],[Tipo]]="DROP"),BA7+TbTradesBinance[[#This Row],[Qtt]],BA7-TbTradesBinance[[#This Row],[Qtt]]),IF(TbTradesBinance[[#This Row],[Tipo]]="BUY",BA7-TbTradesBinance[[#This Row],[Qtt]]*TbTradesBinance[[#This Row],[Preço]],BA7+TbTradesBinance[[#This Row],[Qtt]]*TbTradesBinance[[#This Row],[Preço]])),BA7)-IF(TbTradesBinance[[#This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Row],[Tipo]]="DROP"),BA7+TbTradesBinance[[#This Row],[Qtt]],BA7-TbTradesBinance[[#This Row],[Qtt]]),IF(TbTradesBinance[[#This Row],[Tipo]]="BUY",BA7-TbTradesBinance[[#This Row],[Qtt]]*TbTradesBinance[[#This Row],[Preço]],BA7+TbTradesBinance[[#This Row],[Qtt]]*TbTradesBinance[[#This Row],[Preço]])),BA7)-IF(TbTradesBinance[[#This Row],[Moeda da Taxa]]=MID(BA$1,9,5),TbTradesBinance[[#This Row],[Taxa]],0),8)))</f>
        <v>0</v>
      </c>
      <c r="BB8" s="145" cm="1">
        <f t="array" ref="BB8">IF(TbTradesBinance[[#This Row],[Tipo]]="EMPTY",0,BB7+IF(TbTradesBinance[[#This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Row],[Par]]))),$1:$1,0)),-(BA7-BA8)/BA7*BB7),0),0)+IF(TbTradesBinance[[#This Row],[Tipo]]="SELL",IF(ISNUMBER(FIND(MID(BB$1,10,5),TbTradesBinance[[#This Row],[Par]])),IF(FIND(MID(BB$1,10,5),TbTradesBinance[[#This Row],[Par]])=1, -(BA7-BA8)/BA7*BB7,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Row],[Par]])),(-(BA7-BA8)/BA7*BB7)+IF(TbTradesBinance[[#This Row],[Resultado]]&gt;0,0,TbTradesBinance[[#This Row],[Taxa]]),0),0))</f>
        <v>0</v>
      </c>
      <c r="BC8" s="145">
        <f t="shared" si="14"/>
        <v>0</v>
      </c>
      <c r="BD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Row],[Tipo]]="DROP"),BD7+TbTradesBinance[[#This Row],[Qtt]],BD7-TbTradesBinance[[#This Row],[Qtt]]),IF(TbTradesBinance[[#This Row],[Tipo]]="BUY",BD7-TbTradesBinance[[#This Row],[Qtt]]*TbTradesBinance[[#This Row],[Preço]],BD7+TbTradesBinance[[#This Row],[Qtt]]*TbTradesBinance[[#This Row],[Preço]])),BD7)-IF(TbTradesBinance[[#This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Row],[Tipo]]="DROP"),BD7+TbTradesBinance[[#This Row],[Qtt]],BD7-TbTradesBinance[[#This Row],[Qtt]]),IF(TbTradesBinance[[#This Row],[Tipo]]="BUY",BD7-TbTradesBinance[[#This Row],[Qtt]]*TbTradesBinance[[#This Row],[Preço]],BD7+TbTradesBinance[[#This Row],[Qtt]]*TbTradesBinance[[#This Row],[Preço]])),BD7)-IF(TbTradesBinance[[#This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Row],[Tipo]]="DROP"),BD7+TbTradesBinance[[#This Row],[Qtt]],BD7-TbTradesBinance[[#This Row],[Qtt]]),IF(TbTradesBinance[[#This Row],[Tipo]]="BUY",BD7-TbTradesBinance[[#This Row],[Qtt]]*TbTradesBinance[[#This Row],[Preço]],BD7+TbTradesBinance[[#This Row],[Qtt]]*TbTradesBinance[[#This Row],[Preço]])),BD7)-IF(TbTradesBinance[[#This Row],[Moeda da Taxa]]=MID(BD$1,9,5),TbTradesBinance[[#This Row],[Taxa]],0),8)))</f>
        <v>0</v>
      </c>
      <c r="BE8" s="145" cm="1">
        <f t="array" ref="BE8">IF(TbTradesBinance[[#This Row],[Tipo]]="EMPTY",0,BE7+IF(TbTradesBinance[[#This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Row],[Par]]))),$1:$1,0)),-(BD7-BD8)/BD7*BE7),0),0)+IF(TbTradesBinance[[#This Row],[Tipo]]="SELL",IF(ISNUMBER(FIND(MID(BE$1,10,5),TbTradesBinance[[#This Row],[Par]])),IF(FIND(MID(BE$1,10,5),TbTradesBinance[[#This Row],[Par]])=1, -(BD7-BD8)/BD7*BE7,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Row],[Par]])),(-(BD7-BD8)/BD7*BE7)+IF(TbTradesBinance[[#This Row],[Resultado]]&gt;0,0,TbTradesBinance[[#This Row],[Taxa]]),0),0))</f>
        <v>0</v>
      </c>
      <c r="BF8" s="145">
        <f t="shared" si="15"/>
        <v>0</v>
      </c>
      <c r="BG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Row],[Tipo]]="DROP"),BG7+TbTradesBinance[[#This Row],[Qtt]],BG7-TbTradesBinance[[#This Row],[Qtt]]),IF(TbTradesBinance[[#This Row],[Tipo]]="BUY",BG7-TbTradesBinance[[#This Row],[Qtt]]*TbTradesBinance[[#This Row],[Preço]],BG7+TbTradesBinance[[#This Row],[Qtt]]*TbTradesBinance[[#This Row],[Preço]])),BG7)-IF(TbTradesBinance[[#This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Row],[Tipo]]="DROP"),BG7+TbTradesBinance[[#This Row],[Qtt]],BG7-TbTradesBinance[[#This Row],[Qtt]]),IF(TbTradesBinance[[#This Row],[Tipo]]="BUY",BG7-TbTradesBinance[[#This Row],[Qtt]]*TbTradesBinance[[#This Row],[Preço]],BG7+TbTradesBinance[[#This Row],[Qtt]]*TbTradesBinance[[#This Row],[Preço]])),BG7)-IF(TbTradesBinance[[#This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Row],[Tipo]]="DROP"),BG7+TbTradesBinance[[#This Row],[Qtt]],BG7-TbTradesBinance[[#This Row],[Qtt]]),IF(TbTradesBinance[[#This Row],[Tipo]]="BUY",BG7-TbTradesBinance[[#This Row],[Qtt]]*TbTradesBinance[[#This Row],[Preço]],BG7+TbTradesBinance[[#This Row],[Qtt]]*TbTradesBinance[[#This Row],[Preço]])),BG7)-IF(TbTradesBinance[[#This Row],[Moeda da Taxa]]=MID(BG$1,9,5),TbTradesBinance[[#This Row],[Taxa]],0),8)))</f>
        <v>0</v>
      </c>
      <c r="BH8" s="145" cm="1">
        <f t="array" ref="BH8">IF(TbTradesBinance[[#This Row],[Tipo]]="EMPTY",0,BH7+IF(TbTradesBinance[[#This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Row],[Par]]))),$1:$1,0)),-(BG7-BG8)/BG7*BH7),0),0)+IF(TbTradesBinance[[#This Row],[Tipo]]="SELL",IF(ISNUMBER(FIND(MID(BH$1,10,5),TbTradesBinance[[#This Row],[Par]])),IF(FIND(MID(BH$1,10,5),TbTradesBinance[[#This Row],[Par]])=1, -(BG7-BG8)/BG7*BH7,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Row],[Par]])),(-(BG7-BG8)/BG7*BH7)+IF(TbTradesBinance[[#This Row],[Resultado]]&gt;0,0,TbTradesBinance[[#This Row],[Taxa]]),0),0))</f>
        <v>0</v>
      </c>
      <c r="BI8" s="145">
        <f t="shared" si="16"/>
        <v>0</v>
      </c>
      <c r="BJ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Row],[Tipo]]="DROP"),BJ7+TbTradesBinance[[#This Row],[Qtt]],BJ7-TbTradesBinance[[#This Row],[Qtt]]),IF(TbTradesBinance[[#This Row],[Tipo]]="BUY",BJ7-TbTradesBinance[[#This Row],[Qtt]]*TbTradesBinance[[#This Row],[Preço]],BJ7+TbTradesBinance[[#This Row],[Qtt]]*TbTradesBinance[[#This Row],[Preço]])),BJ7)-IF(TbTradesBinance[[#This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Row],[Tipo]]="DROP"),BJ7+TbTradesBinance[[#This Row],[Qtt]],BJ7-TbTradesBinance[[#This Row],[Qtt]]),IF(TbTradesBinance[[#This Row],[Tipo]]="BUY",BJ7-TbTradesBinance[[#This Row],[Qtt]]*TbTradesBinance[[#This Row],[Preço]],BJ7+TbTradesBinance[[#This Row],[Qtt]]*TbTradesBinance[[#This Row],[Preço]])),BJ7)-IF(TbTradesBinance[[#This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Row],[Tipo]]="DROP"),BJ7+TbTradesBinance[[#This Row],[Qtt]],BJ7-TbTradesBinance[[#This Row],[Qtt]]),IF(TbTradesBinance[[#This Row],[Tipo]]="BUY",BJ7-TbTradesBinance[[#This Row],[Qtt]]*TbTradesBinance[[#This Row],[Preço]],BJ7+TbTradesBinance[[#This Row],[Qtt]]*TbTradesBinance[[#This Row],[Preço]])),BJ7)-IF(TbTradesBinance[[#This Row],[Moeda da Taxa]]=MID(BJ$1,9,5),TbTradesBinance[[#This Row],[Taxa]],0),8)))</f>
        <v>0</v>
      </c>
      <c r="BK8" s="145" cm="1">
        <f t="array" ref="BK8">IF(TbTradesBinance[[#This Row],[Tipo]]="EMPTY",0,BK7+IF(TbTradesBinance[[#This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Row],[Par]]))),$1:$1,0)),-(BJ7-BJ8)/BJ7*BK7),0),0)+IF(TbTradesBinance[[#This Row],[Tipo]]="SELL",IF(ISNUMBER(FIND(MID(BK$1,10,5),TbTradesBinance[[#This Row],[Par]])),IF(FIND(MID(BK$1,10,5),TbTradesBinance[[#This Row],[Par]])=1, -(BJ7-BJ8)/BJ7*BK7,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Row],[Par]])),(-(BJ7-BJ8)/BJ7*BK7)+IF(TbTradesBinance[[#This Row],[Resultado]]&gt;0,0,TbTradesBinance[[#This Row],[Taxa]]),0),0))</f>
        <v>0</v>
      </c>
      <c r="BL8" s="145">
        <f t="shared" si="17"/>
        <v>0</v>
      </c>
      <c r="BM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Row],[Tipo]]="DROP"),BM7+TbTradesBinance[[#This Row],[Qtt]],BM7-TbTradesBinance[[#This Row],[Qtt]]),IF(TbTradesBinance[[#This Row],[Tipo]]="BUY",BM7-TbTradesBinance[[#This Row],[Qtt]]*TbTradesBinance[[#This Row],[Preço]],BM7+TbTradesBinance[[#This Row],[Qtt]]*TbTradesBinance[[#This Row],[Preço]])),BM7)-IF(TbTradesBinance[[#This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Row],[Tipo]]="DROP"),BM7+TbTradesBinance[[#This Row],[Qtt]],BM7-TbTradesBinance[[#This Row],[Qtt]]),IF(TbTradesBinance[[#This Row],[Tipo]]="BUY",BM7-TbTradesBinance[[#This Row],[Qtt]]*TbTradesBinance[[#This Row],[Preço]],BM7+TbTradesBinance[[#This Row],[Qtt]]*TbTradesBinance[[#This Row],[Preço]])),BM7)-IF(TbTradesBinance[[#This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Row],[Tipo]]="DROP"),BM7+TbTradesBinance[[#This Row],[Qtt]],BM7-TbTradesBinance[[#This Row],[Qtt]]),IF(TbTradesBinance[[#This Row],[Tipo]]="BUY",BM7-TbTradesBinance[[#This Row],[Qtt]]*TbTradesBinance[[#This Row],[Preço]],BM7+TbTradesBinance[[#This Row],[Qtt]]*TbTradesBinance[[#This Row],[Preço]])),BM7)-IF(TbTradesBinance[[#This Row],[Moeda da Taxa]]=MID(BM$1,9,5),TbTradesBinance[[#This Row],[Taxa]],0),8)))</f>
        <v>0</v>
      </c>
      <c r="BN8" s="145" cm="1">
        <f t="array" ref="BN8">IF(TbTradesBinance[[#This Row],[Tipo]]="EMPTY",0,BN7+IF(TbTradesBinance[[#This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Row],[Par]]))),$1:$1,0)),-(BM7-BM8)/BM7*BN7),0),0)+IF(TbTradesBinance[[#This Row],[Tipo]]="SELL",IF(ISNUMBER(FIND(MID(BN$1,10,5),TbTradesBinance[[#This Row],[Par]])),IF(FIND(MID(BN$1,10,5),TbTradesBinance[[#This Row],[Par]])=1, -(BM7-BM8)/BM7*BN7,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Row],[Par]])),(-(BM7-BM8)/BM7*BN7)+IF(TbTradesBinance[[#This Row],[Resultado]]&gt;0,0,TbTradesBinance[[#This Row],[Taxa]]),0),0))</f>
        <v>0</v>
      </c>
      <c r="BO8" s="145">
        <f t="shared" si="18"/>
        <v>0</v>
      </c>
    </row>
    <row r="9" spans="1:67" x14ac:dyDescent="0.3">
      <c r="B9" s="51"/>
      <c r="C9" s="40">
        <f>TRUNC(IF(AND(TbTradesBinance[[#This Row],[Tipo]]="SEND",TbTradesBinance[[#This Row],[Par]]="BRL"),TbTradesBinance[[#This Row],[Qtt]]*(1-P7)-IF(TbTradesBinance[[#This Row],[Moeda da Taxa]]="BRL",TbTradesBinance[[#This Row],[Taxa]],0),0)+IF(AND(TbTradesBinance[[#This Row],[Tipo]]="BURN",TbTradesBinance[[#This Row],[Par]]="BRL"),-TbTradesBinance[[#This Row],[Qtt]]*P7,0),2)</f>
        <v>0</v>
      </c>
      <c r="D9" s="53">
        <v>44249.501840277779</v>
      </c>
      <c r="E9" s="37" t="s">
        <v>138</v>
      </c>
      <c r="F9" s="47" t="s">
        <v>140</v>
      </c>
      <c r="G9" s="38">
        <v>302000</v>
      </c>
      <c r="H9" s="38">
        <v>3.3399999999999999E-4</v>
      </c>
      <c r="I9" s="38">
        <v>0</v>
      </c>
      <c r="J9" s="37" t="s">
        <v>50</v>
      </c>
      <c r="K9" s="52">
        <v>1</v>
      </c>
      <c r="L9" s="40">
        <f t="shared" si="0"/>
        <v>302000</v>
      </c>
      <c r="M9" s="40">
        <f>IF(OR(TbTradesBinance[[#This Row],[Tipo]]="BUY",TbTradesBinance[[#This Row],[Tipo]]="RECEIVE",TbTradesBinance[[#This Row],[Tipo]]="DROP"),L9*H9,-L9*H9)</f>
        <v>-100.86799999999999</v>
      </c>
      <c r="N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Row],[Tipo]]="DROP"),N8+TbTradesBinance[[#This Row],[Qtt]],N8-TbTradesBinance[[#This Row],[Qtt]]),IF(TbTradesBinance[[#This Row],[Tipo]]="BUY",N8-TbTradesBinance[[#This Row],[Qtt]]*TbTradesBinance[[#This Row],[Preço]],N8+TbTradesBinance[[#This Row],[Qtt]]*TbTradesBinance[[#This Row],[Preço]])),N8)-IF(TbTradesBinance[[#This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Row],[Tipo]]="DROP"),N8+TbTradesBinance[[#This Row],[Qtt]],N8-TbTradesBinance[[#This Row],[Qtt]]),IF(TbTradesBinance[[#This Row],[Tipo]]="BUY",N8-TbTradesBinance[[#This Row],[Qtt]]*TbTradesBinance[[#This Row],[Preço]],N8+TbTradesBinance[[#This Row],[Qtt]]*TbTradesBinance[[#This Row],[Preço]])),N8)-IF(TbTradesBinance[[#This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Row],[Tipo]]="DROP"),N8+TbTradesBinance[[#This Row],[Qtt]],N8-TbTradesBinance[[#This Row],[Qtt]]),IF(TbTradesBinance[[#This Row],[Tipo]]="BUY",N8-TbTradesBinance[[#This Row],[Qtt]]*TbTradesBinance[[#This Row],[Preço]],N8+TbTradesBinance[[#This Row],[Qtt]]*TbTradesBinance[[#This Row],[Preço]])),N8)-IF(TbTradesBinance[[#This Row],[Moeda da Taxa]]=MID(N$1,9,5),TbTradesBinance[[#This Row],[Taxa]],0),8)))</f>
        <v>20000.901561999999</v>
      </c>
      <c r="O9" s="145" cm="1">
        <f t="array" ref="O9">IF(TbTradesBinance[[#This Row],[Tipo]]="EMPTY",0,O8+IF(TbTradesBinance[[#This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Row],[Par]]))),$1:$1,0)),-(N8-N9)/N8*O8),0),0)+IF(TbTradesBinance[[#This Row],[Tipo]]="SELL",IF(ISNUMBER(FIND(MID(O$1,10,5),TbTradesBinance[[#This Row],[Par]])),IF(FIND(MID(O$1,10,5),TbTradesBinance[[#This Row],[Par]])=1, -(N8-N9)/N8*O8,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Row],[Par]])),(-(N8-N9)/N8*O8)+IF(TbTradesBinance[[#This Row],[Resultado]]&gt;0,0,TbTradesBinance[[#This Row],[Taxa]]),0),0))</f>
        <v>19964.608734339054</v>
      </c>
      <c r="P9" s="145">
        <f t="shared" si="1"/>
        <v>0.99818544041385115</v>
      </c>
      <c r="Q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Row],[Tipo]]="DROP"),Q8+TbTradesBinance[[#This Row],[Qtt]],Q8-TbTradesBinance[[#This Row],[Qtt]]),IF(TbTradesBinance[[#This Row],[Tipo]]="BUY",Q8-TbTradesBinance[[#This Row],[Qtt]]*TbTradesBinance[[#This Row],[Preço]],Q8+TbTradesBinance[[#This Row],[Qtt]]*TbTradesBinance[[#This Row],[Preço]])),Q8)-IF(TbTradesBinance[[#This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Row],[Tipo]]="DROP"),Q8+TbTradesBinance[[#This Row],[Qtt]],Q8-TbTradesBinance[[#This Row],[Qtt]]),IF(TbTradesBinance[[#This Row],[Tipo]]="BUY",Q8-TbTradesBinance[[#This Row],[Qtt]]*TbTradesBinance[[#This Row],[Preço]],Q8+TbTradesBinance[[#This Row],[Qtt]]*TbTradesBinance[[#This Row],[Preço]])),Q8)-IF(TbTradesBinance[[#This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Row],[Tipo]]="DROP"),Q8+TbTradesBinance[[#This Row],[Qtt]],Q8-TbTradesBinance[[#This Row],[Qtt]]),IF(TbTradesBinance[[#This Row],[Tipo]]="BUY",Q8-TbTradesBinance[[#This Row],[Qtt]]*TbTradesBinance[[#This Row],[Preço]],Q8+TbTradesBinance[[#This Row],[Qtt]]*TbTradesBinance[[#This Row],[Preço]])),Q8)-IF(TbTradesBinance[[#This Row],[Moeda da Taxa]]=MID(Q$1,9,5),TbTradesBinance[[#This Row],[Taxa]],0),8)))</f>
        <v>0</v>
      </c>
      <c r="R9" s="145" cm="1">
        <f t="array" ref="R9">IF(TbTradesBinance[[#This Row],[Tipo]]="EMPTY",0,R8+IF(TbTradesBinance[[#This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Row],[Par]]))),$1:$1,0)),-(Q8-Q9)/Q8*R8),0),0)+IF(TbTradesBinance[[#This Row],[Tipo]]="SELL",IF(ISNUMBER(FIND(MID(R$1,10,5),TbTradesBinance[[#This Row],[Par]])),IF(FIND(MID(R$1,10,5),TbTradesBinance[[#This Row],[Par]])=1, -(Q8-Q9)/Q8*R8,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Row],[Par]])),(-(Q8-Q9)/Q8*R8)+IF(TbTradesBinance[[#This Row],[Resultado]]&gt;0,0,TbTradesBinance[[#This Row],[Taxa]]),0),0))</f>
        <v>0</v>
      </c>
      <c r="S9" s="145">
        <f t="shared" si="2"/>
        <v>0</v>
      </c>
      <c r="T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Row],[Tipo]]="DROP"),T8+TbTradesBinance[[#This Row],[Qtt]],T8-TbTradesBinance[[#This Row],[Qtt]]),IF(TbTradesBinance[[#This Row],[Tipo]]="BUY",T8-TbTradesBinance[[#This Row],[Qtt]]*TbTradesBinance[[#This Row],[Preço]],T8+TbTradesBinance[[#This Row],[Qtt]]*TbTradesBinance[[#This Row],[Preço]])),T8)-IF(TbTradesBinance[[#This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Row],[Tipo]]="DROP"),T8+TbTradesBinance[[#This Row],[Qtt]],T8-TbTradesBinance[[#This Row],[Qtt]]),IF(TbTradesBinance[[#This Row],[Tipo]]="BUY",T8-TbTradesBinance[[#This Row],[Qtt]]*TbTradesBinance[[#This Row],[Preço]],T8+TbTradesBinance[[#This Row],[Qtt]]*TbTradesBinance[[#This Row],[Preço]])),T8)-IF(TbTradesBinance[[#This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Row],[Tipo]]="DROP"),T8+TbTradesBinance[[#This Row],[Qtt]],T8-TbTradesBinance[[#This Row],[Qtt]]),IF(TbTradesBinance[[#This Row],[Tipo]]="BUY",T8-TbTradesBinance[[#This Row],[Qtt]]*TbTradesBinance[[#This Row],[Preço]],T8+TbTradesBinance[[#This Row],[Qtt]]*TbTradesBinance[[#This Row],[Preço]])),T8)-IF(TbTradesBinance[[#This Row],[Moeda da Taxa]]=MID(T$1,9,5),TbTradesBinance[[#This Row],[Taxa]],0),8)))</f>
        <v>0</v>
      </c>
      <c r="U9" s="145" cm="1">
        <f t="array" ref="U9">IF(TbTradesBinance[[#This Row],[Tipo]]="EMPTY",0,U8+IF(TbTradesBinance[[#This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Row],[Par]]))),$1:$1,0)),-(T8-T9)/T8*U8),0),0)+IF(TbTradesBinance[[#This Row],[Tipo]]="SELL",IF(ISNUMBER(FIND(MID(U$1,10,5),TbTradesBinance[[#This Row],[Par]])),IF(FIND(MID(U$1,10,5),TbTradesBinance[[#This Row],[Par]])=1, -(T8-T9)/T8*U8,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Row],[Par]])),(-(T8-T9)/T8*U8)+IF(TbTradesBinance[[#This Row],[Resultado]]&gt;0,0,TbTradesBinance[[#This Row],[Taxa]]),0),0))</f>
        <v>0</v>
      </c>
      <c r="V9" s="145">
        <f t="shared" si="3"/>
        <v>0</v>
      </c>
      <c r="W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Row],[Tipo]]="DROP"),W8+TbTradesBinance[[#This Row],[Qtt]],W8-TbTradesBinance[[#This Row],[Qtt]]),IF(TbTradesBinance[[#This Row],[Tipo]]="BUY",W8-TbTradesBinance[[#This Row],[Qtt]]*TbTradesBinance[[#This Row],[Preço]],W8+TbTradesBinance[[#This Row],[Qtt]]*TbTradesBinance[[#This Row],[Preço]])),W8)-IF(TbTradesBinance[[#This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Row],[Tipo]]="DROP"),W8+TbTradesBinance[[#This Row],[Qtt]],W8-TbTradesBinance[[#This Row],[Qtt]]),IF(TbTradesBinance[[#This Row],[Tipo]]="BUY",W8-TbTradesBinance[[#This Row],[Qtt]]*TbTradesBinance[[#This Row],[Preço]],W8+TbTradesBinance[[#This Row],[Qtt]]*TbTradesBinance[[#This Row],[Preço]])),W8)-IF(TbTradesBinance[[#This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Row],[Tipo]]="DROP"),W8+TbTradesBinance[[#This Row],[Qtt]],W8-TbTradesBinance[[#This Row],[Qtt]]),IF(TbTradesBinance[[#This Row],[Tipo]]="BUY",W8-TbTradesBinance[[#This Row],[Qtt]]*TbTradesBinance[[#This Row],[Preço]],W8+TbTradesBinance[[#This Row],[Qtt]]*TbTradesBinance[[#This Row],[Preço]])),W8)-IF(TbTradesBinance[[#This Row],[Moeda da Taxa]]=MID(W$1,9,5),TbTradesBinance[[#This Row],[Taxa]],0),8)))</f>
        <v>1.4300000000000001E-4</v>
      </c>
      <c r="X9" s="145" cm="1">
        <f t="array" ref="X9">IF(TbTradesBinance[[#This Row],[Tipo]]="EMPTY",0,X8+IF(TbTradesBinance[[#This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Row],[Par]]))),$1:$1,0)),-(W8-W9)/W8*X8),0),0)+IF(TbTradesBinance[[#This Row],[Tipo]]="SELL",IF(ISNUMBER(FIND(MID(X$1,10,5),TbTradesBinance[[#This Row],[Par]])),IF(FIND(MID(X$1,10,5),TbTradesBinance[[#This Row],[Par]])=1, -(W8-W9)/W8*X8,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Row],[Par]])),(-(W8-W9)/W8*X8)+IF(TbTradesBinance[[#This Row],[Resultado]]&gt;0,0,TbTradesBinance[[#This Row],[Taxa]]),0),0))</f>
        <v>35.391265660945066</v>
      </c>
      <c r="Y9" s="145">
        <f t="shared" si="4"/>
        <v>247491.36825835711</v>
      </c>
      <c r="Z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Row],[Tipo]]="DROP"),Z8+TbTradesBinance[[#This Row],[Qtt]],Z8-TbTradesBinance[[#This Row],[Qtt]]),IF(TbTradesBinance[[#This Row],[Tipo]]="BUY",Z8-TbTradesBinance[[#This Row],[Qtt]]*TbTradesBinance[[#This Row],[Preço]],Z8+TbTradesBinance[[#This Row],[Qtt]]*TbTradesBinance[[#This Row],[Preço]])),Z8)-IF(TbTradesBinance[[#This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Row],[Tipo]]="DROP"),Z8+TbTradesBinance[[#This Row],[Qtt]],Z8-TbTradesBinance[[#This Row],[Qtt]]),IF(TbTradesBinance[[#This Row],[Tipo]]="BUY",Z8-TbTradesBinance[[#This Row],[Qtt]]*TbTradesBinance[[#This Row],[Preço]],Z8+TbTradesBinance[[#This Row],[Qtt]]*TbTradesBinance[[#This Row],[Preço]])),Z8)-IF(TbTradesBinance[[#This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Row],[Tipo]]="DROP"),Z8+TbTradesBinance[[#This Row],[Qtt]],Z8-TbTradesBinance[[#This Row],[Qtt]]),IF(TbTradesBinance[[#This Row],[Tipo]]="BUY",Z8-TbTradesBinance[[#This Row],[Qtt]]*TbTradesBinance[[#This Row],[Preço]],Z8+TbTradesBinance[[#This Row],[Qtt]]*TbTradesBinance[[#This Row],[Preço]])),Z8)-IF(TbTradesBinance[[#This Row],[Moeda da Taxa]]=MID(Z$1,9,5),TbTradesBinance[[#This Row],[Taxa]],0),8)))</f>
        <v>0</v>
      </c>
      <c r="AA9" s="145" cm="1">
        <f t="array" ref="AA9">IF(TbTradesBinance[[#This Row],[Tipo]]="EMPTY",0,AA8+IF(TbTradesBinance[[#This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Row],[Par]]))),$1:$1,0)),-(Z8-Z9)/Z8*AA8),0),0)+IF(TbTradesBinance[[#This Row],[Tipo]]="SELL",IF(ISNUMBER(FIND(MID(AA$1,10,5),TbTradesBinance[[#This Row],[Par]])),IF(FIND(MID(AA$1,10,5),TbTradesBinance[[#This Row],[Par]])=1, -(Z8-Z9)/Z8*AA8,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Row],[Par]])),(-(Z8-Z9)/Z8*AA8)+IF(TbTradesBinance[[#This Row],[Resultado]]&gt;0,0,TbTradesBinance[[#This Row],[Taxa]]),0),0))</f>
        <v>0</v>
      </c>
      <c r="AB9" s="145">
        <f t="shared" si="5"/>
        <v>0</v>
      </c>
      <c r="AC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Row],[Tipo]]="DROP"),AC8+TbTradesBinance[[#This Row],[Qtt]],AC8-TbTradesBinance[[#This Row],[Qtt]]),IF(TbTradesBinance[[#This Row],[Tipo]]="BUY",AC8-TbTradesBinance[[#This Row],[Qtt]]*TbTradesBinance[[#This Row],[Preço]],AC8+TbTradesBinance[[#This Row],[Qtt]]*TbTradesBinance[[#This Row],[Preço]])),AC8)-IF(TbTradesBinance[[#This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Row],[Tipo]]="DROP"),AC8+TbTradesBinance[[#This Row],[Qtt]],AC8-TbTradesBinance[[#This Row],[Qtt]]),IF(TbTradesBinance[[#This Row],[Tipo]]="BUY",AC8-TbTradesBinance[[#This Row],[Qtt]]*TbTradesBinance[[#This Row],[Preço]],AC8+TbTradesBinance[[#This Row],[Qtt]]*TbTradesBinance[[#This Row],[Preço]])),AC8)-IF(TbTradesBinance[[#This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Row],[Tipo]]="DROP"),AC8+TbTradesBinance[[#This Row],[Qtt]],AC8-TbTradesBinance[[#This Row],[Qtt]]),IF(TbTradesBinance[[#This Row],[Tipo]]="BUY",AC8-TbTradesBinance[[#This Row],[Qtt]]*TbTradesBinance[[#This Row],[Preço]],AC8+TbTradesBinance[[#This Row],[Qtt]]*TbTradesBinance[[#This Row],[Preço]])),AC8)-IF(TbTradesBinance[[#This Row],[Moeda da Taxa]]=MID(AC$1,9,5),TbTradesBinance[[#This Row],[Taxa]],0),8)))</f>
        <v>0</v>
      </c>
      <c r="AD9" s="145" cm="1">
        <f t="array" ref="AD9">IF(TbTradesBinance[[#This Row],[Tipo]]="EMPTY",0,AD8+IF(TbTradesBinance[[#This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Row],[Par]]))),$1:$1,0)),-(AC8-AC9)/AC8*AD8),0),0)+IF(TbTradesBinance[[#This Row],[Tipo]]="SELL",IF(ISNUMBER(FIND(MID(AD$1,10,5),TbTradesBinance[[#This Row],[Par]])),IF(FIND(MID(AD$1,10,5),TbTradesBinance[[#This Row],[Par]])=1, -(AC8-AC9)/AC8*AD8,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Row],[Par]])),(-(AC8-AC9)/AC8*AD8)+IF(TbTradesBinance[[#This Row],[Resultado]]&gt;0,0,TbTradesBinance[[#This Row],[Taxa]]),0),0))</f>
        <v>0</v>
      </c>
      <c r="AE9" s="145">
        <f t="shared" si="6"/>
        <v>0</v>
      </c>
      <c r="AF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Row],[Tipo]]="DROP"),AF8+TbTradesBinance[[#This Row],[Qtt]],AF8-TbTradesBinance[[#This Row],[Qtt]]),IF(TbTradesBinance[[#This Row],[Tipo]]="BUY",AF8-TbTradesBinance[[#This Row],[Qtt]]*TbTradesBinance[[#This Row],[Preço]],AF8+TbTradesBinance[[#This Row],[Qtt]]*TbTradesBinance[[#This Row],[Preço]])),AF8)-IF(TbTradesBinance[[#This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Row],[Tipo]]="DROP"),AF8+TbTradesBinance[[#This Row],[Qtt]],AF8-TbTradesBinance[[#This Row],[Qtt]]),IF(TbTradesBinance[[#This Row],[Tipo]]="BUY",AF8-TbTradesBinance[[#This Row],[Qtt]]*TbTradesBinance[[#This Row],[Preço]],AF8+TbTradesBinance[[#This Row],[Qtt]]*TbTradesBinance[[#This Row],[Preço]])),AF8)-IF(TbTradesBinance[[#This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Row],[Tipo]]="DROP"),AF8+TbTradesBinance[[#This Row],[Qtt]],AF8-TbTradesBinance[[#This Row],[Qtt]]),IF(TbTradesBinance[[#This Row],[Tipo]]="BUY",AF8-TbTradesBinance[[#This Row],[Qtt]]*TbTradesBinance[[#This Row],[Preço]],AF8+TbTradesBinance[[#This Row],[Qtt]]*TbTradesBinance[[#This Row],[Preço]])),AF8)-IF(TbTradesBinance[[#This Row],[Moeda da Taxa]]=MID(AF$1,9,5),TbTradesBinance[[#This Row],[Taxa]],0),8)))</f>
        <v>0</v>
      </c>
      <c r="AG9" s="145" cm="1">
        <f t="array" ref="AG9">IF(TbTradesBinance[[#This Row],[Tipo]]="EMPTY",0,AG8+IF(TbTradesBinance[[#This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Row],[Par]]))),$1:$1,0)),-(AF8-AF9)/AF8*AG8),0),0)+IF(TbTradesBinance[[#This Row],[Tipo]]="SELL",IF(ISNUMBER(FIND(MID(AG$1,10,5),TbTradesBinance[[#This Row],[Par]])),IF(FIND(MID(AG$1,10,5),TbTradesBinance[[#This Row],[Par]])=1, -(AF8-AF9)/AF8*AG8,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Row],[Par]])),(-(AF8-AF9)/AF8*AG8)+IF(TbTradesBinance[[#This Row],[Resultado]]&gt;0,0,TbTradesBinance[[#This Row],[Taxa]]),0),0))</f>
        <v>0</v>
      </c>
      <c r="AH9" s="145">
        <f t="shared" si="7"/>
        <v>0</v>
      </c>
      <c r="AI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Row],[Tipo]]="DROP"),AI8+TbTradesBinance[[#This Row],[Qtt]],AI8-TbTradesBinance[[#This Row],[Qtt]]),IF(TbTradesBinance[[#This Row],[Tipo]]="BUY",AI8-TbTradesBinance[[#This Row],[Qtt]]*TbTradesBinance[[#This Row],[Preço]],AI8+TbTradesBinance[[#This Row],[Qtt]]*TbTradesBinance[[#This Row],[Preço]])),AI8)-IF(TbTradesBinance[[#This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Row],[Tipo]]="DROP"),AI8+TbTradesBinance[[#This Row],[Qtt]],AI8-TbTradesBinance[[#This Row],[Qtt]]),IF(TbTradesBinance[[#This Row],[Tipo]]="BUY",AI8-TbTradesBinance[[#This Row],[Qtt]]*TbTradesBinance[[#This Row],[Preço]],AI8+TbTradesBinance[[#This Row],[Qtt]]*TbTradesBinance[[#This Row],[Preço]])),AI8)-IF(TbTradesBinance[[#This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Row],[Tipo]]="DROP"),AI8+TbTradesBinance[[#This Row],[Qtt]],AI8-TbTradesBinance[[#This Row],[Qtt]]),IF(TbTradesBinance[[#This Row],[Tipo]]="BUY",AI8-TbTradesBinance[[#This Row],[Qtt]]*TbTradesBinance[[#This Row],[Preço]],AI8+TbTradesBinance[[#This Row],[Qtt]]*TbTradesBinance[[#This Row],[Preço]])),AI8)-IF(TbTradesBinance[[#This Row],[Moeda da Taxa]]=MID(AI$1,9,5),TbTradesBinance[[#This Row],[Taxa]],0),8)))</f>
        <v>0</v>
      </c>
      <c r="AJ9" s="145" cm="1">
        <f t="array" ref="AJ9">IF(TbTradesBinance[[#This Row],[Tipo]]="EMPTY",0,AJ8+IF(TbTradesBinance[[#This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Row],[Par]]))),$1:$1,0)),-(AI8-AI9)/AI8*AJ8),0),0)+IF(TbTradesBinance[[#This Row],[Tipo]]="SELL",IF(ISNUMBER(FIND(MID(AJ$1,10,5),TbTradesBinance[[#This Row],[Par]])),IF(FIND(MID(AJ$1,10,5),TbTradesBinance[[#This Row],[Par]])=1, -(AI8-AI9)/AI8*AJ8,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Row],[Par]])),(-(AI8-AI9)/AI8*AJ8)+IF(TbTradesBinance[[#This Row],[Resultado]]&gt;0,0,TbTradesBinance[[#This Row],[Taxa]]),0),0))</f>
        <v>0</v>
      </c>
      <c r="AK9" s="145">
        <f t="shared" si="8"/>
        <v>0</v>
      </c>
      <c r="AL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Row],[Tipo]]="DROP"),AL8+TbTradesBinance[[#This Row],[Qtt]],AL8-TbTradesBinance[[#This Row],[Qtt]]),IF(TbTradesBinance[[#This Row],[Tipo]]="BUY",AL8-TbTradesBinance[[#This Row],[Qtt]]*TbTradesBinance[[#This Row],[Preço]],AL8+TbTradesBinance[[#This Row],[Qtt]]*TbTradesBinance[[#This Row],[Preço]])),AL8)-IF(TbTradesBinance[[#This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Row],[Tipo]]="DROP"),AL8+TbTradesBinance[[#This Row],[Qtt]],AL8-TbTradesBinance[[#This Row],[Qtt]]),IF(TbTradesBinance[[#This Row],[Tipo]]="BUY",AL8-TbTradesBinance[[#This Row],[Qtt]]*TbTradesBinance[[#This Row],[Preço]],AL8+TbTradesBinance[[#This Row],[Qtt]]*TbTradesBinance[[#This Row],[Preço]])),AL8)-IF(TbTradesBinance[[#This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Row],[Tipo]]="DROP"),AL8+TbTradesBinance[[#This Row],[Qtt]],AL8-TbTradesBinance[[#This Row],[Qtt]]),IF(TbTradesBinance[[#This Row],[Tipo]]="BUY",AL8-TbTradesBinance[[#This Row],[Qtt]]*TbTradesBinance[[#This Row],[Preço]],AL8+TbTradesBinance[[#This Row],[Qtt]]*TbTradesBinance[[#This Row],[Preço]])),AL8)-IF(TbTradesBinance[[#This Row],[Moeda da Taxa]]=MID(AL$1,9,5),TbTradesBinance[[#This Row],[Taxa]],0),8)))</f>
        <v>0</v>
      </c>
      <c r="AM9" s="145" cm="1">
        <f t="array" ref="AM9">IF(TbTradesBinance[[#This Row],[Tipo]]="EMPTY",0,AM8+IF(TbTradesBinance[[#This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Row],[Par]]))),$1:$1,0)),-(AL8-AL9)/AL8*AM8),0),0)+IF(TbTradesBinance[[#This Row],[Tipo]]="SELL",IF(ISNUMBER(FIND(MID(AM$1,10,5),TbTradesBinance[[#This Row],[Par]])),IF(FIND(MID(AM$1,10,5),TbTradesBinance[[#This Row],[Par]])=1, -(AL8-AL9)/AL8*AM8,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Row],[Par]])),(-(AL8-AL9)/AL8*AM8)+IF(TbTradesBinance[[#This Row],[Resultado]]&gt;0,0,TbTradesBinance[[#This Row],[Taxa]]),0),0))</f>
        <v>0</v>
      </c>
      <c r="AN9" s="145">
        <f t="shared" si="9"/>
        <v>0</v>
      </c>
      <c r="AO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Row],[Tipo]]="DROP"),AO8+TbTradesBinance[[#This Row],[Qtt]],AO8-TbTradesBinance[[#This Row],[Qtt]]),IF(TbTradesBinance[[#This Row],[Tipo]]="BUY",AO8-TbTradesBinance[[#This Row],[Qtt]]*TbTradesBinance[[#This Row],[Preço]],AO8+TbTradesBinance[[#This Row],[Qtt]]*TbTradesBinance[[#This Row],[Preço]])),AO8)-IF(TbTradesBinance[[#This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Row],[Tipo]]="DROP"),AO8+TbTradesBinance[[#This Row],[Qtt]],AO8-TbTradesBinance[[#This Row],[Qtt]]),IF(TbTradesBinance[[#This Row],[Tipo]]="BUY",AO8-TbTradesBinance[[#This Row],[Qtt]]*TbTradesBinance[[#This Row],[Preço]],AO8+TbTradesBinance[[#This Row],[Qtt]]*TbTradesBinance[[#This Row],[Preço]])),AO8)-IF(TbTradesBinance[[#This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Row],[Tipo]]="DROP"),AO8+TbTradesBinance[[#This Row],[Qtt]],AO8-TbTradesBinance[[#This Row],[Qtt]]),IF(TbTradesBinance[[#This Row],[Tipo]]="BUY",AO8-TbTradesBinance[[#This Row],[Qtt]]*TbTradesBinance[[#This Row],[Preço]],AO8+TbTradesBinance[[#This Row],[Qtt]]*TbTradesBinance[[#This Row],[Preço]])),AO8)-IF(TbTradesBinance[[#This Row],[Moeda da Taxa]]=MID(AO$1,9,5),TbTradesBinance[[#This Row],[Taxa]],0),8)))</f>
        <v>0</v>
      </c>
      <c r="AP9" s="145" cm="1">
        <f t="array" ref="AP9">IF(TbTradesBinance[[#This Row],[Tipo]]="EMPTY",0,AP8+IF(TbTradesBinance[[#This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Row],[Par]]))),$1:$1,0)),-(AO8-AO9)/AO8*AP8),0),0)+IF(TbTradesBinance[[#This Row],[Tipo]]="SELL",IF(ISNUMBER(FIND(MID(AP$1,10,5),TbTradesBinance[[#This Row],[Par]])),IF(FIND(MID(AP$1,10,5),TbTradesBinance[[#This Row],[Par]])=1, -(AO8-AO9)/AO8*AP8,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Row],[Par]])),(-(AO8-AO9)/AO8*AP8)+IF(TbTradesBinance[[#This Row],[Resultado]]&gt;0,0,TbTradesBinance[[#This Row],[Taxa]]),0),0))</f>
        <v>0</v>
      </c>
      <c r="AQ9" s="145">
        <f t="shared" si="10"/>
        <v>0</v>
      </c>
      <c r="AR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Row],[Tipo]]="DROP"),AR8+TbTradesBinance[[#This Row],[Qtt]],AR8-TbTradesBinance[[#This Row],[Qtt]]),IF(TbTradesBinance[[#This Row],[Tipo]]="BUY",AR8-TbTradesBinance[[#This Row],[Qtt]]*TbTradesBinance[[#This Row],[Preço]],AR8+TbTradesBinance[[#This Row],[Qtt]]*TbTradesBinance[[#This Row],[Preço]])),AR8)-IF(TbTradesBinance[[#This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Row],[Tipo]]="DROP"),AR8+TbTradesBinance[[#This Row],[Qtt]],AR8-TbTradesBinance[[#This Row],[Qtt]]),IF(TbTradesBinance[[#This Row],[Tipo]]="BUY",AR8-TbTradesBinance[[#This Row],[Qtt]]*TbTradesBinance[[#This Row],[Preço]],AR8+TbTradesBinance[[#This Row],[Qtt]]*TbTradesBinance[[#This Row],[Preço]])),AR8)-IF(TbTradesBinance[[#This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Row],[Tipo]]="DROP"),AR8+TbTradesBinance[[#This Row],[Qtt]],AR8-TbTradesBinance[[#This Row],[Qtt]]),IF(TbTradesBinance[[#This Row],[Tipo]]="BUY",AR8-TbTradesBinance[[#This Row],[Qtt]]*TbTradesBinance[[#This Row],[Preço]],AR8+TbTradesBinance[[#This Row],[Qtt]]*TbTradesBinance[[#This Row],[Preço]])),AR8)-IF(TbTradesBinance[[#This Row],[Moeda da Taxa]]=MID(AR$1,9,5),TbTradesBinance[[#This Row],[Taxa]],0),8)))</f>
        <v>0</v>
      </c>
      <c r="AS9" s="145" cm="1">
        <f t="array" ref="AS9">IF(TbTradesBinance[[#This Row],[Tipo]]="EMPTY",0,AS8+IF(TbTradesBinance[[#This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Row],[Par]]))),$1:$1,0)),-(AR8-AR9)/AR8*AS8),0),0)+IF(TbTradesBinance[[#This Row],[Tipo]]="SELL",IF(ISNUMBER(FIND(MID(AS$1,10,5),TbTradesBinance[[#This Row],[Par]])),IF(FIND(MID(AS$1,10,5),TbTradesBinance[[#This Row],[Par]])=1, -(AR8-AR9)/AR8*AS8,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Row],[Par]])),(-(AR8-AR9)/AR8*AS8)+IF(TbTradesBinance[[#This Row],[Resultado]]&gt;0,0,TbTradesBinance[[#This Row],[Taxa]]),0),0))</f>
        <v>0</v>
      </c>
      <c r="AT9" s="145">
        <f t="shared" si="11"/>
        <v>0</v>
      </c>
      <c r="AU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Row],[Tipo]]="DROP"),AU8+TbTradesBinance[[#This Row],[Qtt]],AU8-TbTradesBinance[[#This Row],[Qtt]]),IF(TbTradesBinance[[#This Row],[Tipo]]="BUY",AU8-TbTradesBinance[[#This Row],[Qtt]]*TbTradesBinance[[#This Row],[Preço]],AU8+TbTradesBinance[[#This Row],[Qtt]]*TbTradesBinance[[#This Row],[Preço]])),AU8)-IF(TbTradesBinance[[#This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Row],[Tipo]]="DROP"),AU8+TbTradesBinance[[#This Row],[Qtt]],AU8-TbTradesBinance[[#This Row],[Qtt]]),IF(TbTradesBinance[[#This Row],[Tipo]]="BUY",AU8-TbTradesBinance[[#This Row],[Qtt]]*TbTradesBinance[[#This Row],[Preço]],AU8+TbTradesBinance[[#This Row],[Qtt]]*TbTradesBinance[[#This Row],[Preço]])),AU8)-IF(TbTradesBinance[[#This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Row],[Tipo]]="DROP"),AU8+TbTradesBinance[[#This Row],[Qtt]],AU8-TbTradesBinance[[#This Row],[Qtt]]),IF(TbTradesBinance[[#This Row],[Tipo]]="BUY",AU8-TbTradesBinance[[#This Row],[Qtt]]*TbTradesBinance[[#This Row],[Preço]],AU8+TbTradesBinance[[#This Row],[Qtt]]*TbTradesBinance[[#This Row],[Preço]])),AU8)-IF(TbTradesBinance[[#This Row],[Moeda da Taxa]]=MID(AU$1,9,5),TbTradesBinance[[#This Row],[Taxa]],0),8)))</f>
        <v>0</v>
      </c>
      <c r="AV9" s="145" cm="1">
        <f t="array" ref="AV9">IF(TbTradesBinance[[#This Row],[Tipo]]="EMPTY",0,AV8+IF(TbTradesBinance[[#This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Row],[Par]]))),$1:$1,0)),-(AU8-AU9)/AU8*AV8),0),0)+IF(TbTradesBinance[[#This Row],[Tipo]]="SELL",IF(ISNUMBER(FIND(MID(AV$1,10,5),TbTradesBinance[[#This Row],[Par]])),IF(FIND(MID(AV$1,10,5),TbTradesBinance[[#This Row],[Par]])=1, -(AU8-AU9)/AU8*AV8,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Row],[Par]])),(-(AU8-AU9)/AU8*AV8)+IF(TbTradesBinance[[#This Row],[Resultado]]&gt;0,0,TbTradesBinance[[#This Row],[Taxa]]),0),0))</f>
        <v>0</v>
      </c>
      <c r="AW9" s="145">
        <f t="shared" si="12"/>
        <v>0</v>
      </c>
      <c r="AX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Row],[Tipo]]="DROP"),AX8+TbTradesBinance[[#This Row],[Qtt]],AX8-TbTradesBinance[[#This Row],[Qtt]]),IF(TbTradesBinance[[#This Row],[Tipo]]="BUY",AX8-TbTradesBinance[[#This Row],[Qtt]]*TbTradesBinance[[#This Row],[Preço]],AX8+TbTradesBinance[[#This Row],[Qtt]]*TbTradesBinance[[#This Row],[Preço]])),AX8)-IF(TbTradesBinance[[#This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Row],[Tipo]]="DROP"),AX8+TbTradesBinance[[#This Row],[Qtt]],AX8-TbTradesBinance[[#This Row],[Qtt]]),IF(TbTradesBinance[[#This Row],[Tipo]]="BUY",AX8-TbTradesBinance[[#This Row],[Qtt]]*TbTradesBinance[[#This Row],[Preço]],AX8+TbTradesBinance[[#This Row],[Qtt]]*TbTradesBinance[[#This Row],[Preço]])),AX8)-IF(TbTradesBinance[[#This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Row],[Tipo]]="DROP"),AX8+TbTradesBinance[[#This Row],[Qtt]],AX8-TbTradesBinance[[#This Row],[Qtt]]),IF(TbTradesBinance[[#This Row],[Tipo]]="BUY",AX8-TbTradesBinance[[#This Row],[Qtt]]*TbTradesBinance[[#This Row],[Preço]],AX8+TbTradesBinance[[#This Row],[Qtt]]*TbTradesBinance[[#This Row],[Preço]])),AX8)-IF(TbTradesBinance[[#This Row],[Moeda da Taxa]]=MID(AX$1,9,5),TbTradesBinance[[#This Row],[Taxa]],0),8)))</f>
        <v>0</v>
      </c>
      <c r="AY9" s="145" cm="1">
        <f t="array" ref="AY9">IF(TbTradesBinance[[#This Row],[Tipo]]="EMPTY",0,AY8+IF(TbTradesBinance[[#This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Row],[Par]]))),$1:$1,0)),-(AX8-AX9)/AX8*AY8),0),0)+IF(TbTradesBinance[[#This Row],[Tipo]]="SELL",IF(ISNUMBER(FIND(MID(AY$1,10,5),TbTradesBinance[[#This Row],[Par]])),IF(FIND(MID(AY$1,10,5),TbTradesBinance[[#This Row],[Par]])=1, -(AX8-AX9)/AX8*AY8,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Row],[Par]])),(-(AX8-AX9)/AX8*AY8)+IF(TbTradesBinance[[#This Row],[Resultado]]&gt;0,0,TbTradesBinance[[#This Row],[Taxa]]),0),0))</f>
        <v>0</v>
      </c>
      <c r="AZ9" s="145">
        <f t="shared" si="13"/>
        <v>0</v>
      </c>
      <c r="BA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Row],[Tipo]]="DROP"),BA8+TbTradesBinance[[#This Row],[Qtt]],BA8-TbTradesBinance[[#This Row],[Qtt]]),IF(TbTradesBinance[[#This Row],[Tipo]]="BUY",BA8-TbTradesBinance[[#This Row],[Qtt]]*TbTradesBinance[[#This Row],[Preço]],BA8+TbTradesBinance[[#This Row],[Qtt]]*TbTradesBinance[[#This Row],[Preço]])),BA8)-IF(TbTradesBinance[[#This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Row],[Tipo]]="DROP"),BA8+TbTradesBinance[[#This Row],[Qtt]],BA8-TbTradesBinance[[#This Row],[Qtt]]),IF(TbTradesBinance[[#This Row],[Tipo]]="BUY",BA8-TbTradesBinance[[#This Row],[Qtt]]*TbTradesBinance[[#This Row],[Preço]],BA8+TbTradesBinance[[#This Row],[Qtt]]*TbTradesBinance[[#This Row],[Preço]])),BA8)-IF(TbTradesBinance[[#This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Row],[Tipo]]="DROP"),BA8+TbTradesBinance[[#This Row],[Qtt]],BA8-TbTradesBinance[[#This Row],[Qtt]]),IF(TbTradesBinance[[#This Row],[Tipo]]="BUY",BA8-TbTradesBinance[[#This Row],[Qtt]]*TbTradesBinance[[#This Row],[Preço]],BA8+TbTradesBinance[[#This Row],[Qtt]]*TbTradesBinance[[#This Row],[Preço]])),BA8)-IF(TbTradesBinance[[#This Row],[Moeda da Taxa]]=MID(BA$1,9,5),TbTradesBinance[[#This Row],[Taxa]],0),8)))</f>
        <v>0</v>
      </c>
      <c r="BB9" s="145" cm="1">
        <f t="array" ref="BB9">IF(TbTradesBinance[[#This Row],[Tipo]]="EMPTY",0,BB8+IF(TbTradesBinance[[#This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Row],[Par]]))),$1:$1,0)),-(BA8-BA9)/BA8*BB8),0),0)+IF(TbTradesBinance[[#This Row],[Tipo]]="SELL",IF(ISNUMBER(FIND(MID(BB$1,10,5),TbTradesBinance[[#This Row],[Par]])),IF(FIND(MID(BB$1,10,5),TbTradesBinance[[#This Row],[Par]])=1, -(BA8-BA9)/BA8*BB8,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Row],[Par]])),(-(BA8-BA9)/BA8*BB8)+IF(TbTradesBinance[[#This Row],[Resultado]]&gt;0,0,TbTradesBinance[[#This Row],[Taxa]]),0),0))</f>
        <v>0</v>
      </c>
      <c r="BC9" s="145">
        <f t="shared" si="14"/>
        <v>0</v>
      </c>
      <c r="BD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Row],[Tipo]]="DROP"),BD8+TbTradesBinance[[#This Row],[Qtt]],BD8-TbTradesBinance[[#This Row],[Qtt]]),IF(TbTradesBinance[[#This Row],[Tipo]]="BUY",BD8-TbTradesBinance[[#This Row],[Qtt]]*TbTradesBinance[[#This Row],[Preço]],BD8+TbTradesBinance[[#This Row],[Qtt]]*TbTradesBinance[[#This Row],[Preço]])),BD8)-IF(TbTradesBinance[[#This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Row],[Tipo]]="DROP"),BD8+TbTradesBinance[[#This Row],[Qtt]],BD8-TbTradesBinance[[#This Row],[Qtt]]),IF(TbTradesBinance[[#This Row],[Tipo]]="BUY",BD8-TbTradesBinance[[#This Row],[Qtt]]*TbTradesBinance[[#This Row],[Preço]],BD8+TbTradesBinance[[#This Row],[Qtt]]*TbTradesBinance[[#This Row],[Preço]])),BD8)-IF(TbTradesBinance[[#This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Row],[Tipo]]="DROP"),BD8+TbTradesBinance[[#This Row],[Qtt]],BD8-TbTradesBinance[[#This Row],[Qtt]]),IF(TbTradesBinance[[#This Row],[Tipo]]="BUY",BD8-TbTradesBinance[[#This Row],[Qtt]]*TbTradesBinance[[#This Row],[Preço]],BD8+TbTradesBinance[[#This Row],[Qtt]]*TbTradesBinance[[#This Row],[Preço]])),BD8)-IF(TbTradesBinance[[#This Row],[Moeda da Taxa]]=MID(BD$1,9,5),TbTradesBinance[[#This Row],[Taxa]],0),8)))</f>
        <v>0</v>
      </c>
      <c r="BE9" s="145" cm="1">
        <f t="array" ref="BE9">IF(TbTradesBinance[[#This Row],[Tipo]]="EMPTY",0,BE8+IF(TbTradesBinance[[#This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Row],[Par]]))),$1:$1,0)),-(BD8-BD9)/BD8*BE8),0),0)+IF(TbTradesBinance[[#This Row],[Tipo]]="SELL",IF(ISNUMBER(FIND(MID(BE$1,10,5),TbTradesBinance[[#This Row],[Par]])),IF(FIND(MID(BE$1,10,5),TbTradesBinance[[#This Row],[Par]])=1, -(BD8-BD9)/BD8*BE8,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Row],[Par]])),(-(BD8-BD9)/BD8*BE8)+IF(TbTradesBinance[[#This Row],[Resultado]]&gt;0,0,TbTradesBinance[[#This Row],[Taxa]]),0),0))</f>
        <v>0</v>
      </c>
      <c r="BF9" s="145">
        <f t="shared" si="15"/>
        <v>0</v>
      </c>
      <c r="BG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Row],[Tipo]]="DROP"),BG8+TbTradesBinance[[#This Row],[Qtt]],BG8-TbTradesBinance[[#This Row],[Qtt]]),IF(TbTradesBinance[[#This Row],[Tipo]]="BUY",BG8-TbTradesBinance[[#This Row],[Qtt]]*TbTradesBinance[[#This Row],[Preço]],BG8+TbTradesBinance[[#This Row],[Qtt]]*TbTradesBinance[[#This Row],[Preço]])),BG8)-IF(TbTradesBinance[[#This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Row],[Tipo]]="DROP"),BG8+TbTradesBinance[[#This Row],[Qtt]],BG8-TbTradesBinance[[#This Row],[Qtt]]),IF(TbTradesBinance[[#This Row],[Tipo]]="BUY",BG8-TbTradesBinance[[#This Row],[Qtt]]*TbTradesBinance[[#This Row],[Preço]],BG8+TbTradesBinance[[#This Row],[Qtt]]*TbTradesBinance[[#This Row],[Preço]])),BG8)-IF(TbTradesBinance[[#This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Row],[Tipo]]="DROP"),BG8+TbTradesBinance[[#This Row],[Qtt]],BG8-TbTradesBinance[[#This Row],[Qtt]]),IF(TbTradesBinance[[#This Row],[Tipo]]="BUY",BG8-TbTradesBinance[[#This Row],[Qtt]]*TbTradesBinance[[#This Row],[Preço]],BG8+TbTradesBinance[[#This Row],[Qtt]]*TbTradesBinance[[#This Row],[Preço]])),BG8)-IF(TbTradesBinance[[#This Row],[Moeda da Taxa]]=MID(BG$1,9,5),TbTradesBinance[[#This Row],[Taxa]],0),8)))</f>
        <v>0</v>
      </c>
      <c r="BH9" s="145" cm="1">
        <f t="array" ref="BH9">IF(TbTradesBinance[[#This Row],[Tipo]]="EMPTY",0,BH8+IF(TbTradesBinance[[#This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Row],[Par]]))),$1:$1,0)),-(BG8-BG9)/BG8*BH8),0),0)+IF(TbTradesBinance[[#This Row],[Tipo]]="SELL",IF(ISNUMBER(FIND(MID(BH$1,10,5),TbTradesBinance[[#This Row],[Par]])),IF(FIND(MID(BH$1,10,5),TbTradesBinance[[#This Row],[Par]])=1, -(BG8-BG9)/BG8*BH8,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Row],[Par]])),(-(BG8-BG9)/BG8*BH8)+IF(TbTradesBinance[[#This Row],[Resultado]]&gt;0,0,TbTradesBinance[[#This Row],[Taxa]]),0),0))</f>
        <v>0</v>
      </c>
      <c r="BI9" s="145">
        <f t="shared" si="16"/>
        <v>0</v>
      </c>
      <c r="BJ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Row],[Tipo]]="DROP"),BJ8+TbTradesBinance[[#This Row],[Qtt]],BJ8-TbTradesBinance[[#This Row],[Qtt]]),IF(TbTradesBinance[[#This Row],[Tipo]]="BUY",BJ8-TbTradesBinance[[#This Row],[Qtt]]*TbTradesBinance[[#This Row],[Preço]],BJ8+TbTradesBinance[[#This Row],[Qtt]]*TbTradesBinance[[#This Row],[Preço]])),BJ8)-IF(TbTradesBinance[[#This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Row],[Tipo]]="DROP"),BJ8+TbTradesBinance[[#This Row],[Qtt]],BJ8-TbTradesBinance[[#This Row],[Qtt]]),IF(TbTradesBinance[[#This Row],[Tipo]]="BUY",BJ8-TbTradesBinance[[#This Row],[Qtt]]*TbTradesBinance[[#This Row],[Preço]],BJ8+TbTradesBinance[[#This Row],[Qtt]]*TbTradesBinance[[#This Row],[Preço]])),BJ8)-IF(TbTradesBinance[[#This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Row],[Tipo]]="DROP"),BJ8+TbTradesBinance[[#This Row],[Qtt]],BJ8-TbTradesBinance[[#This Row],[Qtt]]),IF(TbTradesBinance[[#This Row],[Tipo]]="BUY",BJ8-TbTradesBinance[[#This Row],[Qtt]]*TbTradesBinance[[#This Row],[Preço]],BJ8+TbTradesBinance[[#This Row],[Qtt]]*TbTradesBinance[[#This Row],[Preço]])),BJ8)-IF(TbTradesBinance[[#This Row],[Moeda da Taxa]]=MID(BJ$1,9,5),TbTradesBinance[[#This Row],[Taxa]],0),8)))</f>
        <v>0</v>
      </c>
      <c r="BK9" s="145" cm="1">
        <f t="array" ref="BK9">IF(TbTradesBinance[[#This Row],[Tipo]]="EMPTY",0,BK8+IF(TbTradesBinance[[#This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Row],[Par]]))),$1:$1,0)),-(BJ8-BJ9)/BJ8*BK8),0),0)+IF(TbTradesBinance[[#This Row],[Tipo]]="SELL",IF(ISNUMBER(FIND(MID(BK$1,10,5),TbTradesBinance[[#This Row],[Par]])),IF(FIND(MID(BK$1,10,5),TbTradesBinance[[#This Row],[Par]])=1, -(BJ8-BJ9)/BJ8*BK8,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Row],[Par]])),(-(BJ8-BJ9)/BJ8*BK8)+IF(TbTradesBinance[[#This Row],[Resultado]]&gt;0,0,TbTradesBinance[[#This Row],[Taxa]]),0),0))</f>
        <v>0</v>
      </c>
      <c r="BL9" s="145">
        <f t="shared" si="17"/>
        <v>0</v>
      </c>
      <c r="BM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Row],[Tipo]]="DROP"),BM8+TbTradesBinance[[#This Row],[Qtt]],BM8-TbTradesBinance[[#This Row],[Qtt]]),IF(TbTradesBinance[[#This Row],[Tipo]]="BUY",BM8-TbTradesBinance[[#This Row],[Qtt]]*TbTradesBinance[[#This Row],[Preço]],BM8+TbTradesBinance[[#This Row],[Qtt]]*TbTradesBinance[[#This Row],[Preço]])),BM8)-IF(TbTradesBinance[[#This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Row],[Tipo]]="DROP"),BM8+TbTradesBinance[[#This Row],[Qtt]],BM8-TbTradesBinance[[#This Row],[Qtt]]),IF(TbTradesBinance[[#This Row],[Tipo]]="BUY",BM8-TbTradesBinance[[#This Row],[Qtt]]*TbTradesBinance[[#This Row],[Preço]],BM8+TbTradesBinance[[#This Row],[Qtt]]*TbTradesBinance[[#This Row],[Preço]])),BM8)-IF(TbTradesBinance[[#This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Row],[Tipo]]="DROP"),BM8+TbTradesBinance[[#This Row],[Qtt]],BM8-TbTradesBinance[[#This Row],[Qtt]]),IF(TbTradesBinance[[#This Row],[Tipo]]="BUY",BM8-TbTradesBinance[[#This Row],[Qtt]]*TbTradesBinance[[#This Row],[Preço]],BM8+TbTradesBinance[[#This Row],[Qtt]]*TbTradesBinance[[#This Row],[Preço]])),BM8)-IF(TbTradesBinance[[#This Row],[Moeda da Taxa]]=MID(BM$1,9,5),TbTradesBinance[[#This Row],[Taxa]],0),8)))</f>
        <v>0</v>
      </c>
      <c r="BN9" s="145" cm="1">
        <f t="array" ref="BN9">IF(TbTradesBinance[[#This Row],[Tipo]]="EMPTY",0,BN8+IF(TbTradesBinance[[#This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Row],[Par]]))),$1:$1,0)),-(BM8-BM9)/BM8*BN8),0),0)+IF(TbTradesBinance[[#This Row],[Tipo]]="SELL",IF(ISNUMBER(FIND(MID(BN$1,10,5),TbTradesBinance[[#This Row],[Par]])),IF(FIND(MID(BN$1,10,5),TbTradesBinance[[#This Row],[Par]])=1, -(BM8-BM9)/BM8*BN8,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Row],[Par]])),(-(BM8-BM9)/BM8*BN8)+IF(TbTradesBinance[[#This Row],[Resultado]]&gt;0,0,TbTradesBinance[[#This Row],[Taxa]]),0),0))</f>
        <v>0</v>
      </c>
      <c r="BO9" s="145">
        <f t="shared" si="18"/>
        <v>0</v>
      </c>
    </row>
    <row r="10" spans="1:67" x14ac:dyDescent="0.3">
      <c r="B10" s="51"/>
      <c r="C10" s="40">
        <f>TRUNC(IF(AND(TbTradesBinance[[#This Row],[Tipo]]="SEND",TbTradesBinance[[#This Row],[Par]]="BRL"),TbTradesBinance[[#This Row],[Qtt]]*(1-P8)-IF(TbTradesBinance[[#This Row],[Moeda da Taxa]]="BRL",TbTradesBinance[[#This Row],[Taxa]],0),0)+IF(AND(TbTradesBinance[[#This Row],[Tipo]]="BURN",TbTradesBinance[[#This Row],[Par]]="BRL"),-TbTradesBinance[[#This Row],[Qtt]]*P8,0),2)</f>
        <v>0</v>
      </c>
      <c r="D10" s="53">
        <v>44249.710381944446</v>
      </c>
      <c r="E10" s="37" t="s">
        <v>138</v>
      </c>
      <c r="F10" s="47" t="s">
        <v>140</v>
      </c>
      <c r="G10" s="38">
        <v>300000</v>
      </c>
      <c r="H10" s="38">
        <v>1.4300000000000001E-4</v>
      </c>
      <c r="I10" s="38">
        <v>0</v>
      </c>
      <c r="J10" s="37" t="s">
        <v>50</v>
      </c>
      <c r="K10" s="52">
        <v>1</v>
      </c>
      <c r="L10" s="40">
        <f t="shared" si="0"/>
        <v>300000</v>
      </c>
      <c r="M10" s="40">
        <f>IF(OR(TbTradesBinance[[#This Row],[Tipo]]="BUY",TbTradesBinance[[#This Row],[Tipo]]="RECEIVE",TbTradesBinance[[#This Row],[Tipo]]="DROP"),L10*H10,-L10*H10)</f>
        <v>-42.9</v>
      </c>
      <c r="N1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Row],[Tipo]]="DROP"),N9+TbTradesBinance[[#This Row],[Qtt]],N9-TbTradesBinance[[#This Row],[Qtt]]),IF(TbTradesBinance[[#This Row],[Tipo]]="BUY",N9-TbTradesBinance[[#This Row],[Qtt]]*TbTradesBinance[[#This Row],[Preço]],N9+TbTradesBinance[[#This Row],[Qtt]]*TbTradesBinance[[#This Row],[Preço]])),N9)-IF(TbTradesBinance[[#This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Row],[Tipo]]="DROP"),N9+TbTradesBinance[[#This Row],[Qtt]],N9-TbTradesBinance[[#This Row],[Qtt]]),IF(TbTradesBinance[[#This Row],[Tipo]]="BUY",N9-TbTradesBinance[[#This Row],[Qtt]]*TbTradesBinance[[#This Row],[Preço]],N9+TbTradesBinance[[#This Row],[Qtt]]*TbTradesBinance[[#This Row],[Preço]])),N9)-IF(TbTradesBinance[[#This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Row],[Tipo]]="DROP"),N9+TbTradesBinance[[#This Row],[Qtt]],N9-TbTradesBinance[[#This Row],[Qtt]]),IF(TbTradesBinance[[#This Row],[Tipo]]="BUY",N9-TbTradesBinance[[#This Row],[Qtt]]*TbTradesBinance[[#This Row],[Preço]],N9+TbTradesBinance[[#This Row],[Qtt]]*TbTradesBinance[[#This Row],[Preço]])),N9)-IF(TbTradesBinance[[#This Row],[Moeda da Taxa]]=MID(N$1,9,5),TbTradesBinance[[#This Row],[Taxa]],0),8)))</f>
        <v>20043.801562000001</v>
      </c>
      <c r="O10" s="145" cm="1">
        <f t="array" ref="O10">IF(TbTradesBinance[[#This Row],[Tipo]]="EMPTY",0,O9+IF(TbTradesBinance[[#This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Row],[Par]]))),$1:$1,0)),-(N9-N10)/N9*O9),0),0)+IF(TbTradesBinance[[#This Row],[Tipo]]="SELL",IF(ISNUMBER(FIND(MID(O$1,10,5),TbTradesBinance[[#This Row],[Par]])),IF(FIND(MID(O$1,10,5),TbTradesBinance[[#This Row],[Par]])=1, -(N9-N10)/N9*O9,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Row],[Par]])),(-(N9-N10)/N9*O9)+IF(TbTradesBinance[[#This Row],[Resultado]]&gt;0,0,TbTradesBinance[[#This Row],[Taxa]]),0),0))</f>
        <v>20000</v>
      </c>
      <c r="P10" s="145">
        <f t="shared" si="1"/>
        <v>0.9978147078604569</v>
      </c>
      <c r="Q1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Row],[Tipo]]="DROP"),Q9+TbTradesBinance[[#This Row],[Qtt]],Q9-TbTradesBinance[[#This Row],[Qtt]]),IF(TbTradesBinance[[#This Row],[Tipo]]="BUY",Q9-TbTradesBinance[[#This Row],[Qtt]]*TbTradesBinance[[#This Row],[Preço]],Q9+TbTradesBinance[[#This Row],[Qtt]]*TbTradesBinance[[#This Row],[Preço]])),Q9)-IF(TbTradesBinance[[#This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Row],[Tipo]]="DROP"),Q9+TbTradesBinance[[#This Row],[Qtt]],Q9-TbTradesBinance[[#This Row],[Qtt]]),IF(TbTradesBinance[[#This Row],[Tipo]]="BUY",Q9-TbTradesBinance[[#This Row],[Qtt]]*TbTradesBinance[[#This Row],[Preço]],Q9+TbTradesBinance[[#This Row],[Qtt]]*TbTradesBinance[[#This Row],[Preço]])),Q9)-IF(TbTradesBinance[[#This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Row],[Tipo]]="DROP"),Q9+TbTradesBinance[[#This Row],[Qtt]],Q9-TbTradesBinance[[#This Row],[Qtt]]),IF(TbTradesBinance[[#This Row],[Tipo]]="BUY",Q9-TbTradesBinance[[#This Row],[Qtt]]*TbTradesBinance[[#This Row],[Preço]],Q9+TbTradesBinance[[#This Row],[Qtt]]*TbTradesBinance[[#This Row],[Preço]])),Q9)-IF(TbTradesBinance[[#This Row],[Moeda da Taxa]]=MID(Q$1,9,5),TbTradesBinance[[#This Row],[Taxa]],0),8)))</f>
        <v>0</v>
      </c>
      <c r="R10" s="145" cm="1">
        <f t="array" ref="R10">IF(TbTradesBinance[[#This Row],[Tipo]]="EMPTY",0,R9+IF(TbTradesBinance[[#This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Row],[Par]]))),$1:$1,0)),-(Q9-Q10)/Q9*R9),0),0)+IF(TbTradesBinance[[#This Row],[Tipo]]="SELL",IF(ISNUMBER(FIND(MID(R$1,10,5),TbTradesBinance[[#This Row],[Par]])),IF(FIND(MID(R$1,10,5),TbTradesBinance[[#This Row],[Par]])=1, -(Q9-Q10)/Q9*R9,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Row],[Par]])),(-(Q9-Q10)/Q9*R9)+IF(TbTradesBinance[[#This Row],[Resultado]]&gt;0,0,TbTradesBinance[[#This Row],[Taxa]]),0),0))</f>
        <v>0</v>
      </c>
      <c r="S10" s="145">
        <f t="shared" si="2"/>
        <v>0</v>
      </c>
      <c r="T1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Row],[Tipo]]="DROP"),T9+TbTradesBinance[[#This Row],[Qtt]],T9-TbTradesBinance[[#This Row],[Qtt]]),IF(TbTradesBinance[[#This Row],[Tipo]]="BUY",T9-TbTradesBinance[[#This Row],[Qtt]]*TbTradesBinance[[#This Row],[Preço]],T9+TbTradesBinance[[#This Row],[Qtt]]*TbTradesBinance[[#This Row],[Preço]])),T9)-IF(TbTradesBinance[[#This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Row],[Tipo]]="DROP"),T9+TbTradesBinance[[#This Row],[Qtt]],T9-TbTradesBinance[[#This Row],[Qtt]]),IF(TbTradesBinance[[#This Row],[Tipo]]="BUY",T9-TbTradesBinance[[#This Row],[Qtt]]*TbTradesBinance[[#This Row],[Preço]],T9+TbTradesBinance[[#This Row],[Qtt]]*TbTradesBinance[[#This Row],[Preço]])),T9)-IF(TbTradesBinance[[#This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Row],[Tipo]]="DROP"),T9+TbTradesBinance[[#This Row],[Qtt]],T9-TbTradesBinance[[#This Row],[Qtt]]),IF(TbTradesBinance[[#This Row],[Tipo]]="BUY",T9-TbTradesBinance[[#This Row],[Qtt]]*TbTradesBinance[[#This Row],[Preço]],T9+TbTradesBinance[[#This Row],[Qtt]]*TbTradesBinance[[#This Row],[Preço]])),T9)-IF(TbTradesBinance[[#This Row],[Moeda da Taxa]]=MID(T$1,9,5),TbTradesBinance[[#This Row],[Taxa]],0),8)))</f>
        <v>0</v>
      </c>
      <c r="U10" s="145" cm="1">
        <f t="array" ref="U10">IF(TbTradesBinance[[#This Row],[Tipo]]="EMPTY",0,U9+IF(TbTradesBinance[[#This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Row],[Par]]))),$1:$1,0)),-(T9-T10)/T9*U9),0),0)+IF(TbTradesBinance[[#This Row],[Tipo]]="SELL",IF(ISNUMBER(FIND(MID(U$1,10,5),TbTradesBinance[[#This Row],[Par]])),IF(FIND(MID(U$1,10,5),TbTradesBinance[[#This Row],[Par]])=1, -(T9-T10)/T9*U9,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Row],[Par]])),(-(T9-T10)/T9*U9)+IF(TbTradesBinance[[#This Row],[Resultado]]&gt;0,0,TbTradesBinance[[#This Row],[Taxa]]),0),0))</f>
        <v>0</v>
      </c>
      <c r="V10" s="145">
        <f t="shared" si="3"/>
        <v>0</v>
      </c>
      <c r="W1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Row],[Tipo]]="DROP"),W9+TbTradesBinance[[#This Row],[Qtt]],W9-TbTradesBinance[[#This Row],[Qtt]]),IF(TbTradesBinance[[#This Row],[Tipo]]="BUY",W9-TbTradesBinance[[#This Row],[Qtt]]*TbTradesBinance[[#This Row],[Preço]],W9+TbTradesBinance[[#This Row],[Qtt]]*TbTradesBinance[[#This Row],[Preço]])),W9)-IF(TbTradesBinance[[#This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Row],[Tipo]]="DROP"),W9+TbTradesBinance[[#This Row],[Qtt]],W9-TbTradesBinance[[#This Row],[Qtt]]),IF(TbTradesBinance[[#This Row],[Tipo]]="BUY",W9-TbTradesBinance[[#This Row],[Qtt]]*TbTradesBinance[[#This Row],[Preço]],W9+TbTradesBinance[[#This Row],[Qtt]]*TbTradesBinance[[#This Row],[Preço]])),W9)-IF(TbTradesBinance[[#This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Row],[Tipo]]="DROP"),W9+TbTradesBinance[[#This Row],[Qtt]],W9-TbTradesBinance[[#This Row],[Qtt]]),IF(TbTradesBinance[[#This Row],[Tipo]]="BUY",W9-TbTradesBinance[[#This Row],[Qtt]]*TbTradesBinance[[#This Row],[Preço]],W9+TbTradesBinance[[#This Row],[Qtt]]*TbTradesBinance[[#This Row],[Preço]])),W9)-IF(TbTradesBinance[[#This Row],[Moeda da Taxa]]=MID(W$1,9,5),TbTradesBinance[[#This Row],[Taxa]],0),8)))</f>
        <v>0</v>
      </c>
      <c r="X10" s="145" cm="1">
        <f t="array" ref="X10">IF(TbTradesBinance[[#This Row],[Tipo]]="EMPTY",0,X9+IF(TbTradesBinance[[#This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Row],[Par]]))),$1:$1,0)),-(W9-W10)/W9*X9),0),0)+IF(TbTradesBinance[[#This Row],[Tipo]]="SELL",IF(ISNUMBER(FIND(MID(X$1,10,5),TbTradesBinance[[#This Row],[Par]])),IF(FIND(MID(X$1,10,5),TbTradesBinance[[#This Row],[Par]])=1, -(W9-W10)/W9*X9,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Row],[Par]])),(-(W9-W10)/W9*X9)+IF(TbTradesBinance[[#This Row],[Resultado]]&gt;0,0,TbTradesBinance[[#This Row],[Taxa]]),0),0))</f>
        <v>0</v>
      </c>
      <c r="Y10" s="145">
        <f t="shared" si="4"/>
        <v>0</v>
      </c>
      <c r="Z1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Row],[Tipo]]="DROP"),Z9+TbTradesBinance[[#This Row],[Qtt]],Z9-TbTradesBinance[[#This Row],[Qtt]]),IF(TbTradesBinance[[#This Row],[Tipo]]="BUY",Z9-TbTradesBinance[[#This Row],[Qtt]]*TbTradesBinance[[#This Row],[Preço]],Z9+TbTradesBinance[[#This Row],[Qtt]]*TbTradesBinance[[#This Row],[Preço]])),Z9)-IF(TbTradesBinance[[#This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Row],[Tipo]]="DROP"),Z9+TbTradesBinance[[#This Row],[Qtt]],Z9-TbTradesBinance[[#This Row],[Qtt]]),IF(TbTradesBinance[[#This Row],[Tipo]]="BUY",Z9-TbTradesBinance[[#This Row],[Qtt]]*TbTradesBinance[[#This Row],[Preço]],Z9+TbTradesBinance[[#This Row],[Qtt]]*TbTradesBinance[[#This Row],[Preço]])),Z9)-IF(TbTradesBinance[[#This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Row],[Tipo]]="DROP"),Z9+TbTradesBinance[[#This Row],[Qtt]],Z9-TbTradesBinance[[#This Row],[Qtt]]),IF(TbTradesBinance[[#This Row],[Tipo]]="BUY",Z9-TbTradesBinance[[#This Row],[Qtt]]*TbTradesBinance[[#This Row],[Preço]],Z9+TbTradesBinance[[#This Row],[Qtt]]*TbTradesBinance[[#This Row],[Preço]])),Z9)-IF(TbTradesBinance[[#This Row],[Moeda da Taxa]]=MID(Z$1,9,5),TbTradesBinance[[#This Row],[Taxa]],0),8)))</f>
        <v>0</v>
      </c>
      <c r="AA10" s="145" cm="1">
        <f t="array" ref="AA10">IF(TbTradesBinance[[#This Row],[Tipo]]="EMPTY",0,AA9+IF(TbTradesBinance[[#This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Row],[Par]]))),$1:$1,0)),-(Z9-Z10)/Z9*AA9),0),0)+IF(TbTradesBinance[[#This Row],[Tipo]]="SELL",IF(ISNUMBER(FIND(MID(AA$1,10,5),TbTradesBinance[[#This Row],[Par]])),IF(FIND(MID(AA$1,10,5),TbTradesBinance[[#This Row],[Par]])=1, -(Z9-Z10)/Z9*AA9,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Row],[Par]])),(-(Z9-Z10)/Z9*AA9)+IF(TbTradesBinance[[#This Row],[Resultado]]&gt;0,0,TbTradesBinance[[#This Row],[Taxa]]),0),0))</f>
        <v>0</v>
      </c>
      <c r="AB10" s="145">
        <f t="shared" si="5"/>
        <v>0</v>
      </c>
      <c r="AC1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Row],[Tipo]]="DROP"),AC9+TbTradesBinance[[#This Row],[Qtt]],AC9-TbTradesBinance[[#This Row],[Qtt]]),IF(TbTradesBinance[[#This Row],[Tipo]]="BUY",AC9-TbTradesBinance[[#This Row],[Qtt]]*TbTradesBinance[[#This Row],[Preço]],AC9+TbTradesBinance[[#This Row],[Qtt]]*TbTradesBinance[[#This Row],[Preço]])),AC9)-IF(TbTradesBinance[[#This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Row],[Tipo]]="DROP"),AC9+TbTradesBinance[[#This Row],[Qtt]],AC9-TbTradesBinance[[#This Row],[Qtt]]),IF(TbTradesBinance[[#This Row],[Tipo]]="BUY",AC9-TbTradesBinance[[#This Row],[Qtt]]*TbTradesBinance[[#This Row],[Preço]],AC9+TbTradesBinance[[#This Row],[Qtt]]*TbTradesBinance[[#This Row],[Preço]])),AC9)-IF(TbTradesBinance[[#This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Row],[Tipo]]="DROP"),AC9+TbTradesBinance[[#This Row],[Qtt]],AC9-TbTradesBinance[[#This Row],[Qtt]]),IF(TbTradesBinance[[#This Row],[Tipo]]="BUY",AC9-TbTradesBinance[[#This Row],[Qtt]]*TbTradesBinance[[#This Row],[Preço]],AC9+TbTradesBinance[[#This Row],[Qtt]]*TbTradesBinance[[#This Row],[Preço]])),AC9)-IF(TbTradesBinance[[#This Row],[Moeda da Taxa]]=MID(AC$1,9,5),TbTradesBinance[[#This Row],[Taxa]],0),8)))</f>
        <v>0</v>
      </c>
      <c r="AD10" s="145" cm="1">
        <f t="array" ref="AD10">IF(TbTradesBinance[[#This Row],[Tipo]]="EMPTY",0,AD9+IF(TbTradesBinance[[#This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Row],[Par]]))),$1:$1,0)),-(AC9-AC10)/AC9*AD9),0),0)+IF(TbTradesBinance[[#This Row],[Tipo]]="SELL",IF(ISNUMBER(FIND(MID(AD$1,10,5),TbTradesBinance[[#This Row],[Par]])),IF(FIND(MID(AD$1,10,5),TbTradesBinance[[#This Row],[Par]])=1, -(AC9-AC10)/AC9*AD9,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Row],[Par]])),(-(AC9-AC10)/AC9*AD9)+IF(TbTradesBinance[[#This Row],[Resultado]]&gt;0,0,TbTradesBinance[[#This Row],[Taxa]]),0),0))</f>
        <v>0</v>
      </c>
      <c r="AE10" s="145">
        <f t="shared" si="6"/>
        <v>0</v>
      </c>
      <c r="AF1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Row],[Tipo]]="DROP"),AF9+TbTradesBinance[[#This Row],[Qtt]],AF9-TbTradesBinance[[#This Row],[Qtt]]),IF(TbTradesBinance[[#This Row],[Tipo]]="BUY",AF9-TbTradesBinance[[#This Row],[Qtt]]*TbTradesBinance[[#This Row],[Preço]],AF9+TbTradesBinance[[#This Row],[Qtt]]*TbTradesBinance[[#This Row],[Preço]])),AF9)-IF(TbTradesBinance[[#This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Row],[Tipo]]="DROP"),AF9+TbTradesBinance[[#This Row],[Qtt]],AF9-TbTradesBinance[[#This Row],[Qtt]]),IF(TbTradesBinance[[#This Row],[Tipo]]="BUY",AF9-TbTradesBinance[[#This Row],[Qtt]]*TbTradesBinance[[#This Row],[Preço]],AF9+TbTradesBinance[[#This Row],[Qtt]]*TbTradesBinance[[#This Row],[Preço]])),AF9)-IF(TbTradesBinance[[#This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Row],[Tipo]]="DROP"),AF9+TbTradesBinance[[#This Row],[Qtt]],AF9-TbTradesBinance[[#This Row],[Qtt]]),IF(TbTradesBinance[[#This Row],[Tipo]]="BUY",AF9-TbTradesBinance[[#This Row],[Qtt]]*TbTradesBinance[[#This Row],[Preço]],AF9+TbTradesBinance[[#This Row],[Qtt]]*TbTradesBinance[[#This Row],[Preço]])),AF9)-IF(TbTradesBinance[[#This Row],[Moeda da Taxa]]=MID(AF$1,9,5),TbTradesBinance[[#This Row],[Taxa]],0),8)))</f>
        <v>0</v>
      </c>
      <c r="AG10" s="145" cm="1">
        <f t="array" ref="AG10">IF(TbTradesBinance[[#This Row],[Tipo]]="EMPTY",0,AG9+IF(TbTradesBinance[[#This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Row],[Par]]))),$1:$1,0)),-(AF9-AF10)/AF9*AG9),0),0)+IF(TbTradesBinance[[#This Row],[Tipo]]="SELL",IF(ISNUMBER(FIND(MID(AG$1,10,5),TbTradesBinance[[#This Row],[Par]])),IF(FIND(MID(AG$1,10,5),TbTradesBinance[[#This Row],[Par]])=1, -(AF9-AF10)/AF9*AG9,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Row],[Par]])),(-(AF9-AF10)/AF9*AG9)+IF(TbTradesBinance[[#This Row],[Resultado]]&gt;0,0,TbTradesBinance[[#This Row],[Taxa]]),0),0))</f>
        <v>0</v>
      </c>
      <c r="AH10" s="145">
        <f t="shared" si="7"/>
        <v>0</v>
      </c>
      <c r="AI1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Row],[Tipo]]="DROP"),AI9+TbTradesBinance[[#This Row],[Qtt]],AI9-TbTradesBinance[[#This Row],[Qtt]]),IF(TbTradesBinance[[#This Row],[Tipo]]="BUY",AI9-TbTradesBinance[[#This Row],[Qtt]]*TbTradesBinance[[#This Row],[Preço]],AI9+TbTradesBinance[[#This Row],[Qtt]]*TbTradesBinance[[#This Row],[Preço]])),AI9)-IF(TbTradesBinance[[#This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Row],[Tipo]]="DROP"),AI9+TbTradesBinance[[#This Row],[Qtt]],AI9-TbTradesBinance[[#This Row],[Qtt]]),IF(TbTradesBinance[[#This Row],[Tipo]]="BUY",AI9-TbTradesBinance[[#This Row],[Qtt]]*TbTradesBinance[[#This Row],[Preço]],AI9+TbTradesBinance[[#This Row],[Qtt]]*TbTradesBinance[[#This Row],[Preço]])),AI9)-IF(TbTradesBinance[[#This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Row],[Tipo]]="DROP"),AI9+TbTradesBinance[[#This Row],[Qtt]],AI9-TbTradesBinance[[#This Row],[Qtt]]),IF(TbTradesBinance[[#This Row],[Tipo]]="BUY",AI9-TbTradesBinance[[#This Row],[Qtt]]*TbTradesBinance[[#This Row],[Preço]],AI9+TbTradesBinance[[#This Row],[Qtt]]*TbTradesBinance[[#This Row],[Preço]])),AI9)-IF(TbTradesBinance[[#This Row],[Moeda da Taxa]]=MID(AI$1,9,5),TbTradesBinance[[#This Row],[Taxa]],0),8)))</f>
        <v>0</v>
      </c>
      <c r="AJ10" s="145" cm="1">
        <f t="array" ref="AJ10">IF(TbTradesBinance[[#This Row],[Tipo]]="EMPTY",0,AJ9+IF(TbTradesBinance[[#This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Row],[Par]]))),$1:$1,0)),-(AI9-AI10)/AI9*AJ9),0),0)+IF(TbTradesBinance[[#This Row],[Tipo]]="SELL",IF(ISNUMBER(FIND(MID(AJ$1,10,5),TbTradesBinance[[#This Row],[Par]])),IF(FIND(MID(AJ$1,10,5),TbTradesBinance[[#This Row],[Par]])=1, -(AI9-AI10)/AI9*AJ9,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Row],[Par]])),(-(AI9-AI10)/AI9*AJ9)+IF(TbTradesBinance[[#This Row],[Resultado]]&gt;0,0,TbTradesBinance[[#This Row],[Taxa]]),0),0))</f>
        <v>0</v>
      </c>
      <c r="AK10" s="145">
        <f t="shared" si="8"/>
        <v>0</v>
      </c>
      <c r="AL1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Row],[Tipo]]="DROP"),AL9+TbTradesBinance[[#This Row],[Qtt]],AL9-TbTradesBinance[[#This Row],[Qtt]]),IF(TbTradesBinance[[#This Row],[Tipo]]="BUY",AL9-TbTradesBinance[[#This Row],[Qtt]]*TbTradesBinance[[#This Row],[Preço]],AL9+TbTradesBinance[[#This Row],[Qtt]]*TbTradesBinance[[#This Row],[Preço]])),AL9)-IF(TbTradesBinance[[#This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Row],[Tipo]]="DROP"),AL9+TbTradesBinance[[#This Row],[Qtt]],AL9-TbTradesBinance[[#This Row],[Qtt]]),IF(TbTradesBinance[[#This Row],[Tipo]]="BUY",AL9-TbTradesBinance[[#This Row],[Qtt]]*TbTradesBinance[[#This Row],[Preço]],AL9+TbTradesBinance[[#This Row],[Qtt]]*TbTradesBinance[[#This Row],[Preço]])),AL9)-IF(TbTradesBinance[[#This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Row],[Tipo]]="DROP"),AL9+TbTradesBinance[[#This Row],[Qtt]],AL9-TbTradesBinance[[#This Row],[Qtt]]),IF(TbTradesBinance[[#This Row],[Tipo]]="BUY",AL9-TbTradesBinance[[#This Row],[Qtt]]*TbTradesBinance[[#This Row],[Preço]],AL9+TbTradesBinance[[#This Row],[Qtt]]*TbTradesBinance[[#This Row],[Preço]])),AL9)-IF(TbTradesBinance[[#This Row],[Moeda da Taxa]]=MID(AL$1,9,5),TbTradesBinance[[#This Row],[Taxa]],0),8)))</f>
        <v>0</v>
      </c>
      <c r="AM10" s="145" cm="1">
        <f t="array" ref="AM10">IF(TbTradesBinance[[#This Row],[Tipo]]="EMPTY",0,AM9+IF(TbTradesBinance[[#This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Row],[Par]]))),$1:$1,0)),-(AL9-AL10)/AL9*AM9),0),0)+IF(TbTradesBinance[[#This Row],[Tipo]]="SELL",IF(ISNUMBER(FIND(MID(AM$1,10,5),TbTradesBinance[[#This Row],[Par]])),IF(FIND(MID(AM$1,10,5),TbTradesBinance[[#This Row],[Par]])=1, -(AL9-AL10)/AL9*AM9,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Row],[Par]])),(-(AL9-AL10)/AL9*AM9)+IF(TbTradesBinance[[#This Row],[Resultado]]&gt;0,0,TbTradesBinance[[#This Row],[Taxa]]),0),0))</f>
        <v>0</v>
      </c>
      <c r="AN10" s="145">
        <f t="shared" si="9"/>
        <v>0</v>
      </c>
      <c r="AO1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Row],[Tipo]]="DROP"),AO9+TbTradesBinance[[#This Row],[Qtt]],AO9-TbTradesBinance[[#This Row],[Qtt]]),IF(TbTradesBinance[[#This Row],[Tipo]]="BUY",AO9-TbTradesBinance[[#This Row],[Qtt]]*TbTradesBinance[[#This Row],[Preço]],AO9+TbTradesBinance[[#This Row],[Qtt]]*TbTradesBinance[[#This Row],[Preço]])),AO9)-IF(TbTradesBinance[[#This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Row],[Tipo]]="DROP"),AO9+TbTradesBinance[[#This Row],[Qtt]],AO9-TbTradesBinance[[#This Row],[Qtt]]),IF(TbTradesBinance[[#This Row],[Tipo]]="BUY",AO9-TbTradesBinance[[#This Row],[Qtt]]*TbTradesBinance[[#This Row],[Preço]],AO9+TbTradesBinance[[#This Row],[Qtt]]*TbTradesBinance[[#This Row],[Preço]])),AO9)-IF(TbTradesBinance[[#This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Row],[Tipo]]="DROP"),AO9+TbTradesBinance[[#This Row],[Qtt]],AO9-TbTradesBinance[[#This Row],[Qtt]]),IF(TbTradesBinance[[#This Row],[Tipo]]="BUY",AO9-TbTradesBinance[[#This Row],[Qtt]]*TbTradesBinance[[#This Row],[Preço]],AO9+TbTradesBinance[[#This Row],[Qtt]]*TbTradesBinance[[#This Row],[Preço]])),AO9)-IF(TbTradesBinance[[#This Row],[Moeda da Taxa]]=MID(AO$1,9,5),TbTradesBinance[[#This Row],[Taxa]],0),8)))</f>
        <v>0</v>
      </c>
      <c r="AP10" s="145" cm="1">
        <f t="array" ref="AP10">IF(TbTradesBinance[[#This Row],[Tipo]]="EMPTY",0,AP9+IF(TbTradesBinance[[#This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Row],[Par]]))),$1:$1,0)),-(AO9-AO10)/AO9*AP9),0),0)+IF(TbTradesBinance[[#This Row],[Tipo]]="SELL",IF(ISNUMBER(FIND(MID(AP$1,10,5),TbTradesBinance[[#This Row],[Par]])),IF(FIND(MID(AP$1,10,5),TbTradesBinance[[#This Row],[Par]])=1, -(AO9-AO10)/AO9*AP9,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Row],[Par]])),(-(AO9-AO10)/AO9*AP9)+IF(TbTradesBinance[[#This Row],[Resultado]]&gt;0,0,TbTradesBinance[[#This Row],[Taxa]]),0),0))</f>
        <v>0</v>
      </c>
      <c r="AQ10" s="145">
        <f t="shared" si="10"/>
        <v>0</v>
      </c>
      <c r="AR1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Row],[Tipo]]="DROP"),AR9+TbTradesBinance[[#This Row],[Qtt]],AR9-TbTradesBinance[[#This Row],[Qtt]]),IF(TbTradesBinance[[#This Row],[Tipo]]="BUY",AR9-TbTradesBinance[[#This Row],[Qtt]]*TbTradesBinance[[#This Row],[Preço]],AR9+TbTradesBinance[[#This Row],[Qtt]]*TbTradesBinance[[#This Row],[Preço]])),AR9)-IF(TbTradesBinance[[#This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Row],[Tipo]]="DROP"),AR9+TbTradesBinance[[#This Row],[Qtt]],AR9-TbTradesBinance[[#This Row],[Qtt]]),IF(TbTradesBinance[[#This Row],[Tipo]]="BUY",AR9-TbTradesBinance[[#This Row],[Qtt]]*TbTradesBinance[[#This Row],[Preço]],AR9+TbTradesBinance[[#This Row],[Qtt]]*TbTradesBinance[[#This Row],[Preço]])),AR9)-IF(TbTradesBinance[[#This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Row],[Tipo]]="DROP"),AR9+TbTradesBinance[[#This Row],[Qtt]],AR9-TbTradesBinance[[#This Row],[Qtt]]),IF(TbTradesBinance[[#This Row],[Tipo]]="BUY",AR9-TbTradesBinance[[#This Row],[Qtt]]*TbTradesBinance[[#This Row],[Preço]],AR9+TbTradesBinance[[#This Row],[Qtt]]*TbTradesBinance[[#This Row],[Preço]])),AR9)-IF(TbTradesBinance[[#This Row],[Moeda da Taxa]]=MID(AR$1,9,5),TbTradesBinance[[#This Row],[Taxa]],0),8)))</f>
        <v>0</v>
      </c>
      <c r="AS10" s="145" cm="1">
        <f t="array" ref="AS10">IF(TbTradesBinance[[#This Row],[Tipo]]="EMPTY",0,AS9+IF(TbTradesBinance[[#This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Row],[Par]]))),$1:$1,0)),-(AR9-AR10)/AR9*AS9),0),0)+IF(TbTradesBinance[[#This Row],[Tipo]]="SELL",IF(ISNUMBER(FIND(MID(AS$1,10,5),TbTradesBinance[[#This Row],[Par]])),IF(FIND(MID(AS$1,10,5),TbTradesBinance[[#This Row],[Par]])=1, -(AR9-AR10)/AR9*AS9,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Row],[Par]])),(-(AR9-AR10)/AR9*AS9)+IF(TbTradesBinance[[#This Row],[Resultado]]&gt;0,0,TbTradesBinance[[#This Row],[Taxa]]),0),0))</f>
        <v>0</v>
      </c>
      <c r="AT10" s="145">
        <f t="shared" si="11"/>
        <v>0</v>
      </c>
      <c r="AU1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Row],[Tipo]]="DROP"),AU9+TbTradesBinance[[#This Row],[Qtt]],AU9-TbTradesBinance[[#This Row],[Qtt]]),IF(TbTradesBinance[[#This Row],[Tipo]]="BUY",AU9-TbTradesBinance[[#This Row],[Qtt]]*TbTradesBinance[[#This Row],[Preço]],AU9+TbTradesBinance[[#This Row],[Qtt]]*TbTradesBinance[[#This Row],[Preço]])),AU9)-IF(TbTradesBinance[[#This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Row],[Tipo]]="DROP"),AU9+TbTradesBinance[[#This Row],[Qtt]],AU9-TbTradesBinance[[#This Row],[Qtt]]),IF(TbTradesBinance[[#This Row],[Tipo]]="BUY",AU9-TbTradesBinance[[#This Row],[Qtt]]*TbTradesBinance[[#This Row],[Preço]],AU9+TbTradesBinance[[#This Row],[Qtt]]*TbTradesBinance[[#This Row],[Preço]])),AU9)-IF(TbTradesBinance[[#This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Row],[Tipo]]="DROP"),AU9+TbTradesBinance[[#This Row],[Qtt]],AU9-TbTradesBinance[[#This Row],[Qtt]]),IF(TbTradesBinance[[#This Row],[Tipo]]="BUY",AU9-TbTradesBinance[[#This Row],[Qtt]]*TbTradesBinance[[#This Row],[Preço]],AU9+TbTradesBinance[[#This Row],[Qtt]]*TbTradesBinance[[#This Row],[Preço]])),AU9)-IF(TbTradesBinance[[#This Row],[Moeda da Taxa]]=MID(AU$1,9,5),TbTradesBinance[[#This Row],[Taxa]],0),8)))</f>
        <v>0</v>
      </c>
      <c r="AV10" s="145" cm="1">
        <f t="array" ref="AV10">IF(TbTradesBinance[[#This Row],[Tipo]]="EMPTY",0,AV9+IF(TbTradesBinance[[#This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Row],[Par]]))),$1:$1,0)),-(AU9-AU10)/AU9*AV9),0),0)+IF(TbTradesBinance[[#This Row],[Tipo]]="SELL",IF(ISNUMBER(FIND(MID(AV$1,10,5),TbTradesBinance[[#This Row],[Par]])),IF(FIND(MID(AV$1,10,5),TbTradesBinance[[#This Row],[Par]])=1, -(AU9-AU10)/AU9*AV9,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Row],[Par]])),(-(AU9-AU10)/AU9*AV9)+IF(TbTradesBinance[[#This Row],[Resultado]]&gt;0,0,TbTradesBinance[[#This Row],[Taxa]]),0),0))</f>
        <v>0</v>
      </c>
      <c r="AW10" s="145">
        <f t="shared" si="12"/>
        <v>0</v>
      </c>
      <c r="AX1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Row],[Tipo]]="DROP"),AX9+TbTradesBinance[[#This Row],[Qtt]],AX9-TbTradesBinance[[#This Row],[Qtt]]),IF(TbTradesBinance[[#This Row],[Tipo]]="BUY",AX9-TbTradesBinance[[#This Row],[Qtt]]*TbTradesBinance[[#This Row],[Preço]],AX9+TbTradesBinance[[#This Row],[Qtt]]*TbTradesBinance[[#This Row],[Preço]])),AX9)-IF(TbTradesBinance[[#This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Row],[Tipo]]="DROP"),AX9+TbTradesBinance[[#This Row],[Qtt]],AX9-TbTradesBinance[[#This Row],[Qtt]]),IF(TbTradesBinance[[#This Row],[Tipo]]="BUY",AX9-TbTradesBinance[[#This Row],[Qtt]]*TbTradesBinance[[#This Row],[Preço]],AX9+TbTradesBinance[[#This Row],[Qtt]]*TbTradesBinance[[#This Row],[Preço]])),AX9)-IF(TbTradesBinance[[#This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Row],[Tipo]]="DROP"),AX9+TbTradesBinance[[#This Row],[Qtt]],AX9-TbTradesBinance[[#This Row],[Qtt]]),IF(TbTradesBinance[[#This Row],[Tipo]]="BUY",AX9-TbTradesBinance[[#This Row],[Qtt]]*TbTradesBinance[[#This Row],[Preço]],AX9+TbTradesBinance[[#This Row],[Qtt]]*TbTradesBinance[[#This Row],[Preço]])),AX9)-IF(TbTradesBinance[[#This Row],[Moeda da Taxa]]=MID(AX$1,9,5),TbTradesBinance[[#This Row],[Taxa]],0),8)))</f>
        <v>0</v>
      </c>
      <c r="AY10" s="145" cm="1">
        <f t="array" ref="AY10">IF(TbTradesBinance[[#This Row],[Tipo]]="EMPTY",0,AY9+IF(TbTradesBinance[[#This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Row],[Par]]))),$1:$1,0)),-(AX9-AX10)/AX9*AY9),0),0)+IF(TbTradesBinance[[#This Row],[Tipo]]="SELL",IF(ISNUMBER(FIND(MID(AY$1,10,5),TbTradesBinance[[#This Row],[Par]])),IF(FIND(MID(AY$1,10,5),TbTradesBinance[[#This Row],[Par]])=1, -(AX9-AX10)/AX9*AY9,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Row],[Par]])),(-(AX9-AX10)/AX9*AY9)+IF(TbTradesBinance[[#This Row],[Resultado]]&gt;0,0,TbTradesBinance[[#This Row],[Taxa]]),0),0))</f>
        <v>0</v>
      </c>
      <c r="AZ10" s="145">
        <f t="shared" si="13"/>
        <v>0</v>
      </c>
      <c r="BA1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Row],[Tipo]]="DROP"),BA9+TbTradesBinance[[#This Row],[Qtt]],BA9-TbTradesBinance[[#This Row],[Qtt]]),IF(TbTradesBinance[[#This Row],[Tipo]]="BUY",BA9-TbTradesBinance[[#This Row],[Qtt]]*TbTradesBinance[[#This Row],[Preço]],BA9+TbTradesBinance[[#This Row],[Qtt]]*TbTradesBinance[[#This Row],[Preço]])),BA9)-IF(TbTradesBinance[[#This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Row],[Tipo]]="DROP"),BA9+TbTradesBinance[[#This Row],[Qtt]],BA9-TbTradesBinance[[#This Row],[Qtt]]),IF(TbTradesBinance[[#This Row],[Tipo]]="BUY",BA9-TbTradesBinance[[#This Row],[Qtt]]*TbTradesBinance[[#This Row],[Preço]],BA9+TbTradesBinance[[#This Row],[Qtt]]*TbTradesBinance[[#This Row],[Preço]])),BA9)-IF(TbTradesBinance[[#This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Row],[Tipo]]="DROP"),BA9+TbTradesBinance[[#This Row],[Qtt]],BA9-TbTradesBinance[[#This Row],[Qtt]]),IF(TbTradesBinance[[#This Row],[Tipo]]="BUY",BA9-TbTradesBinance[[#This Row],[Qtt]]*TbTradesBinance[[#This Row],[Preço]],BA9+TbTradesBinance[[#This Row],[Qtt]]*TbTradesBinance[[#This Row],[Preço]])),BA9)-IF(TbTradesBinance[[#This Row],[Moeda da Taxa]]=MID(BA$1,9,5),TbTradesBinance[[#This Row],[Taxa]],0),8)))</f>
        <v>0</v>
      </c>
      <c r="BB10" s="145" cm="1">
        <f t="array" ref="BB10">IF(TbTradesBinance[[#This Row],[Tipo]]="EMPTY",0,BB9+IF(TbTradesBinance[[#This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Row],[Par]]))),$1:$1,0)),-(BA9-BA10)/BA9*BB9),0),0)+IF(TbTradesBinance[[#This Row],[Tipo]]="SELL",IF(ISNUMBER(FIND(MID(BB$1,10,5),TbTradesBinance[[#This Row],[Par]])),IF(FIND(MID(BB$1,10,5),TbTradesBinance[[#This Row],[Par]])=1, -(BA9-BA10)/BA9*BB9,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Row],[Par]])),(-(BA9-BA10)/BA9*BB9)+IF(TbTradesBinance[[#This Row],[Resultado]]&gt;0,0,TbTradesBinance[[#This Row],[Taxa]]),0),0))</f>
        <v>0</v>
      </c>
      <c r="BC10" s="145">
        <f t="shared" si="14"/>
        <v>0</v>
      </c>
      <c r="BD1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Row],[Tipo]]="DROP"),BD9+TbTradesBinance[[#This Row],[Qtt]],BD9-TbTradesBinance[[#This Row],[Qtt]]),IF(TbTradesBinance[[#This Row],[Tipo]]="BUY",BD9-TbTradesBinance[[#This Row],[Qtt]]*TbTradesBinance[[#This Row],[Preço]],BD9+TbTradesBinance[[#This Row],[Qtt]]*TbTradesBinance[[#This Row],[Preço]])),BD9)-IF(TbTradesBinance[[#This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Row],[Tipo]]="DROP"),BD9+TbTradesBinance[[#This Row],[Qtt]],BD9-TbTradesBinance[[#This Row],[Qtt]]),IF(TbTradesBinance[[#This Row],[Tipo]]="BUY",BD9-TbTradesBinance[[#This Row],[Qtt]]*TbTradesBinance[[#This Row],[Preço]],BD9+TbTradesBinance[[#This Row],[Qtt]]*TbTradesBinance[[#This Row],[Preço]])),BD9)-IF(TbTradesBinance[[#This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Row],[Tipo]]="DROP"),BD9+TbTradesBinance[[#This Row],[Qtt]],BD9-TbTradesBinance[[#This Row],[Qtt]]),IF(TbTradesBinance[[#This Row],[Tipo]]="BUY",BD9-TbTradesBinance[[#This Row],[Qtt]]*TbTradesBinance[[#This Row],[Preço]],BD9+TbTradesBinance[[#This Row],[Qtt]]*TbTradesBinance[[#This Row],[Preço]])),BD9)-IF(TbTradesBinance[[#This Row],[Moeda da Taxa]]=MID(BD$1,9,5),TbTradesBinance[[#This Row],[Taxa]],0),8)))</f>
        <v>0</v>
      </c>
      <c r="BE10" s="145" cm="1">
        <f t="array" ref="BE10">IF(TbTradesBinance[[#This Row],[Tipo]]="EMPTY",0,BE9+IF(TbTradesBinance[[#This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Row],[Par]]))),$1:$1,0)),-(BD9-BD10)/BD9*BE9),0),0)+IF(TbTradesBinance[[#This Row],[Tipo]]="SELL",IF(ISNUMBER(FIND(MID(BE$1,10,5),TbTradesBinance[[#This Row],[Par]])),IF(FIND(MID(BE$1,10,5),TbTradesBinance[[#This Row],[Par]])=1, -(BD9-BD10)/BD9*BE9,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Row],[Par]])),(-(BD9-BD10)/BD9*BE9)+IF(TbTradesBinance[[#This Row],[Resultado]]&gt;0,0,TbTradesBinance[[#This Row],[Taxa]]),0),0))</f>
        <v>0</v>
      </c>
      <c r="BF10" s="145">
        <f t="shared" si="15"/>
        <v>0</v>
      </c>
      <c r="BG1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Row],[Tipo]]="DROP"),BG9+TbTradesBinance[[#This Row],[Qtt]],BG9-TbTradesBinance[[#This Row],[Qtt]]),IF(TbTradesBinance[[#This Row],[Tipo]]="BUY",BG9-TbTradesBinance[[#This Row],[Qtt]]*TbTradesBinance[[#This Row],[Preço]],BG9+TbTradesBinance[[#This Row],[Qtt]]*TbTradesBinance[[#This Row],[Preço]])),BG9)-IF(TbTradesBinance[[#This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Row],[Tipo]]="DROP"),BG9+TbTradesBinance[[#This Row],[Qtt]],BG9-TbTradesBinance[[#This Row],[Qtt]]),IF(TbTradesBinance[[#This Row],[Tipo]]="BUY",BG9-TbTradesBinance[[#This Row],[Qtt]]*TbTradesBinance[[#This Row],[Preço]],BG9+TbTradesBinance[[#This Row],[Qtt]]*TbTradesBinance[[#This Row],[Preço]])),BG9)-IF(TbTradesBinance[[#This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Row],[Tipo]]="DROP"),BG9+TbTradesBinance[[#This Row],[Qtt]],BG9-TbTradesBinance[[#This Row],[Qtt]]),IF(TbTradesBinance[[#This Row],[Tipo]]="BUY",BG9-TbTradesBinance[[#This Row],[Qtt]]*TbTradesBinance[[#This Row],[Preço]],BG9+TbTradesBinance[[#This Row],[Qtt]]*TbTradesBinance[[#This Row],[Preço]])),BG9)-IF(TbTradesBinance[[#This Row],[Moeda da Taxa]]=MID(BG$1,9,5),TbTradesBinance[[#This Row],[Taxa]],0),8)))</f>
        <v>0</v>
      </c>
      <c r="BH10" s="145" cm="1">
        <f t="array" ref="BH10">IF(TbTradesBinance[[#This Row],[Tipo]]="EMPTY",0,BH9+IF(TbTradesBinance[[#This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Row],[Par]]))),$1:$1,0)),-(BG9-BG10)/BG9*BH9),0),0)+IF(TbTradesBinance[[#This Row],[Tipo]]="SELL",IF(ISNUMBER(FIND(MID(BH$1,10,5),TbTradesBinance[[#This Row],[Par]])),IF(FIND(MID(BH$1,10,5),TbTradesBinance[[#This Row],[Par]])=1, -(BG9-BG10)/BG9*BH9,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Row],[Par]])),(-(BG9-BG10)/BG9*BH9)+IF(TbTradesBinance[[#This Row],[Resultado]]&gt;0,0,TbTradesBinance[[#This Row],[Taxa]]),0),0))</f>
        <v>0</v>
      </c>
      <c r="BI10" s="145">
        <f t="shared" si="16"/>
        <v>0</v>
      </c>
      <c r="BJ1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Row],[Tipo]]="DROP"),BJ9+TbTradesBinance[[#This Row],[Qtt]],BJ9-TbTradesBinance[[#This Row],[Qtt]]),IF(TbTradesBinance[[#This Row],[Tipo]]="BUY",BJ9-TbTradesBinance[[#This Row],[Qtt]]*TbTradesBinance[[#This Row],[Preço]],BJ9+TbTradesBinance[[#This Row],[Qtt]]*TbTradesBinance[[#This Row],[Preço]])),BJ9)-IF(TbTradesBinance[[#This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Row],[Tipo]]="DROP"),BJ9+TbTradesBinance[[#This Row],[Qtt]],BJ9-TbTradesBinance[[#This Row],[Qtt]]),IF(TbTradesBinance[[#This Row],[Tipo]]="BUY",BJ9-TbTradesBinance[[#This Row],[Qtt]]*TbTradesBinance[[#This Row],[Preço]],BJ9+TbTradesBinance[[#This Row],[Qtt]]*TbTradesBinance[[#This Row],[Preço]])),BJ9)-IF(TbTradesBinance[[#This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Row],[Tipo]]="DROP"),BJ9+TbTradesBinance[[#This Row],[Qtt]],BJ9-TbTradesBinance[[#This Row],[Qtt]]),IF(TbTradesBinance[[#This Row],[Tipo]]="BUY",BJ9-TbTradesBinance[[#This Row],[Qtt]]*TbTradesBinance[[#This Row],[Preço]],BJ9+TbTradesBinance[[#This Row],[Qtt]]*TbTradesBinance[[#This Row],[Preço]])),BJ9)-IF(TbTradesBinance[[#This Row],[Moeda da Taxa]]=MID(BJ$1,9,5),TbTradesBinance[[#This Row],[Taxa]],0),8)))</f>
        <v>0</v>
      </c>
      <c r="BK10" s="145" cm="1">
        <f t="array" ref="BK10">IF(TbTradesBinance[[#This Row],[Tipo]]="EMPTY",0,BK9+IF(TbTradesBinance[[#This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Row],[Par]]))),$1:$1,0)),-(BJ9-BJ10)/BJ9*BK9),0),0)+IF(TbTradesBinance[[#This Row],[Tipo]]="SELL",IF(ISNUMBER(FIND(MID(BK$1,10,5),TbTradesBinance[[#This Row],[Par]])),IF(FIND(MID(BK$1,10,5),TbTradesBinance[[#This Row],[Par]])=1, -(BJ9-BJ10)/BJ9*BK9,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Row],[Par]])),(-(BJ9-BJ10)/BJ9*BK9)+IF(TbTradesBinance[[#This Row],[Resultado]]&gt;0,0,TbTradesBinance[[#This Row],[Taxa]]),0),0))</f>
        <v>0</v>
      </c>
      <c r="BL10" s="145">
        <f t="shared" si="17"/>
        <v>0</v>
      </c>
      <c r="BM1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Row],[Tipo]]="DROP"),BM9+TbTradesBinance[[#This Row],[Qtt]],BM9-TbTradesBinance[[#This Row],[Qtt]]),IF(TbTradesBinance[[#This Row],[Tipo]]="BUY",BM9-TbTradesBinance[[#This Row],[Qtt]]*TbTradesBinance[[#This Row],[Preço]],BM9+TbTradesBinance[[#This Row],[Qtt]]*TbTradesBinance[[#This Row],[Preço]])),BM9)-IF(TbTradesBinance[[#This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Row],[Tipo]]="DROP"),BM9+TbTradesBinance[[#This Row],[Qtt]],BM9-TbTradesBinance[[#This Row],[Qtt]]),IF(TbTradesBinance[[#This Row],[Tipo]]="BUY",BM9-TbTradesBinance[[#This Row],[Qtt]]*TbTradesBinance[[#This Row],[Preço]],BM9+TbTradesBinance[[#This Row],[Qtt]]*TbTradesBinance[[#This Row],[Preço]])),BM9)-IF(TbTradesBinance[[#This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Row],[Tipo]]="DROP"),BM9+TbTradesBinance[[#This Row],[Qtt]],BM9-TbTradesBinance[[#This Row],[Qtt]]),IF(TbTradesBinance[[#This Row],[Tipo]]="BUY",BM9-TbTradesBinance[[#This Row],[Qtt]]*TbTradesBinance[[#This Row],[Preço]],BM9+TbTradesBinance[[#This Row],[Qtt]]*TbTradesBinance[[#This Row],[Preço]])),BM9)-IF(TbTradesBinance[[#This Row],[Moeda da Taxa]]=MID(BM$1,9,5),TbTradesBinance[[#This Row],[Taxa]],0),8)))</f>
        <v>0</v>
      </c>
      <c r="BN10" s="145" cm="1">
        <f t="array" ref="BN10">IF(TbTradesBinance[[#This Row],[Tipo]]="EMPTY",0,BN9+IF(TbTradesBinance[[#This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Row],[Par]]))),$1:$1,0)),-(BM9-BM10)/BM9*BN9),0),0)+IF(TbTradesBinance[[#This Row],[Tipo]]="SELL",IF(ISNUMBER(FIND(MID(BN$1,10,5),TbTradesBinance[[#This Row],[Par]])),IF(FIND(MID(BN$1,10,5),TbTradesBinance[[#This Row],[Par]])=1, -(BM9-BM10)/BM9*BN9,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Row],[Par]])),(-(BM9-BM10)/BM9*BN9)+IF(TbTradesBinance[[#This Row],[Resultado]]&gt;0,0,TbTradesBinance[[#This Row],[Taxa]]),0),0))</f>
        <v>0</v>
      </c>
      <c r="BO10" s="145">
        <f t="shared" si="18"/>
        <v>0</v>
      </c>
    </row>
    <row r="11" spans="1:67" x14ac:dyDescent="0.3">
      <c r="B11" s="51"/>
      <c r="C11" s="40">
        <f>TRUNC(IF(AND(TbTradesBinance[[#This Row],[Tipo]]="SEND",TbTradesBinance[[#This Row],[Par]]="BRL"),TbTradesBinance[[#This Row],[Qtt]]*(1-P9)-IF(TbTradesBinance[[#This Row],[Moeda da Taxa]]="BRL",TbTradesBinance[[#This Row],[Taxa]],0),0)+IF(AND(TbTradesBinance[[#This Row],[Tipo]]="BURN",TbTradesBinance[[#This Row],[Par]]="BRL"),-TbTradesBinance[[#This Row],[Qtt]]*P9,0),2)</f>
        <v>0</v>
      </c>
      <c r="D11" s="53">
        <v>44249.755879629629</v>
      </c>
      <c r="E11" s="37" t="s">
        <v>138</v>
      </c>
      <c r="F11" s="47" t="s">
        <v>139</v>
      </c>
      <c r="G11" s="38">
        <v>302099</v>
      </c>
      <c r="H11" s="38">
        <v>4.7600000000000002E-4</v>
      </c>
      <c r="I11" s="38">
        <v>4.7999999999999996E-7</v>
      </c>
      <c r="J11" s="37" t="s">
        <v>6</v>
      </c>
      <c r="K11" s="52">
        <v>1</v>
      </c>
      <c r="L11" s="40">
        <f t="shared" si="0"/>
        <v>302099</v>
      </c>
      <c r="M11" s="40">
        <f>IF(OR(TbTradesBinance[[#This Row],[Tipo]]="BUY",TbTradesBinance[[#This Row],[Tipo]]="RECEIVE",TbTradesBinance[[#This Row],[Tipo]]="DROP"),L11*H11,-L11*H11)</f>
        <v>143.79912400000001</v>
      </c>
      <c r="N1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Row],[Tipo]]="DROP"),N10+TbTradesBinance[[#This Row],[Qtt]],N10-TbTradesBinance[[#This Row],[Qtt]]),IF(TbTradesBinance[[#This Row],[Tipo]]="BUY",N10-TbTradesBinance[[#This Row],[Qtt]]*TbTradesBinance[[#This Row],[Preço]],N10+TbTradesBinance[[#This Row],[Qtt]]*TbTradesBinance[[#This Row],[Preço]])),N10)-IF(TbTradesBinance[[#This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Row],[Tipo]]="DROP"),N10+TbTradesBinance[[#This Row],[Qtt]],N10-TbTradesBinance[[#This Row],[Qtt]]),IF(TbTradesBinance[[#This Row],[Tipo]]="BUY",N10-TbTradesBinance[[#This Row],[Qtt]]*TbTradesBinance[[#This Row],[Preço]],N10+TbTradesBinance[[#This Row],[Qtt]]*TbTradesBinance[[#This Row],[Preço]])),N10)-IF(TbTradesBinance[[#This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Row],[Tipo]]="DROP"),N10+TbTradesBinance[[#This Row],[Qtt]],N10-TbTradesBinance[[#This Row],[Qtt]]),IF(TbTradesBinance[[#This Row],[Tipo]]="BUY",N10-TbTradesBinance[[#This Row],[Qtt]]*TbTradesBinance[[#This Row],[Preço]],N10+TbTradesBinance[[#This Row],[Qtt]]*TbTradesBinance[[#This Row],[Preço]])),N10)-IF(TbTradesBinance[[#This Row],[Moeda da Taxa]]=MID(N$1,9,5),TbTradesBinance[[#This Row],[Taxa]],0),8)))</f>
        <v>19900.002438</v>
      </c>
      <c r="O11" s="145" cm="1">
        <f t="array" ref="O11">IF(TbTradesBinance[[#This Row],[Tipo]]="EMPTY",0,O10+IF(TbTradesBinance[[#This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Row],[Par]]))),$1:$1,0)),-(N10-N11)/N10*O10),0),0)+IF(TbTradesBinance[[#This Row],[Tipo]]="SELL",IF(ISNUMBER(FIND(MID(O$1,10,5),TbTradesBinance[[#This Row],[Par]])),IF(FIND(MID(O$1,10,5),TbTradesBinance[[#This Row],[Par]])=1, -(N10-N11)/N10*O10,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Row],[Par]])),(-(N10-N11)/N10*O10)+IF(TbTradesBinance[[#This Row],[Resultado]]&gt;0,0,TbTradesBinance[[#This Row],[Taxa]]),0),0))</f>
        <v>19856.515119095351</v>
      </c>
      <c r="P11" s="145">
        <f t="shared" si="1"/>
        <v>0.99781470786045701</v>
      </c>
      <c r="Q1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Row],[Tipo]]="DROP"),Q10+TbTradesBinance[[#This Row],[Qtt]],Q10-TbTradesBinance[[#This Row],[Qtt]]),IF(TbTradesBinance[[#This Row],[Tipo]]="BUY",Q10-TbTradesBinance[[#This Row],[Qtt]]*TbTradesBinance[[#This Row],[Preço]],Q10+TbTradesBinance[[#This Row],[Qtt]]*TbTradesBinance[[#This Row],[Preço]])),Q10)-IF(TbTradesBinance[[#This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Row],[Tipo]]="DROP"),Q10+TbTradesBinance[[#This Row],[Qtt]],Q10-TbTradesBinance[[#This Row],[Qtt]]),IF(TbTradesBinance[[#This Row],[Tipo]]="BUY",Q10-TbTradesBinance[[#This Row],[Qtt]]*TbTradesBinance[[#This Row],[Preço]],Q10+TbTradesBinance[[#This Row],[Qtt]]*TbTradesBinance[[#This Row],[Preço]])),Q10)-IF(TbTradesBinance[[#This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Row],[Tipo]]="DROP"),Q10+TbTradesBinance[[#This Row],[Qtt]],Q10-TbTradesBinance[[#This Row],[Qtt]]),IF(TbTradesBinance[[#This Row],[Tipo]]="BUY",Q10-TbTradesBinance[[#This Row],[Qtt]]*TbTradesBinance[[#This Row],[Preço]],Q10+TbTradesBinance[[#This Row],[Qtt]]*TbTradesBinance[[#This Row],[Preço]])),Q10)-IF(TbTradesBinance[[#This Row],[Moeda da Taxa]]=MID(Q$1,9,5),TbTradesBinance[[#This Row],[Taxa]],0),8)))</f>
        <v>0</v>
      </c>
      <c r="R11" s="145" cm="1">
        <f t="array" ref="R11">IF(TbTradesBinance[[#This Row],[Tipo]]="EMPTY",0,R10+IF(TbTradesBinance[[#This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Row],[Par]]))),$1:$1,0)),-(Q10-Q11)/Q10*R10),0),0)+IF(TbTradesBinance[[#This Row],[Tipo]]="SELL",IF(ISNUMBER(FIND(MID(R$1,10,5),TbTradesBinance[[#This Row],[Par]])),IF(FIND(MID(R$1,10,5),TbTradesBinance[[#This Row],[Par]])=1, -(Q10-Q11)/Q10*R10,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Row],[Par]])),(-(Q10-Q11)/Q10*R10)+IF(TbTradesBinance[[#This Row],[Resultado]]&gt;0,0,TbTradesBinance[[#This Row],[Taxa]]),0),0))</f>
        <v>0</v>
      </c>
      <c r="S11" s="145">
        <f t="shared" si="2"/>
        <v>0</v>
      </c>
      <c r="T1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Row],[Tipo]]="DROP"),T10+TbTradesBinance[[#This Row],[Qtt]],T10-TbTradesBinance[[#This Row],[Qtt]]),IF(TbTradesBinance[[#This Row],[Tipo]]="BUY",T10-TbTradesBinance[[#This Row],[Qtt]]*TbTradesBinance[[#This Row],[Preço]],T10+TbTradesBinance[[#This Row],[Qtt]]*TbTradesBinance[[#This Row],[Preço]])),T10)-IF(TbTradesBinance[[#This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Row],[Tipo]]="DROP"),T10+TbTradesBinance[[#This Row],[Qtt]],T10-TbTradesBinance[[#This Row],[Qtt]]),IF(TbTradesBinance[[#This Row],[Tipo]]="BUY",T10-TbTradesBinance[[#This Row],[Qtt]]*TbTradesBinance[[#This Row],[Preço]],T10+TbTradesBinance[[#This Row],[Qtt]]*TbTradesBinance[[#This Row],[Preço]])),T10)-IF(TbTradesBinance[[#This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Row],[Tipo]]="DROP"),T10+TbTradesBinance[[#This Row],[Qtt]],T10-TbTradesBinance[[#This Row],[Qtt]]),IF(TbTradesBinance[[#This Row],[Tipo]]="BUY",T10-TbTradesBinance[[#This Row],[Qtt]]*TbTradesBinance[[#This Row],[Preço]],T10+TbTradesBinance[[#This Row],[Qtt]]*TbTradesBinance[[#This Row],[Preço]])),T10)-IF(TbTradesBinance[[#This Row],[Moeda da Taxa]]=MID(T$1,9,5),TbTradesBinance[[#This Row],[Taxa]],0),8)))</f>
        <v>0</v>
      </c>
      <c r="U11" s="145" cm="1">
        <f t="array" ref="U11">IF(TbTradesBinance[[#This Row],[Tipo]]="EMPTY",0,U10+IF(TbTradesBinance[[#This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Row],[Par]]))),$1:$1,0)),-(T10-T11)/T10*U10),0),0)+IF(TbTradesBinance[[#This Row],[Tipo]]="SELL",IF(ISNUMBER(FIND(MID(U$1,10,5),TbTradesBinance[[#This Row],[Par]])),IF(FIND(MID(U$1,10,5),TbTradesBinance[[#This Row],[Par]])=1, -(T10-T11)/T10*U10,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Row],[Par]])),(-(T10-T11)/T10*U10)+IF(TbTradesBinance[[#This Row],[Resultado]]&gt;0,0,TbTradesBinance[[#This Row],[Taxa]]),0),0))</f>
        <v>0</v>
      </c>
      <c r="V11" s="145">
        <f t="shared" si="3"/>
        <v>0</v>
      </c>
      <c r="W1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Row],[Tipo]]="DROP"),W10+TbTradesBinance[[#This Row],[Qtt]],W10-TbTradesBinance[[#This Row],[Qtt]]),IF(TbTradesBinance[[#This Row],[Tipo]]="BUY",W10-TbTradesBinance[[#This Row],[Qtt]]*TbTradesBinance[[#This Row],[Preço]],W10+TbTradesBinance[[#This Row],[Qtt]]*TbTradesBinance[[#This Row],[Preço]])),W10)-IF(TbTradesBinance[[#This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Row],[Tipo]]="DROP"),W10+TbTradesBinance[[#This Row],[Qtt]],W10-TbTradesBinance[[#This Row],[Qtt]]),IF(TbTradesBinance[[#This Row],[Tipo]]="BUY",W10-TbTradesBinance[[#This Row],[Qtt]]*TbTradesBinance[[#This Row],[Preço]],W10+TbTradesBinance[[#This Row],[Qtt]]*TbTradesBinance[[#This Row],[Preço]])),W10)-IF(TbTradesBinance[[#This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Row],[Tipo]]="DROP"),W10+TbTradesBinance[[#This Row],[Qtt]],W10-TbTradesBinance[[#This Row],[Qtt]]),IF(TbTradesBinance[[#This Row],[Tipo]]="BUY",W10-TbTradesBinance[[#This Row],[Qtt]]*TbTradesBinance[[#This Row],[Preço]],W10+TbTradesBinance[[#This Row],[Qtt]]*TbTradesBinance[[#This Row],[Preço]])),W10)-IF(TbTradesBinance[[#This Row],[Moeda da Taxa]]=MID(W$1,9,5),TbTradesBinance[[#This Row],[Taxa]],0),8)))</f>
        <v>4.7552E-4</v>
      </c>
      <c r="X11" s="145" cm="1">
        <f t="array" ref="X11">IF(TbTradesBinance[[#This Row],[Tipo]]="EMPTY",0,X10+IF(TbTradesBinance[[#This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Row],[Par]]))),$1:$1,0)),-(W10-W11)/W10*X10),0),0)+IF(TbTradesBinance[[#This Row],[Tipo]]="SELL",IF(ISNUMBER(FIND(MID(X$1,10,5),TbTradesBinance[[#This Row],[Par]])),IF(FIND(MID(X$1,10,5),TbTradesBinance[[#This Row],[Par]])=1, -(W10-W11)/W10*X10,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Row],[Par]])),(-(W10-W11)/W10*X10)+IF(TbTradesBinance[[#This Row],[Resultado]]&gt;0,0,TbTradesBinance[[#This Row],[Taxa]]),0),0))</f>
        <v>143.48488090465065</v>
      </c>
      <c r="Y11" s="145">
        <f t="shared" si="4"/>
        <v>301743.10419046652</v>
      </c>
      <c r="Z1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Row],[Tipo]]="DROP"),Z10+TbTradesBinance[[#This Row],[Qtt]],Z10-TbTradesBinance[[#This Row],[Qtt]]),IF(TbTradesBinance[[#This Row],[Tipo]]="BUY",Z10-TbTradesBinance[[#This Row],[Qtt]]*TbTradesBinance[[#This Row],[Preço]],Z10+TbTradesBinance[[#This Row],[Qtt]]*TbTradesBinance[[#This Row],[Preço]])),Z10)-IF(TbTradesBinance[[#This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Row],[Tipo]]="DROP"),Z10+TbTradesBinance[[#This Row],[Qtt]],Z10-TbTradesBinance[[#This Row],[Qtt]]),IF(TbTradesBinance[[#This Row],[Tipo]]="BUY",Z10-TbTradesBinance[[#This Row],[Qtt]]*TbTradesBinance[[#This Row],[Preço]],Z10+TbTradesBinance[[#This Row],[Qtt]]*TbTradesBinance[[#This Row],[Preço]])),Z10)-IF(TbTradesBinance[[#This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Row],[Tipo]]="DROP"),Z10+TbTradesBinance[[#This Row],[Qtt]],Z10-TbTradesBinance[[#This Row],[Qtt]]),IF(TbTradesBinance[[#This Row],[Tipo]]="BUY",Z10-TbTradesBinance[[#This Row],[Qtt]]*TbTradesBinance[[#This Row],[Preço]],Z10+TbTradesBinance[[#This Row],[Qtt]]*TbTradesBinance[[#This Row],[Preço]])),Z10)-IF(TbTradesBinance[[#This Row],[Moeda da Taxa]]=MID(Z$1,9,5),TbTradesBinance[[#This Row],[Taxa]],0),8)))</f>
        <v>0</v>
      </c>
      <c r="AA11" s="145" cm="1">
        <f t="array" ref="AA11">IF(TbTradesBinance[[#This Row],[Tipo]]="EMPTY",0,AA10+IF(TbTradesBinance[[#This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Row],[Par]]))),$1:$1,0)),-(Z10-Z11)/Z10*AA10),0),0)+IF(TbTradesBinance[[#This Row],[Tipo]]="SELL",IF(ISNUMBER(FIND(MID(AA$1,10,5),TbTradesBinance[[#This Row],[Par]])),IF(FIND(MID(AA$1,10,5),TbTradesBinance[[#This Row],[Par]])=1, -(Z10-Z11)/Z10*AA10,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Row],[Par]])),(-(Z10-Z11)/Z10*AA10)+IF(TbTradesBinance[[#This Row],[Resultado]]&gt;0,0,TbTradesBinance[[#This Row],[Taxa]]),0),0))</f>
        <v>0</v>
      </c>
      <c r="AB11" s="145">
        <f t="shared" si="5"/>
        <v>0</v>
      </c>
      <c r="AC1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Row],[Tipo]]="DROP"),AC10+TbTradesBinance[[#This Row],[Qtt]],AC10-TbTradesBinance[[#This Row],[Qtt]]),IF(TbTradesBinance[[#This Row],[Tipo]]="BUY",AC10-TbTradesBinance[[#This Row],[Qtt]]*TbTradesBinance[[#This Row],[Preço]],AC10+TbTradesBinance[[#This Row],[Qtt]]*TbTradesBinance[[#This Row],[Preço]])),AC10)-IF(TbTradesBinance[[#This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Row],[Tipo]]="DROP"),AC10+TbTradesBinance[[#This Row],[Qtt]],AC10-TbTradesBinance[[#This Row],[Qtt]]),IF(TbTradesBinance[[#This Row],[Tipo]]="BUY",AC10-TbTradesBinance[[#This Row],[Qtt]]*TbTradesBinance[[#This Row],[Preço]],AC10+TbTradesBinance[[#This Row],[Qtt]]*TbTradesBinance[[#This Row],[Preço]])),AC10)-IF(TbTradesBinance[[#This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Row],[Tipo]]="DROP"),AC10+TbTradesBinance[[#This Row],[Qtt]],AC10-TbTradesBinance[[#This Row],[Qtt]]),IF(TbTradesBinance[[#This Row],[Tipo]]="BUY",AC10-TbTradesBinance[[#This Row],[Qtt]]*TbTradesBinance[[#This Row],[Preço]],AC10+TbTradesBinance[[#This Row],[Qtt]]*TbTradesBinance[[#This Row],[Preço]])),AC10)-IF(TbTradesBinance[[#This Row],[Moeda da Taxa]]=MID(AC$1,9,5),TbTradesBinance[[#This Row],[Taxa]],0),8)))</f>
        <v>0</v>
      </c>
      <c r="AD11" s="145" cm="1">
        <f t="array" ref="AD11">IF(TbTradesBinance[[#This Row],[Tipo]]="EMPTY",0,AD10+IF(TbTradesBinance[[#This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Row],[Par]]))),$1:$1,0)),-(AC10-AC11)/AC10*AD10),0),0)+IF(TbTradesBinance[[#This Row],[Tipo]]="SELL",IF(ISNUMBER(FIND(MID(AD$1,10,5),TbTradesBinance[[#This Row],[Par]])),IF(FIND(MID(AD$1,10,5),TbTradesBinance[[#This Row],[Par]])=1, -(AC10-AC11)/AC10*AD10,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Row],[Par]])),(-(AC10-AC11)/AC10*AD10)+IF(TbTradesBinance[[#This Row],[Resultado]]&gt;0,0,TbTradesBinance[[#This Row],[Taxa]]),0),0))</f>
        <v>0</v>
      </c>
      <c r="AE11" s="145">
        <f t="shared" si="6"/>
        <v>0</v>
      </c>
      <c r="AF1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Row],[Tipo]]="DROP"),AF10+TbTradesBinance[[#This Row],[Qtt]],AF10-TbTradesBinance[[#This Row],[Qtt]]),IF(TbTradesBinance[[#This Row],[Tipo]]="BUY",AF10-TbTradesBinance[[#This Row],[Qtt]]*TbTradesBinance[[#This Row],[Preço]],AF10+TbTradesBinance[[#This Row],[Qtt]]*TbTradesBinance[[#This Row],[Preço]])),AF10)-IF(TbTradesBinance[[#This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Row],[Tipo]]="DROP"),AF10+TbTradesBinance[[#This Row],[Qtt]],AF10-TbTradesBinance[[#This Row],[Qtt]]),IF(TbTradesBinance[[#This Row],[Tipo]]="BUY",AF10-TbTradesBinance[[#This Row],[Qtt]]*TbTradesBinance[[#This Row],[Preço]],AF10+TbTradesBinance[[#This Row],[Qtt]]*TbTradesBinance[[#This Row],[Preço]])),AF10)-IF(TbTradesBinance[[#This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Row],[Tipo]]="DROP"),AF10+TbTradesBinance[[#This Row],[Qtt]],AF10-TbTradesBinance[[#This Row],[Qtt]]),IF(TbTradesBinance[[#This Row],[Tipo]]="BUY",AF10-TbTradesBinance[[#This Row],[Qtt]]*TbTradesBinance[[#This Row],[Preço]],AF10+TbTradesBinance[[#This Row],[Qtt]]*TbTradesBinance[[#This Row],[Preço]])),AF10)-IF(TbTradesBinance[[#This Row],[Moeda da Taxa]]=MID(AF$1,9,5),TbTradesBinance[[#This Row],[Taxa]],0),8)))</f>
        <v>0</v>
      </c>
      <c r="AG11" s="145" cm="1">
        <f t="array" ref="AG11">IF(TbTradesBinance[[#This Row],[Tipo]]="EMPTY",0,AG10+IF(TbTradesBinance[[#This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Row],[Par]]))),$1:$1,0)),-(AF10-AF11)/AF10*AG10),0),0)+IF(TbTradesBinance[[#This Row],[Tipo]]="SELL",IF(ISNUMBER(FIND(MID(AG$1,10,5),TbTradesBinance[[#This Row],[Par]])),IF(FIND(MID(AG$1,10,5),TbTradesBinance[[#This Row],[Par]])=1, -(AF10-AF11)/AF10*AG10,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Row],[Par]])),(-(AF10-AF11)/AF10*AG10)+IF(TbTradesBinance[[#This Row],[Resultado]]&gt;0,0,TbTradesBinance[[#This Row],[Taxa]]),0),0))</f>
        <v>0</v>
      </c>
      <c r="AH11" s="145">
        <f t="shared" si="7"/>
        <v>0</v>
      </c>
      <c r="AI1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Row],[Tipo]]="DROP"),AI10+TbTradesBinance[[#This Row],[Qtt]],AI10-TbTradesBinance[[#This Row],[Qtt]]),IF(TbTradesBinance[[#This Row],[Tipo]]="BUY",AI10-TbTradesBinance[[#This Row],[Qtt]]*TbTradesBinance[[#This Row],[Preço]],AI10+TbTradesBinance[[#This Row],[Qtt]]*TbTradesBinance[[#This Row],[Preço]])),AI10)-IF(TbTradesBinance[[#This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Row],[Tipo]]="DROP"),AI10+TbTradesBinance[[#This Row],[Qtt]],AI10-TbTradesBinance[[#This Row],[Qtt]]),IF(TbTradesBinance[[#This Row],[Tipo]]="BUY",AI10-TbTradesBinance[[#This Row],[Qtt]]*TbTradesBinance[[#This Row],[Preço]],AI10+TbTradesBinance[[#This Row],[Qtt]]*TbTradesBinance[[#This Row],[Preço]])),AI10)-IF(TbTradesBinance[[#This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Row],[Tipo]]="DROP"),AI10+TbTradesBinance[[#This Row],[Qtt]],AI10-TbTradesBinance[[#This Row],[Qtt]]),IF(TbTradesBinance[[#This Row],[Tipo]]="BUY",AI10-TbTradesBinance[[#This Row],[Qtt]]*TbTradesBinance[[#This Row],[Preço]],AI10+TbTradesBinance[[#This Row],[Qtt]]*TbTradesBinance[[#This Row],[Preço]])),AI10)-IF(TbTradesBinance[[#This Row],[Moeda da Taxa]]=MID(AI$1,9,5),TbTradesBinance[[#This Row],[Taxa]],0),8)))</f>
        <v>0</v>
      </c>
      <c r="AJ11" s="145" cm="1">
        <f t="array" ref="AJ11">IF(TbTradesBinance[[#This Row],[Tipo]]="EMPTY",0,AJ10+IF(TbTradesBinance[[#This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Row],[Par]]))),$1:$1,0)),-(AI10-AI11)/AI10*AJ10),0),0)+IF(TbTradesBinance[[#This Row],[Tipo]]="SELL",IF(ISNUMBER(FIND(MID(AJ$1,10,5),TbTradesBinance[[#This Row],[Par]])),IF(FIND(MID(AJ$1,10,5),TbTradesBinance[[#This Row],[Par]])=1, -(AI10-AI11)/AI10*AJ10,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Row],[Par]])),(-(AI10-AI11)/AI10*AJ10)+IF(TbTradesBinance[[#This Row],[Resultado]]&gt;0,0,TbTradesBinance[[#This Row],[Taxa]]),0),0))</f>
        <v>0</v>
      </c>
      <c r="AK11" s="145">
        <f t="shared" si="8"/>
        <v>0</v>
      </c>
      <c r="AL1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Row],[Tipo]]="DROP"),AL10+TbTradesBinance[[#This Row],[Qtt]],AL10-TbTradesBinance[[#This Row],[Qtt]]),IF(TbTradesBinance[[#This Row],[Tipo]]="BUY",AL10-TbTradesBinance[[#This Row],[Qtt]]*TbTradesBinance[[#This Row],[Preço]],AL10+TbTradesBinance[[#This Row],[Qtt]]*TbTradesBinance[[#This Row],[Preço]])),AL10)-IF(TbTradesBinance[[#This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Row],[Tipo]]="DROP"),AL10+TbTradesBinance[[#This Row],[Qtt]],AL10-TbTradesBinance[[#This Row],[Qtt]]),IF(TbTradesBinance[[#This Row],[Tipo]]="BUY",AL10-TbTradesBinance[[#This Row],[Qtt]]*TbTradesBinance[[#This Row],[Preço]],AL10+TbTradesBinance[[#This Row],[Qtt]]*TbTradesBinance[[#This Row],[Preço]])),AL10)-IF(TbTradesBinance[[#This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Row],[Tipo]]="DROP"),AL10+TbTradesBinance[[#This Row],[Qtt]],AL10-TbTradesBinance[[#This Row],[Qtt]]),IF(TbTradesBinance[[#This Row],[Tipo]]="BUY",AL10-TbTradesBinance[[#This Row],[Qtt]]*TbTradesBinance[[#This Row],[Preço]],AL10+TbTradesBinance[[#This Row],[Qtt]]*TbTradesBinance[[#This Row],[Preço]])),AL10)-IF(TbTradesBinance[[#This Row],[Moeda da Taxa]]=MID(AL$1,9,5),TbTradesBinance[[#This Row],[Taxa]],0),8)))</f>
        <v>0</v>
      </c>
      <c r="AM11" s="145" cm="1">
        <f t="array" ref="AM11">IF(TbTradesBinance[[#This Row],[Tipo]]="EMPTY",0,AM10+IF(TbTradesBinance[[#This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Row],[Par]]))),$1:$1,0)),-(AL10-AL11)/AL10*AM10),0),0)+IF(TbTradesBinance[[#This Row],[Tipo]]="SELL",IF(ISNUMBER(FIND(MID(AM$1,10,5),TbTradesBinance[[#This Row],[Par]])),IF(FIND(MID(AM$1,10,5),TbTradesBinance[[#This Row],[Par]])=1, -(AL10-AL11)/AL10*AM10,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Row],[Par]])),(-(AL10-AL11)/AL10*AM10)+IF(TbTradesBinance[[#This Row],[Resultado]]&gt;0,0,TbTradesBinance[[#This Row],[Taxa]]),0),0))</f>
        <v>0</v>
      </c>
      <c r="AN11" s="145">
        <f t="shared" si="9"/>
        <v>0</v>
      </c>
      <c r="AO1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Row],[Tipo]]="DROP"),AO10+TbTradesBinance[[#This Row],[Qtt]],AO10-TbTradesBinance[[#This Row],[Qtt]]),IF(TbTradesBinance[[#This Row],[Tipo]]="BUY",AO10-TbTradesBinance[[#This Row],[Qtt]]*TbTradesBinance[[#This Row],[Preço]],AO10+TbTradesBinance[[#This Row],[Qtt]]*TbTradesBinance[[#This Row],[Preço]])),AO10)-IF(TbTradesBinance[[#This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Row],[Tipo]]="DROP"),AO10+TbTradesBinance[[#This Row],[Qtt]],AO10-TbTradesBinance[[#This Row],[Qtt]]),IF(TbTradesBinance[[#This Row],[Tipo]]="BUY",AO10-TbTradesBinance[[#This Row],[Qtt]]*TbTradesBinance[[#This Row],[Preço]],AO10+TbTradesBinance[[#This Row],[Qtt]]*TbTradesBinance[[#This Row],[Preço]])),AO10)-IF(TbTradesBinance[[#This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Row],[Tipo]]="DROP"),AO10+TbTradesBinance[[#This Row],[Qtt]],AO10-TbTradesBinance[[#This Row],[Qtt]]),IF(TbTradesBinance[[#This Row],[Tipo]]="BUY",AO10-TbTradesBinance[[#This Row],[Qtt]]*TbTradesBinance[[#This Row],[Preço]],AO10+TbTradesBinance[[#This Row],[Qtt]]*TbTradesBinance[[#This Row],[Preço]])),AO10)-IF(TbTradesBinance[[#This Row],[Moeda da Taxa]]=MID(AO$1,9,5),TbTradesBinance[[#This Row],[Taxa]],0),8)))</f>
        <v>0</v>
      </c>
      <c r="AP11" s="145" cm="1">
        <f t="array" ref="AP11">IF(TbTradesBinance[[#This Row],[Tipo]]="EMPTY",0,AP10+IF(TbTradesBinance[[#This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Row],[Par]]))),$1:$1,0)),-(AO10-AO11)/AO10*AP10),0),0)+IF(TbTradesBinance[[#This Row],[Tipo]]="SELL",IF(ISNUMBER(FIND(MID(AP$1,10,5),TbTradesBinance[[#This Row],[Par]])),IF(FIND(MID(AP$1,10,5),TbTradesBinance[[#This Row],[Par]])=1, -(AO10-AO11)/AO10*AP10,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Row],[Par]])),(-(AO10-AO11)/AO10*AP10)+IF(TbTradesBinance[[#This Row],[Resultado]]&gt;0,0,TbTradesBinance[[#This Row],[Taxa]]),0),0))</f>
        <v>0</v>
      </c>
      <c r="AQ11" s="145">
        <f t="shared" si="10"/>
        <v>0</v>
      </c>
      <c r="AR1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Row],[Tipo]]="DROP"),AR10+TbTradesBinance[[#This Row],[Qtt]],AR10-TbTradesBinance[[#This Row],[Qtt]]),IF(TbTradesBinance[[#This Row],[Tipo]]="BUY",AR10-TbTradesBinance[[#This Row],[Qtt]]*TbTradesBinance[[#This Row],[Preço]],AR10+TbTradesBinance[[#This Row],[Qtt]]*TbTradesBinance[[#This Row],[Preço]])),AR10)-IF(TbTradesBinance[[#This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Row],[Tipo]]="DROP"),AR10+TbTradesBinance[[#This Row],[Qtt]],AR10-TbTradesBinance[[#This Row],[Qtt]]),IF(TbTradesBinance[[#This Row],[Tipo]]="BUY",AR10-TbTradesBinance[[#This Row],[Qtt]]*TbTradesBinance[[#This Row],[Preço]],AR10+TbTradesBinance[[#This Row],[Qtt]]*TbTradesBinance[[#This Row],[Preço]])),AR10)-IF(TbTradesBinance[[#This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Row],[Tipo]]="DROP"),AR10+TbTradesBinance[[#This Row],[Qtt]],AR10-TbTradesBinance[[#This Row],[Qtt]]),IF(TbTradesBinance[[#This Row],[Tipo]]="BUY",AR10-TbTradesBinance[[#This Row],[Qtt]]*TbTradesBinance[[#This Row],[Preço]],AR10+TbTradesBinance[[#This Row],[Qtt]]*TbTradesBinance[[#This Row],[Preço]])),AR10)-IF(TbTradesBinance[[#This Row],[Moeda da Taxa]]=MID(AR$1,9,5),TbTradesBinance[[#This Row],[Taxa]],0),8)))</f>
        <v>0</v>
      </c>
      <c r="AS11" s="145" cm="1">
        <f t="array" ref="AS11">IF(TbTradesBinance[[#This Row],[Tipo]]="EMPTY",0,AS10+IF(TbTradesBinance[[#This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Row],[Par]]))),$1:$1,0)),-(AR10-AR11)/AR10*AS10),0),0)+IF(TbTradesBinance[[#This Row],[Tipo]]="SELL",IF(ISNUMBER(FIND(MID(AS$1,10,5),TbTradesBinance[[#This Row],[Par]])),IF(FIND(MID(AS$1,10,5),TbTradesBinance[[#This Row],[Par]])=1, -(AR10-AR11)/AR10*AS10,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Row],[Par]])),(-(AR10-AR11)/AR10*AS10)+IF(TbTradesBinance[[#This Row],[Resultado]]&gt;0,0,TbTradesBinance[[#This Row],[Taxa]]),0),0))</f>
        <v>0</v>
      </c>
      <c r="AT11" s="145">
        <f t="shared" si="11"/>
        <v>0</v>
      </c>
      <c r="AU1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Row],[Tipo]]="DROP"),AU10+TbTradesBinance[[#This Row],[Qtt]],AU10-TbTradesBinance[[#This Row],[Qtt]]),IF(TbTradesBinance[[#This Row],[Tipo]]="BUY",AU10-TbTradesBinance[[#This Row],[Qtt]]*TbTradesBinance[[#This Row],[Preço]],AU10+TbTradesBinance[[#This Row],[Qtt]]*TbTradesBinance[[#This Row],[Preço]])),AU10)-IF(TbTradesBinance[[#This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Row],[Tipo]]="DROP"),AU10+TbTradesBinance[[#This Row],[Qtt]],AU10-TbTradesBinance[[#This Row],[Qtt]]),IF(TbTradesBinance[[#This Row],[Tipo]]="BUY",AU10-TbTradesBinance[[#This Row],[Qtt]]*TbTradesBinance[[#This Row],[Preço]],AU10+TbTradesBinance[[#This Row],[Qtt]]*TbTradesBinance[[#This Row],[Preço]])),AU10)-IF(TbTradesBinance[[#This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Row],[Tipo]]="DROP"),AU10+TbTradesBinance[[#This Row],[Qtt]],AU10-TbTradesBinance[[#This Row],[Qtt]]),IF(TbTradesBinance[[#This Row],[Tipo]]="BUY",AU10-TbTradesBinance[[#This Row],[Qtt]]*TbTradesBinance[[#This Row],[Preço]],AU10+TbTradesBinance[[#This Row],[Qtt]]*TbTradesBinance[[#This Row],[Preço]])),AU10)-IF(TbTradesBinance[[#This Row],[Moeda da Taxa]]=MID(AU$1,9,5),TbTradesBinance[[#This Row],[Taxa]],0),8)))</f>
        <v>0</v>
      </c>
      <c r="AV11" s="145" cm="1">
        <f t="array" ref="AV11">IF(TbTradesBinance[[#This Row],[Tipo]]="EMPTY",0,AV10+IF(TbTradesBinance[[#This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Row],[Par]]))),$1:$1,0)),-(AU10-AU11)/AU10*AV10),0),0)+IF(TbTradesBinance[[#This Row],[Tipo]]="SELL",IF(ISNUMBER(FIND(MID(AV$1,10,5),TbTradesBinance[[#This Row],[Par]])),IF(FIND(MID(AV$1,10,5),TbTradesBinance[[#This Row],[Par]])=1, -(AU10-AU11)/AU10*AV10,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Row],[Par]])),(-(AU10-AU11)/AU10*AV10)+IF(TbTradesBinance[[#This Row],[Resultado]]&gt;0,0,TbTradesBinance[[#This Row],[Taxa]]),0),0))</f>
        <v>0</v>
      </c>
      <c r="AW11" s="145">
        <f t="shared" si="12"/>
        <v>0</v>
      </c>
      <c r="AX1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Row],[Tipo]]="DROP"),AX10+TbTradesBinance[[#This Row],[Qtt]],AX10-TbTradesBinance[[#This Row],[Qtt]]),IF(TbTradesBinance[[#This Row],[Tipo]]="BUY",AX10-TbTradesBinance[[#This Row],[Qtt]]*TbTradesBinance[[#This Row],[Preço]],AX10+TbTradesBinance[[#This Row],[Qtt]]*TbTradesBinance[[#This Row],[Preço]])),AX10)-IF(TbTradesBinance[[#This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Row],[Tipo]]="DROP"),AX10+TbTradesBinance[[#This Row],[Qtt]],AX10-TbTradesBinance[[#This Row],[Qtt]]),IF(TbTradesBinance[[#This Row],[Tipo]]="BUY",AX10-TbTradesBinance[[#This Row],[Qtt]]*TbTradesBinance[[#This Row],[Preço]],AX10+TbTradesBinance[[#This Row],[Qtt]]*TbTradesBinance[[#This Row],[Preço]])),AX10)-IF(TbTradesBinance[[#This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Row],[Tipo]]="DROP"),AX10+TbTradesBinance[[#This Row],[Qtt]],AX10-TbTradesBinance[[#This Row],[Qtt]]),IF(TbTradesBinance[[#This Row],[Tipo]]="BUY",AX10-TbTradesBinance[[#This Row],[Qtt]]*TbTradesBinance[[#This Row],[Preço]],AX10+TbTradesBinance[[#This Row],[Qtt]]*TbTradesBinance[[#This Row],[Preço]])),AX10)-IF(TbTradesBinance[[#This Row],[Moeda da Taxa]]=MID(AX$1,9,5),TbTradesBinance[[#This Row],[Taxa]],0),8)))</f>
        <v>0</v>
      </c>
      <c r="AY11" s="145" cm="1">
        <f t="array" ref="AY11">IF(TbTradesBinance[[#This Row],[Tipo]]="EMPTY",0,AY10+IF(TbTradesBinance[[#This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Row],[Par]]))),$1:$1,0)),-(AX10-AX11)/AX10*AY10),0),0)+IF(TbTradesBinance[[#This Row],[Tipo]]="SELL",IF(ISNUMBER(FIND(MID(AY$1,10,5),TbTradesBinance[[#This Row],[Par]])),IF(FIND(MID(AY$1,10,5),TbTradesBinance[[#This Row],[Par]])=1, -(AX10-AX11)/AX10*AY10,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Row],[Par]])),(-(AX10-AX11)/AX10*AY10)+IF(TbTradesBinance[[#This Row],[Resultado]]&gt;0,0,TbTradesBinance[[#This Row],[Taxa]]),0),0))</f>
        <v>0</v>
      </c>
      <c r="AZ11" s="145">
        <f t="shared" si="13"/>
        <v>0</v>
      </c>
      <c r="BA1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Row],[Tipo]]="DROP"),BA10+TbTradesBinance[[#This Row],[Qtt]],BA10-TbTradesBinance[[#This Row],[Qtt]]),IF(TbTradesBinance[[#This Row],[Tipo]]="BUY",BA10-TbTradesBinance[[#This Row],[Qtt]]*TbTradesBinance[[#This Row],[Preço]],BA10+TbTradesBinance[[#This Row],[Qtt]]*TbTradesBinance[[#This Row],[Preço]])),BA10)-IF(TbTradesBinance[[#This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Row],[Tipo]]="DROP"),BA10+TbTradesBinance[[#This Row],[Qtt]],BA10-TbTradesBinance[[#This Row],[Qtt]]),IF(TbTradesBinance[[#This Row],[Tipo]]="BUY",BA10-TbTradesBinance[[#This Row],[Qtt]]*TbTradesBinance[[#This Row],[Preço]],BA10+TbTradesBinance[[#This Row],[Qtt]]*TbTradesBinance[[#This Row],[Preço]])),BA10)-IF(TbTradesBinance[[#This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Row],[Tipo]]="DROP"),BA10+TbTradesBinance[[#This Row],[Qtt]],BA10-TbTradesBinance[[#This Row],[Qtt]]),IF(TbTradesBinance[[#This Row],[Tipo]]="BUY",BA10-TbTradesBinance[[#This Row],[Qtt]]*TbTradesBinance[[#This Row],[Preço]],BA10+TbTradesBinance[[#This Row],[Qtt]]*TbTradesBinance[[#This Row],[Preço]])),BA10)-IF(TbTradesBinance[[#This Row],[Moeda da Taxa]]=MID(BA$1,9,5),TbTradesBinance[[#This Row],[Taxa]],0),8)))</f>
        <v>0</v>
      </c>
      <c r="BB11" s="145" cm="1">
        <f t="array" ref="BB11">IF(TbTradesBinance[[#This Row],[Tipo]]="EMPTY",0,BB10+IF(TbTradesBinance[[#This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Row],[Par]]))),$1:$1,0)),-(BA10-BA11)/BA10*BB10),0),0)+IF(TbTradesBinance[[#This Row],[Tipo]]="SELL",IF(ISNUMBER(FIND(MID(BB$1,10,5),TbTradesBinance[[#This Row],[Par]])),IF(FIND(MID(BB$1,10,5),TbTradesBinance[[#This Row],[Par]])=1, -(BA10-BA11)/BA10*BB10,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Row],[Par]])),(-(BA10-BA11)/BA10*BB10)+IF(TbTradesBinance[[#This Row],[Resultado]]&gt;0,0,TbTradesBinance[[#This Row],[Taxa]]),0),0))</f>
        <v>0</v>
      </c>
      <c r="BC11" s="145">
        <f t="shared" si="14"/>
        <v>0</v>
      </c>
      <c r="BD1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Row],[Tipo]]="DROP"),BD10+TbTradesBinance[[#This Row],[Qtt]],BD10-TbTradesBinance[[#This Row],[Qtt]]),IF(TbTradesBinance[[#This Row],[Tipo]]="BUY",BD10-TbTradesBinance[[#This Row],[Qtt]]*TbTradesBinance[[#This Row],[Preço]],BD10+TbTradesBinance[[#This Row],[Qtt]]*TbTradesBinance[[#This Row],[Preço]])),BD10)-IF(TbTradesBinance[[#This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Row],[Tipo]]="DROP"),BD10+TbTradesBinance[[#This Row],[Qtt]],BD10-TbTradesBinance[[#This Row],[Qtt]]),IF(TbTradesBinance[[#This Row],[Tipo]]="BUY",BD10-TbTradesBinance[[#This Row],[Qtt]]*TbTradesBinance[[#This Row],[Preço]],BD10+TbTradesBinance[[#This Row],[Qtt]]*TbTradesBinance[[#This Row],[Preço]])),BD10)-IF(TbTradesBinance[[#This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Row],[Tipo]]="DROP"),BD10+TbTradesBinance[[#This Row],[Qtt]],BD10-TbTradesBinance[[#This Row],[Qtt]]),IF(TbTradesBinance[[#This Row],[Tipo]]="BUY",BD10-TbTradesBinance[[#This Row],[Qtt]]*TbTradesBinance[[#This Row],[Preço]],BD10+TbTradesBinance[[#This Row],[Qtt]]*TbTradesBinance[[#This Row],[Preço]])),BD10)-IF(TbTradesBinance[[#This Row],[Moeda da Taxa]]=MID(BD$1,9,5),TbTradesBinance[[#This Row],[Taxa]],0),8)))</f>
        <v>0</v>
      </c>
      <c r="BE11" s="145" cm="1">
        <f t="array" ref="BE11">IF(TbTradesBinance[[#This Row],[Tipo]]="EMPTY",0,BE10+IF(TbTradesBinance[[#This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Row],[Par]]))),$1:$1,0)),-(BD10-BD11)/BD10*BE10),0),0)+IF(TbTradesBinance[[#This Row],[Tipo]]="SELL",IF(ISNUMBER(FIND(MID(BE$1,10,5),TbTradesBinance[[#This Row],[Par]])),IF(FIND(MID(BE$1,10,5),TbTradesBinance[[#This Row],[Par]])=1, -(BD10-BD11)/BD10*BE10,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Row],[Par]])),(-(BD10-BD11)/BD10*BE10)+IF(TbTradesBinance[[#This Row],[Resultado]]&gt;0,0,TbTradesBinance[[#This Row],[Taxa]]),0),0))</f>
        <v>0</v>
      </c>
      <c r="BF11" s="145">
        <f t="shared" si="15"/>
        <v>0</v>
      </c>
      <c r="BG1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Row],[Tipo]]="DROP"),BG10+TbTradesBinance[[#This Row],[Qtt]],BG10-TbTradesBinance[[#This Row],[Qtt]]),IF(TbTradesBinance[[#This Row],[Tipo]]="BUY",BG10-TbTradesBinance[[#This Row],[Qtt]]*TbTradesBinance[[#This Row],[Preço]],BG10+TbTradesBinance[[#This Row],[Qtt]]*TbTradesBinance[[#This Row],[Preço]])),BG10)-IF(TbTradesBinance[[#This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Row],[Tipo]]="DROP"),BG10+TbTradesBinance[[#This Row],[Qtt]],BG10-TbTradesBinance[[#This Row],[Qtt]]),IF(TbTradesBinance[[#This Row],[Tipo]]="BUY",BG10-TbTradesBinance[[#This Row],[Qtt]]*TbTradesBinance[[#This Row],[Preço]],BG10+TbTradesBinance[[#This Row],[Qtt]]*TbTradesBinance[[#This Row],[Preço]])),BG10)-IF(TbTradesBinance[[#This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Row],[Tipo]]="DROP"),BG10+TbTradesBinance[[#This Row],[Qtt]],BG10-TbTradesBinance[[#This Row],[Qtt]]),IF(TbTradesBinance[[#This Row],[Tipo]]="BUY",BG10-TbTradesBinance[[#This Row],[Qtt]]*TbTradesBinance[[#This Row],[Preço]],BG10+TbTradesBinance[[#This Row],[Qtt]]*TbTradesBinance[[#This Row],[Preço]])),BG10)-IF(TbTradesBinance[[#This Row],[Moeda da Taxa]]=MID(BG$1,9,5),TbTradesBinance[[#This Row],[Taxa]],0),8)))</f>
        <v>0</v>
      </c>
      <c r="BH11" s="145" cm="1">
        <f t="array" ref="BH11">IF(TbTradesBinance[[#This Row],[Tipo]]="EMPTY",0,BH10+IF(TbTradesBinance[[#This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Row],[Par]]))),$1:$1,0)),-(BG10-BG11)/BG10*BH10),0),0)+IF(TbTradesBinance[[#This Row],[Tipo]]="SELL",IF(ISNUMBER(FIND(MID(BH$1,10,5),TbTradesBinance[[#This Row],[Par]])),IF(FIND(MID(BH$1,10,5),TbTradesBinance[[#This Row],[Par]])=1, -(BG10-BG11)/BG10*BH10,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Row],[Par]])),(-(BG10-BG11)/BG10*BH10)+IF(TbTradesBinance[[#This Row],[Resultado]]&gt;0,0,TbTradesBinance[[#This Row],[Taxa]]),0),0))</f>
        <v>0</v>
      </c>
      <c r="BI11" s="145">
        <f t="shared" si="16"/>
        <v>0</v>
      </c>
      <c r="BJ1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Row],[Tipo]]="DROP"),BJ10+TbTradesBinance[[#This Row],[Qtt]],BJ10-TbTradesBinance[[#This Row],[Qtt]]),IF(TbTradesBinance[[#This Row],[Tipo]]="BUY",BJ10-TbTradesBinance[[#This Row],[Qtt]]*TbTradesBinance[[#This Row],[Preço]],BJ10+TbTradesBinance[[#This Row],[Qtt]]*TbTradesBinance[[#This Row],[Preço]])),BJ10)-IF(TbTradesBinance[[#This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Row],[Tipo]]="DROP"),BJ10+TbTradesBinance[[#This Row],[Qtt]],BJ10-TbTradesBinance[[#This Row],[Qtt]]),IF(TbTradesBinance[[#This Row],[Tipo]]="BUY",BJ10-TbTradesBinance[[#This Row],[Qtt]]*TbTradesBinance[[#This Row],[Preço]],BJ10+TbTradesBinance[[#This Row],[Qtt]]*TbTradesBinance[[#This Row],[Preço]])),BJ10)-IF(TbTradesBinance[[#This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Row],[Tipo]]="DROP"),BJ10+TbTradesBinance[[#This Row],[Qtt]],BJ10-TbTradesBinance[[#This Row],[Qtt]]),IF(TbTradesBinance[[#This Row],[Tipo]]="BUY",BJ10-TbTradesBinance[[#This Row],[Qtt]]*TbTradesBinance[[#This Row],[Preço]],BJ10+TbTradesBinance[[#This Row],[Qtt]]*TbTradesBinance[[#This Row],[Preço]])),BJ10)-IF(TbTradesBinance[[#This Row],[Moeda da Taxa]]=MID(BJ$1,9,5),TbTradesBinance[[#This Row],[Taxa]],0),8)))</f>
        <v>0</v>
      </c>
      <c r="BK11" s="145" cm="1">
        <f t="array" ref="BK11">IF(TbTradesBinance[[#This Row],[Tipo]]="EMPTY",0,BK10+IF(TbTradesBinance[[#This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Row],[Par]]))),$1:$1,0)),-(BJ10-BJ11)/BJ10*BK10),0),0)+IF(TbTradesBinance[[#This Row],[Tipo]]="SELL",IF(ISNUMBER(FIND(MID(BK$1,10,5),TbTradesBinance[[#This Row],[Par]])),IF(FIND(MID(BK$1,10,5),TbTradesBinance[[#This Row],[Par]])=1, -(BJ10-BJ11)/BJ10*BK10,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Row],[Par]])),(-(BJ10-BJ11)/BJ10*BK10)+IF(TbTradesBinance[[#This Row],[Resultado]]&gt;0,0,TbTradesBinance[[#This Row],[Taxa]]),0),0))</f>
        <v>0</v>
      </c>
      <c r="BL11" s="145">
        <f t="shared" si="17"/>
        <v>0</v>
      </c>
      <c r="BM1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Row],[Tipo]]="DROP"),BM10+TbTradesBinance[[#This Row],[Qtt]],BM10-TbTradesBinance[[#This Row],[Qtt]]),IF(TbTradesBinance[[#This Row],[Tipo]]="BUY",BM10-TbTradesBinance[[#This Row],[Qtt]]*TbTradesBinance[[#This Row],[Preço]],BM10+TbTradesBinance[[#This Row],[Qtt]]*TbTradesBinance[[#This Row],[Preço]])),BM10)-IF(TbTradesBinance[[#This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Row],[Tipo]]="DROP"),BM10+TbTradesBinance[[#This Row],[Qtt]],BM10-TbTradesBinance[[#This Row],[Qtt]]),IF(TbTradesBinance[[#This Row],[Tipo]]="BUY",BM10-TbTradesBinance[[#This Row],[Qtt]]*TbTradesBinance[[#This Row],[Preço]],BM10+TbTradesBinance[[#This Row],[Qtt]]*TbTradesBinance[[#This Row],[Preço]])),BM10)-IF(TbTradesBinance[[#This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Row],[Tipo]]="DROP"),BM10+TbTradesBinance[[#This Row],[Qtt]],BM10-TbTradesBinance[[#This Row],[Qtt]]),IF(TbTradesBinance[[#This Row],[Tipo]]="BUY",BM10-TbTradesBinance[[#This Row],[Qtt]]*TbTradesBinance[[#This Row],[Preço]],BM10+TbTradesBinance[[#This Row],[Qtt]]*TbTradesBinance[[#This Row],[Preço]])),BM10)-IF(TbTradesBinance[[#This Row],[Moeda da Taxa]]=MID(BM$1,9,5),TbTradesBinance[[#This Row],[Taxa]],0),8)))</f>
        <v>0</v>
      </c>
      <c r="BN11" s="145" cm="1">
        <f t="array" ref="BN11">IF(TbTradesBinance[[#This Row],[Tipo]]="EMPTY",0,BN10+IF(TbTradesBinance[[#This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Row],[Par]]))),$1:$1,0)),-(BM10-BM11)/BM10*BN10),0),0)+IF(TbTradesBinance[[#This Row],[Tipo]]="SELL",IF(ISNUMBER(FIND(MID(BN$1,10,5),TbTradesBinance[[#This Row],[Par]])),IF(FIND(MID(BN$1,10,5),TbTradesBinance[[#This Row],[Par]])=1, -(BM10-BM11)/BM10*BN10,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Row],[Par]])),(-(BM10-BM11)/BM10*BN10)+IF(TbTradesBinance[[#This Row],[Resultado]]&gt;0,0,TbTradesBinance[[#This Row],[Taxa]]),0),0))</f>
        <v>0</v>
      </c>
      <c r="BO11" s="145">
        <f t="shared" si="18"/>
        <v>0</v>
      </c>
    </row>
    <row r="12" spans="1:67" x14ac:dyDescent="0.3">
      <c r="B12" s="51"/>
      <c r="C12" s="40">
        <f>TRUNC(IF(AND(TbTradesBinance[[#This Row],[Tipo]]="SEND",TbTradesBinance[[#This Row],[Par]]="BRL"),TbTradesBinance[[#This Row],[Qtt]]*(1-P10)-IF(TbTradesBinance[[#This Row],[Moeda da Taxa]]="BRL",TbTradesBinance[[#This Row],[Taxa]],0),0)+IF(AND(TbTradesBinance[[#This Row],[Tipo]]="BURN",TbTradesBinance[[#This Row],[Par]]="BRL"),-TbTradesBinance[[#This Row],[Qtt]]*P10,0),2)</f>
        <v>0</v>
      </c>
      <c r="D12" s="53">
        <v>44249.756157407406</v>
      </c>
      <c r="E12" s="37" t="s">
        <v>236</v>
      </c>
      <c r="F12" s="47" t="s">
        <v>140</v>
      </c>
      <c r="G12" s="38">
        <v>44722.35</v>
      </c>
      <c r="H12" s="38">
        <v>4.75E-4</v>
      </c>
      <c r="I12" s="38">
        <v>2.1243120000000001E-2</v>
      </c>
      <c r="J12" s="37" t="s">
        <v>60</v>
      </c>
      <c r="K12" s="52">
        <v>6.6340000000000003</v>
      </c>
      <c r="L12" s="40">
        <f t="shared" si="0"/>
        <v>296688.06</v>
      </c>
      <c r="M12" s="40">
        <f>IF(OR(TbTradesBinance[[#This Row],[Tipo]]="BUY",TbTradesBinance[[#This Row],[Tipo]]="RECEIVE",TbTradesBinance[[#This Row],[Tipo]]="DROP"),L12*H12,-L12*H12)</f>
        <v>-140.9268285</v>
      </c>
      <c r="N1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Row],[Tipo]]="DROP"),N11+TbTradesBinance[[#This Row],[Qtt]],N11-TbTradesBinance[[#This Row],[Qtt]]),IF(TbTradesBinance[[#This Row],[Tipo]]="BUY",N11-TbTradesBinance[[#This Row],[Qtt]]*TbTradesBinance[[#This Row],[Preço]],N11+TbTradesBinance[[#This Row],[Qtt]]*TbTradesBinance[[#This Row],[Preço]])),N11)-IF(TbTradesBinance[[#This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Row],[Tipo]]="DROP"),N11+TbTradesBinance[[#This Row],[Qtt]],N11-TbTradesBinance[[#This Row],[Qtt]]),IF(TbTradesBinance[[#This Row],[Tipo]]="BUY",N11-TbTradesBinance[[#This Row],[Qtt]]*TbTradesBinance[[#This Row],[Preço]],N11+TbTradesBinance[[#This Row],[Qtt]]*TbTradesBinance[[#This Row],[Preço]])),N11)-IF(TbTradesBinance[[#This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Row],[Tipo]]="DROP"),N11+TbTradesBinance[[#This Row],[Qtt]],N11-TbTradesBinance[[#This Row],[Qtt]]),IF(TbTradesBinance[[#This Row],[Tipo]]="BUY",N11-TbTradesBinance[[#This Row],[Qtt]]*TbTradesBinance[[#This Row],[Preço]],N11+TbTradesBinance[[#This Row],[Qtt]]*TbTradesBinance[[#This Row],[Preço]])),N11)-IF(TbTradesBinance[[#This Row],[Moeda da Taxa]]=MID(N$1,9,5),TbTradesBinance[[#This Row],[Taxa]],0),8)))</f>
        <v>19900.002438</v>
      </c>
      <c r="O12" s="145" cm="1">
        <f t="array" ref="O12">IF(TbTradesBinance[[#This Row],[Tipo]]="EMPTY",0,O11+IF(TbTradesBinance[[#This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Row],[Par]]))),$1:$1,0)),-(N11-N12)/N11*O11),0),0)+IF(TbTradesBinance[[#This Row],[Tipo]]="SELL",IF(ISNUMBER(FIND(MID(O$1,10,5),TbTradesBinance[[#This Row],[Par]])),IF(FIND(MID(O$1,10,5),TbTradesBinance[[#This Row],[Par]])=1, -(N11-N12)/N11*O11,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Row],[Par]])),(-(N11-N12)/N11*O11)+IF(TbTradesBinance[[#This Row],[Resultado]]&gt;0,0,TbTradesBinance[[#This Row],[Taxa]]),0),0))</f>
        <v>19856.515119095351</v>
      </c>
      <c r="P12" s="145">
        <f t="shared" si="1"/>
        <v>0.99781470786045701</v>
      </c>
      <c r="Q1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Row],[Tipo]]="DROP"),Q11+TbTradesBinance[[#This Row],[Qtt]],Q11-TbTradesBinance[[#This Row],[Qtt]]),IF(TbTradesBinance[[#This Row],[Tipo]]="BUY",Q11-TbTradesBinance[[#This Row],[Qtt]]*TbTradesBinance[[#This Row],[Preço]],Q11+TbTradesBinance[[#This Row],[Qtt]]*TbTradesBinance[[#This Row],[Preço]])),Q11)-IF(TbTradesBinance[[#This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Row],[Tipo]]="DROP"),Q11+TbTradesBinance[[#This Row],[Qtt]],Q11-TbTradesBinance[[#This Row],[Qtt]]),IF(TbTradesBinance[[#This Row],[Tipo]]="BUY",Q11-TbTradesBinance[[#This Row],[Qtt]]*TbTradesBinance[[#This Row],[Preço]],Q11+TbTradesBinance[[#This Row],[Qtt]]*TbTradesBinance[[#This Row],[Preço]])),Q11)-IF(TbTradesBinance[[#This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Row],[Tipo]]="DROP"),Q11+TbTradesBinance[[#This Row],[Qtt]],Q11-TbTradesBinance[[#This Row],[Qtt]]),IF(TbTradesBinance[[#This Row],[Tipo]]="BUY",Q11-TbTradesBinance[[#This Row],[Qtt]]*TbTradesBinance[[#This Row],[Preço]],Q11+TbTradesBinance[[#This Row],[Qtt]]*TbTradesBinance[[#This Row],[Preço]])),Q11)-IF(TbTradesBinance[[#This Row],[Moeda da Taxa]]=MID(Q$1,9,5),TbTradesBinance[[#This Row],[Taxa]],0),8)))</f>
        <v>0</v>
      </c>
      <c r="R12" s="145" cm="1">
        <f t="array" ref="R12">IF(TbTradesBinance[[#This Row],[Tipo]]="EMPTY",0,R11+IF(TbTradesBinance[[#This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Row],[Par]]))),$1:$1,0)),-(Q11-Q12)/Q11*R11),0),0)+IF(TbTradesBinance[[#This Row],[Tipo]]="SELL",IF(ISNUMBER(FIND(MID(R$1,10,5),TbTradesBinance[[#This Row],[Par]])),IF(FIND(MID(R$1,10,5),TbTradesBinance[[#This Row],[Par]])=1, -(Q11-Q12)/Q11*R11,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Row],[Par]])),(-(Q11-Q12)/Q11*R11)+IF(TbTradesBinance[[#This Row],[Resultado]]&gt;0,0,TbTradesBinance[[#This Row],[Taxa]]),0),0))</f>
        <v>0</v>
      </c>
      <c r="S12" s="145">
        <f t="shared" si="2"/>
        <v>0</v>
      </c>
      <c r="T1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Row],[Tipo]]="DROP"),T11+TbTradesBinance[[#This Row],[Qtt]],T11-TbTradesBinance[[#This Row],[Qtt]]),IF(TbTradesBinance[[#This Row],[Tipo]]="BUY",T11-TbTradesBinance[[#This Row],[Qtt]]*TbTradesBinance[[#This Row],[Preço]],T11+TbTradesBinance[[#This Row],[Qtt]]*TbTradesBinance[[#This Row],[Preço]])),T11)-IF(TbTradesBinance[[#This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Row],[Tipo]]="DROP"),T11+TbTradesBinance[[#This Row],[Qtt]],T11-TbTradesBinance[[#This Row],[Qtt]]),IF(TbTradesBinance[[#This Row],[Tipo]]="BUY",T11-TbTradesBinance[[#This Row],[Qtt]]*TbTradesBinance[[#This Row],[Preço]],T11+TbTradesBinance[[#This Row],[Qtt]]*TbTradesBinance[[#This Row],[Preço]])),T11)-IF(TbTradesBinance[[#This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Row],[Tipo]]="DROP"),T11+TbTradesBinance[[#This Row],[Qtt]],T11-TbTradesBinance[[#This Row],[Qtt]]),IF(TbTradesBinance[[#This Row],[Tipo]]="BUY",T11-TbTradesBinance[[#This Row],[Qtt]]*TbTradesBinance[[#This Row],[Preço]],T11+TbTradesBinance[[#This Row],[Qtt]]*TbTradesBinance[[#This Row],[Preço]])),T11)-IF(TbTradesBinance[[#This Row],[Moeda da Taxa]]=MID(T$1,9,5),TbTradesBinance[[#This Row],[Taxa]],0),8)))</f>
        <v>21.221873129999999</v>
      </c>
      <c r="U12" s="145" cm="1">
        <f t="array" ref="U12">IF(TbTradesBinance[[#This Row],[Tipo]]="EMPTY",0,U11+IF(TbTradesBinance[[#This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Row],[Par]]))),$1:$1,0)),-(T11-T12)/T11*U11),0),0)+IF(TbTradesBinance[[#This Row],[Tipo]]="SELL",IF(ISNUMBER(FIND(MID(U$1,10,5),TbTradesBinance[[#This Row],[Par]])),IF(FIND(MID(U$1,10,5),TbTradesBinance[[#This Row],[Par]])=1, -(T11-T12)/T11*U11,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Row],[Par]])),(-(T11-T12)/T11*U11)+IF(TbTradesBinance[[#This Row],[Resultado]]&gt;0,0,TbTradesBinance[[#This Row],[Taxa]]),0),0))</f>
        <v>143.3279744904716</v>
      </c>
      <c r="V12" s="145">
        <f t="shared" si="3"/>
        <v>6.7537852861752361</v>
      </c>
      <c r="W1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Row],[Tipo]]="DROP"),W11+TbTradesBinance[[#This Row],[Qtt]],W11-TbTradesBinance[[#This Row],[Qtt]]),IF(TbTradesBinance[[#This Row],[Tipo]]="BUY",W11-TbTradesBinance[[#This Row],[Qtt]]*TbTradesBinance[[#This Row],[Preço]],W11+TbTradesBinance[[#This Row],[Qtt]]*TbTradesBinance[[#This Row],[Preço]])),W11)-IF(TbTradesBinance[[#This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Row],[Tipo]]="DROP"),W11+TbTradesBinance[[#This Row],[Qtt]],W11-TbTradesBinance[[#This Row],[Qtt]]),IF(TbTradesBinance[[#This Row],[Tipo]]="BUY",W11-TbTradesBinance[[#This Row],[Qtt]]*TbTradesBinance[[#This Row],[Preço]],W11+TbTradesBinance[[#This Row],[Qtt]]*TbTradesBinance[[#This Row],[Preço]])),W11)-IF(TbTradesBinance[[#This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Row],[Tipo]]="DROP"),W11+TbTradesBinance[[#This Row],[Qtt]],W11-TbTradesBinance[[#This Row],[Qtt]]),IF(TbTradesBinance[[#This Row],[Tipo]]="BUY",W11-TbTradesBinance[[#This Row],[Qtt]]*TbTradesBinance[[#This Row],[Preço]],W11+TbTradesBinance[[#This Row],[Qtt]]*TbTradesBinance[[#This Row],[Preço]])),W11)-IF(TbTradesBinance[[#This Row],[Moeda da Taxa]]=MID(W$1,9,5),TbTradesBinance[[#This Row],[Taxa]],0),8)))</f>
        <v>5.2E-7</v>
      </c>
      <c r="X12" s="145" cm="1">
        <f t="array" ref="X12">IF(TbTradesBinance[[#This Row],[Tipo]]="EMPTY",0,X11+IF(TbTradesBinance[[#This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Row],[Par]]))),$1:$1,0)),-(W11-W12)/W11*X11),0),0)+IF(TbTradesBinance[[#This Row],[Tipo]]="SELL",IF(ISNUMBER(FIND(MID(X$1,10,5),TbTradesBinance[[#This Row],[Par]])),IF(FIND(MID(X$1,10,5),TbTradesBinance[[#This Row],[Par]])=1, -(W11-W12)/W11*X11,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Row],[Par]])),(-(W11-W12)/W11*X11)+IF(TbTradesBinance[[#This Row],[Resultado]]&gt;0,0,TbTradesBinance[[#This Row],[Taxa]]),0),0))</f>
        <v>0.15690641417904772</v>
      </c>
      <c r="Y12" s="145">
        <f t="shared" si="4"/>
        <v>301743.10419047636</v>
      </c>
      <c r="Z1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Row],[Tipo]]="DROP"),Z11+TbTradesBinance[[#This Row],[Qtt]],Z11-TbTradesBinance[[#This Row],[Qtt]]),IF(TbTradesBinance[[#This Row],[Tipo]]="BUY",Z11-TbTradesBinance[[#This Row],[Qtt]]*TbTradesBinance[[#This Row],[Preço]],Z11+TbTradesBinance[[#This Row],[Qtt]]*TbTradesBinance[[#This Row],[Preço]])),Z11)-IF(TbTradesBinance[[#This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Row],[Tipo]]="DROP"),Z11+TbTradesBinance[[#This Row],[Qtt]],Z11-TbTradesBinance[[#This Row],[Qtt]]),IF(TbTradesBinance[[#This Row],[Tipo]]="BUY",Z11-TbTradesBinance[[#This Row],[Qtt]]*TbTradesBinance[[#This Row],[Preço]],Z11+TbTradesBinance[[#This Row],[Qtt]]*TbTradesBinance[[#This Row],[Preço]])),Z11)-IF(TbTradesBinance[[#This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Row],[Tipo]]="DROP"),Z11+TbTradesBinance[[#This Row],[Qtt]],Z11-TbTradesBinance[[#This Row],[Qtt]]),IF(TbTradesBinance[[#This Row],[Tipo]]="BUY",Z11-TbTradesBinance[[#This Row],[Qtt]]*TbTradesBinance[[#This Row],[Preço]],Z11+TbTradesBinance[[#This Row],[Qtt]]*TbTradesBinance[[#This Row],[Preço]])),Z11)-IF(TbTradesBinance[[#This Row],[Moeda da Taxa]]=MID(Z$1,9,5),TbTradesBinance[[#This Row],[Taxa]],0),8)))</f>
        <v>0</v>
      </c>
      <c r="AA12" s="145" cm="1">
        <f t="array" ref="AA12">IF(TbTradesBinance[[#This Row],[Tipo]]="EMPTY",0,AA11+IF(TbTradesBinance[[#This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Row],[Par]]))),$1:$1,0)),-(Z11-Z12)/Z11*AA11),0),0)+IF(TbTradesBinance[[#This Row],[Tipo]]="SELL",IF(ISNUMBER(FIND(MID(AA$1,10,5),TbTradesBinance[[#This Row],[Par]])),IF(FIND(MID(AA$1,10,5),TbTradesBinance[[#This Row],[Par]])=1, -(Z11-Z12)/Z11*AA11,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Row],[Par]])),(-(Z11-Z12)/Z11*AA11)+IF(TbTradesBinance[[#This Row],[Resultado]]&gt;0,0,TbTradesBinance[[#This Row],[Taxa]]),0),0))</f>
        <v>0</v>
      </c>
      <c r="AB12" s="145">
        <f t="shared" si="5"/>
        <v>0</v>
      </c>
      <c r="AC1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Row],[Tipo]]="DROP"),AC11+TbTradesBinance[[#This Row],[Qtt]],AC11-TbTradesBinance[[#This Row],[Qtt]]),IF(TbTradesBinance[[#This Row],[Tipo]]="BUY",AC11-TbTradesBinance[[#This Row],[Qtt]]*TbTradesBinance[[#This Row],[Preço]],AC11+TbTradesBinance[[#This Row],[Qtt]]*TbTradesBinance[[#This Row],[Preço]])),AC11)-IF(TbTradesBinance[[#This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Row],[Tipo]]="DROP"),AC11+TbTradesBinance[[#This Row],[Qtt]],AC11-TbTradesBinance[[#This Row],[Qtt]]),IF(TbTradesBinance[[#This Row],[Tipo]]="BUY",AC11-TbTradesBinance[[#This Row],[Qtt]]*TbTradesBinance[[#This Row],[Preço]],AC11+TbTradesBinance[[#This Row],[Qtt]]*TbTradesBinance[[#This Row],[Preço]])),AC11)-IF(TbTradesBinance[[#This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Row],[Tipo]]="DROP"),AC11+TbTradesBinance[[#This Row],[Qtt]],AC11-TbTradesBinance[[#This Row],[Qtt]]),IF(TbTradesBinance[[#This Row],[Tipo]]="BUY",AC11-TbTradesBinance[[#This Row],[Qtt]]*TbTradesBinance[[#This Row],[Preço]],AC11+TbTradesBinance[[#This Row],[Qtt]]*TbTradesBinance[[#This Row],[Preço]])),AC11)-IF(TbTradesBinance[[#This Row],[Moeda da Taxa]]=MID(AC$1,9,5),TbTradesBinance[[#This Row],[Taxa]],0),8)))</f>
        <v>0</v>
      </c>
      <c r="AD12" s="145" cm="1">
        <f t="array" ref="AD12">IF(TbTradesBinance[[#This Row],[Tipo]]="EMPTY",0,AD11+IF(TbTradesBinance[[#This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Row],[Par]]))),$1:$1,0)),-(AC11-AC12)/AC11*AD11),0),0)+IF(TbTradesBinance[[#This Row],[Tipo]]="SELL",IF(ISNUMBER(FIND(MID(AD$1,10,5),TbTradesBinance[[#This Row],[Par]])),IF(FIND(MID(AD$1,10,5),TbTradesBinance[[#This Row],[Par]])=1, -(AC11-AC12)/AC11*AD11,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Row],[Par]])),(-(AC11-AC12)/AC11*AD11)+IF(TbTradesBinance[[#This Row],[Resultado]]&gt;0,0,TbTradesBinance[[#This Row],[Taxa]]),0),0))</f>
        <v>0</v>
      </c>
      <c r="AE12" s="145">
        <f t="shared" si="6"/>
        <v>0</v>
      </c>
      <c r="AF1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Row],[Tipo]]="DROP"),AF11+TbTradesBinance[[#This Row],[Qtt]],AF11-TbTradesBinance[[#This Row],[Qtt]]),IF(TbTradesBinance[[#This Row],[Tipo]]="BUY",AF11-TbTradesBinance[[#This Row],[Qtt]]*TbTradesBinance[[#This Row],[Preço]],AF11+TbTradesBinance[[#This Row],[Qtt]]*TbTradesBinance[[#This Row],[Preço]])),AF11)-IF(TbTradesBinance[[#This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Row],[Tipo]]="DROP"),AF11+TbTradesBinance[[#This Row],[Qtt]],AF11-TbTradesBinance[[#This Row],[Qtt]]),IF(TbTradesBinance[[#This Row],[Tipo]]="BUY",AF11-TbTradesBinance[[#This Row],[Qtt]]*TbTradesBinance[[#This Row],[Preço]],AF11+TbTradesBinance[[#This Row],[Qtt]]*TbTradesBinance[[#This Row],[Preço]])),AF11)-IF(TbTradesBinance[[#This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Row],[Tipo]]="DROP"),AF11+TbTradesBinance[[#This Row],[Qtt]],AF11-TbTradesBinance[[#This Row],[Qtt]]),IF(TbTradesBinance[[#This Row],[Tipo]]="BUY",AF11-TbTradesBinance[[#This Row],[Qtt]]*TbTradesBinance[[#This Row],[Preço]],AF11+TbTradesBinance[[#This Row],[Qtt]]*TbTradesBinance[[#This Row],[Preço]])),AF11)-IF(TbTradesBinance[[#This Row],[Moeda da Taxa]]=MID(AF$1,9,5),TbTradesBinance[[#This Row],[Taxa]],0),8)))</f>
        <v>0</v>
      </c>
      <c r="AG12" s="145" cm="1">
        <f t="array" ref="AG12">IF(TbTradesBinance[[#This Row],[Tipo]]="EMPTY",0,AG11+IF(TbTradesBinance[[#This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Row],[Par]]))),$1:$1,0)),-(AF11-AF12)/AF11*AG11),0),0)+IF(TbTradesBinance[[#This Row],[Tipo]]="SELL",IF(ISNUMBER(FIND(MID(AG$1,10,5),TbTradesBinance[[#This Row],[Par]])),IF(FIND(MID(AG$1,10,5),TbTradesBinance[[#This Row],[Par]])=1, -(AF11-AF12)/AF11*AG11,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Row],[Par]])),(-(AF11-AF12)/AF11*AG11)+IF(TbTradesBinance[[#This Row],[Resultado]]&gt;0,0,TbTradesBinance[[#This Row],[Taxa]]),0),0))</f>
        <v>0</v>
      </c>
      <c r="AH12" s="145">
        <f t="shared" si="7"/>
        <v>0</v>
      </c>
      <c r="AI1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Row],[Tipo]]="DROP"),AI11+TbTradesBinance[[#This Row],[Qtt]],AI11-TbTradesBinance[[#This Row],[Qtt]]),IF(TbTradesBinance[[#This Row],[Tipo]]="BUY",AI11-TbTradesBinance[[#This Row],[Qtt]]*TbTradesBinance[[#This Row],[Preço]],AI11+TbTradesBinance[[#This Row],[Qtt]]*TbTradesBinance[[#This Row],[Preço]])),AI11)-IF(TbTradesBinance[[#This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Row],[Tipo]]="DROP"),AI11+TbTradesBinance[[#This Row],[Qtt]],AI11-TbTradesBinance[[#This Row],[Qtt]]),IF(TbTradesBinance[[#This Row],[Tipo]]="BUY",AI11-TbTradesBinance[[#This Row],[Qtt]]*TbTradesBinance[[#This Row],[Preço]],AI11+TbTradesBinance[[#This Row],[Qtt]]*TbTradesBinance[[#This Row],[Preço]])),AI11)-IF(TbTradesBinance[[#This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Row],[Tipo]]="DROP"),AI11+TbTradesBinance[[#This Row],[Qtt]],AI11-TbTradesBinance[[#This Row],[Qtt]]),IF(TbTradesBinance[[#This Row],[Tipo]]="BUY",AI11-TbTradesBinance[[#This Row],[Qtt]]*TbTradesBinance[[#This Row],[Preço]],AI11+TbTradesBinance[[#This Row],[Qtt]]*TbTradesBinance[[#This Row],[Preço]])),AI11)-IF(TbTradesBinance[[#This Row],[Moeda da Taxa]]=MID(AI$1,9,5),TbTradesBinance[[#This Row],[Taxa]],0),8)))</f>
        <v>0</v>
      </c>
      <c r="AJ12" s="145" cm="1">
        <f t="array" ref="AJ12">IF(TbTradesBinance[[#This Row],[Tipo]]="EMPTY",0,AJ11+IF(TbTradesBinance[[#This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Row],[Par]]))),$1:$1,0)),-(AI11-AI12)/AI11*AJ11),0),0)+IF(TbTradesBinance[[#This Row],[Tipo]]="SELL",IF(ISNUMBER(FIND(MID(AJ$1,10,5),TbTradesBinance[[#This Row],[Par]])),IF(FIND(MID(AJ$1,10,5),TbTradesBinance[[#This Row],[Par]])=1, -(AI11-AI12)/AI11*AJ11,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Row],[Par]])),(-(AI11-AI12)/AI11*AJ11)+IF(TbTradesBinance[[#This Row],[Resultado]]&gt;0,0,TbTradesBinance[[#This Row],[Taxa]]),0),0))</f>
        <v>0</v>
      </c>
      <c r="AK12" s="145">
        <f t="shared" si="8"/>
        <v>0</v>
      </c>
      <c r="AL1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Row],[Tipo]]="DROP"),AL11+TbTradesBinance[[#This Row],[Qtt]],AL11-TbTradesBinance[[#This Row],[Qtt]]),IF(TbTradesBinance[[#This Row],[Tipo]]="BUY",AL11-TbTradesBinance[[#This Row],[Qtt]]*TbTradesBinance[[#This Row],[Preço]],AL11+TbTradesBinance[[#This Row],[Qtt]]*TbTradesBinance[[#This Row],[Preço]])),AL11)-IF(TbTradesBinance[[#This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Row],[Tipo]]="DROP"),AL11+TbTradesBinance[[#This Row],[Qtt]],AL11-TbTradesBinance[[#This Row],[Qtt]]),IF(TbTradesBinance[[#This Row],[Tipo]]="BUY",AL11-TbTradesBinance[[#This Row],[Qtt]]*TbTradesBinance[[#This Row],[Preço]],AL11+TbTradesBinance[[#This Row],[Qtt]]*TbTradesBinance[[#This Row],[Preço]])),AL11)-IF(TbTradesBinance[[#This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Row],[Tipo]]="DROP"),AL11+TbTradesBinance[[#This Row],[Qtt]],AL11-TbTradesBinance[[#This Row],[Qtt]]),IF(TbTradesBinance[[#This Row],[Tipo]]="BUY",AL11-TbTradesBinance[[#This Row],[Qtt]]*TbTradesBinance[[#This Row],[Preço]],AL11+TbTradesBinance[[#This Row],[Qtt]]*TbTradesBinance[[#This Row],[Preço]])),AL11)-IF(TbTradesBinance[[#This Row],[Moeda da Taxa]]=MID(AL$1,9,5),TbTradesBinance[[#This Row],[Taxa]],0),8)))</f>
        <v>0</v>
      </c>
      <c r="AM12" s="145" cm="1">
        <f t="array" ref="AM12">IF(TbTradesBinance[[#This Row],[Tipo]]="EMPTY",0,AM11+IF(TbTradesBinance[[#This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Row],[Par]]))),$1:$1,0)),-(AL11-AL12)/AL11*AM11),0),0)+IF(TbTradesBinance[[#This Row],[Tipo]]="SELL",IF(ISNUMBER(FIND(MID(AM$1,10,5),TbTradesBinance[[#This Row],[Par]])),IF(FIND(MID(AM$1,10,5),TbTradesBinance[[#This Row],[Par]])=1, -(AL11-AL12)/AL11*AM11,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Row],[Par]])),(-(AL11-AL12)/AL11*AM11)+IF(TbTradesBinance[[#This Row],[Resultado]]&gt;0,0,TbTradesBinance[[#This Row],[Taxa]]),0),0))</f>
        <v>0</v>
      </c>
      <c r="AN12" s="145">
        <f t="shared" si="9"/>
        <v>0</v>
      </c>
      <c r="AO1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Row],[Tipo]]="DROP"),AO11+TbTradesBinance[[#This Row],[Qtt]],AO11-TbTradesBinance[[#This Row],[Qtt]]),IF(TbTradesBinance[[#This Row],[Tipo]]="BUY",AO11-TbTradesBinance[[#This Row],[Qtt]]*TbTradesBinance[[#This Row],[Preço]],AO11+TbTradesBinance[[#This Row],[Qtt]]*TbTradesBinance[[#This Row],[Preço]])),AO11)-IF(TbTradesBinance[[#This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Row],[Tipo]]="DROP"),AO11+TbTradesBinance[[#This Row],[Qtt]],AO11-TbTradesBinance[[#This Row],[Qtt]]),IF(TbTradesBinance[[#This Row],[Tipo]]="BUY",AO11-TbTradesBinance[[#This Row],[Qtt]]*TbTradesBinance[[#This Row],[Preço]],AO11+TbTradesBinance[[#This Row],[Qtt]]*TbTradesBinance[[#This Row],[Preço]])),AO11)-IF(TbTradesBinance[[#This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Row],[Tipo]]="DROP"),AO11+TbTradesBinance[[#This Row],[Qtt]],AO11-TbTradesBinance[[#This Row],[Qtt]]),IF(TbTradesBinance[[#This Row],[Tipo]]="BUY",AO11-TbTradesBinance[[#This Row],[Qtt]]*TbTradesBinance[[#This Row],[Preço]],AO11+TbTradesBinance[[#This Row],[Qtt]]*TbTradesBinance[[#This Row],[Preço]])),AO11)-IF(TbTradesBinance[[#This Row],[Moeda da Taxa]]=MID(AO$1,9,5),TbTradesBinance[[#This Row],[Taxa]],0),8)))</f>
        <v>0</v>
      </c>
      <c r="AP12" s="145" cm="1">
        <f t="array" ref="AP12">IF(TbTradesBinance[[#This Row],[Tipo]]="EMPTY",0,AP11+IF(TbTradesBinance[[#This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Row],[Par]]))),$1:$1,0)),-(AO11-AO12)/AO11*AP11),0),0)+IF(TbTradesBinance[[#This Row],[Tipo]]="SELL",IF(ISNUMBER(FIND(MID(AP$1,10,5),TbTradesBinance[[#This Row],[Par]])),IF(FIND(MID(AP$1,10,5),TbTradesBinance[[#This Row],[Par]])=1, -(AO11-AO12)/AO11*AP11,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Row],[Par]])),(-(AO11-AO12)/AO11*AP11)+IF(TbTradesBinance[[#This Row],[Resultado]]&gt;0,0,TbTradesBinance[[#This Row],[Taxa]]),0),0))</f>
        <v>0</v>
      </c>
      <c r="AQ12" s="145">
        <f t="shared" si="10"/>
        <v>0</v>
      </c>
      <c r="AR1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Row],[Tipo]]="DROP"),AR11+TbTradesBinance[[#This Row],[Qtt]],AR11-TbTradesBinance[[#This Row],[Qtt]]),IF(TbTradesBinance[[#This Row],[Tipo]]="BUY",AR11-TbTradesBinance[[#This Row],[Qtt]]*TbTradesBinance[[#This Row],[Preço]],AR11+TbTradesBinance[[#This Row],[Qtt]]*TbTradesBinance[[#This Row],[Preço]])),AR11)-IF(TbTradesBinance[[#This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Row],[Tipo]]="DROP"),AR11+TbTradesBinance[[#This Row],[Qtt]],AR11-TbTradesBinance[[#This Row],[Qtt]]),IF(TbTradesBinance[[#This Row],[Tipo]]="BUY",AR11-TbTradesBinance[[#This Row],[Qtt]]*TbTradesBinance[[#This Row],[Preço]],AR11+TbTradesBinance[[#This Row],[Qtt]]*TbTradesBinance[[#This Row],[Preço]])),AR11)-IF(TbTradesBinance[[#This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Row],[Tipo]]="DROP"),AR11+TbTradesBinance[[#This Row],[Qtt]],AR11-TbTradesBinance[[#This Row],[Qtt]]),IF(TbTradesBinance[[#This Row],[Tipo]]="BUY",AR11-TbTradesBinance[[#This Row],[Qtt]]*TbTradesBinance[[#This Row],[Preço]],AR11+TbTradesBinance[[#This Row],[Qtt]]*TbTradesBinance[[#This Row],[Preço]])),AR11)-IF(TbTradesBinance[[#This Row],[Moeda da Taxa]]=MID(AR$1,9,5),TbTradesBinance[[#This Row],[Taxa]],0),8)))</f>
        <v>0</v>
      </c>
      <c r="AS12" s="145" cm="1">
        <f t="array" ref="AS12">IF(TbTradesBinance[[#This Row],[Tipo]]="EMPTY",0,AS11+IF(TbTradesBinance[[#This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Row],[Par]]))),$1:$1,0)),-(AR11-AR12)/AR11*AS11),0),0)+IF(TbTradesBinance[[#This Row],[Tipo]]="SELL",IF(ISNUMBER(FIND(MID(AS$1,10,5),TbTradesBinance[[#This Row],[Par]])),IF(FIND(MID(AS$1,10,5),TbTradesBinance[[#This Row],[Par]])=1, -(AR11-AR12)/AR11*AS11,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Row],[Par]])),(-(AR11-AR12)/AR11*AS11)+IF(TbTradesBinance[[#This Row],[Resultado]]&gt;0,0,TbTradesBinance[[#This Row],[Taxa]]),0),0))</f>
        <v>0</v>
      </c>
      <c r="AT12" s="145">
        <f t="shared" si="11"/>
        <v>0</v>
      </c>
      <c r="AU1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Row],[Tipo]]="DROP"),AU11+TbTradesBinance[[#This Row],[Qtt]],AU11-TbTradesBinance[[#This Row],[Qtt]]),IF(TbTradesBinance[[#This Row],[Tipo]]="BUY",AU11-TbTradesBinance[[#This Row],[Qtt]]*TbTradesBinance[[#This Row],[Preço]],AU11+TbTradesBinance[[#This Row],[Qtt]]*TbTradesBinance[[#This Row],[Preço]])),AU11)-IF(TbTradesBinance[[#This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Row],[Tipo]]="DROP"),AU11+TbTradesBinance[[#This Row],[Qtt]],AU11-TbTradesBinance[[#This Row],[Qtt]]),IF(TbTradesBinance[[#This Row],[Tipo]]="BUY",AU11-TbTradesBinance[[#This Row],[Qtt]]*TbTradesBinance[[#This Row],[Preço]],AU11+TbTradesBinance[[#This Row],[Qtt]]*TbTradesBinance[[#This Row],[Preço]])),AU11)-IF(TbTradesBinance[[#This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Row],[Tipo]]="DROP"),AU11+TbTradesBinance[[#This Row],[Qtt]],AU11-TbTradesBinance[[#This Row],[Qtt]]),IF(TbTradesBinance[[#This Row],[Tipo]]="BUY",AU11-TbTradesBinance[[#This Row],[Qtt]]*TbTradesBinance[[#This Row],[Preço]],AU11+TbTradesBinance[[#This Row],[Qtt]]*TbTradesBinance[[#This Row],[Preço]])),AU11)-IF(TbTradesBinance[[#This Row],[Moeda da Taxa]]=MID(AU$1,9,5),TbTradesBinance[[#This Row],[Taxa]],0),8)))</f>
        <v>0</v>
      </c>
      <c r="AV12" s="145" cm="1">
        <f t="array" ref="AV12">IF(TbTradesBinance[[#This Row],[Tipo]]="EMPTY",0,AV11+IF(TbTradesBinance[[#This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Row],[Par]]))),$1:$1,0)),-(AU11-AU12)/AU11*AV11),0),0)+IF(TbTradesBinance[[#This Row],[Tipo]]="SELL",IF(ISNUMBER(FIND(MID(AV$1,10,5),TbTradesBinance[[#This Row],[Par]])),IF(FIND(MID(AV$1,10,5),TbTradesBinance[[#This Row],[Par]])=1, -(AU11-AU12)/AU11*AV11,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Row],[Par]])),(-(AU11-AU12)/AU11*AV11)+IF(TbTradesBinance[[#This Row],[Resultado]]&gt;0,0,TbTradesBinance[[#This Row],[Taxa]]),0),0))</f>
        <v>0</v>
      </c>
      <c r="AW12" s="145">
        <f t="shared" si="12"/>
        <v>0</v>
      </c>
      <c r="AX1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Row],[Tipo]]="DROP"),AX11+TbTradesBinance[[#This Row],[Qtt]],AX11-TbTradesBinance[[#This Row],[Qtt]]),IF(TbTradesBinance[[#This Row],[Tipo]]="BUY",AX11-TbTradesBinance[[#This Row],[Qtt]]*TbTradesBinance[[#This Row],[Preço]],AX11+TbTradesBinance[[#This Row],[Qtt]]*TbTradesBinance[[#This Row],[Preço]])),AX11)-IF(TbTradesBinance[[#This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Row],[Tipo]]="DROP"),AX11+TbTradesBinance[[#This Row],[Qtt]],AX11-TbTradesBinance[[#This Row],[Qtt]]),IF(TbTradesBinance[[#This Row],[Tipo]]="BUY",AX11-TbTradesBinance[[#This Row],[Qtt]]*TbTradesBinance[[#This Row],[Preço]],AX11+TbTradesBinance[[#This Row],[Qtt]]*TbTradesBinance[[#This Row],[Preço]])),AX11)-IF(TbTradesBinance[[#This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Row],[Tipo]]="DROP"),AX11+TbTradesBinance[[#This Row],[Qtt]],AX11-TbTradesBinance[[#This Row],[Qtt]]),IF(TbTradesBinance[[#This Row],[Tipo]]="BUY",AX11-TbTradesBinance[[#This Row],[Qtt]]*TbTradesBinance[[#This Row],[Preço]],AX11+TbTradesBinance[[#This Row],[Qtt]]*TbTradesBinance[[#This Row],[Preço]])),AX11)-IF(TbTradesBinance[[#This Row],[Moeda da Taxa]]=MID(AX$1,9,5),TbTradesBinance[[#This Row],[Taxa]],0),8)))</f>
        <v>0</v>
      </c>
      <c r="AY12" s="145" cm="1">
        <f t="array" ref="AY12">IF(TbTradesBinance[[#This Row],[Tipo]]="EMPTY",0,AY11+IF(TbTradesBinance[[#This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Row],[Par]]))),$1:$1,0)),-(AX11-AX12)/AX11*AY11),0),0)+IF(TbTradesBinance[[#This Row],[Tipo]]="SELL",IF(ISNUMBER(FIND(MID(AY$1,10,5),TbTradesBinance[[#This Row],[Par]])),IF(FIND(MID(AY$1,10,5),TbTradesBinance[[#This Row],[Par]])=1, -(AX11-AX12)/AX11*AY11,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Row],[Par]])),(-(AX11-AX12)/AX11*AY11)+IF(TbTradesBinance[[#This Row],[Resultado]]&gt;0,0,TbTradesBinance[[#This Row],[Taxa]]),0),0))</f>
        <v>0</v>
      </c>
      <c r="AZ12" s="145">
        <f t="shared" si="13"/>
        <v>0</v>
      </c>
      <c r="BA1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Row],[Tipo]]="DROP"),BA11+TbTradesBinance[[#This Row],[Qtt]],BA11-TbTradesBinance[[#This Row],[Qtt]]),IF(TbTradesBinance[[#This Row],[Tipo]]="BUY",BA11-TbTradesBinance[[#This Row],[Qtt]]*TbTradesBinance[[#This Row],[Preço]],BA11+TbTradesBinance[[#This Row],[Qtt]]*TbTradesBinance[[#This Row],[Preço]])),BA11)-IF(TbTradesBinance[[#This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Row],[Tipo]]="DROP"),BA11+TbTradesBinance[[#This Row],[Qtt]],BA11-TbTradesBinance[[#This Row],[Qtt]]),IF(TbTradesBinance[[#This Row],[Tipo]]="BUY",BA11-TbTradesBinance[[#This Row],[Qtt]]*TbTradesBinance[[#This Row],[Preço]],BA11+TbTradesBinance[[#This Row],[Qtt]]*TbTradesBinance[[#This Row],[Preço]])),BA11)-IF(TbTradesBinance[[#This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Row],[Tipo]]="DROP"),BA11+TbTradesBinance[[#This Row],[Qtt]],BA11-TbTradesBinance[[#This Row],[Qtt]]),IF(TbTradesBinance[[#This Row],[Tipo]]="BUY",BA11-TbTradesBinance[[#This Row],[Qtt]]*TbTradesBinance[[#This Row],[Preço]],BA11+TbTradesBinance[[#This Row],[Qtt]]*TbTradesBinance[[#This Row],[Preço]])),BA11)-IF(TbTradesBinance[[#This Row],[Moeda da Taxa]]=MID(BA$1,9,5),TbTradesBinance[[#This Row],[Taxa]],0),8)))</f>
        <v>0</v>
      </c>
      <c r="BB12" s="145" cm="1">
        <f t="array" ref="BB12">IF(TbTradesBinance[[#This Row],[Tipo]]="EMPTY",0,BB11+IF(TbTradesBinance[[#This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Row],[Par]]))),$1:$1,0)),-(BA11-BA12)/BA11*BB11),0),0)+IF(TbTradesBinance[[#This Row],[Tipo]]="SELL",IF(ISNUMBER(FIND(MID(BB$1,10,5),TbTradesBinance[[#This Row],[Par]])),IF(FIND(MID(BB$1,10,5),TbTradesBinance[[#This Row],[Par]])=1, -(BA11-BA12)/BA11*BB11,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Row],[Par]])),(-(BA11-BA12)/BA11*BB11)+IF(TbTradesBinance[[#This Row],[Resultado]]&gt;0,0,TbTradesBinance[[#This Row],[Taxa]]),0),0))</f>
        <v>0</v>
      </c>
      <c r="BC12" s="145">
        <f t="shared" si="14"/>
        <v>0</v>
      </c>
      <c r="BD1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Row],[Tipo]]="DROP"),BD11+TbTradesBinance[[#This Row],[Qtt]],BD11-TbTradesBinance[[#This Row],[Qtt]]),IF(TbTradesBinance[[#This Row],[Tipo]]="BUY",BD11-TbTradesBinance[[#This Row],[Qtt]]*TbTradesBinance[[#This Row],[Preço]],BD11+TbTradesBinance[[#This Row],[Qtt]]*TbTradesBinance[[#This Row],[Preço]])),BD11)-IF(TbTradesBinance[[#This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Row],[Tipo]]="DROP"),BD11+TbTradesBinance[[#This Row],[Qtt]],BD11-TbTradesBinance[[#This Row],[Qtt]]),IF(TbTradesBinance[[#This Row],[Tipo]]="BUY",BD11-TbTradesBinance[[#This Row],[Qtt]]*TbTradesBinance[[#This Row],[Preço]],BD11+TbTradesBinance[[#This Row],[Qtt]]*TbTradesBinance[[#This Row],[Preço]])),BD11)-IF(TbTradesBinance[[#This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Row],[Tipo]]="DROP"),BD11+TbTradesBinance[[#This Row],[Qtt]],BD11-TbTradesBinance[[#This Row],[Qtt]]),IF(TbTradesBinance[[#This Row],[Tipo]]="BUY",BD11-TbTradesBinance[[#This Row],[Qtt]]*TbTradesBinance[[#This Row],[Preço]],BD11+TbTradesBinance[[#This Row],[Qtt]]*TbTradesBinance[[#This Row],[Preço]])),BD11)-IF(TbTradesBinance[[#This Row],[Moeda da Taxa]]=MID(BD$1,9,5),TbTradesBinance[[#This Row],[Taxa]],0),8)))</f>
        <v>0</v>
      </c>
      <c r="BE12" s="145" cm="1">
        <f t="array" ref="BE12">IF(TbTradesBinance[[#This Row],[Tipo]]="EMPTY",0,BE11+IF(TbTradesBinance[[#This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Row],[Par]]))),$1:$1,0)),-(BD11-BD12)/BD11*BE11),0),0)+IF(TbTradesBinance[[#This Row],[Tipo]]="SELL",IF(ISNUMBER(FIND(MID(BE$1,10,5),TbTradesBinance[[#This Row],[Par]])),IF(FIND(MID(BE$1,10,5),TbTradesBinance[[#This Row],[Par]])=1, -(BD11-BD12)/BD11*BE11,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Row],[Par]])),(-(BD11-BD12)/BD11*BE11)+IF(TbTradesBinance[[#This Row],[Resultado]]&gt;0,0,TbTradesBinance[[#This Row],[Taxa]]),0),0))</f>
        <v>0</v>
      </c>
      <c r="BF12" s="145">
        <f t="shared" si="15"/>
        <v>0</v>
      </c>
      <c r="BG1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Row],[Tipo]]="DROP"),BG11+TbTradesBinance[[#This Row],[Qtt]],BG11-TbTradesBinance[[#This Row],[Qtt]]),IF(TbTradesBinance[[#This Row],[Tipo]]="BUY",BG11-TbTradesBinance[[#This Row],[Qtt]]*TbTradesBinance[[#This Row],[Preço]],BG11+TbTradesBinance[[#This Row],[Qtt]]*TbTradesBinance[[#This Row],[Preço]])),BG11)-IF(TbTradesBinance[[#This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Row],[Tipo]]="DROP"),BG11+TbTradesBinance[[#This Row],[Qtt]],BG11-TbTradesBinance[[#This Row],[Qtt]]),IF(TbTradesBinance[[#This Row],[Tipo]]="BUY",BG11-TbTradesBinance[[#This Row],[Qtt]]*TbTradesBinance[[#This Row],[Preço]],BG11+TbTradesBinance[[#This Row],[Qtt]]*TbTradesBinance[[#This Row],[Preço]])),BG11)-IF(TbTradesBinance[[#This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Row],[Tipo]]="DROP"),BG11+TbTradesBinance[[#This Row],[Qtt]],BG11-TbTradesBinance[[#This Row],[Qtt]]),IF(TbTradesBinance[[#This Row],[Tipo]]="BUY",BG11-TbTradesBinance[[#This Row],[Qtt]]*TbTradesBinance[[#This Row],[Preço]],BG11+TbTradesBinance[[#This Row],[Qtt]]*TbTradesBinance[[#This Row],[Preço]])),BG11)-IF(TbTradesBinance[[#This Row],[Moeda da Taxa]]=MID(BG$1,9,5),TbTradesBinance[[#This Row],[Taxa]],0),8)))</f>
        <v>0</v>
      </c>
      <c r="BH12" s="145" cm="1">
        <f t="array" ref="BH12">IF(TbTradesBinance[[#This Row],[Tipo]]="EMPTY",0,BH11+IF(TbTradesBinance[[#This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Row],[Par]]))),$1:$1,0)),-(BG11-BG12)/BG11*BH11),0),0)+IF(TbTradesBinance[[#This Row],[Tipo]]="SELL",IF(ISNUMBER(FIND(MID(BH$1,10,5),TbTradesBinance[[#This Row],[Par]])),IF(FIND(MID(BH$1,10,5),TbTradesBinance[[#This Row],[Par]])=1, -(BG11-BG12)/BG11*BH11,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Row],[Par]])),(-(BG11-BG12)/BG11*BH11)+IF(TbTradesBinance[[#This Row],[Resultado]]&gt;0,0,TbTradesBinance[[#This Row],[Taxa]]),0),0))</f>
        <v>0</v>
      </c>
      <c r="BI12" s="145">
        <f t="shared" si="16"/>
        <v>0</v>
      </c>
      <c r="BJ1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Row],[Tipo]]="DROP"),BJ11+TbTradesBinance[[#This Row],[Qtt]],BJ11-TbTradesBinance[[#This Row],[Qtt]]),IF(TbTradesBinance[[#This Row],[Tipo]]="BUY",BJ11-TbTradesBinance[[#This Row],[Qtt]]*TbTradesBinance[[#This Row],[Preço]],BJ11+TbTradesBinance[[#This Row],[Qtt]]*TbTradesBinance[[#This Row],[Preço]])),BJ11)-IF(TbTradesBinance[[#This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Row],[Tipo]]="DROP"),BJ11+TbTradesBinance[[#This Row],[Qtt]],BJ11-TbTradesBinance[[#This Row],[Qtt]]),IF(TbTradesBinance[[#This Row],[Tipo]]="BUY",BJ11-TbTradesBinance[[#This Row],[Qtt]]*TbTradesBinance[[#This Row],[Preço]],BJ11+TbTradesBinance[[#This Row],[Qtt]]*TbTradesBinance[[#This Row],[Preço]])),BJ11)-IF(TbTradesBinance[[#This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Row],[Tipo]]="DROP"),BJ11+TbTradesBinance[[#This Row],[Qtt]],BJ11-TbTradesBinance[[#This Row],[Qtt]]),IF(TbTradesBinance[[#This Row],[Tipo]]="BUY",BJ11-TbTradesBinance[[#This Row],[Qtt]]*TbTradesBinance[[#This Row],[Preço]],BJ11+TbTradesBinance[[#This Row],[Qtt]]*TbTradesBinance[[#This Row],[Preço]])),BJ11)-IF(TbTradesBinance[[#This Row],[Moeda da Taxa]]=MID(BJ$1,9,5),TbTradesBinance[[#This Row],[Taxa]],0),8)))</f>
        <v>0</v>
      </c>
      <c r="BK12" s="145" cm="1">
        <f t="array" ref="BK12">IF(TbTradesBinance[[#This Row],[Tipo]]="EMPTY",0,BK11+IF(TbTradesBinance[[#This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Row],[Par]]))),$1:$1,0)),-(BJ11-BJ12)/BJ11*BK11),0),0)+IF(TbTradesBinance[[#This Row],[Tipo]]="SELL",IF(ISNUMBER(FIND(MID(BK$1,10,5),TbTradesBinance[[#This Row],[Par]])),IF(FIND(MID(BK$1,10,5),TbTradesBinance[[#This Row],[Par]])=1, -(BJ11-BJ12)/BJ11*BK11,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Row],[Par]])),(-(BJ11-BJ12)/BJ11*BK11)+IF(TbTradesBinance[[#This Row],[Resultado]]&gt;0,0,TbTradesBinance[[#This Row],[Taxa]]),0),0))</f>
        <v>0</v>
      </c>
      <c r="BL12" s="145">
        <f t="shared" si="17"/>
        <v>0</v>
      </c>
      <c r="BM1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Row],[Tipo]]="DROP"),BM11+TbTradesBinance[[#This Row],[Qtt]],BM11-TbTradesBinance[[#This Row],[Qtt]]),IF(TbTradesBinance[[#This Row],[Tipo]]="BUY",BM11-TbTradesBinance[[#This Row],[Qtt]]*TbTradesBinance[[#This Row],[Preço]],BM11+TbTradesBinance[[#This Row],[Qtt]]*TbTradesBinance[[#This Row],[Preço]])),BM11)-IF(TbTradesBinance[[#This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Row],[Tipo]]="DROP"),BM11+TbTradesBinance[[#This Row],[Qtt]],BM11-TbTradesBinance[[#This Row],[Qtt]]),IF(TbTradesBinance[[#This Row],[Tipo]]="BUY",BM11-TbTradesBinance[[#This Row],[Qtt]]*TbTradesBinance[[#This Row],[Preço]],BM11+TbTradesBinance[[#This Row],[Qtt]]*TbTradesBinance[[#This Row],[Preço]])),BM11)-IF(TbTradesBinance[[#This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Row],[Tipo]]="DROP"),BM11+TbTradesBinance[[#This Row],[Qtt]],BM11-TbTradesBinance[[#This Row],[Qtt]]),IF(TbTradesBinance[[#This Row],[Tipo]]="BUY",BM11-TbTradesBinance[[#This Row],[Qtt]]*TbTradesBinance[[#This Row],[Preço]],BM11+TbTradesBinance[[#This Row],[Qtt]]*TbTradesBinance[[#This Row],[Preço]])),BM11)-IF(TbTradesBinance[[#This Row],[Moeda da Taxa]]=MID(BM$1,9,5),TbTradesBinance[[#This Row],[Taxa]],0),8)))</f>
        <v>0</v>
      </c>
      <c r="BN12" s="145" cm="1">
        <f t="array" ref="BN12">IF(TbTradesBinance[[#This Row],[Tipo]]="EMPTY",0,BN11+IF(TbTradesBinance[[#This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Row],[Par]]))),$1:$1,0)),-(BM11-BM12)/BM11*BN11),0),0)+IF(TbTradesBinance[[#This Row],[Tipo]]="SELL",IF(ISNUMBER(FIND(MID(BN$1,10,5),TbTradesBinance[[#This Row],[Par]])),IF(FIND(MID(BN$1,10,5),TbTradesBinance[[#This Row],[Par]])=1, -(BM11-BM12)/BM11*BN11,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Row],[Par]])),(-(BM11-BM12)/BM11*BN11)+IF(TbTradesBinance[[#This Row],[Resultado]]&gt;0,0,TbTradesBinance[[#This Row],[Taxa]]),0),0))</f>
        <v>0</v>
      </c>
      <c r="BO12" s="145">
        <f t="shared" si="18"/>
        <v>0</v>
      </c>
    </row>
    <row r="13" spans="1:67" x14ac:dyDescent="0.3">
      <c r="B13" s="51"/>
      <c r="C13" s="40">
        <f>TRUNC(IF(AND(TbTradesBinance[[#This Row],[Tipo]]="SEND",TbTradesBinance[[#This Row],[Par]]="BRL"),TbTradesBinance[[#This Row],[Qtt]]*(1-P11)-IF(TbTradesBinance[[#This Row],[Moeda da Taxa]]="BRL",TbTradesBinance[[#This Row],[Taxa]],0),0)+IF(AND(TbTradesBinance[[#This Row],[Tipo]]="BURN",TbTradesBinance[[#This Row],[Par]]="BRL"),-TbTradesBinance[[#This Row],[Qtt]]*P11,0),2)</f>
        <v>0</v>
      </c>
      <c r="D13" s="53">
        <v>44250.485034722224</v>
      </c>
      <c r="E13" s="37" t="s">
        <v>236</v>
      </c>
      <c r="F13" s="47" t="s">
        <v>139</v>
      </c>
      <c r="G13" s="38">
        <v>39200</v>
      </c>
      <c r="H13" s="38">
        <v>2.7599999999999999E-4</v>
      </c>
      <c r="I13" s="38">
        <v>0</v>
      </c>
      <c r="J13" s="37" t="s">
        <v>6</v>
      </c>
      <c r="K13" s="52">
        <v>6.609</v>
      </c>
      <c r="L13" s="40">
        <f t="shared" si="0"/>
        <v>259072.8</v>
      </c>
      <c r="M13" s="40">
        <f>IF(OR(TbTradesBinance[[#This Row],[Tipo]]="BUY",TbTradesBinance[[#This Row],[Tipo]]="RECEIVE",TbTradesBinance[[#This Row],[Tipo]]="DROP"),L13*H13,-L13*H13)</f>
        <v>71.504092799999995</v>
      </c>
      <c r="N1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Row],[Tipo]]="DROP"),N12+TbTradesBinance[[#This Row],[Qtt]],N12-TbTradesBinance[[#This Row],[Qtt]]),IF(TbTradesBinance[[#This Row],[Tipo]]="BUY",N12-TbTradesBinance[[#This Row],[Qtt]]*TbTradesBinance[[#This Row],[Preço]],N12+TbTradesBinance[[#This Row],[Qtt]]*TbTradesBinance[[#This Row],[Preço]])),N12)-IF(TbTradesBinance[[#This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Row],[Tipo]]="DROP"),N12+TbTradesBinance[[#This Row],[Qtt]],N12-TbTradesBinance[[#This Row],[Qtt]]),IF(TbTradesBinance[[#This Row],[Tipo]]="BUY",N12-TbTradesBinance[[#This Row],[Qtt]]*TbTradesBinance[[#This Row],[Preço]],N12+TbTradesBinance[[#This Row],[Qtt]]*TbTradesBinance[[#This Row],[Preço]])),N12)-IF(TbTradesBinance[[#This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Row],[Tipo]]="DROP"),N12+TbTradesBinance[[#This Row],[Qtt]],N12-TbTradesBinance[[#This Row],[Qtt]]),IF(TbTradesBinance[[#This Row],[Tipo]]="BUY",N12-TbTradesBinance[[#This Row],[Qtt]]*TbTradesBinance[[#This Row],[Preço]],N12+TbTradesBinance[[#This Row],[Qtt]]*TbTradesBinance[[#This Row],[Preço]])),N12)-IF(TbTradesBinance[[#This Row],[Moeda da Taxa]]=MID(N$1,9,5),TbTradesBinance[[#This Row],[Taxa]],0),8)))</f>
        <v>19900.002438</v>
      </c>
      <c r="O13" s="145" cm="1">
        <f t="array" ref="O13">IF(TbTradesBinance[[#This Row],[Tipo]]="EMPTY",0,O12+IF(TbTradesBinance[[#This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Row],[Par]]))),$1:$1,0)),-(N12-N13)/N12*O12),0),0)+IF(TbTradesBinance[[#This Row],[Tipo]]="SELL",IF(ISNUMBER(FIND(MID(O$1,10,5),TbTradesBinance[[#This Row],[Par]])),IF(FIND(MID(O$1,10,5),TbTradesBinance[[#This Row],[Par]])=1, -(N12-N13)/N12*O12,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Row],[Par]])),(-(N12-N13)/N12*O12)+IF(TbTradesBinance[[#This Row],[Resultado]]&gt;0,0,TbTradesBinance[[#This Row],[Taxa]]),0),0))</f>
        <v>19856.515119095351</v>
      </c>
      <c r="P13" s="145">
        <f t="shared" si="1"/>
        <v>0.99781470786045701</v>
      </c>
      <c r="Q1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Row],[Tipo]]="DROP"),Q12+TbTradesBinance[[#This Row],[Qtt]],Q12-TbTradesBinance[[#This Row],[Qtt]]),IF(TbTradesBinance[[#This Row],[Tipo]]="BUY",Q12-TbTradesBinance[[#This Row],[Qtt]]*TbTradesBinance[[#This Row],[Preço]],Q12+TbTradesBinance[[#This Row],[Qtt]]*TbTradesBinance[[#This Row],[Preço]])),Q12)-IF(TbTradesBinance[[#This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Row],[Tipo]]="DROP"),Q12+TbTradesBinance[[#This Row],[Qtt]],Q12-TbTradesBinance[[#This Row],[Qtt]]),IF(TbTradesBinance[[#This Row],[Tipo]]="BUY",Q12-TbTradesBinance[[#This Row],[Qtt]]*TbTradesBinance[[#This Row],[Preço]],Q12+TbTradesBinance[[#This Row],[Qtt]]*TbTradesBinance[[#This Row],[Preço]])),Q12)-IF(TbTradesBinance[[#This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Row],[Tipo]]="DROP"),Q12+TbTradesBinance[[#This Row],[Qtt]],Q12-TbTradesBinance[[#This Row],[Qtt]]),IF(TbTradesBinance[[#This Row],[Tipo]]="BUY",Q12-TbTradesBinance[[#This Row],[Qtt]]*TbTradesBinance[[#This Row],[Preço]],Q12+TbTradesBinance[[#This Row],[Qtt]]*TbTradesBinance[[#This Row],[Preço]])),Q12)-IF(TbTradesBinance[[#This Row],[Moeda da Taxa]]=MID(Q$1,9,5),TbTradesBinance[[#This Row],[Taxa]],0),8)))</f>
        <v>0</v>
      </c>
      <c r="R13" s="145" cm="1">
        <f t="array" ref="R13">IF(TbTradesBinance[[#This Row],[Tipo]]="EMPTY",0,R12+IF(TbTradesBinance[[#This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Row],[Par]]))),$1:$1,0)),-(Q12-Q13)/Q12*R12),0),0)+IF(TbTradesBinance[[#This Row],[Tipo]]="SELL",IF(ISNUMBER(FIND(MID(R$1,10,5),TbTradesBinance[[#This Row],[Par]])),IF(FIND(MID(R$1,10,5),TbTradesBinance[[#This Row],[Par]])=1, -(Q12-Q13)/Q12*R12,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Row],[Par]])),(-(Q12-Q13)/Q12*R12)+IF(TbTradesBinance[[#This Row],[Resultado]]&gt;0,0,TbTradesBinance[[#This Row],[Taxa]]),0),0))</f>
        <v>0</v>
      </c>
      <c r="S13" s="145">
        <f t="shared" si="2"/>
        <v>0</v>
      </c>
      <c r="T1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Row],[Tipo]]="DROP"),T12+TbTradesBinance[[#This Row],[Qtt]],T12-TbTradesBinance[[#This Row],[Qtt]]),IF(TbTradesBinance[[#This Row],[Tipo]]="BUY",T12-TbTradesBinance[[#This Row],[Qtt]]*TbTradesBinance[[#This Row],[Preço]],T12+TbTradesBinance[[#This Row],[Qtt]]*TbTradesBinance[[#This Row],[Preço]])),T12)-IF(TbTradesBinance[[#This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Row],[Tipo]]="DROP"),T12+TbTradesBinance[[#This Row],[Qtt]],T12-TbTradesBinance[[#This Row],[Qtt]]),IF(TbTradesBinance[[#This Row],[Tipo]]="BUY",T12-TbTradesBinance[[#This Row],[Qtt]]*TbTradesBinance[[#This Row],[Preço]],T12+TbTradesBinance[[#This Row],[Qtt]]*TbTradesBinance[[#This Row],[Preço]])),T12)-IF(TbTradesBinance[[#This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Row],[Tipo]]="DROP"),T12+TbTradesBinance[[#This Row],[Qtt]],T12-TbTradesBinance[[#This Row],[Qtt]]),IF(TbTradesBinance[[#This Row],[Tipo]]="BUY",T12-TbTradesBinance[[#This Row],[Qtt]]*TbTradesBinance[[#This Row],[Preço]],T12+TbTradesBinance[[#This Row],[Qtt]]*TbTradesBinance[[#This Row],[Preço]])),T12)-IF(TbTradesBinance[[#This Row],[Moeda da Taxa]]=MID(T$1,9,5),TbTradesBinance[[#This Row],[Taxa]],0),8)))</f>
        <v>10.40267313</v>
      </c>
      <c r="U13" s="145" cm="1">
        <f t="array" ref="U13">IF(TbTradesBinance[[#This Row],[Tipo]]="EMPTY",0,U12+IF(TbTradesBinance[[#This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Row],[Par]]))),$1:$1,0)),-(T12-T13)/T12*U12),0),0)+IF(TbTradesBinance[[#This Row],[Tipo]]="SELL",IF(ISNUMBER(FIND(MID(U$1,10,5),TbTradesBinance[[#This Row],[Par]])),IF(FIND(MID(U$1,10,5),TbTradesBinance[[#This Row],[Par]])=1, -(T12-T13)/T12*U12,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Row],[Par]])),(-(T12-T13)/T12*U12)+IF(TbTradesBinance[[#This Row],[Resultado]]&gt;0,0,TbTradesBinance[[#This Row],[Taxa]]),0),0))</f>
        <v>70.257420722284508</v>
      </c>
      <c r="V13" s="145">
        <f t="shared" si="3"/>
        <v>6.7537852861752379</v>
      </c>
      <c r="W1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Row],[Tipo]]="DROP"),W12+TbTradesBinance[[#This Row],[Qtt]],W12-TbTradesBinance[[#This Row],[Qtt]]),IF(TbTradesBinance[[#This Row],[Tipo]]="BUY",W12-TbTradesBinance[[#This Row],[Qtt]]*TbTradesBinance[[#This Row],[Preço]],W12+TbTradesBinance[[#This Row],[Qtt]]*TbTradesBinance[[#This Row],[Preço]])),W12)-IF(TbTradesBinance[[#This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Row],[Tipo]]="DROP"),W12+TbTradesBinance[[#This Row],[Qtt]],W12-TbTradesBinance[[#This Row],[Qtt]]),IF(TbTradesBinance[[#This Row],[Tipo]]="BUY",W12-TbTradesBinance[[#This Row],[Qtt]]*TbTradesBinance[[#This Row],[Preço]],W12+TbTradesBinance[[#This Row],[Qtt]]*TbTradesBinance[[#This Row],[Preço]])),W12)-IF(TbTradesBinance[[#This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Row],[Tipo]]="DROP"),W12+TbTradesBinance[[#This Row],[Qtt]],W12-TbTradesBinance[[#This Row],[Qtt]]),IF(TbTradesBinance[[#This Row],[Tipo]]="BUY",W12-TbTradesBinance[[#This Row],[Qtt]]*TbTradesBinance[[#This Row],[Preço]],W12+TbTradesBinance[[#This Row],[Qtt]]*TbTradesBinance[[#This Row],[Preço]])),W12)-IF(TbTradesBinance[[#This Row],[Moeda da Taxa]]=MID(W$1,9,5),TbTradesBinance[[#This Row],[Taxa]],0),8)))</f>
        <v>2.7651999999999999E-4</v>
      </c>
      <c r="X13" s="145" cm="1">
        <f t="array" ref="X13">IF(TbTradesBinance[[#This Row],[Tipo]]="EMPTY",0,X12+IF(TbTradesBinance[[#This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Row],[Par]]))),$1:$1,0)),-(W12-W13)/W12*X12),0),0)+IF(TbTradesBinance[[#This Row],[Tipo]]="SELL",IF(ISNUMBER(FIND(MID(X$1,10,5),TbTradesBinance[[#This Row],[Par]])),IF(FIND(MID(X$1,10,5),TbTradesBinance[[#This Row],[Par]])=1, -(W12-W13)/W12*X12,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Row],[Par]])),(-(W12-W13)/W12*X12)+IF(TbTradesBinance[[#This Row],[Resultado]]&gt;0,0,TbTradesBinance[[#This Row],[Taxa]]),0),0))</f>
        <v>73.227460182366144</v>
      </c>
      <c r="Y13" s="145">
        <f t="shared" si="4"/>
        <v>264817.95234473509</v>
      </c>
      <c r="Z1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Row],[Tipo]]="DROP"),Z12+TbTradesBinance[[#This Row],[Qtt]],Z12-TbTradesBinance[[#This Row],[Qtt]]),IF(TbTradesBinance[[#This Row],[Tipo]]="BUY",Z12-TbTradesBinance[[#This Row],[Qtt]]*TbTradesBinance[[#This Row],[Preço]],Z12+TbTradesBinance[[#This Row],[Qtt]]*TbTradesBinance[[#This Row],[Preço]])),Z12)-IF(TbTradesBinance[[#This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Row],[Tipo]]="DROP"),Z12+TbTradesBinance[[#This Row],[Qtt]],Z12-TbTradesBinance[[#This Row],[Qtt]]),IF(TbTradesBinance[[#This Row],[Tipo]]="BUY",Z12-TbTradesBinance[[#This Row],[Qtt]]*TbTradesBinance[[#This Row],[Preço]],Z12+TbTradesBinance[[#This Row],[Qtt]]*TbTradesBinance[[#This Row],[Preço]])),Z12)-IF(TbTradesBinance[[#This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Row],[Tipo]]="DROP"),Z12+TbTradesBinance[[#This Row],[Qtt]],Z12-TbTradesBinance[[#This Row],[Qtt]]),IF(TbTradesBinance[[#This Row],[Tipo]]="BUY",Z12-TbTradesBinance[[#This Row],[Qtt]]*TbTradesBinance[[#This Row],[Preço]],Z12+TbTradesBinance[[#This Row],[Qtt]]*TbTradesBinance[[#This Row],[Preço]])),Z12)-IF(TbTradesBinance[[#This Row],[Moeda da Taxa]]=MID(Z$1,9,5),TbTradesBinance[[#This Row],[Taxa]],0),8)))</f>
        <v>0</v>
      </c>
      <c r="AA13" s="145" cm="1">
        <f t="array" ref="AA13">IF(TbTradesBinance[[#This Row],[Tipo]]="EMPTY",0,AA12+IF(TbTradesBinance[[#This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Row],[Par]]))),$1:$1,0)),-(Z12-Z13)/Z12*AA12),0),0)+IF(TbTradesBinance[[#This Row],[Tipo]]="SELL",IF(ISNUMBER(FIND(MID(AA$1,10,5),TbTradesBinance[[#This Row],[Par]])),IF(FIND(MID(AA$1,10,5),TbTradesBinance[[#This Row],[Par]])=1, -(Z12-Z13)/Z12*AA12,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Row],[Par]])),(-(Z12-Z13)/Z12*AA12)+IF(TbTradesBinance[[#This Row],[Resultado]]&gt;0,0,TbTradesBinance[[#This Row],[Taxa]]),0),0))</f>
        <v>0</v>
      </c>
      <c r="AB13" s="145">
        <f t="shared" si="5"/>
        <v>0</v>
      </c>
      <c r="AC1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Row],[Tipo]]="DROP"),AC12+TbTradesBinance[[#This Row],[Qtt]],AC12-TbTradesBinance[[#This Row],[Qtt]]),IF(TbTradesBinance[[#This Row],[Tipo]]="BUY",AC12-TbTradesBinance[[#This Row],[Qtt]]*TbTradesBinance[[#This Row],[Preço]],AC12+TbTradesBinance[[#This Row],[Qtt]]*TbTradesBinance[[#This Row],[Preço]])),AC12)-IF(TbTradesBinance[[#This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Row],[Tipo]]="DROP"),AC12+TbTradesBinance[[#This Row],[Qtt]],AC12-TbTradesBinance[[#This Row],[Qtt]]),IF(TbTradesBinance[[#This Row],[Tipo]]="BUY",AC12-TbTradesBinance[[#This Row],[Qtt]]*TbTradesBinance[[#This Row],[Preço]],AC12+TbTradesBinance[[#This Row],[Qtt]]*TbTradesBinance[[#This Row],[Preço]])),AC12)-IF(TbTradesBinance[[#This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Row],[Tipo]]="DROP"),AC12+TbTradesBinance[[#This Row],[Qtt]],AC12-TbTradesBinance[[#This Row],[Qtt]]),IF(TbTradesBinance[[#This Row],[Tipo]]="BUY",AC12-TbTradesBinance[[#This Row],[Qtt]]*TbTradesBinance[[#This Row],[Preço]],AC12+TbTradesBinance[[#This Row],[Qtt]]*TbTradesBinance[[#This Row],[Preço]])),AC12)-IF(TbTradesBinance[[#This Row],[Moeda da Taxa]]=MID(AC$1,9,5),TbTradesBinance[[#This Row],[Taxa]],0),8)))</f>
        <v>0</v>
      </c>
      <c r="AD13" s="145" cm="1">
        <f t="array" ref="AD13">IF(TbTradesBinance[[#This Row],[Tipo]]="EMPTY",0,AD12+IF(TbTradesBinance[[#This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Row],[Par]]))),$1:$1,0)),-(AC12-AC13)/AC12*AD12),0),0)+IF(TbTradesBinance[[#This Row],[Tipo]]="SELL",IF(ISNUMBER(FIND(MID(AD$1,10,5),TbTradesBinance[[#This Row],[Par]])),IF(FIND(MID(AD$1,10,5),TbTradesBinance[[#This Row],[Par]])=1, -(AC12-AC13)/AC12*AD12,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Row],[Par]])),(-(AC12-AC13)/AC12*AD12)+IF(TbTradesBinance[[#This Row],[Resultado]]&gt;0,0,TbTradesBinance[[#This Row],[Taxa]]),0),0))</f>
        <v>0</v>
      </c>
      <c r="AE13" s="145">
        <f t="shared" si="6"/>
        <v>0</v>
      </c>
      <c r="AF1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Row],[Tipo]]="DROP"),AF12+TbTradesBinance[[#This Row],[Qtt]],AF12-TbTradesBinance[[#This Row],[Qtt]]),IF(TbTradesBinance[[#This Row],[Tipo]]="BUY",AF12-TbTradesBinance[[#This Row],[Qtt]]*TbTradesBinance[[#This Row],[Preço]],AF12+TbTradesBinance[[#This Row],[Qtt]]*TbTradesBinance[[#This Row],[Preço]])),AF12)-IF(TbTradesBinance[[#This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Row],[Tipo]]="DROP"),AF12+TbTradesBinance[[#This Row],[Qtt]],AF12-TbTradesBinance[[#This Row],[Qtt]]),IF(TbTradesBinance[[#This Row],[Tipo]]="BUY",AF12-TbTradesBinance[[#This Row],[Qtt]]*TbTradesBinance[[#This Row],[Preço]],AF12+TbTradesBinance[[#This Row],[Qtt]]*TbTradesBinance[[#This Row],[Preço]])),AF12)-IF(TbTradesBinance[[#This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Row],[Tipo]]="DROP"),AF12+TbTradesBinance[[#This Row],[Qtt]],AF12-TbTradesBinance[[#This Row],[Qtt]]),IF(TbTradesBinance[[#This Row],[Tipo]]="BUY",AF12-TbTradesBinance[[#This Row],[Qtt]]*TbTradesBinance[[#This Row],[Preço]],AF12+TbTradesBinance[[#This Row],[Qtt]]*TbTradesBinance[[#This Row],[Preço]])),AF12)-IF(TbTradesBinance[[#This Row],[Moeda da Taxa]]=MID(AF$1,9,5),TbTradesBinance[[#This Row],[Taxa]],0),8)))</f>
        <v>0</v>
      </c>
      <c r="AG13" s="145" cm="1">
        <f t="array" ref="AG13">IF(TbTradesBinance[[#This Row],[Tipo]]="EMPTY",0,AG12+IF(TbTradesBinance[[#This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Row],[Par]]))),$1:$1,0)),-(AF12-AF13)/AF12*AG12),0),0)+IF(TbTradesBinance[[#This Row],[Tipo]]="SELL",IF(ISNUMBER(FIND(MID(AG$1,10,5),TbTradesBinance[[#This Row],[Par]])),IF(FIND(MID(AG$1,10,5),TbTradesBinance[[#This Row],[Par]])=1, -(AF12-AF13)/AF12*AG12,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Row],[Par]])),(-(AF12-AF13)/AF12*AG12)+IF(TbTradesBinance[[#This Row],[Resultado]]&gt;0,0,TbTradesBinance[[#This Row],[Taxa]]),0),0))</f>
        <v>0</v>
      </c>
      <c r="AH13" s="145">
        <f t="shared" si="7"/>
        <v>0</v>
      </c>
      <c r="AI1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Row],[Tipo]]="DROP"),AI12+TbTradesBinance[[#This Row],[Qtt]],AI12-TbTradesBinance[[#This Row],[Qtt]]),IF(TbTradesBinance[[#This Row],[Tipo]]="BUY",AI12-TbTradesBinance[[#This Row],[Qtt]]*TbTradesBinance[[#This Row],[Preço]],AI12+TbTradesBinance[[#This Row],[Qtt]]*TbTradesBinance[[#This Row],[Preço]])),AI12)-IF(TbTradesBinance[[#This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Row],[Tipo]]="DROP"),AI12+TbTradesBinance[[#This Row],[Qtt]],AI12-TbTradesBinance[[#This Row],[Qtt]]),IF(TbTradesBinance[[#This Row],[Tipo]]="BUY",AI12-TbTradesBinance[[#This Row],[Qtt]]*TbTradesBinance[[#This Row],[Preço]],AI12+TbTradesBinance[[#This Row],[Qtt]]*TbTradesBinance[[#This Row],[Preço]])),AI12)-IF(TbTradesBinance[[#This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Row],[Tipo]]="DROP"),AI12+TbTradesBinance[[#This Row],[Qtt]],AI12-TbTradesBinance[[#This Row],[Qtt]]),IF(TbTradesBinance[[#This Row],[Tipo]]="BUY",AI12-TbTradesBinance[[#This Row],[Qtt]]*TbTradesBinance[[#This Row],[Preço]],AI12+TbTradesBinance[[#This Row],[Qtt]]*TbTradesBinance[[#This Row],[Preço]])),AI12)-IF(TbTradesBinance[[#This Row],[Moeda da Taxa]]=MID(AI$1,9,5),TbTradesBinance[[#This Row],[Taxa]],0),8)))</f>
        <v>0</v>
      </c>
      <c r="AJ13" s="145" cm="1">
        <f t="array" ref="AJ13">IF(TbTradesBinance[[#This Row],[Tipo]]="EMPTY",0,AJ12+IF(TbTradesBinance[[#This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Row],[Par]]))),$1:$1,0)),-(AI12-AI13)/AI12*AJ12),0),0)+IF(TbTradesBinance[[#This Row],[Tipo]]="SELL",IF(ISNUMBER(FIND(MID(AJ$1,10,5),TbTradesBinance[[#This Row],[Par]])),IF(FIND(MID(AJ$1,10,5),TbTradesBinance[[#This Row],[Par]])=1, -(AI12-AI13)/AI12*AJ12,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Row],[Par]])),(-(AI12-AI13)/AI12*AJ12)+IF(TbTradesBinance[[#This Row],[Resultado]]&gt;0,0,TbTradesBinance[[#This Row],[Taxa]]),0),0))</f>
        <v>0</v>
      </c>
      <c r="AK13" s="145">
        <f t="shared" si="8"/>
        <v>0</v>
      </c>
      <c r="AL1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Row],[Tipo]]="DROP"),AL12+TbTradesBinance[[#This Row],[Qtt]],AL12-TbTradesBinance[[#This Row],[Qtt]]),IF(TbTradesBinance[[#This Row],[Tipo]]="BUY",AL12-TbTradesBinance[[#This Row],[Qtt]]*TbTradesBinance[[#This Row],[Preço]],AL12+TbTradesBinance[[#This Row],[Qtt]]*TbTradesBinance[[#This Row],[Preço]])),AL12)-IF(TbTradesBinance[[#This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Row],[Tipo]]="DROP"),AL12+TbTradesBinance[[#This Row],[Qtt]],AL12-TbTradesBinance[[#This Row],[Qtt]]),IF(TbTradesBinance[[#This Row],[Tipo]]="BUY",AL12-TbTradesBinance[[#This Row],[Qtt]]*TbTradesBinance[[#This Row],[Preço]],AL12+TbTradesBinance[[#This Row],[Qtt]]*TbTradesBinance[[#This Row],[Preço]])),AL12)-IF(TbTradesBinance[[#This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Row],[Tipo]]="DROP"),AL12+TbTradesBinance[[#This Row],[Qtt]],AL12-TbTradesBinance[[#This Row],[Qtt]]),IF(TbTradesBinance[[#This Row],[Tipo]]="BUY",AL12-TbTradesBinance[[#This Row],[Qtt]]*TbTradesBinance[[#This Row],[Preço]],AL12+TbTradesBinance[[#This Row],[Qtt]]*TbTradesBinance[[#This Row],[Preço]])),AL12)-IF(TbTradesBinance[[#This Row],[Moeda da Taxa]]=MID(AL$1,9,5),TbTradesBinance[[#This Row],[Taxa]],0),8)))</f>
        <v>0</v>
      </c>
      <c r="AM13" s="145" cm="1">
        <f t="array" ref="AM13">IF(TbTradesBinance[[#This Row],[Tipo]]="EMPTY",0,AM12+IF(TbTradesBinance[[#This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Row],[Par]]))),$1:$1,0)),-(AL12-AL13)/AL12*AM12),0),0)+IF(TbTradesBinance[[#This Row],[Tipo]]="SELL",IF(ISNUMBER(FIND(MID(AM$1,10,5),TbTradesBinance[[#This Row],[Par]])),IF(FIND(MID(AM$1,10,5),TbTradesBinance[[#This Row],[Par]])=1, -(AL12-AL13)/AL12*AM12,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Row],[Par]])),(-(AL12-AL13)/AL12*AM12)+IF(TbTradesBinance[[#This Row],[Resultado]]&gt;0,0,TbTradesBinance[[#This Row],[Taxa]]),0),0))</f>
        <v>0</v>
      </c>
      <c r="AN13" s="145">
        <f t="shared" si="9"/>
        <v>0</v>
      </c>
      <c r="AO1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Row],[Tipo]]="DROP"),AO12+TbTradesBinance[[#This Row],[Qtt]],AO12-TbTradesBinance[[#This Row],[Qtt]]),IF(TbTradesBinance[[#This Row],[Tipo]]="BUY",AO12-TbTradesBinance[[#This Row],[Qtt]]*TbTradesBinance[[#This Row],[Preço]],AO12+TbTradesBinance[[#This Row],[Qtt]]*TbTradesBinance[[#This Row],[Preço]])),AO12)-IF(TbTradesBinance[[#This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Row],[Tipo]]="DROP"),AO12+TbTradesBinance[[#This Row],[Qtt]],AO12-TbTradesBinance[[#This Row],[Qtt]]),IF(TbTradesBinance[[#This Row],[Tipo]]="BUY",AO12-TbTradesBinance[[#This Row],[Qtt]]*TbTradesBinance[[#This Row],[Preço]],AO12+TbTradesBinance[[#This Row],[Qtt]]*TbTradesBinance[[#This Row],[Preço]])),AO12)-IF(TbTradesBinance[[#This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Row],[Tipo]]="DROP"),AO12+TbTradesBinance[[#This Row],[Qtt]],AO12-TbTradesBinance[[#This Row],[Qtt]]),IF(TbTradesBinance[[#This Row],[Tipo]]="BUY",AO12-TbTradesBinance[[#This Row],[Qtt]]*TbTradesBinance[[#This Row],[Preço]],AO12+TbTradesBinance[[#This Row],[Qtt]]*TbTradesBinance[[#This Row],[Preço]])),AO12)-IF(TbTradesBinance[[#This Row],[Moeda da Taxa]]=MID(AO$1,9,5),TbTradesBinance[[#This Row],[Taxa]],0),8)))</f>
        <v>0</v>
      </c>
      <c r="AP13" s="145" cm="1">
        <f t="array" ref="AP13">IF(TbTradesBinance[[#This Row],[Tipo]]="EMPTY",0,AP12+IF(TbTradesBinance[[#This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Row],[Par]]))),$1:$1,0)),-(AO12-AO13)/AO12*AP12),0),0)+IF(TbTradesBinance[[#This Row],[Tipo]]="SELL",IF(ISNUMBER(FIND(MID(AP$1,10,5),TbTradesBinance[[#This Row],[Par]])),IF(FIND(MID(AP$1,10,5),TbTradesBinance[[#This Row],[Par]])=1, -(AO12-AO13)/AO12*AP12,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Row],[Par]])),(-(AO12-AO13)/AO12*AP12)+IF(TbTradesBinance[[#This Row],[Resultado]]&gt;0,0,TbTradesBinance[[#This Row],[Taxa]]),0),0))</f>
        <v>0</v>
      </c>
      <c r="AQ13" s="145">
        <f t="shared" si="10"/>
        <v>0</v>
      </c>
      <c r="AR1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Row],[Tipo]]="DROP"),AR12+TbTradesBinance[[#This Row],[Qtt]],AR12-TbTradesBinance[[#This Row],[Qtt]]),IF(TbTradesBinance[[#This Row],[Tipo]]="BUY",AR12-TbTradesBinance[[#This Row],[Qtt]]*TbTradesBinance[[#This Row],[Preço]],AR12+TbTradesBinance[[#This Row],[Qtt]]*TbTradesBinance[[#This Row],[Preço]])),AR12)-IF(TbTradesBinance[[#This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Row],[Tipo]]="DROP"),AR12+TbTradesBinance[[#This Row],[Qtt]],AR12-TbTradesBinance[[#This Row],[Qtt]]),IF(TbTradesBinance[[#This Row],[Tipo]]="BUY",AR12-TbTradesBinance[[#This Row],[Qtt]]*TbTradesBinance[[#This Row],[Preço]],AR12+TbTradesBinance[[#This Row],[Qtt]]*TbTradesBinance[[#This Row],[Preço]])),AR12)-IF(TbTradesBinance[[#This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Row],[Tipo]]="DROP"),AR12+TbTradesBinance[[#This Row],[Qtt]],AR12-TbTradesBinance[[#This Row],[Qtt]]),IF(TbTradesBinance[[#This Row],[Tipo]]="BUY",AR12-TbTradesBinance[[#This Row],[Qtt]]*TbTradesBinance[[#This Row],[Preço]],AR12+TbTradesBinance[[#This Row],[Qtt]]*TbTradesBinance[[#This Row],[Preço]])),AR12)-IF(TbTradesBinance[[#This Row],[Moeda da Taxa]]=MID(AR$1,9,5),TbTradesBinance[[#This Row],[Taxa]],0),8)))</f>
        <v>0</v>
      </c>
      <c r="AS13" s="145" cm="1">
        <f t="array" ref="AS13">IF(TbTradesBinance[[#This Row],[Tipo]]="EMPTY",0,AS12+IF(TbTradesBinance[[#This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Row],[Par]]))),$1:$1,0)),-(AR12-AR13)/AR12*AS12),0),0)+IF(TbTradesBinance[[#This Row],[Tipo]]="SELL",IF(ISNUMBER(FIND(MID(AS$1,10,5),TbTradesBinance[[#This Row],[Par]])),IF(FIND(MID(AS$1,10,5),TbTradesBinance[[#This Row],[Par]])=1, -(AR12-AR13)/AR12*AS12,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Row],[Par]])),(-(AR12-AR13)/AR12*AS12)+IF(TbTradesBinance[[#This Row],[Resultado]]&gt;0,0,TbTradesBinance[[#This Row],[Taxa]]),0),0))</f>
        <v>0</v>
      </c>
      <c r="AT13" s="145">
        <f t="shared" si="11"/>
        <v>0</v>
      </c>
      <c r="AU1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Row],[Tipo]]="DROP"),AU12+TbTradesBinance[[#This Row],[Qtt]],AU12-TbTradesBinance[[#This Row],[Qtt]]),IF(TbTradesBinance[[#This Row],[Tipo]]="BUY",AU12-TbTradesBinance[[#This Row],[Qtt]]*TbTradesBinance[[#This Row],[Preço]],AU12+TbTradesBinance[[#This Row],[Qtt]]*TbTradesBinance[[#This Row],[Preço]])),AU12)-IF(TbTradesBinance[[#This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Row],[Tipo]]="DROP"),AU12+TbTradesBinance[[#This Row],[Qtt]],AU12-TbTradesBinance[[#This Row],[Qtt]]),IF(TbTradesBinance[[#This Row],[Tipo]]="BUY",AU12-TbTradesBinance[[#This Row],[Qtt]]*TbTradesBinance[[#This Row],[Preço]],AU12+TbTradesBinance[[#This Row],[Qtt]]*TbTradesBinance[[#This Row],[Preço]])),AU12)-IF(TbTradesBinance[[#This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Row],[Tipo]]="DROP"),AU12+TbTradesBinance[[#This Row],[Qtt]],AU12-TbTradesBinance[[#This Row],[Qtt]]),IF(TbTradesBinance[[#This Row],[Tipo]]="BUY",AU12-TbTradesBinance[[#This Row],[Qtt]]*TbTradesBinance[[#This Row],[Preço]],AU12+TbTradesBinance[[#This Row],[Qtt]]*TbTradesBinance[[#This Row],[Preço]])),AU12)-IF(TbTradesBinance[[#This Row],[Moeda da Taxa]]=MID(AU$1,9,5),TbTradesBinance[[#This Row],[Taxa]],0),8)))</f>
        <v>0</v>
      </c>
      <c r="AV13" s="145" cm="1">
        <f t="array" ref="AV13">IF(TbTradesBinance[[#This Row],[Tipo]]="EMPTY",0,AV12+IF(TbTradesBinance[[#This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Row],[Par]]))),$1:$1,0)),-(AU12-AU13)/AU12*AV12),0),0)+IF(TbTradesBinance[[#This Row],[Tipo]]="SELL",IF(ISNUMBER(FIND(MID(AV$1,10,5),TbTradesBinance[[#This Row],[Par]])),IF(FIND(MID(AV$1,10,5),TbTradesBinance[[#This Row],[Par]])=1, -(AU12-AU13)/AU12*AV12,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Row],[Par]])),(-(AU12-AU13)/AU12*AV12)+IF(TbTradesBinance[[#This Row],[Resultado]]&gt;0,0,TbTradesBinance[[#This Row],[Taxa]]),0),0))</f>
        <v>0</v>
      </c>
      <c r="AW13" s="145">
        <f t="shared" si="12"/>
        <v>0</v>
      </c>
      <c r="AX1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Row],[Tipo]]="DROP"),AX12+TbTradesBinance[[#This Row],[Qtt]],AX12-TbTradesBinance[[#This Row],[Qtt]]),IF(TbTradesBinance[[#This Row],[Tipo]]="BUY",AX12-TbTradesBinance[[#This Row],[Qtt]]*TbTradesBinance[[#This Row],[Preço]],AX12+TbTradesBinance[[#This Row],[Qtt]]*TbTradesBinance[[#This Row],[Preço]])),AX12)-IF(TbTradesBinance[[#This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Row],[Tipo]]="DROP"),AX12+TbTradesBinance[[#This Row],[Qtt]],AX12-TbTradesBinance[[#This Row],[Qtt]]),IF(TbTradesBinance[[#This Row],[Tipo]]="BUY",AX12-TbTradesBinance[[#This Row],[Qtt]]*TbTradesBinance[[#This Row],[Preço]],AX12+TbTradesBinance[[#This Row],[Qtt]]*TbTradesBinance[[#This Row],[Preço]])),AX12)-IF(TbTradesBinance[[#This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Row],[Tipo]]="DROP"),AX12+TbTradesBinance[[#This Row],[Qtt]],AX12-TbTradesBinance[[#This Row],[Qtt]]),IF(TbTradesBinance[[#This Row],[Tipo]]="BUY",AX12-TbTradesBinance[[#This Row],[Qtt]]*TbTradesBinance[[#This Row],[Preço]],AX12+TbTradesBinance[[#This Row],[Qtt]]*TbTradesBinance[[#This Row],[Preço]])),AX12)-IF(TbTradesBinance[[#This Row],[Moeda da Taxa]]=MID(AX$1,9,5),TbTradesBinance[[#This Row],[Taxa]],0),8)))</f>
        <v>0</v>
      </c>
      <c r="AY13" s="145" cm="1">
        <f t="array" ref="AY13">IF(TbTradesBinance[[#This Row],[Tipo]]="EMPTY",0,AY12+IF(TbTradesBinance[[#This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Row],[Par]]))),$1:$1,0)),-(AX12-AX13)/AX12*AY12),0),0)+IF(TbTradesBinance[[#This Row],[Tipo]]="SELL",IF(ISNUMBER(FIND(MID(AY$1,10,5),TbTradesBinance[[#This Row],[Par]])),IF(FIND(MID(AY$1,10,5),TbTradesBinance[[#This Row],[Par]])=1, -(AX12-AX13)/AX12*AY12,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Row],[Par]])),(-(AX12-AX13)/AX12*AY12)+IF(TbTradesBinance[[#This Row],[Resultado]]&gt;0,0,TbTradesBinance[[#This Row],[Taxa]]),0),0))</f>
        <v>0</v>
      </c>
      <c r="AZ13" s="145">
        <f t="shared" si="13"/>
        <v>0</v>
      </c>
      <c r="BA1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Row],[Tipo]]="DROP"),BA12+TbTradesBinance[[#This Row],[Qtt]],BA12-TbTradesBinance[[#This Row],[Qtt]]),IF(TbTradesBinance[[#This Row],[Tipo]]="BUY",BA12-TbTradesBinance[[#This Row],[Qtt]]*TbTradesBinance[[#This Row],[Preço]],BA12+TbTradesBinance[[#This Row],[Qtt]]*TbTradesBinance[[#This Row],[Preço]])),BA12)-IF(TbTradesBinance[[#This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Row],[Tipo]]="DROP"),BA12+TbTradesBinance[[#This Row],[Qtt]],BA12-TbTradesBinance[[#This Row],[Qtt]]),IF(TbTradesBinance[[#This Row],[Tipo]]="BUY",BA12-TbTradesBinance[[#This Row],[Qtt]]*TbTradesBinance[[#This Row],[Preço]],BA12+TbTradesBinance[[#This Row],[Qtt]]*TbTradesBinance[[#This Row],[Preço]])),BA12)-IF(TbTradesBinance[[#This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Row],[Tipo]]="DROP"),BA12+TbTradesBinance[[#This Row],[Qtt]],BA12-TbTradesBinance[[#This Row],[Qtt]]),IF(TbTradesBinance[[#This Row],[Tipo]]="BUY",BA12-TbTradesBinance[[#This Row],[Qtt]]*TbTradesBinance[[#This Row],[Preço]],BA12+TbTradesBinance[[#This Row],[Qtt]]*TbTradesBinance[[#This Row],[Preço]])),BA12)-IF(TbTradesBinance[[#This Row],[Moeda da Taxa]]=MID(BA$1,9,5),TbTradesBinance[[#This Row],[Taxa]],0),8)))</f>
        <v>0</v>
      </c>
      <c r="BB13" s="145" cm="1">
        <f t="array" ref="BB13">IF(TbTradesBinance[[#This Row],[Tipo]]="EMPTY",0,BB12+IF(TbTradesBinance[[#This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Row],[Par]]))),$1:$1,0)),-(BA12-BA13)/BA12*BB12),0),0)+IF(TbTradesBinance[[#This Row],[Tipo]]="SELL",IF(ISNUMBER(FIND(MID(BB$1,10,5),TbTradesBinance[[#This Row],[Par]])),IF(FIND(MID(BB$1,10,5),TbTradesBinance[[#This Row],[Par]])=1, -(BA12-BA13)/BA12*BB12,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Row],[Par]])),(-(BA12-BA13)/BA12*BB12)+IF(TbTradesBinance[[#This Row],[Resultado]]&gt;0,0,TbTradesBinance[[#This Row],[Taxa]]),0),0))</f>
        <v>0</v>
      </c>
      <c r="BC13" s="145">
        <f t="shared" si="14"/>
        <v>0</v>
      </c>
      <c r="BD1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Row],[Tipo]]="DROP"),BD12+TbTradesBinance[[#This Row],[Qtt]],BD12-TbTradesBinance[[#This Row],[Qtt]]),IF(TbTradesBinance[[#This Row],[Tipo]]="BUY",BD12-TbTradesBinance[[#This Row],[Qtt]]*TbTradesBinance[[#This Row],[Preço]],BD12+TbTradesBinance[[#This Row],[Qtt]]*TbTradesBinance[[#This Row],[Preço]])),BD12)-IF(TbTradesBinance[[#This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Row],[Tipo]]="DROP"),BD12+TbTradesBinance[[#This Row],[Qtt]],BD12-TbTradesBinance[[#This Row],[Qtt]]),IF(TbTradesBinance[[#This Row],[Tipo]]="BUY",BD12-TbTradesBinance[[#This Row],[Qtt]]*TbTradesBinance[[#This Row],[Preço]],BD12+TbTradesBinance[[#This Row],[Qtt]]*TbTradesBinance[[#This Row],[Preço]])),BD12)-IF(TbTradesBinance[[#This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Row],[Tipo]]="DROP"),BD12+TbTradesBinance[[#This Row],[Qtt]],BD12-TbTradesBinance[[#This Row],[Qtt]]),IF(TbTradesBinance[[#This Row],[Tipo]]="BUY",BD12-TbTradesBinance[[#This Row],[Qtt]]*TbTradesBinance[[#This Row],[Preço]],BD12+TbTradesBinance[[#This Row],[Qtt]]*TbTradesBinance[[#This Row],[Preço]])),BD12)-IF(TbTradesBinance[[#This Row],[Moeda da Taxa]]=MID(BD$1,9,5),TbTradesBinance[[#This Row],[Taxa]],0),8)))</f>
        <v>0</v>
      </c>
      <c r="BE13" s="145" cm="1">
        <f t="array" ref="BE13">IF(TbTradesBinance[[#This Row],[Tipo]]="EMPTY",0,BE12+IF(TbTradesBinance[[#This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Row],[Par]]))),$1:$1,0)),-(BD12-BD13)/BD12*BE12),0),0)+IF(TbTradesBinance[[#This Row],[Tipo]]="SELL",IF(ISNUMBER(FIND(MID(BE$1,10,5),TbTradesBinance[[#This Row],[Par]])),IF(FIND(MID(BE$1,10,5),TbTradesBinance[[#This Row],[Par]])=1, -(BD12-BD13)/BD12*BE12,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Row],[Par]])),(-(BD12-BD13)/BD12*BE12)+IF(TbTradesBinance[[#This Row],[Resultado]]&gt;0,0,TbTradesBinance[[#This Row],[Taxa]]),0),0))</f>
        <v>0</v>
      </c>
      <c r="BF13" s="145">
        <f t="shared" si="15"/>
        <v>0</v>
      </c>
      <c r="BG1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Row],[Tipo]]="DROP"),BG12+TbTradesBinance[[#This Row],[Qtt]],BG12-TbTradesBinance[[#This Row],[Qtt]]),IF(TbTradesBinance[[#This Row],[Tipo]]="BUY",BG12-TbTradesBinance[[#This Row],[Qtt]]*TbTradesBinance[[#This Row],[Preço]],BG12+TbTradesBinance[[#This Row],[Qtt]]*TbTradesBinance[[#This Row],[Preço]])),BG12)-IF(TbTradesBinance[[#This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Row],[Tipo]]="DROP"),BG12+TbTradesBinance[[#This Row],[Qtt]],BG12-TbTradesBinance[[#This Row],[Qtt]]),IF(TbTradesBinance[[#This Row],[Tipo]]="BUY",BG12-TbTradesBinance[[#This Row],[Qtt]]*TbTradesBinance[[#This Row],[Preço]],BG12+TbTradesBinance[[#This Row],[Qtt]]*TbTradesBinance[[#This Row],[Preço]])),BG12)-IF(TbTradesBinance[[#This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Row],[Tipo]]="DROP"),BG12+TbTradesBinance[[#This Row],[Qtt]],BG12-TbTradesBinance[[#This Row],[Qtt]]),IF(TbTradesBinance[[#This Row],[Tipo]]="BUY",BG12-TbTradesBinance[[#This Row],[Qtt]]*TbTradesBinance[[#This Row],[Preço]],BG12+TbTradesBinance[[#This Row],[Qtt]]*TbTradesBinance[[#This Row],[Preço]])),BG12)-IF(TbTradesBinance[[#This Row],[Moeda da Taxa]]=MID(BG$1,9,5),TbTradesBinance[[#This Row],[Taxa]],0),8)))</f>
        <v>0</v>
      </c>
      <c r="BH13" s="145" cm="1">
        <f t="array" ref="BH13">IF(TbTradesBinance[[#This Row],[Tipo]]="EMPTY",0,BH12+IF(TbTradesBinance[[#This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Row],[Par]]))),$1:$1,0)),-(BG12-BG13)/BG12*BH12),0),0)+IF(TbTradesBinance[[#This Row],[Tipo]]="SELL",IF(ISNUMBER(FIND(MID(BH$1,10,5),TbTradesBinance[[#This Row],[Par]])),IF(FIND(MID(BH$1,10,5),TbTradesBinance[[#This Row],[Par]])=1, -(BG12-BG13)/BG12*BH12,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Row],[Par]])),(-(BG12-BG13)/BG12*BH12)+IF(TbTradesBinance[[#This Row],[Resultado]]&gt;0,0,TbTradesBinance[[#This Row],[Taxa]]),0),0))</f>
        <v>0</v>
      </c>
      <c r="BI13" s="145">
        <f t="shared" si="16"/>
        <v>0</v>
      </c>
      <c r="BJ1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Row],[Tipo]]="DROP"),BJ12+TbTradesBinance[[#This Row],[Qtt]],BJ12-TbTradesBinance[[#This Row],[Qtt]]),IF(TbTradesBinance[[#This Row],[Tipo]]="BUY",BJ12-TbTradesBinance[[#This Row],[Qtt]]*TbTradesBinance[[#This Row],[Preço]],BJ12+TbTradesBinance[[#This Row],[Qtt]]*TbTradesBinance[[#This Row],[Preço]])),BJ12)-IF(TbTradesBinance[[#This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Row],[Tipo]]="DROP"),BJ12+TbTradesBinance[[#This Row],[Qtt]],BJ12-TbTradesBinance[[#This Row],[Qtt]]),IF(TbTradesBinance[[#This Row],[Tipo]]="BUY",BJ12-TbTradesBinance[[#This Row],[Qtt]]*TbTradesBinance[[#This Row],[Preço]],BJ12+TbTradesBinance[[#This Row],[Qtt]]*TbTradesBinance[[#This Row],[Preço]])),BJ12)-IF(TbTradesBinance[[#This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Row],[Tipo]]="DROP"),BJ12+TbTradesBinance[[#This Row],[Qtt]],BJ12-TbTradesBinance[[#This Row],[Qtt]]),IF(TbTradesBinance[[#This Row],[Tipo]]="BUY",BJ12-TbTradesBinance[[#This Row],[Qtt]]*TbTradesBinance[[#This Row],[Preço]],BJ12+TbTradesBinance[[#This Row],[Qtt]]*TbTradesBinance[[#This Row],[Preço]])),BJ12)-IF(TbTradesBinance[[#This Row],[Moeda da Taxa]]=MID(BJ$1,9,5),TbTradesBinance[[#This Row],[Taxa]],0),8)))</f>
        <v>0</v>
      </c>
      <c r="BK13" s="145" cm="1">
        <f t="array" ref="BK13">IF(TbTradesBinance[[#This Row],[Tipo]]="EMPTY",0,BK12+IF(TbTradesBinance[[#This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Row],[Par]]))),$1:$1,0)),-(BJ12-BJ13)/BJ12*BK12),0),0)+IF(TbTradesBinance[[#This Row],[Tipo]]="SELL",IF(ISNUMBER(FIND(MID(BK$1,10,5),TbTradesBinance[[#This Row],[Par]])),IF(FIND(MID(BK$1,10,5),TbTradesBinance[[#This Row],[Par]])=1, -(BJ12-BJ13)/BJ12*BK12,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Row],[Par]])),(-(BJ12-BJ13)/BJ12*BK12)+IF(TbTradesBinance[[#This Row],[Resultado]]&gt;0,0,TbTradesBinance[[#This Row],[Taxa]]),0),0))</f>
        <v>0</v>
      </c>
      <c r="BL13" s="145">
        <f t="shared" si="17"/>
        <v>0</v>
      </c>
      <c r="BM1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Row],[Tipo]]="DROP"),BM12+TbTradesBinance[[#This Row],[Qtt]],BM12-TbTradesBinance[[#This Row],[Qtt]]),IF(TbTradesBinance[[#This Row],[Tipo]]="BUY",BM12-TbTradesBinance[[#This Row],[Qtt]]*TbTradesBinance[[#This Row],[Preço]],BM12+TbTradesBinance[[#This Row],[Qtt]]*TbTradesBinance[[#This Row],[Preço]])),BM12)-IF(TbTradesBinance[[#This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Row],[Tipo]]="DROP"),BM12+TbTradesBinance[[#This Row],[Qtt]],BM12-TbTradesBinance[[#This Row],[Qtt]]),IF(TbTradesBinance[[#This Row],[Tipo]]="BUY",BM12-TbTradesBinance[[#This Row],[Qtt]]*TbTradesBinance[[#This Row],[Preço]],BM12+TbTradesBinance[[#This Row],[Qtt]]*TbTradesBinance[[#This Row],[Preço]])),BM12)-IF(TbTradesBinance[[#This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Row],[Tipo]]="DROP"),BM12+TbTradesBinance[[#This Row],[Qtt]],BM12-TbTradesBinance[[#This Row],[Qtt]]),IF(TbTradesBinance[[#This Row],[Tipo]]="BUY",BM12-TbTradesBinance[[#This Row],[Qtt]]*TbTradesBinance[[#This Row],[Preço]],BM12+TbTradesBinance[[#This Row],[Qtt]]*TbTradesBinance[[#This Row],[Preço]])),BM12)-IF(TbTradesBinance[[#This Row],[Moeda da Taxa]]=MID(BM$1,9,5),TbTradesBinance[[#This Row],[Taxa]],0),8)))</f>
        <v>0</v>
      </c>
      <c r="BN13" s="145" cm="1">
        <f t="array" ref="BN13">IF(TbTradesBinance[[#This Row],[Tipo]]="EMPTY",0,BN12+IF(TbTradesBinance[[#This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Row],[Par]]))),$1:$1,0)),-(BM12-BM13)/BM12*BN12),0),0)+IF(TbTradesBinance[[#This Row],[Tipo]]="SELL",IF(ISNUMBER(FIND(MID(BN$1,10,5),TbTradesBinance[[#This Row],[Par]])),IF(FIND(MID(BN$1,10,5),TbTradesBinance[[#This Row],[Par]])=1, -(BM12-BM13)/BM12*BN12,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Row],[Par]])),(-(BM12-BM13)/BM12*BN12)+IF(TbTradesBinance[[#This Row],[Resultado]]&gt;0,0,TbTradesBinance[[#This Row],[Taxa]]),0),0))</f>
        <v>0</v>
      </c>
      <c r="BO13" s="145">
        <f t="shared" si="18"/>
        <v>0</v>
      </c>
    </row>
    <row r="14" spans="1:67" x14ac:dyDescent="0.3">
      <c r="B14" s="51"/>
      <c r="C14" s="40">
        <f>TRUNC(IF(AND(TbTradesBinance[[#This Row],[Tipo]]="SEND",TbTradesBinance[[#This Row],[Par]]="BRL"),TbTradesBinance[[#This Row],[Qtt]]*(1-P12)-IF(TbTradesBinance[[#This Row],[Moeda da Taxa]]="BRL",TbTradesBinance[[#This Row],[Taxa]],0),0)+IF(AND(TbTradesBinance[[#This Row],[Tipo]]="BURN",TbTradesBinance[[#This Row],[Par]]="BRL"),-TbTradesBinance[[#This Row],[Qtt]]*P12,0),2)</f>
        <v>0</v>
      </c>
      <c r="D14" s="53">
        <v>44250.494409722225</v>
      </c>
      <c r="E14" s="37" t="s">
        <v>236</v>
      </c>
      <c r="F14" s="47" t="s">
        <v>139</v>
      </c>
      <c r="G14" s="38">
        <v>38000</v>
      </c>
      <c r="H14" s="38">
        <v>2.7300000000000002E-4</v>
      </c>
      <c r="I14" s="38">
        <v>0</v>
      </c>
      <c r="J14" s="37" t="s">
        <v>6</v>
      </c>
      <c r="K14" s="52">
        <v>6.609</v>
      </c>
      <c r="L14" s="40">
        <f t="shared" si="0"/>
        <v>251142</v>
      </c>
      <c r="M14" s="40">
        <f>IF(OR(TbTradesBinance[[#This Row],[Tipo]]="BUY",TbTradesBinance[[#This Row],[Tipo]]="RECEIVE",TbTradesBinance[[#This Row],[Tipo]]="DROP"),L14*H14,-L14*H14)</f>
        <v>68.561766000000006</v>
      </c>
      <c r="N1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Row],[Tipo]]="DROP"),N13+TbTradesBinance[[#This Row],[Qtt]],N13-TbTradesBinance[[#This Row],[Qtt]]),IF(TbTradesBinance[[#This Row],[Tipo]]="BUY",N13-TbTradesBinance[[#This Row],[Qtt]]*TbTradesBinance[[#This Row],[Preço]],N13+TbTradesBinance[[#This Row],[Qtt]]*TbTradesBinance[[#This Row],[Preço]])),N13)-IF(TbTradesBinance[[#This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Row],[Tipo]]="DROP"),N13+TbTradesBinance[[#This Row],[Qtt]],N13-TbTradesBinance[[#This Row],[Qtt]]),IF(TbTradesBinance[[#This Row],[Tipo]]="BUY",N13-TbTradesBinance[[#This Row],[Qtt]]*TbTradesBinance[[#This Row],[Preço]],N13+TbTradesBinance[[#This Row],[Qtt]]*TbTradesBinance[[#This Row],[Preço]])),N13)-IF(TbTradesBinance[[#This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Row],[Tipo]]="DROP"),N13+TbTradesBinance[[#This Row],[Qtt]],N13-TbTradesBinance[[#This Row],[Qtt]]),IF(TbTradesBinance[[#This Row],[Tipo]]="BUY",N13-TbTradesBinance[[#This Row],[Qtt]]*TbTradesBinance[[#This Row],[Preço]],N13+TbTradesBinance[[#This Row],[Qtt]]*TbTradesBinance[[#This Row],[Preço]])),N13)-IF(TbTradesBinance[[#This Row],[Moeda da Taxa]]=MID(N$1,9,5),TbTradesBinance[[#This Row],[Taxa]],0),8)))</f>
        <v>19900.002438</v>
      </c>
      <c r="O14" s="145" cm="1">
        <f t="array" ref="O14">IF(TbTradesBinance[[#This Row],[Tipo]]="EMPTY",0,O13+IF(TbTradesBinance[[#This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Row],[Par]]))),$1:$1,0)),-(N13-N14)/N13*O13),0),0)+IF(TbTradesBinance[[#This Row],[Tipo]]="SELL",IF(ISNUMBER(FIND(MID(O$1,10,5),TbTradesBinance[[#This Row],[Par]])),IF(FIND(MID(O$1,10,5),TbTradesBinance[[#This Row],[Par]])=1, -(N13-N14)/N13*O13,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Row],[Par]])),(-(N13-N14)/N13*O13)+IF(TbTradesBinance[[#This Row],[Resultado]]&gt;0,0,TbTradesBinance[[#This Row],[Taxa]]),0),0))</f>
        <v>19856.515119095351</v>
      </c>
      <c r="P14" s="145">
        <f t="shared" si="1"/>
        <v>0.99781470786045701</v>
      </c>
      <c r="Q1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Row],[Tipo]]="DROP"),Q13+TbTradesBinance[[#This Row],[Qtt]],Q13-TbTradesBinance[[#This Row],[Qtt]]),IF(TbTradesBinance[[#This Row],[Tipo]]="BUY",Q13-TbTradesBinance[[#This Row],[Qtt]]*TbTradesBinance[[#This Row],[Preço]],Q13+TbTradesBinance[[#This Row],[Qtt]]*TbTradesBinance[[#This Row],[Preço]])),Q13)-IF(TbTradesBinance[[#This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Row],[Tipo]]="DROP"),Q13+TbTradesBinance[[#This Row],[Qtt]],Q13-TbTradesBinance[[#This Row],[Qtt]]),IF(TbTradesBinance[[#This Row],[Tipo]]="BUY",Q13-TbTradesBinance[[#This Row],[Qtt]]*TbTradesBinance[[#This Row],[Preço]],Q13+TbTradesBinance[[#This Row],[Qtt]]*TbTradesBinance[[#This Row],[Preço]])),Q13)-IF(TbTradesBinance[[#This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Row],[Tipo]]="DROP"),Q13+TbTradesBinance[[#This Row],[Qtt]],Q13-TbTradesBinance[[#This Row],[Qtt]]),IF(TbTradesBinance[[#This Row],[Tipo]]="BUY",Q13-TbTradesBinance[[#This Row],[Qtt]]*TbTradesBinance[[#This Row],[Preço]],Q13+TbTradesBinance[[#This Row],[Qtt]]*TbTradesBinance[[#This Row],[Preço]])),Q13)-IF(TbTradesBinance[[#This Row],[Moeda da Taxa]]=MID(Q$1,9,5),TbTradesBinance[[#This Row],[Taxa]],0),8)))</f>
        <v>0</v>
      </c>
      <c r="R14" s="145" cm="1">
        <f t="array" ref="R14">IF(TbTradesBinance[[#This Row],[Tipo]]="EMPTY",0,R13+IF(TbTradesBinance[[#This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Row],[Par]]))),$1:$1,0)),-(Q13-Q14)/Q13*R13),0),0)+IF(TbTradesBinance[[#This Row],[Tipo]]="SELL",IF(ISNUMBER(FIND(MID(R$1,10,5),TbTradesBinance[[#This Row],[Par]])),IF(FIND(MID(R$1,10,5),TbTradesBinance[[#This Row],[Par]])=1, -(Q13-Q14)/Q13*R13,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Row],[Par]])),(-(Q13-Q14)/Q13*R13)+IF(TbTradesBinance[[#This Row],[Resultado]]&gt;0,0,TbTradesBinance[[#This Row],[Taxa]]),0),0))</f>
        <v>0</v>
      </c>
      <c r="S14" s="145">
        <f t="shared" si="2"/>
        <v>0</v>
      </c>
      <c r="T1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Row],[Tipo]]="DROP"),T13+TbTradesBinance[[#This Row],[Qtt]],T13-TbTradesBinance[[#This Row],[Qtt]]),IF(TbTradesBinance[[#This Row],[Tipo]]="BUY",T13-TbTradesBinance[[#This Row],[Qtt]]*TbTradesBinance[[#This Row],[Preço]],T13+TbTradesBinance[[#This Row],[Qtt]]*TbTradesBinance[[#This Row],[Preço]])),T13)-IF(TbTradesBinance[[#This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Row],[Tipo]]="DROP"),T13+TbTradesBinance[[#This Row],[Qtt]],T13-TbTradesBinance[[#This Row],[Qtt]]),IF(TbTradesBinance[[#This Row],[Tipo]]="BUY",T13-TbTradesBinance[[#This Row],[Qtt]]*TbTradesBinance[[#This Row],[Preço]],T13+TbTradesBinance[[#This Row],[Qtt]]*TbTradesBinance[[#This Row],[Preço]])),T13)-IF(TbTradesBinance[[#This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Row],[Tipo]]="DROP"),T13+TbTradesBinance[[#This Row],[Qtt]],T13-TbTradesBinance[[#This Row],[Qtt]]),IF(TbTradesBinance[[#This Row],[Tipo]]="BUY",T13-TbTradesBinance[[#This Row],[Qtt]]*TbTradesBinance[[#This Row],[Preço]],T13+TbTradesBinance[[#This Row],[Qtt]]*TbTradesBinance[[#This Row],[Preço]])),T13)-IF(TbTradesBinance[[#This Row],[Moeda da Taxa]]=MID(T$1,9,5),TbTradesBinance[[#This Row],[Taxa]],0),8)))</f>
        <v>2.867312E-2</v>
      </c>
      <c r="U14" s="145" cm="1">
        <f t="array" ref="U14">IF(TbTradesBinance[[#This Row],[Tipo]]="EMPTY",0,U13+IF(TbTradesBinance[[#This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Row],[Par]]))),$1:$1,0)),-(T13-T14)/T13*U13),0),0)+IF(TbTradesBinance[[#This Row],[Tipo]]="SELL",IF(ISNUMBER(FIND(MID(U$1,10,5),TbTradesBinance[[#This Row],[Par]])),IF(FIND(MID(U$1,10,5),TbTradesBinance[[#This Row],[Par]])=1, -(T13-T14)/T13*U13,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Row],[Par]])),(-(T13-T14)/T13*U13)+IF(TbTradesBinance[[#This Row],[Resultado]]&gt;0,0,TbTradesBinance[[#This Row],[Taxa]]),0),0))</f>
        <v>0.19365209596473676</v>
      </c>
      <c r="V14" s="145">
        <f t="shared" si="3"/>
        <v>6.7537852861752317</v>
      </c>
      <c r="W1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Row],[Tipo]]="DROP"),W13+TbTradesBinance[[#This Row],[Qtt]],W13-TbTradesBinance[[#This Row],[Qtt]]),IF(TbTradesBinance[[#This Row],[Tipo]]="BUY",W13-TbTradesBinance[[#This Row],[Qtt]]*TbTradesBinance[[#This Row],[Preço]],W13+TbTradesBinance[[#This Row],[Qtt]]*TbTradesBinance[[#This Row],[Preço]])),W13)-IF(TbTradesBinance[[#This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Row],[Tipo]]="DROP"),W13+TbTradesBinance[[#This Row],[Qtt]],W13-TbTradesBinance[[#This Row],[Qtt]]),IF(TbTradesBinance[[#This Row],[Tipo]]="BUY",W13-TbTradesBinance[[#This Row],[Qtt]]*TbTradesBinance[[#This Row],[Preço]],W13+TbTradesBinance[[#This Row],[Qtt]]*TbTradesBinance[[#This Row],[Preço]])),W13)-IF(TbTradesBinance[[#This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Row],[Tipo]]="DROP"),W13+TbTradesBinance[[#This Row],[Qtt]],W13-TbTradesBinance[[#This Row],[Qtt]]),IF(TbTradesBinance[[#This Row],[Tipo]]="BUY",W13-TbTradesBinance[[#This Row],[Qtt]]*TbTradesBinance[[#This Row],[Preço]],W13+TbTradesBinance[[#This Row],[Qtt]]*TbTradesBinance[[#This Row],[Preço]])),W13)-IF(TbTradesBinance[[#This Row],[Moeda da Taxa]]=MID(W$1,9,5),TbTradesBinance[[#This Row],[Taxa]],0),8)))</f>
        <v>5.4951999999999996E-4</v>
      </c>
      <c r="X14" s="145" cm="1">
        <f t="array" ref="X14">IF(TbTradesBinance[[#This Row],[Tipo]]="EMPTY",0,X13+IF(TbTradesBinance[[#This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Row],[Par]]))),$1:$1,0)),-(W13-W14)/W13*X13),0),0)+IF(TbTradesBinance[[#This Row],[Tipo]]="SELL",IF(ISNUMBER(FIND(MID(X$1,10,5),TbTradesBinance[[#This Row],[Par]])),IF(FIND(MID(X$1,10,5),TbTradesBinance[[#This Row],[Par]])=1, -(W13-W14)/W13*X13,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Row],[Par]])),(-(W13-W14)/W13*X13)+IF(TbTradesBinance[[#This Row],[Resultado]]&gt;0,0,TbTradesBinance[[#This Row],[Taxa]]),0),0))</f>
        <v>143.2912288086859</v>
      </c>
      <c r="Y14" s="145">
        <f t="shared" si="4"/>
        <v>260757.07673730876</v>
      </c>
      <c r="Z1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Row],[Tipo]]="DROP"),Z13+TbTradesBinance[[#This Row],[Qtt]],Z13-TbTradesBinance[[#This Row],[Qtt]]),IF(TbTradesBinance[[#This Row],[Tipo]]="BUY",Z13-TbTradesBinance[[#This Row],[Qtt]]*TbTradesBinance[[#This Row],[Preço]],Z13+TbTradesBinance[[#This Row],[Qtt]]*TbTradesBinance[[#This Row],[Preço]])),Z13)-IF(TbTradesBinance[[#This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Row],[Tipo]]="DROP"),Z13+TbTradesBinance[[#This Row],[Qtt]],Z13-TbTradesBinance[[#This Row],[Qtt]]),IF(TbTradesBinance[[#This Row],[Tipo]]="BUY",Z13-TbTradesBinance[[#This Row],[Qtt]]*TbTradesBinance[[#This Row],[Preço]],Z13+TbTradesBinance[[#This Row],[Qtt]]*TbTradesBinance[[#This Row],[Preço]])),Z13)-IF(TbTradesBinance[[#This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Row],[Tipo]]="DROP"),Z13+TbTradesBinance[[#This Row],[Qtt]],Z13-TbTradesBinance[[#This Row],[Qtt]]),IF(TbTradesBinance[[#This Row],[Tipo]]="BUY",Z13-TbTradesBinance[[#This Row],[Qtt]]*TbTradesBinance[[#This Row],[Preço]],Z13+TbTradesBinance[[#This Row],[Qtt]]*TbTradesBinance[[#This Row],[Preço]])),Z13)-IF(TbTradesBinance[[#This Row],[Moeda da Taxa]]=MID(Z$1,9,5),TbTradesBinance[[#This Row],[Taxa]],0),8)))</f>
        <v>0</v>
      </c>
      <c r="AA14" s="145" cm="1">
        <f t="array" ref="AA14">IF(TbTradesBinance[[#This Row],[Tipo]]="EMPTY",0,AA13+IF(TbTradesBinance[[#This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Row],[Par]]))),$1:$1,0)),-(Z13-Z14)/Z13*AA13),0),0)+IF(TbTradesBinance[[#This Row],[Tipo]]="SELL",IF(ISNUMBER(FIND(MID(AA$1,10,5),TbTradesBinance[[#This Row],[Par]])),IF(FIND(MID(AA$1,10,5),TbTradesBinance[[#This Row],[Par]])=1, -(Z13-Z14)/Z13*AA13,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Row],[Par]])),(-(Z13-Z14)/Z13*AA13)+IF(TbTradesBinance[[#This Row],[Resultado]]&gt;0,0,TbTradesBinance[[#This Row],[Taxa]]),0),0))</f>
        <v>0</v>
      </c>
      <c r="AB14" s="145">
        <f t="shared" si="5"/>
        <v>0</v>
      </c>
      <c r="AC1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Row],[Tipo]]="DROP"),AC13+TbTradesBinance[[#This Row],[Qtt]],AC13-TbTradesBinance[[#This Row],[Qtt]]),IF(TbTradesBinance[[#This Row],[Tipo]]="BUY",AC13-TbTradesBinance[[#This Row],[Qtt]]*TbTradesBinance[[#This Row],[Preço]],AC13+TbTradesBinance[[#This Row],[Qtt]]*TbTradesBinance[[#This Row],[Preço]])),AC13)-IF(TbTradesBinance[[#This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Row],[Tipo]]="DROP"),AC13+TbTradesBinance[[#This Row],[Qtt]],AC13-TbTradesBinance[[#This Row],[Qtt]]),IF(TbTradesBinance[[#This Row],[Tipo]]="BUY",AC13-TbTradesBinance[[#This Row],[Qtt]]*TbTradesBinance[[#This Row],[Preço]],AC13+TbTradesBinance[[#This Row],[Qtt]]*TbTradesBinance[[#This Row],[Preço]])),AC13)-IF(TbTradesBinance[[#This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Row],[Tipo]]="DROP"),AC13+TbTradesBinance[[#This Row],[Qtt]],AC13-TbTradesBinance[[#This Row],[Qtt]]),IF(TbTradesBinance[[#This Row],[Tipo]]="BUY",AC13-TbTradesBinance[[#This Row],[Qtt]]*TbTradesBinance[[#This Row],[Preço]],AC13+TbTradesBinance[[#This Row],[Qtt]]*TbTradesBinance[[#This Row],[Preço]])),AC13)-IF(TbTradesBinance[[#This Row],[Moeda da Taxa]]=MID(AC$1,9,5),TbTradesBinance[[#This Row],[Taxa]],0),8)))</f>
        <v>0</v>
      </c>
      <c r="AD14" s="145" cm="1">
        <f t="array" ref="AD14">IF(TbTradesBinance[[#This Row],[Tipo]]="EMPTY",0,AD13+IF(TbTradesBinance[[#This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Row],[Par]]))),$1:$1,0)),-(AC13-AC14)/AC13*AD13),0),0)+IF(TbTradesBinance[[#This Row],[Tipo]]="SELL",IF(ISNUMBER(FIND(MID(AD$1,10,5),TbTradesBinance[[#This Row],[Par]])),IF(FIND(MID(AD$1,10,5),TbTradesBinance[[#This Row],[Par]])=1, -(AC13-AC14)/AC13*AD13,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Row],[Par]])),(-(AC13-AC14)/AC13*AD13)+IF(TbTradesBinance[[#This Row],[Resultado]]&gt;0,0,TbTradesBinance[[#This Row],[Taxa]]),0),0))</f>
        <v>0</v>
      </c>
      <c r="AE14" s="145">
        <f t="shared" si="6"/>
        <v>0</v>
      </c>
      <c r="AF1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Row],[Tipo]]="DROP"),AF13+TbTradesBinance[[#This Row],[Qtt]],AF13-TbTradesBinance[[#This Row],[Qtt]]),IF(TbTradesBinance[[#This Row],[Tipo]]="BUY",AF13-TbTradesBinance[[#This Row],[Qtt]]*TbTradesBinance[[#This Row],[Preço]],AF13+TbTradesBinance[[#This Row],[Qtt]]*TbTradesBinance[[#This Row],[Preço]])),AF13)-IF(TbTradesBinance[[#This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Row],[Tipo]]="DROP"),AF13+TbTradesBinance[[#This Row],[Qtt]],AF13-TbTradesBinance[[#This Row],[Qtt]]),IF(TbTradesBinance[[#This Row],[Tipo]]="BUY",AF13-TbTradesBinance[[#This Row],[Qtt]]*TbTradesBinance[[#This Row],[Preço]],AF13+TbTradesBinance[[#This Row],[Qtt]]*TbTradesBinance[[#This Row],[Preço]])),AF13)-IF(TbTradesBinance[[#This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Row],[Tipo]]="DROP"),AF13+TbTradesBinance[[#This Row],[Qtt]],AF13-TbTradesBinance[[#This Row],[Qtt]]),IF(TbTradesBinance[[#This Row],[Tipo]]="BUY",AF13-TbTradesBinance[[#This Row],[Qtt]]*TbTradesBinance[[#This Row],[Preço]],AF13+TbTradesBinance[[#This Row],[Qtt]]*TbTradesBinance[[#This Row],[Preço]])),AF13)-IF(TbTradesBinance[[#This Row],[Moeda da Taxa]]=MID(AF$1,9,5),TbTradesBinance[[#This Row],[Taxa]],0),8)))</f>
        <v>0</v>
      </c>
      <c r="AG14" s="145" cm="1">
        <f t="array" ref="AG14">IF(TbTradesBinance[[#This Row],[Tipo]]="EMPTY",0,AG13+IF(TbTradesBinance[[#This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Row],[Par]]))),$1:$1,0)),-(AF13-AF14)/AF13*AG13),0),0)+IF(TbTradesBinance[[#This Row],[Tipo]]="SELL",IF(ISNUMBER(FIND(MID(AG$1,10,5),TbTradesBinance[[#This Row],[Par]])),IF(FIND(MID(AG$1,10,5),TbTradesBinance[[#This Row],[Par]])=1, -(AF13-AF14)/AF13*AG13,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Row],[Par]])),(-(AF13-AF14)/AF13*AG13)+IF(TbTradesBinance[[#This Row],[Resultado]]&gt;0,0,TbTradesBinance[[#This Row],[Taxa]]),0),0))</f>
        <v>0</v>
      </c>
      <c r="AH14" s="145">
        <f t="shared" si="7"/>
        <v>0</v>
      </c>
      <c r="AI1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Row],[Tipo]]="DROP"),AI13+TbTradesBinance[[#This Row],[Qtt]],AI13-TbTradesBinance[[#This Row],[Qtt]]),IF(TbTradesBinance[[#This Row],[Tipo]]="BUY",AI13-TbTradesBinance[[#This Row],[Qtt]]*TbTradesBinance[[#This Row],[Preço]],AI13+TbTradesBinance[[#This Row],[Qtt]]*TbTradesBinance[[#This Row],[Preço]])),AI13)-IF(TbTradesBinance[[#This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Row],[Tipo]]="DROP"),AI13+TbTradesBinance[[#This Row],[Qtt]],AI13-TbTradesBinance[[#This Row],[Qtt]]),IF(TbTradesBinance[[#This Row],[Tipo]]="BUY",AI13-TbTradesBinance[[#This Row],[Qtt]]*TbTradesBinance[[#This Row],[Preço]],AI13+TbTradesBinance[[#This Row],[Qtt]]*TbTradesBinance[[#This Row],[Preço]])),AI13)-IF(TbTradesBinance[[#This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Row],[Tipo]]="DROP"),AI13+TbTradesBinance[[#This Row],[Qtt]],AI13-TbTradesBinance[[#This Row],[Qtt]]),IF(TbTradesBinance[[#This Row],[Tipo]]="BUY",AI13-TbTradesBinance[[#This Row],[Qtt]]*TbTradesBinance[[#This Row],[Preço]],AI13+TbTradesBinance[[#This Row],[Qtt]]*TbTradesBinance[[#This Row],[Preço]])),AI13)-IF(TbTradesBinance[[#This Row],[Moeda da Taxa]]=MID(AI$1,9,5),TbTradesBinance[[#This Row],[Taxa]],0),8)))</f>
        <v>0</v>
      </c>
      <c r="AJ14" s="145" cm="1">
        <f t="array" ref="AJ14">IF(TbTradesBinance[[#This Row],[Tipo]]="EMPTY",0,AJ13+IF(TbTradesBinance[[#This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Row],[Par]]))),$1:$1,0)),-(AI13-AI14)/AI13*AJ13),0),0)+IF(TbTradesBinance[[#This Row],[Tipo]]="SELL",IF(ISNUMBER(FIND(MID(AJ$1,10,5),TbTradesBinance[[#This Row],[Par]])),IF(FIND(MID(AJ$1,10,5),TbTradesBinance[[#This Row],[Par]])=1, -(AI13-AI14)/AI13*AJ13,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Row],[Par]])),(-(AI13-AI14)/AI13*AJ13)+IF(TbTradesBinance[[#This Row],[Resultado]]&gt;0,0,TbTradesBinance[[#This Row],[Taxa]]),0),0))</f>
        <v>0</v>
      </c>
      <c r="AK14" s="145">
        <f t="shared" si="8"/>
        <v>0</v>
      </c>
      <c r="AL1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Row],[Tipo]]="DROP"),AL13+TbTradesBinance[[#This Row],[Qtt]],AL13-TbTradesBinance[[#This Row],[Qtt]]),IF(TbTradesBinance[[#This Row],[Tipo]]="BUY",AL13-TbTradesBinance[[#This Row],[Qtt]]*TbTradesBinance[[#This Row],[Preço]],AL13+TbTradesBinance[[#This Row],[Qtt]]*TbTradesBinance[[#This Row],[Preço]])),AL13)-IF(TbTradesBinance[[#This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Row],[Tipo]]="DROP"),AL13+TbTradesBinance[[#This Row],[Qtt]],AL13-TbTradesBinance[[#This Row],[Qtt]]),IF(TbTradesBinance[[#This Row],[Tipo]]="BUY",AL13-TbTradesBinance[[#This Row],[Qtt]]*TbTradesBinance[[#This Row],[Preço]],AL13+TbTradesBinance[[#This Row],[Qtt]]*TbTradesBinance[[#This Row],[Preço]])),AL13)-IF(TbTradesBinance[[#This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Row],[Tipo]]="DROP"),AL13+TbTradesBinance[[#This Row],[Qtt]],AL13-TbTradesBinance[[#This Row],[Qtt]]),IF(TbTradesBinance[[#This Row],[Tipo]]="BUY",AL13-TbTradesBinance[[#This Row],[Qtt]]*TbTradesBinance[[#This Row],[Preço]],AL13+TbTradesBinance[[#This Row],[Qtt]]*TbTradesBinance[[#This Row],[Preço]])),AL13)-IF(TbTradesBinance[[#This Row],[Moeda da Taxa]]=MID(AL$1,9,5),TbTradesBinance[[#This Row],[Taxa]],0),8)))</f>
        <v>0</v>
      </c>
      <c r="AM14" s="145" cm="1">
        <f t="array" ref="AM14">IF(TbTradesBinance[[#This Row],[Tipo]]="EMPTY",0,AM13+IF(TbTradesBinance[[#This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Row],[Par]]))),$1:$1,0)),-(AL13-AL14)/AL13*AM13),0),0)+IF(TbTradesBinance[[#This Row],[Tipo]]="SELL",IF(ISNUMBER(FIND(MID(AM$1,10,5),TbTradesBinance[[#This Row],[Par]])),IF(FIND(MID(AM$1,10,5),TbTradesBinance[[#This Row],[Par]])=1, -(AL13-AL14)/AL13*AM13,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Row],[Par]])),(-(AL13-AL14)/AL13*AM13)+IF(TbTradesBinance[[#This Row],[Resultado]]&gt;0,0,TbTradesBinance[[#This Row],[Taxa]]),0),0))</f>
        <v>0</v>
      </c>
      <c r="AN14" s="145">
        <f t="shared" si="9"/>
        <v>0</v>
      </c>
      <c r="AO1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Row],[Tipo]]="DROP"),AO13+TbTradesBinance[[#This Row],[Qtt]],AO13-TbTradesBinance[[#This Row],[Qtt]]),IF(TbTradesBinance[[#This Row],[Tipo]]="BUY",AO13-TbTradesBinance[[#This Row],[Qtt]]*TbTradesBinance[[#This Row],[Preço]],AO13+TbTradesBinance[[#This Row],[Qtt]]*TbTradesBinance[[#This Row],[Preço]])),AO13)-IF(TbTradesBinance[[#This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Row],[Tipo]]="DROP"),AO13+TbTradesBinance[[#This Row],[Qtt]],AO13-TbTradesBinance[[#This Row],[Qtt]]),IF(TbTradesBinance[[#This Row],[Tipo]]="BUY",AO13-TbTradesBinance[[#This Row],[Qtt]]*TbTradesBinance[[#This Row],[Preço]],AO13+TbTradesBinance[[#This Row],[Qtt]]*TbTradesBinance[[#This Row],[Preço]])),AO13)-IF(TbTradesBinance[[#This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Row],[Tipo]]="DROP"),AO13+TbTradesBinance[[#This Row],[Qtt]],AO13-TbTradesBinance[[#This Row],[Qtt]]),IF(TbTradesBinance[[#This Row],[Tipo]]="BUY",AO13-TbTradesBinance[[#This Row],[Qtt]]*TbTradesBinance[[#This Row],[Preço]],AO13+TbTradesBinance[[#This Row],[Qtt]]*TbTradesBinance[[#This Row],[Preço]])),AO13)-IF(TbTradesBinance[[#This Row],[Moeda da Taxa]]=MID(AO$1,9,5),TbTradesBinance[[#This Row],[Taxa]],0),8)))</f>
        <v>0</v>
      </c>
      <c r="AP14" s="145" cm="1">
        <f t="array" ref="AP14">IF(TbTradesBinance[[#This Row],[Tipo]]="EMPTY",0,AP13+IF(TbTradesBinance[[#This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Row],[Par]]))),$1:$1,0)),-(AO13-AO14)/AO13*AP13),0),0)+IF(TbTradesBinance[[#This Row],[Tipo]]="SELL",IF(ISNUMBER(FIND(MID(AP$1,10,5),TbTradesBinance[[#This Row],[Par]])),IF(FIND(MID(AP$1,10,5),TbTradesBinance[[#This Row],[Par]])=1, -(AO13-AO14)/AO13*AP13,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Row],[Par]])),(-(AO13-AO14)/AO13*AP13)+IF(TbTradesBinance[[#This Row],[Resultado]]&gt;0,0,TbTradesBinance[[#This Row],[Taxa]]),0),0))</f>
        <v>0</v>
      </c>
      <c r="AQ14" s="145">
        <f t="shared" si="10"/>
        <v>0</v>
      </c>
      <c r="AR1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Row],[Tipo]]="DROP"),AR13+TbTradesBinance[[#This Row],[Qtt]],AR13-TbTradesBinance[[#This Row],[Qtt]]),IF(TbTradesBinance[[#This Row],[Tipo]]="BUY",AR13-TbTradesBinance[[#This Row],[Qtt]]*TbTradesBinance[[#This Row],[Preço]],AR13+TbTradesBinance[[#This Row],[Qtt]]*TbTradesBinance[[#This Row],[Preço]])),AR13)-IF(TbTradesBinance[[#This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Row],[Tipo]]="DROP"),AR13+TbTradesBinance[[#This Row],[Qtt]],AR13-TbTradesBinance[[#This Row],[Qtt]]),IF(TbTradesBinance[[#This Row],[Tipo]]="BUY",AR13-TbTradesBinance[[#This Row],[Qtt]]*TbTradesBinance[[#This Row],[Preço]],AR13+TbTradesBinance[[#This Row],[Qtt]]*TbTradesBinance[[#This Row],[Preço]])),AR13)-IF(TbTradesBinance[[#This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Row],[Tipo]]="DROP"),AR13+TbTradesBinance[[#This Row],[Qtt]],AR13-TbTradesBinance[[#This Row],[Qtt]]),IF(TbTradesBinance[[#This Row],[Tipo]]="BUY",AR13-TbTradesBinance[[#This Row],[Qtt]]*TbTradesBinance[[#This Row],[Preço]],AR13+TbTradesBinance[[#This Row],[Qtt]]*TbTradesBinance[[#This Row],[Preço]])),AR13)-IF(TbTradesBinance[[#This Row],[Moeda da Taxa]]=MID(AR$1,9,5),TbTradesBinance[[#This Row],[Taxa]],0),8)))</f>
        <v>0</v>
      </c>
      <c r="AS14" s="145" cm="1">
        <f t="array" ref="AS14">IF(TbTradesBinance[[#This Row],[Tipo]]="EMPTY",0,AS13+IF(TbTradesBinance[[#This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Row],[Par]]))),$1:$1,0)),-(AR13-AR14)/AR13*AS13),0),0)+IF(TbTradesBinance[[#This Row],[Tipo]]="SELL",IF(ISNUMBER(FIND(MID(AS$1,10,5),TbTradesBinance[[#This Row],[Par]])),IF(FIND(MID(AS$1,10,5),TbTradesBinance[[#This Row],[Par]])=1, -(AR13-AR14)/AR13*AS13,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Row],[Par]])),(-(AR13-AR14)/AR13*AS13)+IF(TbTradesBinance[[#This Row],[Resultado]]&gt;0,0,TbTradesBinance[[#This Row],[Taxa]]),0),0))</f>
        <v>0</v>
      </c>
      <c r="AT14" s="145">
        <f t="shared" si="11"/>
        <v>0</v>
      </c>
      <c r="AU1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Row],[Tipo]]="DROP"),AU13+TbTradesBinance[[#This Row],[Qtt]],AU13-TbTradesBinance[[#This Row],[Qtt]]),IF(TbTradesBinance[[#This Row],[Tipo]]="BUY",AU13-TbTradesBinance[[#This Row],[Qtt]]*TbTradesBinance[[#This Row],[Preço]],AU13+TbTradesBinance[[#This Row],[Qtt]]*TbTradesBinance[[#This Row],[Preço]])),AU13)-IF(TbTradesBinance[[#This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Row],[Tipo]]="DROP"),AU13+TbTradesBinance[[#This Row],[Qtt]],AU13-TbTradesBinance[[#This Row],[Qtt]]),IF(TbTradesBinance[[#This Row],[Tipo]]="BUY",AU13-TbTradesBinance[[#This Row],[Qtt]]*TbTradesBinance[[#This Row],[Preço]],AU13+TbTradesBinance[[#This Row],[Qtt]]*TbTradesBinance[[#This Row],[Preço]])),AU13)-IF(TbTradesBinance[[#This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Row],[Tipo]]="DROP"),AU13+TbTradesBinance[[#This Row],[Qtt]],AU13-TbTradesBinance[[#This Row],[Qtt]]),IF(TbTradesBinance[[#This Row],[Tipo]]="BUY",AU13-TbTradesBinance[[#This Row],[Qtt]]*TbTradesBinance[[#This Row],[Preço]],AU13+TbTradesBinance[[#This Row],[Qtt]]*TbTradesBinance[[#This Row],[Preço]])),AU13)-IF(TbTradesBinance[[#This Row],[Moeda da Taxa]]=MID(AU$1,9,5),TbTradesBinance[[#This Row],[Taxa]],0),8)))</f>
        <v>0</v>
      </c>
      <c r="AV14" s="145" cm="1">
        <f t="array" ref="AV14">IF(TbTradesBinance[[#This Row],[Tipo]]="EMPTY",0,AV13+IF(TbTradesBinance[[#This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Row],[Par]]))),$1:$1,0)),-(AU13-AU14)/AU13*AV13),0),0)+IF(TbTradesBinance[[#This Row],[Tipo]]="SELL",IF(ISNUMBER(FIND(MID(AV$1,10,5),TbTradesBinance[[#This Row],[Par]])),IF(FIND(MID(AV$1,10,5),TbTradesBinance[[#This Row],[Par]])=1, -(AU13-AU14)/AU13*AV13,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Row],[Par]])),(-(AU13-AU14)/AU13*AV13)+IF(TbTradesBinance[[#This Row],[Resultado]]&gt;0,0,TbTradesBinance[[#This Row],[Taxa]]),0),0))</f>
        <v>0</v>
      </c>
      <c r="AW14" s="145">
        <f t="shared" si="12"/>
        <v>0</v>
      </c>
      <c r="AX1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Row],[Tipo]]="DROP"),AX13+TbTradesBinance[[#This Row],[Qtt]],AX13-TbTradesBinance[[#This Row],[Qtt]]),IF(TbTradesBinance[[#This Row],[Tipo]]="BUY",AX13-TbTradesBinance[[#This Row],[Qtt]]*TbTradesBinance[[#This Row],[Preço]],AX13+TbTradesBinance[[#This Row],[Qtt]]*TbTradesBinance[[#This Row],[Preço]])),AX13)-IF(TbTradesBinance[[#This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Row],[Tipo]]="DROP"),AX13+TbTradesBinance[[#This Row],[Qtt]],AX13-TbTradesBinance[[#This Row],[Qtt]]),IF(TbTradesBinance[[#This Row],[Tipo]]="BUY",AX13-TbTradesBinance[[#This Row],[Qtt]]*TbTradesBinance[[#This Row],[Preço]],AX13+TbTradesBinance[[#This Row],[Qtt]]*TbTradesBinance[[#This Row],[Preço]])),AX13)-IF(TbTradesBinance[[#This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Row],[Tipo]]="DROP"),AX13+TbTradesBinance[[#This Row],[Qtt]],AX13-TbTradesBinance[[#This Row],[Qtt]]),IF(TbTradesBinance[[#This Row],[Tipo]]="BUY",AX13-TbTradesBinance[[#This Row],[Qtt]]*TbTradesBinance[[#This Row],[Preço]],AX13+TbTradesBinance[[#This Row],[Qtt]]*TbTradesBinance[[#This Row],[Preço]])),AX13)-IF(TbTradesBinance[[#This Row],[Moeda da Taxa]]=MID(AX$1,9,5),TbTradesBinance[[#This Row],[Taxa]],0),8)))</f>
        <v>0</v>
      </c>
      <c r="AY14" s="145" cm="1">
        <f t="array" ref="AY14">IF(TbTradesBinance[[#This Row],[Tipo]]="EMPTY",0,AY13+IF(TbTradesBinance[[#This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Row],[Par]]))),$1:$1,0)),-(AX13-AX14)/AX13*AY13),0),0)+IF(TbTradesBinance[[#This Row],[Tipo]]="SELL",IF(ISNUMBER(FIND(MID(AY$1,10,5),TbTradesBinance[[#This Row],[Par]])),IF(FIND(MID(AY$1,10,5),TbTradesBinance[[#This Row],[Par]])=1, -(AX13-AX14)/AX13*AY13,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Row],[Par]])),(-(AX13-AX14)/AX13*AY13)+IF(TbTradesBinance[[#This Row],[Resultado]]&gt;0,0,TbTradesBinance[[#This Row],[Taxa]]),0),0))</f>
        <v>0</v>
      </c>
      <c r="AZ14" s="145">
        <f t="shared" si="13"/>
        <v>0</v>
      </c>
      <c r="BA1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Row],[Tipo]]="DROP"),BA13+TbTradesBinance[[#This Row],[Qtt]],BA13-TbTradesBinance[[#This Row],[Qtt]]),IF(TbTradesBinance[[#This Row],[Tipo]]="BUY",BA13-TbTradesBinance[[#This Row],[Qtt]]*TbTradesBinance[[#This Row],[Preço]],BA13+TbTradesBinance[[#This Row],[Qtt]]*TbTradesBinance[[#This Row],[Preço]])),BA13)-IF(TbTradesBinance[[#This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Row],[Tipo]]="DROP"),BA13+TbTradesBinance[[#This Row],[Qtt]],BA13-TbTradesBinance[[#This Row],[Qtt]]),IF(TbTradesBinance[[#This Row],[Tipo]]="BUY",BA13-TbTradesBinance[[#This Row],[Qtt]]*TbTradesBinance[[#This Row],[Preço]],BA13+TbTradesBinance[[#This Row],[Qtt]]*TbTradesBinance[[#This Row],[Preço]])),BA13)-IF(TbTradesBinance[[#This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Row],[Tipo]]="DROP"),BA13+TbTradesBinance[[#This Row],[Qtt]],BA13-TbTradesBinance[[#This Row],[Qtt]]),IF(TbTradesBinance[[#This Row],[Tipo]]="BUY",BA13-TbTradesBinance[[#This Row],[Qtt]]*TbTradesBinance[[#This Row],[Preço]],BA13+TbTradesBinance[[#This Row],[Qtt]]*TbTradesBinance[[#This Row],[Preço]])),BA13)-IF(TbTradesBinance[[#This Row],[Moeda da Taxa]]=MID(BA$1,9,5),TbTradesBinance[[#This Row],[Taxa]],0),8)))</f>
        <v>0</v>
      </c>
      <c r="BB14" s="145" cm="1">
        <f t="array" ref="BB14">IF(TbTradesBinance[[#This Row],[Tipo]]="EMPTY",0,BB13+IF(TbTradesBinance[[#This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Row],[Par]]))),$1:$1,0)),-(BA13-BA14)/BA13*BB13),0),0)+IF(TbTradesBinance[[#This Row],[Tipo]]="SELL",IF(ISNUMBER(FIND(MID(BB$1,10,5),TbTradesBinance[[#This Row],[Par]])),IF(FIND(MID(BB$1,10,5),TbTradesBinance[[#This Row],[Par]])=1, -(BA13-BA14)/BA13*BB13,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Row],[Par]])),(-(BA13-BA14)/BA13*BB13)+IF(TbTradesBinance[[#This Row],[Resultado]]&gt;0,0,TbTradesBinance[[#This Row],[Taxa]]),0),0))</f>
        <v>0</v>
      </c>
      <c r="BC14" s="145">
        <f t="shared" si="14"/>
        <v>0</v>
      </c>
      <c r="BD1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Row],[Tipo]]="DROP"),BD13+TbTradesBinance[[#This Row],[Qtt]],BD13-TbTradesBinance[[#This Row],[Qtt]]),IF(TbTradesBinance[[#This Row],[Tipo]]="BUY",BD13-TbTradesBinance[[#This Row],[Qtt]]*TbTradesBinance[[#This Row],[Preço]],BD13+TbTradesBinance[[#This Row],[Qtt]]*TbTradesBinance[[#This Row],[Preço]])),BD13)-IF(TbTradesBinance[[#This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Row],[Tipo]]="DROP"),BD13+TbTradesBinance[[#This Row],[Qtt]],BD13-TbTradesBinance[[#This Row],[Qtt]]),IF(TbTradesBinance[[#This Row],[Tipo]]="BUY",BD13-TbTradesBinance[[#This Row],[Qtt]]*TbTradesBinance[[#This Row],[Preço]],BD13+TbTradesBinance[[#This Row],[Qtt]]*TbTradesBinance[[#This Row],[Preço]])),BD13)-IF(TbTradesBinance[[#This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Row],[Tipo]]="DROP"),BD13+TbTradesBinance[[#This Row],[Qtt]],BD13-TbTradesBinance[[#This Row],[Qtt]]),IF(TbTradesBinance[[#This Row],[Tipo]]="BUY",BD13-TbTradesBinance[[#This Row],[Qtt]]*TbTradesBinance[[#This Row],[Preço]],BD13+TbTradesBinance[[#This Row],[Qtt]]*TbTradesBinance[[#This Row],[Preço]])),BD13)-IF(TbTradesBinance[[#This Row],[Moeda da Taxa]]=MID(BD$1,9,5),TbTradesBinance[[#This Row],[Taxa]],0),8)))</f>
        <v>0</v>
      </c>
      <c r="BE14" s="145" cm="1">
        <f t="array" ref="BE14">IF(TbTradesBinance[[#This Row],[Tipo]]="EMPTY",0,BE13+IF(TbTradesBinance[[#This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Row],[Par]]))),$1:$1,0)),-(BD13-BD14)/BD13*BE13),0),0)+IF(TbTradesBinance[[#This Row],[Tipo]]="SELL",IF(ISNUMBER(FIND(MID(BE$1,10,5),TbTradesBinance[[#This Row],[Par]])),IF(FIND(MID(BE$1,10,5),TbTradesBinance[[#This Row],[Par]])=1, -(BD13-BD14)/BD13*BE13,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Row],[Par]])),(-(BD13-BD14)/BD13*BE13)+IF(TbTradesBinance[[#This Row],[Resultado]]&gt;0,0,TbTradesBinance[[#This Row],[Taxa]]),0),0))</f>
        <v>0</v>
      </c>
      <c r="BF14" s="145">
        <f t="shared" si="15"/>
        <v>0</v>
      </c>
      <c r="BG1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Row],[Tipo]]="DROP"),BG13+TbTradesBinance[[#This Row],[Qtt]],BG13-TbTradesBinance[[#This Row],[Qtt]]),IF(TbTradesBinance[[#This Row],[Tipo]]="BUY",BG13-TbTradesBinance[[#This Row],[Qtt]]*TbTradesBinance[[#This Row],[Preço]],BG13+TbTradesBinance[[#This Row],[Qtt]]*TbTradesBinance[[#This Row],[Preço]])),BG13)-IF(TbTradesBinance[[#This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Row],[Tipo]]="DROP"),BG13+TbTradesBinance[[#This Row],[Qtt]],BG13-TbTradesBinance[[#This Row],[Qtt]]),IF(TbTradesBinance[[#This Row],[Tipo]]="BUY",BG13-TbTradesBinance[[#This Row],[Qtt]]*TbTradesBinance[[#This Row],[Preço]],BG13+TbTradesBinance[[#This Row],[Qtt]]*TbTradesBinance[[#This Row],[Preço]])),BG13)-IF(TbTradesBinance[[#This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Row],[Tipo]]="DROP"),BG13+TbTradesBinance[[#This Row],[Qtt]],BG13-TbTradesBinance[[#This Row],[Qtt]]),IF(TbTradesBinance[[#This Row],[Tipo]]="BUY",BG13-TbTradesBinance[[#This Row],[Qtt]]*TbTradesBinance[[#This Row],[Preço]],BG13+TbTradesBinance[[#This Row],[Qtt]]*TbTradesBinance[[#This Row],[Preço]])),BG13)-IF(TbTradesBinance[[#This Row],[Moeda da Taxa]]=MID(BG$1,9,5),TbTradesBinance[[#This Row],[Taxa]],0),8)))</f>
        <v>0</v>
      </c>
      <c r="BH14" s="145" cm="1">
        <f t="array" ref="BH14">IF(TbTradesBinance[[#This Row],[Tipo]]="EMPTY",0,BH13+IF(TbTradesBinance[[#This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Row],[Par]]))),$1:$1,0)),-(BG13-BG14)/BG13*BH13),0),0)+IF(TbTradesBinance[[#This Row],[Tipo]]="SELL",IF(ISNUMBER(FIND(MID(BH$1,10,5),TbTradesBinance[[#This Row],[Par]])),IF(FIND(MID(BH$1,10,5),TbTradesBinance[[#This Row],[Par]])=1, -(BG13-BG14)/BG13*BH13,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Row],[Par]])),(-(BG13-BG14)/BG13*BH13)+IF(TbTradesBinance[[#This Row],[Resultado]]&gt;0,0,TbTradesBinance[[#This Row],[Taxa]]),0),0))</f>
        <v>0</v>
      </c>
      <c r="BI14" s="145">
        <f t="shared" si="16"/>
        <v>0</v>
      </c>
      <c r="BJ1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Row],[Tipo]]="DROP"),BJ13+TbTradesBinance[[#This Row],[Qtt]],BJ13-TbTradesBinance[[#This Row],[Qtt]]),IF(TbTradesBinance[[#This Row],[Tipo]]="BUY",BJ13-TbTradesBinance[[#This Row],[Qtt]]*TbTradesBinance[[#This Row],[Preço]],BJ13+TbTradesBinance[[#This Row],[Qtt]]*TbTradesBinance[[#This Row],[Preço]])),BJ13)-IF(TbTradesBinance[[#This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Row],[Tipo]]="DROP"),BJ13+TbTradesBinance[[#This Row],[Qtt]],BJ13-TbTradesBinance[[#This Row],[Qtt]]),IF(TbTradesBinance[[#This Row],[Tipo]]="BUY",BJ13-TbTradesBinance[[#This Row],[Qtt]]*TbTradesBinance[[#This Row],[Preço]],BJ13+TbTradesBinance[[#This Row],[Qtt]]*TbTradesBinance[[#This Row],[Preço]])),BJ13)-IF(TbTradesBinance[[#This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Row],[Tipo]]="DROP"),BJ13+TbTradesBinance[[#This Row],[Qtt]],BJ13-TbTradesBinance[[#This Row],[Qtt]]),IF(TbTradesBinance[[#This Row],[Tipo]]="BUY",BJ13-TbTradesBinance[[#This Row],[Qtt]]*TbTradesBinance[[#This Row],[Preço]],BJ13+TbTradesBinance[[#This Row],[Qtt]]*TbTradesBinance[[#This Row],[Preço]])),BJ13)-IF(TbTradesBinance[[#This Row],[Moeda da Taxa]]=MID(BJ$1,9,5),TbTradesBinance[[#This Row],[Taxa]],0),8)))</f>
        <v>0</v>
      </c>
      <c r="BK14" s="145" cm="1">
        <f t="array" ref="BK14">IF(TbTradesBinance[[#This Row],[Tipo]]="EMPTY",0,BK13+IF(TbTradesBinance[[#This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Row],[Par]]))),$1:$1,0)),-(BJ13-BJ14)/BJ13*BK13),0),0)+IF(TbTradesBinance[[#This Row],[Tipo]]="SELL",IF(ISNUMBER(FIND(MID(BK$1,10,5),TbTradesBinance[[#This Row],[Par]])),IF(FIND(MID(BK$1,10,5),TbTradesBinance[[#This Row],[Par]])=1, -(BJ13-BJ14)/BJ13*BK13,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Row],[Par]])),(-(BJ13-BJ14)/BJ13*BK13)+IF(TbTradesBinance[[#This Row],[Resultado]]&gt;0,0,TbTradesBinance[[#This Row],[Taxa]]),0),0))</f>
        <v>0</v>
      </c>
      <c r="BL14" s="145">
        <f t="shared" si="17"/>
        <v>0</v>
      </c>
      <c r="BM1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Row],[Tipo]]="DROP"),BM13+TbTradesBinance[[#This Row],[Qtt]],BM13-TbTradesBinance[[#This Row],[Qtt]]),IF(TbTradesBinance[[#This Row],[Tipo]]="BUY",BM13-TbTradesBinance[[#This Row],[Qtt]]*TbTradesBinance[[#This Row],[Preço]],BM13+TbTradesBinance[[#This Row],[Qtt]]*TbTradesBinance[[#This Row],[Preço]])),BM13)-IF(TbTradesBinance[[#This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Row],[Tipo]]="DROP"),BM13+TbTradesBinance[[#This Row],[Qtt]],BM13-TbTradesBinance[[#This Row],[Qtt]]),IF(TbTradesBinance[[#This Row],[Tipo]]="BUY",BM13-TbTradesBinance[[#This Row],[Qtt]]*TbTradesBinance[[#This Row],[Preço]],BM13+TbTradesBinance[[#This Row],[Qtt]]*TbTradesBinance[[#This Row],[Preço]])),BM13)-IF(TbTradesBinance[[#This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Row],[Tipo]]="DROP"),BM13+TbTradesBinance[[#This Row],[Qtt]],BM13-TbTradesBinance[[#This Row],[Qtt]]),IF(TbTradesBinance[[#This Row],[Tipo]]="BUY",BM13-TbTradesBinance[[#This Row],[Qtt]]*TbTradesBinance[[#This Row],[Preço]],BM13+TbTradesBinance[[#This Row],[Qtt]]*TbTradesBinance[[#This Row],[Preço]])),BM13)-IF(TbTradesBinance[[#This Row],[Moeda da Taxa]]=MID(BM$1,9,5),TbTradesBinance[[#This Row],[Taxa]],0),8)))</f>
        <v>0</v>
      </c>
      <c r="BN14" s="145" cm="1">
        <f t="array" ref="BN14">IF(TbTradesBinance[[#This Row],[Tipo]]="EMPTY",0,BN13+IF(TbTradesBinance[[#This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Row],[Par]]))),$1:$1,0)),-(BM13-BM14)/BM13*BN13),0),0)+IF(TbTradesBinance[[#This Row],[Tipo]]="SELL",IF(ISNUMBER(FIND(MID(BN$1,10,5),TbTradesBinance[[#This Row],[Par]])),IF(FIND(MID(BN$1,10,5),TbTradesBinance[[#This Row],[Par]])=1, -(BM13-BM14)/BM13*BN13,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Row],[Par]])),(-(BM13-BM14)/BM13*BN13)+IF(TbTradesBinance[[#This Row],[Resultado]]&gt;0,0,TbTradesBinance[[#This Row],[Taxa]]),0),0))</f>
        <v>0</v>
      </c>
      <c r="BO14" s="145">
        <f t="shared" si="18"/>
        <v>0</v>
      </c>
    </row>
    <row r="15" spans="1:67" x14ac:dyDescent="0.3">
      <c r="B15" s="51"/>
      <c r="C15" s="40">
        <f>TRUNC(IF(AND(TbTradesBinance[[#This Row],[Tipo]]="SEND",TbTradesBinance[[#This Row],[Par]]="BRL"),TbTradesBinance[[#This Row],[Qtt]]*(1-P13)-IF(TbTradesBinance[[#This Row],[Moeda da Taxa]]="BRL",TbTradesBinance[[#This Row],[Taxa]],0),0)+IF(AND(TbTradesBinance[[#This Row],[Tipo]]="BURN",TbTradesBinance[[#This Row],[Par]]="BRL"),-TbTradesBinance[[#This Row],[Qtt]]*P13,0),2)</f>
        <v>0</v>
      </c>
      <c r="D15" s="53">
        <v>44250.683645833335</v>
      </c>
      <c r="E15" s="37" t="s">
        <v>138</v>
      </c>
      <c r="F15" s="47" t="s">
        <v>140</v>
      </c>
      <c r="G15" s="38">
        <v>260696</v>
      </c>
      <c r="H15" s="38">
        <v>5.4900000000000001E-4</v>
      </c>
      <c r="I15" s="38">
        <v>0.1431221</v>
      </c>
      <c r="J15" s="37" t="s">
        <v>50</v>
      </c>
      <c r="K15" s="52">
        <v>1</v>
      </c>
      <c r="L15" s="40">
        <f t="shared" si="0"/>
        <v>260696</v>
      </c>
      <c r="M15" s="40">
        <f>IF(OR(TbTradesBinance[[#This Row],[Tipo]]="BUY",TbTradesBinance[[#This Row],[Tipo]]="RECEIVE",TbTradesBinance[[#This Row],[Tipo]]="DROP"),L15*H15,-L15*H15)</f>
        <v>-143.12210400000001</v>
      </c>
      <c r="N1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Row],[Tipo]]="DROP"),N14+TbTradesBinance[[#This Row],[Qtt]],N14-TbTradesBinance[[#This Row],[Qtt]]),IF(TbTradesBinance[[#This Row],[Tipo]]="BUY",N14-TbTradesBinance[[#This Row],[Qtt]]*TbTradesBinance[[#This Row],[Preço]],N14+TbTradesBinance[[#This Row],[Qtt]]*TbTradesBinance[[#This Row],[Preço]])),N14)-IF(TbTradesBinance[[#This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Row],[Tipo]]="DROP"),N14+TbTradesBinance[[#This Row],[Qtt]],N14-TbTradesBinance[[#This Row],[Qtt]]),IF(TbTradesBinance[[#This Row],[Tipo]]="BUY",N14-TbTradesBinance[[#This Row],[Qtt]]*TbTradesBinance[[#This Row],[Preço]],N14+TbTradesBinance[[#This Row],[Qtt]]*TbTradesBinance[[#This Row],[Preço]])),N14)-IF(TbTradesBinance[[#This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Row],[Tipo]]="DROP"),N14+TbTradesBinance[[#This Row],[Qtt]],N14-TbTradesBinance[[#This Row],[Qtt]]),IF(TbTradesBinance[[#This Row],[Tipo]]="BUY",N14-TbTradesBinance[[#This Row],[Qtt]]*TbTradesBinance[[#This Row],[Preço]],N14+TbTradesBinance[[#This Row],[Qtt]]*TbTradesBinance[[#This Row],[Preço]])),N14)-IF(TbTradesBinance[[#This Row],[Moeda da Taxa]]=MID(N$1,9,5),TbTradesBinance[[#This Row],[Taxa]],0),8)))</f>
        <v>20042.981419899999</v>
      </c>
      <c r="O15" s="145" cm="1">
        <f t="array" ref="O15">IF(TbTradesBinance[[#This Row],[Tipo]]="EMPTY",0,O14+IF(TbTradesBinance[[#This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Row],[Par]]))),$1:$1,0)),-(N14-N15)/N14*O14),0),0)+IF(TbTradesBinance[[#This Row],[Tipo]]="SELL",IF(ISNUMBER(FIND(MID(O$1,10,5),TbTradesBinance[[#This Row],[Par]])),IF(FIND(MID(O$1,10,5),TbTradesBinance[[#This Row],[Par]])=1, -(N14-N15)/N14*O14,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Row],[Par]])),(-(N14-N15)/N14*O14)+IF(TbTradesBinance[[#This Row],[Resultado]]&gt;0,0,TbTradesBinance[[#This Row],[Taxa]]),0),0))</f>
        <v>19999.673361794899</v>
      </c>
      <c r="P15" s="145">
        <f t="shared" si="1"/>
        <v>0.9978392407198412</v>
      </c>
      <c r="Q1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Row],[Tipo]]="DROP"),Q14+TbTradesBinance[[#This Row],[Qtt]],Q14-TbTradesBinance[[#This Row],[Qtt]]),IF(TbTradesBinance[[#This Row],[Tipo]]="BUY",Q14-TbTradesBinance[[#This Row],[Qtt]]*TbTradesBinance[[#This Row],[Preço]],Q14+TbTradesBinance[[#This Row],[Qtt]]*TbTradesBinance[[#This Row],[Preço]])),Q14)-IF(TbTradesBinance[[#This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Row],[Tipo]]="DROP"),Q14+TbTradesBinance[[#This Row],[Qtt]],Q14-TbTradesBinance[[#This Row],[Qtt]]),IF(TbTradesBinance[[#This Row],[Tipo]]="BUY",Q14-TbTradesBinance[[#This Row],[Qtt]]*TbTradesBinance[[#This Row],[Preço]],Q14+TbTradesBinance[[#This Row],[Qtt]]*TbTradesBinance[[#This Row],[Preço]])),Q14)-IF(TbTradesBinance[[#This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Row],[Tipo]]="DROP"),Q14+TbTradesBinance[[#This Row],[Qtt]],Q14-TbTradesBinance[[#This Row],[Qtt]]),IF(TbTradesBinance[[#This Row],[Tipo]]="BUY",Q14-TbTradesBinance[[#This Row],[Qtt]]*TbTradesBinance[[#This Row],[Preço]],Q14+TbTradesBinance[[#This Row],[Qtt]]*TbTradesBinance[[#This Row],[Preço]])),Q14)-IF(TbTradesBinance[[#This Row],[Moeda da Taxa]]=MID(Q$1,9,5),TbTradesBinance[[#This Row],[Taxa]],0),8)))</f>
        <v>0</v>
      </c>
      <c r="R15" s="145" cm="1">
        <f t="array" ref="R15">IF(TbTradesBinance[[#This Row],[Tipo]]="EMPTY",0,R14+IF(TbTradesBinance[[#This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Row],[Par]]))),$1:$1,0)),-(Q14-Q15)/Q14*R14),0),0)+IF(TbTradesBinance[[#This Row],[Tipo]]="SELL",IF(ISNUMBER(FIND(MID(R$1,10,5),TbTradesBinance[[#This Row],[Par]])),IF(FIND(MID(R$1,10,5),TbTradesBinance[[#This Row],[Par]])=1, -(Q14-Q15)/Q14*R14,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Row],[Par]])),(-(Q14-Q15)/Q14*R14)+IF(TbTradesBinance[[#This Row],[Resultado]]&gt;0,0,TbTradesBinance[[#This Row],[Taxa]]),0),0))</f>
        <v>0</v>
      </c>
      <c r="S15" s="145">
        <f t="shared" si="2"/>
        <v>0</v>
      </c>
      <c r="T1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Row],[Tipo]]="DROP"),T14+TbTradesBinance[[#This Row],[Qtt]],T14-TbTradesBinance[[#This Row],[Qtt]]),IF(TbTradesBinance[[#This Row],[Tipo]]="BUY",T14-TbTradesBinance[[#This Row],[Qtt]]*TbTradesBinance[[#This Row],[Preço]],T14+TbTradesBinance[[#This Row],[Qtt]]*TbTradesBinance[[#This Row],[Preço]])),T14)-IF(TbTradesBinance[[#This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Row],[Tipo]]="DROP"),T14+TbTradesBinance[[#This Row],[Qtt]],T14-TbTradesBinance[[#This Row],[Qtt]]),IF(TbTradesBinance[[#This Row],[Tipo]]="BUY",T14-TbTradesBinance[[#This Row],[Qtt]]*TbTradesBinance[[#This Row],[Preço]],T14+TbTradesBinance[[#This Row],[Qtt]]*TbTradesBinance[[#This Row],[Preço]])),T14)-IF(TbTradesBinance[[#This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Row],[Tipo]]="DROP"),T14+TbTradesBinance[[#This Row],[Qtt]],T14-TbTradesBinance[[#This Row],[Qtt]]),IF(TbTradesBinance[[#This Row],[Tipo]]="BUY",T14-TbTradesBinance[[#This Row],[Qtt]]*TbTradesBinance[[#This Row],[Preço]],T14+TbTradesBinance[[#This Row],[Qtt]]*TbTradesBinance[[#This Row],[Preço]])),T14)-IF(TbTradesBinance[[#This Row],[Moeda da Taxa]]=MID(T$1,9,5),TbTradesBinance[[#This Row],[Taxa]],0),8)))</f>
        <v>2.867312E-2</v>
      </c>
      <c r="U15" s="145" cm="1">
        <f t="array" ref="U15">IF(TbTradesBinance[[#This Row],[Tipo]]="EMPTY",0,U14+IF(TbTradesBinance[[#This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Row],[Par]]))),$1:$1,0)),-(T14-T15)/T14*U14),0),0)+IF(TbTradesBinance[[#This Row],[Tipo]]="SELL",IF(ISNUMBER(FIND(MID(U$1,10,5),TbTradesBinance[[#This Row],[Par]])),IF(FIND(MID(U$1,10,5),TbTradesBinance[[#This Row],[Par]])=1, -(T14-T15)/T14*U14,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Row],[Par]])),(-(T14-T15)/T14*U14)+IF(TbTradesBinance[[#This Row],[Resultado]]&gt;0,0,TbTradesBinance[[#This Row],[Taxa]]),0),0))</f>
        <v>0.19365209596473676</v>
      </c>
      <c r="V15" s="145">
        <f t="shared" si="3"/>
        <v>6.7537852861752317</v>
      </c>
      <c r="W1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Row],[Tipo]]="DROP"),W14+TbTradesBinance[[#This Row],[Qtt]],W14-TbTradesBinance[[#This Row],[Qtt]]),IF(TbTradesBinance[[#This Row],[Tipo]]="BUY",W14-TbTradesBinance[[#This Row],[Qtt]]*TbTradesBinance[[#This Row],[Preço]],W14+TbTradesBinance[[#This Row],[Qtt]]*TbTradesBinance[[#This Row],[Preço]])),W14)-IF(TbTradesBinance[[#This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Row],[Tipo]]="DROP"),W14+TbTradesBinance[[#This Row],[Qtt]],W14-TbTradesBinance[[#This Row],[Qtt]]),IF(TbTradesBinance[[#This Row],[Tipo]]="BUY",W14-TbTradesBinance[[#This Row],[Qtt]]*TbTradesBinance[[#This Row],[Preço]],W14+TbTradesBinance[[#This Row],[Qtt]]*TbTradesBinance[[#This Row],[Preço]])),W14)-IF(TbTradesBinance[[#This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Row],[Tipo]]="DROP"),W14+TbTradesBinance[[#This Row],[Qtt]],W14-TbTradesBinance[[#This Row],[Qtt]]),IF(TbTradesBinance[[#This Row],[Tipo]]="BUY",W14-TbTradesBinance[[#This Row],[Qtt]]*TbTradesBinance[[#This Row],[Preço]],W14+TbTradesBinance[[#This Row],[Qtt]]*TbTradesBinance[[#This Row],[Preço]])),W14)-IF(TbTradesBinance[[#This Row],[Moeda da Taxa]]=MID(W$1,9,5),TbTradesBinance[[#This Row],[Taxa]],0),8)))</f>
        <v>5.0999999999999999E-7</v>
      </c>
      <c r="X15" s="145" cm="1">
        <f t="array" ref="X15">IF(TbTradesBinance[[#This Row],[Tipo]]="EMPTY",0,X14+IF(TbTradesBinance[[#This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Row],[Par]]))),$1:$1,0)),-(W14-W15)/W14*X14),0),0)+IF(TbTradesBinance[[#This Row],[Tipo]]="SELL",IF(ISNUMBER(FIND(MID(X$1,10,5),TbTradesBinance[[#This Row],[Par]])),IF(FIND(MID(X$1,10,5),TbTradesBinance[[#This Row],[Par]])=1, -(W14-W15)/W14*X14,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Row],[Par]])),(-(W14-W15)/W14*X14)+IF(TbTradesBinance[[#This Row],[Resultado]]&gt;0,0,TbTradesBinance[[#This Row],[Taxa]]),0),0))</f>
        <v>0.13298610913602715</v>
      </c>
      <c r="Y15" s="145">
        <f t="shared" si="4"/>
        <v>260757.07673730815</v>
      </c>
      <c r="Z1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Row],[Tipo]]="DROP"),Z14+TbTradesBinance[[#This Row],[Qtt]],Z14-TbTradesBinance[[#This Row],[Qtt]]),IF(TbTradesBinance[[#This Row],[Tipo]]="BUY",Z14-TbTradesBinance[[#This Row],[Qtt]]*TbTradesBinance[[#This Row],[Preço]],Z14+TbTradesBinance[[#This Row],[Qtt]]*TbTradesBinance[[#This Row],[Preço]])),Z14)-IF(TbTradesBinance[[#This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Row],[Tipo]]="DROP"),Z14+TbTradesBinance[[#This Row],[Qtt]],Z14-TbTradesBinance[[#This Row],[Qtt]]),IF(TbTradesBinance[[#This Row],[Tipo]]="BUY",Z14-TbTradesBinance[[#This Row],[Qtt]]*TbTradesBinance[[#This Row],[Preço]],Z14+TbTradesBinance[[#This Row],[Qtt]]*TbTradesBinance[[#This Row],[Preço]])),Z14)-IF(TbTradesBinance[[#This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Row],[Tipo]]="DROP"),Z14+TbTradesBinance[[#This Row],[Qtt]],Z14-TbTradesBinance[[#This Row],[Qtt]]),IF(TbTradesBinance[[#This Row],[Tipo]]="BUY",Z14-TbTradesBinance[[#This Row],[Qtt]]*TbTradesBinance[[#This Row],[Preço]],Z14+TbTradesBinance[[#This Row],[Qtt]]*TbTradesBinance[[#This Row],[Preço]])),Z14)-IF(TbTradesBinance[[#This Row],[Moeda da Taxa]]=MID(Z$1,9,5),TbTradesBinance[[#This Row],[Taxa]],0),8)))</f>
        <v>0</v>
      </c>
      <c r="AA15" s="145" cm="1">
        <f t="array" ref="AA15">IF(TbTradesBinance[[#This Row],[Tipo]]="EMPTY",0,AA14+IF(TbTradesBinance[[#This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Row],[Par]]))),$1:$1,0)),-(Z14-Z15)/Z14*AA14),0),0)+IF(TbTradesBinance[[#This Row],[Tipo]]="SELL",IF(ISNUMBER(FIND(MID(AA$1,10,5),TbTradesBinance[[#This Row],[Par]])),IF(FIND(MID(AA$1,10,5),TbTradesBinance[[#This Row],[Par]])=1, -(Z14-Z15)/Z14*AA14,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Row],[Par]])),(-(Z14-Z15)/Z14*AA14)+IF(TbTradesBinance[[#This Row],[Resultado]]&gt;0,0,TbTradesBinance[[#This Row],[Taxa]]),0),0))</f>
        <v>0</v>
      </c>
      <c r="AB15" s="145">
        <f t="shared" si="5"/>
        <v>0</v>
      </c>
      <c r="AC1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Row],[Tipo]]="DROP"),AC14+TbTradesBinance[[#This Row],[Qtt]],AC14-TbTradesBinance[[#This Row],[Qtt]]),IF(TbTradesBinance[[#This Row],[Tipo]]="BUY",AC14-TbTradesBinance[[#This Row],[Qtt]]*TbTradesBinance[[#This Row],[Preço]],AC14+TbTradesBinance[[#This Row],[Qtt]]*TbTradesBinance[[#This Row],[Preço]])),AC14)-IF(TbTradesBinance[[#This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Row],[Tipo]]="DROP"),AC14+TbTradesBinance[[#This Row],[Qtt]],AC14-TbTradesBinance[[#This Row],[Qtt]]),IF(TbTradesBinance[[#This Row],[Tipo]]="BUY",AC14-TbTradesBinance[[#This Row],[Qtt]]*TbTradesBinance[[#This Row],[Preço]],AC14+TbTradesBinance[[#This Row],[Qtt]]*TbTradesBinance[[#This Row],[Preço]])),AC14)-IF(TbTradesBinance[[#This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Row],[Tipo]]="DROP"),AC14+TbTradesBinance[[#This Row],[Qtt]],AC14-TbTradesBinance[[#This Row],[Qtt]]),IF(TbTradesBinance[[#This Row],[Tipo]]="BUY",AC14-TbTradesBinance[[#This Row],[Qtt]]*TbTradesBinance[[#This Row],[Preço]],AC14+TbTradesBinance[[#This Row],[Qtt]]*TbTradesBinance[[#This Row],[Preço]])),AC14)-IF(TbTradesBinance[[#This Row],[Moeda da Taxa]]=MID(AC$1,9,5),TbTradesBinance[[#This Row],[Taxa]],0),8)))</f>
        <v>0</v>
      </c>
      <c r="AD15" s="145" cm="1">
        <f t="array" ref="AD15">IF(TbTradesBinance[[#This Row],[Tipo]]="EMPTY",0,AD14+IF(TbTradesBinance[[#This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Row],[Par]]))),$1:$1,0)),-(AC14-AC15)/AC14*AD14),0),0)+IF(TbTradesBinance[[#This Row],[Tipo]]="SELL",IF(ISNUMBER(FIND(MID(AD$1,10,5),TbTradesBinance[[#This Row],[Par]])),IF(FIND(MID(AD$1,10,5),TbTradesBinance[[#This Row],[Par]])=1, -(AC14-AC15)/AC14*AD14,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Row],[Par]])),(-(AC14-AC15)/AC14*AD14)+IF(TbTradesBinance[[#This Row],[Resultado]]&gt;0,0,TbTradesBinance[[#This Row],[Taxa]]),0),0))</f>
        <v>0</v>
      </c>
      <c r="AE15" s="145">
        <f t="shared" si="6"/>
        <v>0</v>
      </c>
      <c r="AF1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Row],[Tipo]]="DROP"),AF14+TbTradesBinance[[#This Row],[Qtt]],AF14-TbTradesBinance[[#This Row],[Qtt]]),IF(TbTradesBinance[[#This Row],[Tipo]]="BUY",AF14-TbTradesBinance[[#This Row],[Qtt]]*TbTradesBinance[[#This Row],[Preço]],AF14+TbTradesBinance[[#This Row],[Qtt]]*TbTradesBinance[[#This Row],[Preço]])),AF14)-IF(TbTradesBinance[[#This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Row],[Tipo]]="DROP"),AF14+TbTradesBinance[[#This Row],[Qtt]],AF14-TbTradesBinance[[#This Row],[Qtt]]),IF(TbTradesBinance[[#This Row],[Tipo]]="BUY",AF14-TbTradesBinance[[#This Row],[Qtt]]*TbTradesBinance[[#This Row],[Preço]],AF14+TbTradesBinance[[#This Row],[Qtt]]*TbTradesBinance[[#This Row],[Preço]])),AF14)-IF(TbTradesBinance[[#This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Row],[Tipo]]="DROP"),AF14+TbTradesBinance[[#This Row],[Qtt]],AF14-TbTradesBinance[[#This Row],[Qtt]]),IF(TbTradesBinance[[#This Row],[Tipo]]="BUY",AF14-TbTradesBinance[[#This Row],[Qtt]]*TbTradesBinance[[#This Row],[Preço]],AF14+TbTradesBinance[[#This Row],[Qtt]]*TbTradesBinance[[#This Row],[Preço]])),AF14)-IF(TbTradesBinance[[#This Row],[Moeda da Taxa]]=MID(AF$1,9,5),TbTradesBinance[[#This Row],[Taxa]],0),8)))</f>
        <v>0</v>
      </c>
      <c r="AG15" s="145" cm="1">
        <f t="array" ref="AG15">IF(TbTradesBinance[[#This Row],[Tipo]]="EMPTY",0,AG14+IF(TbTradesBinance[[#This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Row],[Par]]))),$1:$1,0)),-(AF14-AF15)/AF14*AG14),0),0)+IF(TbTradesBinance[[#This Row],[Tipo]]="SELL",IF(ISNUMBER(FIND(MID(AG$1,10,5),TbTradesBinance[[#This Row],[Par]])),IF(FIND(MID(AG$1,10,5),TbTradesBinance[[#This Row],[Par]])=1, -(AF14-AF15)/AF14*AG14,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Row],[Par]])),(-(AF14-AF15)/AF14*AG14)+IF(TbTradesBinance[[#This Row],[Resultado]]&gt;0,0,TbTradesBinance[[#This Row],[Taxa]]),0),0))</f>
        <v>0</v>
      </c>
      <c r="AH15" s="145">
        <f t="shared" si="7"/>
        <v>0</v>
      </c>
      <c r="AI1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Row],[Tipo]]="DROP"),AI14+TbTradesBinance[[#This Row],[Qtt]],AI14-TbTradesBinance[[#This Row],[Qtt]]),IF(TbTradesBinance[[#This Row],[Tipo]]="BUY",AI14-TbTradesBinance[[#This Row],[Qtt]]*TbTradesBinance[[#This Row],[Preço]],AI14+TbTradesBinance[[#This Row],[Qtt]]*TbTradesBinance[[#This Row],[Preço]])),AI14)-IF(TbTradesBinance[[#This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Row],[Tipo]]="DROP"),AI14+TbTradesBinance[[#This Row],[Qtt]],AI14-TbTradesBinance[[#This Row],[Qtt]]),IF(TbTradesBinance[[#This Row],[Tipo]]="BUY",AI14-TbTradesBinance[[#This Row],[Qtt]]*TbTradesBinance[[#This Row],[Preço]],AI14+TbTradesBinance[[#This Row],[Qtt]]*TbTradesBinance[[#This Row],[Preço]])),AI14)-IF(TbTradesBinance[[#This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Row],[Tipo]]="DROP"),AI14+TbTradesBinance[[#This Row],[Qtt]],AI14-TbTradesBinance[[#This Row],[Qtt]]),IF(TbTradesBinance[[#This Row],[Tipo]]="BUY",AI14-TbTradesBinance[[#This Row],[Qtt]]*TbTradesBinance[[#This Row],[Preço]],AI14+TbTradesBinance[[#This Row],[Qtt]]*TbTradesBinance[[#This Row],[Preço]])),AI14)-IF(TbTradesBinance[[#This Row],[Moeda da Taxa]]=MID(AI$1,9,5),TbTradesBinance[[#This Row],[Taxa]],0),8)))</f>
        <v>0</v>
      </c>
      <c r="AJ15" s="145" cm="1">
        <f t="array" ref="AJ15">IF(TbTradesBinance[[#This Row],[Tipo]]="EMPTY",0,AJ14+IF(TbTradesBinance[[#This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Row],[Par]]))),$1:$1,0)),-(AI14-AI15)/AI14*AJ14),0),0)+IF(TbTradesBinance[[#This Row],[Tipo]]="SELL",IF(ISNUMBER(FIND(MID(AJ$1,10,5),TbTradesBinance[[#This Row],[Par]])),IF(FIND(MID(AJ$1,10,5),TbTradesBinance[[#This Row],[Par]])=1, -(AI14-AI15)/AI14*AJ14,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Row],[Par]])),(-(AI14-AI15)/AI14*AJ14)+IF(TbTradesBinance[[#This Row],[Resultado]]&gt;0,0,TbTradesBinance[[#This Row],[Taxa]]),0),0))</f>
        <v>0</v>
      </c>
      <c r="AK15" s="145">
        <f t="shared" si="8"/>
        <v>0</v>
      </c>
      <c r="AL1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Row],[Tipo]]="DROP"),AL14+TbTradesBinance[[#This Row],[Qtt]],AL14-TbTradesBinance[[#This Row],[Qtt]]),IF(TbTradesBinance[[#This Row],[Tipo]]="BUY",AL14-TbTradesBinance[[#This Row],[Qtt]]*TbTradesBinance[[#This Row],[Preço]],AL14+TbTradesBinance[[#This Row],[Qtt]]*TbTradesBinance[[#This Row],[Preço]])),AL14)-IF(TbTradesBinance[[#This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Row],[Tipo]]="DROP"),AL14+TbTradesBinance[[#This Row],[Qtt]],AL14-TbTradesBinance[[#This Row],[Qtt]]),IF(TbTradesBinance[[#This Row],[Tipo]]="BUY",AL14-TbTradesBinance[[#This Row],[Qtt]]*TbTradesBinance[[#This Row],[Preço]],AL14+TbTradesBinance[[#This Row],[Qtt]]*TbTradesBinance[[#This Row],[Preço]])),AL14)-IF(TbTradesBinance[[#This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Row],[Tipo]]="DROP"),AL14+TbTradesBinance[[#This Row],[Qtt]],AL14-TbTradesBinance[[#This Row],[Qtt]]),IF(TbTradesBinance[[#This Row],[Tipo]]="BUY",AL14-TbTradesBinance[[#This Row],[Qtt]]*TbTradesBinance[[#This Row],[Preço]],AL14+TbTradesBinance[[#This Row],[Qtt]]*TbTradesBinance[[#This Row],[Preço]])),AL14)-IF(TbTradesBinance[[#This Row],[Moeda da Taxa]]=MID(AL$1,9,5),TbTradesBinance[[#This Row],[Taxa]],0),8)))</f>
        <v>0</v>
      </c>
      <c r="AM15" s="145" cm="1">
        <f t="array" ref="AM15">IF(TbTradesBinance[[#This Row],[Tipo]]="EMPTY",0,AM14+IF(TbTradesBinance[[#This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Row],[Par]]))),$1:$1,0)),-(AL14-AL15)/AL14*AM14),0),0)+IF(TbTradesBinance[[#This Row],[Tipo]]="SELL",IF(ISNUMBER(FIND(MID(AM$1,10,5),TbTradesBinance[[#This Row],[Par]])),IF(FIND(MID(AM$1,10,5),TbTradesBinance[[#This Row],[Par]])=1, -(AL14-AL15)/AL14*AM14,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Row],[Par]])),(-(AL14-AL15)/AL14*AM14)+IF(TbTradesBinance[[#This Row],[Resultado]]&gt;0,0,TbTradesBinance[[#This Row],[Taxa]]),0),0))</f>
        <v>0</v>
      </c>
      <c r="AN15" s="145">
        <f t="shared" si="9"/>
        <v>0</v>
      </c>
      <c r="AO1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Row],[Tipo]]="DROP"),AO14+TbTradesBinance[[#This Row],[Qtt]],AO14-TbTradesBinance[[#This Row],[Qtt]]),IF(TbTradesBinance[[#This Row],[Tipo]]="BUY",AO14-TbTradesBinance[[#This Row],[Qtt]]*TbTradesBinance[[#This Row],[Preço]],AO14+TbTradesBinance[[#This Row],[Qtt]]*TbTradesBinance[[#This Row],[Preço]])),AO14)-IF(TbTradesBinance[[#This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Row],[Tipo]]="DROP"),AO14+TbTradesBinance[[#This Row],[Qtt]],AO14-TbTradesBinance[[#This Row],[Qtt]]),IF(TbTradesBinance[[#This Row],[Tipo]]="BUY",AO14-TbTradesBinance[[#This Row],[Qtt]]*TbTradesBinance[[#This Row],[Preço]],AO14+TbTradesBinance[[#This Row],[Qtt]]*TbTradesBinance[[#This Row],[Preço]])),AO14)-IF(TbTradesBinance[[#This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Row],[Tipo]]="DROP"),AO14+TbTradesBinance[[#This Row],[Qtt]],AO14-TbTradesBinance[[#This Row],[Qtt]]),IF(TbTradesBinance[[#This Row],[Tipo]]="BUY",AO14-TbTradesBinance[[#This Row],[Qtt]]*TbTradesBinance[[#This Row],[Preço]],AO14+TbTradesBinance[[#This Row],[Qtt]]*TbTradesBinance[[#This Row],[Preço]])),AO14)-IF(TbTradesBinance[[#This Row],[Moeda da Taxa]]=MID(AO$1,9,5),TbTradesBinance[[#This Row],[Taxa]],0),8)))</f>
        <v>0</v>
      </c>
      <c r="AP15" s="145" cm="1">
        <f t="array" ref="AP15">IF(TbTradesBinance[[#This Row],[Tipo]]="EMPTY",0,AP14+IF(TbTradesBinance[[#This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Row],[Par]]))),$1:$1,0)),-(AO14-AO15)/AO14*AP14),0),0)+IF(TbTradesBinance[[#This Row],[Tipo]]="SELL",IF(ISNUMBER(FIND(MID(AP$1,10,5),TbTradesBinance[[#This Row],[Par]])),IF(FIND(MID(AP$1,10,5),TbTradesBinance[[#This Row],[Par]])=1, -(AO14-AO15)/AO14*AP14,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Row],[Par]])),(-(AO14-AO15)/AO14*AP14)+IF(TbTradesBinance[[#This Row],[Resultado]]&gt;0,0,TbTradesBinance[[#This Row],[Taxa]]),0),0))</f>
        <v>0</v>
      </c>
      <c r="AQ15" s="145">
        <f t="shared" si="10"/>
        <v>0</v>
      </c>
      <c r="AR1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Row],[Tipo]]="DROP"),AR14+TbTradesBinance[[#This Row],[Qtt]],AR14-TbTradesBinance[[#This Row],[Qtt]]),IF(TbTradesBinance[[#This Row],[Tipo]]="BUY",AR14-TbTradesBinance[[#This Row],[Qtt]]*TbTradesBinance[[#This Row],[Preço]],AR14+TbTradesBinance[[#This Row],[Qtt]]*TbTradesBinance[[#This Row],[Preço]])),AR14)-IF(TbTradesBinance[[#This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Row],[Tipo]]="DROP"),AR14+TbTradesBinance[[#This Row],[Qtt]],AR14-TbTradesBinance[[#This Row],[Qtt]]),IF(TbTradesBinance[[#This Row],[Tipo]]="BUY",AR14-TbTradesBinance[[#This Row],[Qtt]]*TbTradesBinance[[#This Row],[Preço]],AR14+TbTradesBinance[[#This Row],[Qtt]]*TbTradesBinance[[#This Row],[Preço]])),AR14)-IF(TbTradesBinance[[#This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Row],[Tipo]]="DROP"),AR14+TbTradesBinance[[#This Row],[Qtt]],AR14-TbTradesBinance[[#This Row],[Qtt]]),IF(TbTradesBinance[[#This Row],[Tipo]]="BUY",AR14-TbTradesBinance[[#This Row],[Qtt]]*TbTradesBinance[[#This Row],[Preço]],AR14+TbTradesBinance[[#This Row],[Qtt]]*TbTradesBinance[[#This Row],[Preço]])),AR14)-IF(TbTradesBinance[[#This Row],[Moeda da Taxa]]=MID(AR$1,9,5),TbTradesBinance[[#This Row],[Taxa]],0),8)))</f>
        <v>0</v>
      </c>
      <c r="AS15" s="145" cm="1">
        <f t="array" ref="AS15">IF(TbTradesBinance[[#This Row],[Tipo]]="EMPTY",0,AS14+IF(TbTradesBinance[[#This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Row],[Par]]))),$1:$1,0)),-(AR14-AR15)/AR14*AS14),0),0)+IF(TbTradesBinance[[#This Row],[Tipo]]="SELL",IF(ISNUMBER(FIND(MID(AS$1,10,5),TbTradesBinance[[#This Row],[Par]])),IF(FIND(MID(AS$1,10,5),TbTradesBinance[[#This Row],[Par]])=1, -(AR14-AR15)/AR14*AS14,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Row],[Par]])),(-(AR14-AR15)/AR14*AS14)+IF(TbTradesBinance[[#This Row],[Resultado]]&gt;0,0,TbTradesBinance[[#This Row],[Taxa]]),0),0))</f>
        <v>0</v>
      </c>
      <c r="AT15" s="145">
        <f t="shared" si="11"/>
        <v>0</v>
      </c>
      <c r="AU1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Row],[Tipo]]="DROP"),AU14+TbTradesBinance[[#This Row],[Qtt]],AU14-TbTradesBinance[[#This Row],[Qtt]]),IF(TbTradesBinance[[#This Row],[Tipo]]="BUY",AU14-TbTradesBinance[[#This Row],[Qtt]]*TbTradesBinance[[#This Row],[Preço]],AU14+TbTradesBinance[[#This Row],[Qtt]]*TbTradesBinance[[#This Row],[Preço]])),AU14)-IF(TbTradesBinance[[#This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Row],[Tipo]]="DROP"),AU14+TbTradesBinance[[#This Row],[Qtt]],AU14-TbTradesBinance[[#This Row],[Qtt]]),IF(TbTradesBinance[[#This Row],[Tipo]]="BUY",AU14-TbTradesBinance[[#This Row],[Qtt]]*TbTradesBinance[[#This Row],[Preço]],AU14+TbTradesBinance[[#This Row],[Qtt]]*TbTradesBinance[[#This Row],[Preço]])),AU14)-IF(TbTradesBinance[[#This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Row],[Tipo]]="DROP"),AU14+TbTradesBinance[[#This Row],[Qtt]],AU14-TbTradesBinance[[#This Row],[Qtt]]),IF(TbTradesBinance[[#This Row],[Tipo]]="BUY",AU14-TbTradesBinance[[#This Row],[Qtt]]*TbTradesBinance[[#This Row],[Preço]],AU14+TbTradesBinance[[#This Row],[Qtt]]*TbTradesBinance[[#This Row],[Preço]])),AU14)-IF(TbTradesBinance[[#This Row],[Moeda da Taxa]]=MID(AU$1,9,5),TbTradesBinance[[#This Row],[Taxa]],0),8)))</f>
        <v>0</v>
      </c>
      <c r="AV15" s="145" cm="1">
        <f t="array" ref="AV15">IF(TbTradesBinance[[#This Row],[Tipo]]="EMPTY",0,AV14+IF(TbTradesBinance[[#This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Row],[Par]]))),$1:$1,0)),-(AU14-AU15)/AU14*AV14),0),0)+IF(TbTradesBinance[[#This Row],[Tipo]]="SELL",IF(ISNUMBER(FIND(MID(AV$1,10,5),TbTradesBinance[[#This Row],[Par]])),IF(FIND(MID(AV$1,10,5),TbTradesBinance[[#This Row],[Par]])=1, -(AU14-AU15)/AU14*AV14,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Row],[Par]])),(-(AU14-AU15)/AU14*AV14)+IF(TbTradesBinance[[#This Row],[Resultado]]&gt;0,0,TbTradesBinance[[#This Row],[Taxa]]),0),0))</f>
        <v>0</v>
      </c>
      <c r="AW15" s="145">
        <f t="shared" si="12"/>
        <v>0</v>
      </c>
      <c r="AX1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Row],[Tipo]]="DROP"),AX14+TbTradesBinance[[#This Row],[Qtt]],AX14-TbTradesBinance[[#This Row],[Qtt]]),IF(TbTradesBinance[[#This Row],[Tipo]]="BUY",AX14-TbTradesBinance[[#This Row],[Qtt]]*TbTradesBinance[[#This Row],[Preço]],AX14+TbTradesBinance[[#This Row],[Qtt]]*TbTradesBinance[[#This Row],[Preço]])),AX14)-IF(TbTradesBinance[[#This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Row],[Tipo]]="DROP"),AX14+TbTradesBinance[[#This Row],[Qtt]],AX14-TbTradesBinance[[#This Row],[Qtt]]),IF(TbTradesBinance[[#This Row],[Tipo]]="BUY",AX14-TbTradesBinance[[#This Row],[Qtt]]*TbTradesBinance[[#This Row],[Preço]],AX14+TbTradesBinance[[#This Row],[Qtt]]*TbTradesBinance[[#This Row],[Preço]])),AX14)-IF(TbTradesBinance[[#This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Row],[Tipo]]="DROP"),AX14+TbTradesBinance[[#This Row],[Qtt]],AX14-TbTradesBinance[[#This Row],[Qtt]]),IF(TbTradesBinance[[#This Row],[Tipo]]="BUY",AX14-TbTradesBinance[[#This Row],[Qtt]]*TbTradesBinance[[#This Row],[Preço]],AX14+TbTradesBinance[[#This Row],[Qtt]]*TbTradesBinance[[#This Row],[Preço]])),AX14)-IF(TbTradesBinance[[#This Row],[Moeda da Taxa]]=MID(AX$1,9,5),TbTradesBinance[[#This Row],[Taxa]],0),8)))</f>
        <v>0</v>
      </c>
      <c r="AY15" s="145" cm="1">
        <f t="array" ref="AY15">IF(TbTradesBinance[[#This Row],[Tipo]]="EMPTY",0,AY14+IF(TbTradesBinance[[#This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Row],[Par]]))),$1:$1,0)),-(AX14-AX15)/AX14*AY14),0),0)+IF(TbTradesBinance[[#This Row],[Tipo]]="SELL",IF(ISNUMBER(FIND(MID(AY$1,10,5),TbTradesBinance[[#This Row],[Par]])),IF(FIND(MID(AY$1,10,5),TbTradesBinance[[#This Row],[Par]])=1, -(AX14-AX15)/AX14*AY14,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Row],[Par]])),(-(AX14-AX15)/AX14*AY14)+IF(TbTradesBinance[[#This Row],[Resultado]]&gt;0,0,TbTradesBinance[[#This Row],[Taxa]]),0),0))</f>
        <v>0</v>
      </c>
      <c r="AZ15" s="145">
        <f t="shared" si="13"/>
        <v>0</v>
      </c>
      <c r="BA1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Row],[Tipo]]="DROP"),BA14+TbTradesBinance[[#This Row],[Qtt]],BA14-TbTradesBinance[[#This Row],[Qtt]]),IF(TbTradesBinance[[#This Row],[Tipo]]="BUY",BA14-TbTradesBinance[[#This Row],[Qtt]]*TbTradesBinance[[#This Row],[Preço]],BA14+TbTradesBinance[[#This Row],[Qtt]]*TbTradesBinance[[#This Row],[Preço]])),BA14)-IF(TbTradesBinance[[#This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Row],[Tipo]]="DROP"),BA14+TbTradesBinance[[#This Row],[Qtt]],BA14-TbTradesBinance[[#This Row],[Qtt]]),IF(TbTradesBinance[[#This Row],[Tipo]]="BUY",BA14-TbTradesBinance[[#This Row],[Qtt]]*TbTradesBinance[[#This Row],[Preço]],BA14+TbTradesBinance[[#This Row],[Qtt]]*TbTradesBinance[[#This Row],[Preço]])),BA14)-IF(TbTradesBinance[[#This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Row],[Tipo]]="DROP"),BA14+TbTradesBinance[[#This Row],[Qtt]],BA14-TbTradesBinance[[#This Row],[Qtt]]),IF(TbTradesBinance[[#This Row],[Tipo]]="BUY",BA14-TbTradesBinance[[#This Row],[Qtt]]*TbTradesBinance[[#This Row],[Preço]],BA14+TbTradesBinance[[#This Row],[Qtt]]*TbTradesBinance[[#This Row],[Preço]])),BA14)-IF(TbTradesBinance[[#This Row],[Moeda da Taxa]]=MID(BA$1,9,5),TbTradesBinance[[#This Row],[Taxa]],0),8)))</f>
        <v>0</v>
      </c>
      <c r="BB15" s="145" cm="1">
        <f t="array" ref="BB15">IF(TbTradesBinance[[#This Row],[Tipo]]="EMPTY",0,BB14+IF(TbTradesBinance[[#This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Row],[Par]]))),$1:$1,0)),-(BA14-BA15)/BA14*BB14),0),0)+IF(TbTradesBinance[[#This Row],[Tipo]]="SELL",IF(ISNUMBER(FIND(MID(BB$1,10,5),TbTradesBinance[[#This Row],[Par]])),IF(FIND(MID(BB$1,10,5),TbTradesBinance[[#This Row],[Par]])=1, -(BA14-BA15)/BA14*BB14,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Row],[Par]])),(-(BA14-BA15)/BA14*BB14)+IF(TbTradesBinance[[#This Row],[Resultado]]&gt;0,0,TbTradesBinance[[#This Row],[Taxa]]),0),0))</f>
        <v>0</v>
      </c>
      <c r="BC15" s="145">
        <f t="shared" si="14"/>
        <v>0</v>
      </c>
      <c r="BD1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Row],[Tipo]]="DROP"),BD14+TbTradesBinance[[#This Row],[Qtt]],BD14-TbTradesBinance[[#This Row],[Qtt]]),IF(TbTradesBinance[[#This Row],[Tipo]]="BUY",BD14-TbTradesBinance[[#This Row],[Qtt]]*TbTradesBinance[[#This Row],[Preço]],BD14+TbTradesBinance[[#This Row],[Qtt]]*TbTradesBinance[[#This Row],[Preço]])),BD14)-IF(TbTradesBinance[[#This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Row],[Tipo]]="DROP"),BD14+TbTradesBinance[[#This Row],[Qtt]],BD14-TbTradesBinance[[#This Row],[Qtt]]),IF(TbTradesBinance[[#This Row],[Tipo]]="BUY",BD14-TbTradesBinance[[#This Row],[Qtt]]*TbTradesBinance[[#This Row],[Preço]],BD14+TbTradesBinance[[#This Row],[Qtt]]*TbTradesBinance[[#This Row],[Preço]])),BD14)-IF(TbTradesBinance[[#This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Row],[Tipo]]="DROP"),BD14+TbTradesBinance[[#This Row],[Qtt]],BD14-TbTradesBinance[[#This Row],[Qtt]]),IF(TbTradesBinance[[#This Row],[Tipo]]="BUY",BD14-TbTradesBinance[[#This Row],[Qtt]]*TbTradesBinance[[#This Row],[Preço]],BD14+TbTradesBinance[[#This Row],[Qtt]]*TbTradesBinance[[#This Row],[Preço]])),BD14)-IF(TbTradesBinance[[#This Row],[Moeda da Taxa]]=MID(BD$1,9,5),TbTradesBinance[[#This Row],[Taxa]],0),8)))</f>
        <v>0</v>
      </c>
      <c r="BE15" s="145" cm="1">
        <f t="array" ref="BE15">IF(TbTradesBinance[[#This Row],[Tipo]]="EMPTY",0,BE14+IF(TbTradesBinance[[#This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Row],[Par]]))),$1:$1,0)),-(BD14-BD15)/BD14*BE14),0),0)+IF(TbTradesBinance[[#This Row],[Tipo]]="SELL",IF(ISNUMBER(FIND(MID(BE$1,10,5),TbTradesBinance[[#This Row],[Par]])),IF(FIND(MID(BE$1,10,5),TbTradesBinance[[#This Row],[Par]])=1, -(BD14-BD15)/BD14*BE14,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Row],[Par]])),(-(BD14-BD15)/BD14*BE14)+IF(TbTradesBinance[[#This Row],[Resultado]]&gt;0,0,TbTradesBinance[[#This Row],[Taxa]]),0),0))</f>
        <v>0</v>
      </c>
      <c r="BF15" s="145">
        <f t="shared" si="15"/>
        <v>0</v>
      </c>
      <c r="BG1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Row],[Tipo]]="DROP"),BG14+TbTradesBinance[[#This Row],[Qtt]],BG14-TbTradesBinance[[#This Row],[Qtt]]),IF(TbTradesBinance[[#This Row],[Tipo]]="BUY",BG14-TbTradesBinance[[#This Row],[Qtt]]*TbTradesBinance[[#This Row],[Preço]],BG14+TbTradesBinance[[#This Row],[Qtt]]*TbTradesBinance[[#This Row],[Preço]])),BG14)-IF(TbTradesBinance[[#This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Row],[Tipo]]="DROP"),BG14+TbTradesBinance[[#This Row],[Qtt]],BG14-TbTradesBinance[[#This Row],[Qtt]]),IF(TbTradesBinance[[#This Row],[Tipo]]="BUY",BG14-TbTradesBinance[[#This Row],[Qtt]]*TbTradesBinance[[#This Row],[Preço]],BG14+TbTradesBinance[[#This Row],[Qtt]]*TbTradesBinance[[#This Row],[Preço]])),BG14)-IF(TbTradesBinance[[#This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Row],[Tipo]]="DROP"),BG14+TbTradesBinance[[#This Row],[Qtt]],BG14-TbTradesBinance[[#This Row],[Qtt]]),IF(TbTradesBinance[[#This Row],[Tipo]]="BUY",BG14-TbTradesBinance[[#This Row],[Qtt]]*TbTradesBinance[[#This Row],[Preço]],BG14+TbTradesBinance[[#This Row],[Qtt]]*TbTradesBinance[[#This Row],[Preço]])),BG14)-IF(TbTradesBinance[[#This Row],[Moeda da Taxa]]=MID(BG$1,9,5),TbTradesBinance[[#This Row],[Taxa]],0),8)))</f>
        <v>0</v>
      </c>
      <c r="BH15" s="145" cm="1">
        <f t="array" ref="BH15">IF(TbTradesBinance[[#This Row],[Tipo]]="EMPTY",0,BH14+IF(TbTradesBinance[[#This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Row],[Par]]))),$1:$1,0)),-(BG14-BG15)/BG14*BH14),0),0)+IF(TbTradesBinance[[#This Row],[Tipo]]="SELL",IF(ISNUMBER(FIND(MID(BH$1,10,5),TbTradesBinance[[#This Row],[Par]])),IF(FIND(MID(BH$1,10,5),TbTradesBinance[[#This Row],[Par]])=1, -(BG14-BG15)/BG14*BH14,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Row],[Par]])),(-(BG14-BG15)/BG14*BH14)+IF(TbTradesBinance[[#This Row],[Resultado]]&gt;0,0,TbTradesBinance[[#This Row],[Taxa]]),0),0))</f>
        <v>0</v>
      </c>
      <c r="BI15" s="145">
        <f t="shared" si="16"/>
        <v>0</v>
      </c>
      <c r="BJ1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Row],[Tipo]]="DROP"),BJ14+TbTradesBinance[[#This Row],[Qtt]],BJ14-TbTradesBinance[[#This Row],[Qtt]]),IF(TbTradesBinance[[#This Row],[Tipo]]="BUY",BJ14-TbTradesBinance[[#This Row],[Qtt]]*TbTradesBinance[[#This Row],[Preço]],BJ14+TbTradesBinance[[#This Row],[Qtt]]*TbTradesBinance[[#This Row],[Preço]])),BJ14)-IF(TbTradesBinance[[#This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Row],[Tipo]]="DROP"),BJ14+TbTradesBinance[[#This Row],[Qtt]],BJ14-TbTradesBinance[[#This Row],[Qtt]]),IF(TbTradesBinance[[#This Row],[Tipo]]="BUY",BJ14-TbTradesBinance[[#This Row],[Qtt]]*TbTradesBinance[[#This Row],[Preço]],BJ14+TbTradesBinance[[#This Row],[Qtt]]*TbTradesBinance[[#This Row],[Preço]])),BJ14)-IF(TbTradesBinance[[#This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Row],[Tipo]]="DROP"),BJ14+TbTradesBinance[[#This Row],[Qtt]],BJ14-TbTradesBinance[[#This Row],[Qtt]]),IF(TbTradesBinance[[#This Row],[Tipo]]="BUY",BJ14-TbTradesBinance[[#This Row],[Qtt]]*TbTradesBinance[[#This Row],[Preço]],BJ14+TbTradesBinance[[#This Row],[Qtt]]*TbTradesBinance[[#This Row],[Preço]])),BJ14)-IF(TbTradesBinance[[#This Row],[Moeda da Taxa]]=MID(BJ$1,9,5),TbTradesBinance[[#This Row],[Taxa]],0),8)))</f>
        <v>0</v>
      </c>
      <c r="BK15" s="145" cm="1">
        <f t="array" ref="BK15">IF(TbTradesBinance[[#This Row],[Tipo]]="EMPTY",0,BK14+IF(TbTradesBinance[[#This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Row],[Par]]))),$1:$1,0)),-(BJ14-BJ15)/BJ14*BK14),0),0)+IF(TbTradesBinance[[#This Row],[Tipo]]="SELL",IF(ISNUMBER(FIND(MID(BK$1,10,5),TbTradesBinance[[#This Row],[Par]])),IF(FIND(MID(BK$1,10,5),TbTradesBinance[[#This Row],[Par]])=1, -(BJ14-BJ15)/BJ14*BK14,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Row],[Par]])),(-(BJ14-BJ15)/BJ14*BK14)+IF(TbTradesBinance[[#This Row],[Resultado]]&gt;0,0,TbTradesBinance[[#This Row],[Taxa]]),0),0))</f>
        <v>0</v>
      </c>
      <c r="BL15" s="145">
        <f t="shared" si="17"/>
        <v>0</v>
      </c>
      <c r="BM1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Row],[Tipo]]="DROP"),BM14+TbTradesBinance[[#This Row],[Qtt]],BM14-TbTradesBinance[[#This Row],[Qtt]]),IF(TbTradesBinance[[#This Row],[Tipo]]="BUY",BM14-TbTradesBinance[[#This Row],[Qtt]]*TbTradesBinance[[#This Row],[Preço]],BM14+TbTradesBinance[[#This Row],[Qtt]]*TbTradesBinance[[#This Row],[Preço]])),BM14)-IF(TbTradesBinance[[#This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Row],[Tipo]]="DROP"),BM14+TbTradesBinance[[#This Row],[Qtt]],BM14-TbTradesBinance[[#This Row],[Qtt]]),IF(TbTradesBinance[[#This Row],[Tipo]]="BUY",BM14-TbTradesBinance[[#This Row],[Qtt]]*TbTradesBinance[[#This Row],[Preço]],BM14+TbTradesBinance[[#This Row],[Qtt]]*TbTradesBinance[[#This Row],[Preço]])),BM14)-IF(TbTradesBinance[[#This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Row],[Tipo]]="DROP"),BM14+TbTradesBinance[[#This Row],[Qtt]],BM14-TbTradesBinance[[#This Row],[Qtt]]),IF(TbTradesBinance[[#This Row],[Tipo]]="BUY",BM14-TbTradesBinance[[#This Row],[Qtt]]*TbTradesBinance[[#This Row],[Preço]],BM14+TbTradesBinance[[#This Row],[Qtt]]*TbTradesBinance[[#This Row],[Preço]])),BM14)-IF(TbTradesBinance[[#This Row],[Moeda da Taxa]]=MID(BM$1,9,5),TbTradesBinance[[#This Row],[Taxa]],0),8)))</f>
        <v>0</v>
      </c>
      <c r="BN15" s="145" cm="1">
        <f t="array" ref="BN15">IF(TbTradesBinance[[#This Row],[Tipo]]="EMPTY",0,BN14+IF(TbTradesBinance[[#This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Row],[Par]]))),$1:$1,0)),-(BM14-BM15)/BM14*BN14),0),0)+IF(TbTradesBinance[[#This Row],[Tipo]]="SELL",IF(ISNUMBER(FIND(MID(BN$1,10,5),TbTradesBinance[[#This Row],[Par]])),IF(FIND(MID(BN$1,10,5),TbTradesBinance[[#This Row],[Par]])=1, -(BM14-BM15)/BM14*BN14,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Row],[Par]])),(-(BM14-BM15)/BM14*BN14)+IF(TbTradesBinance[[#This Row],[Resultado]]&gt;0,0,TbTradesBinance[[#This Row],[Taxa]]),0),0))</f>
        <v>0</v>
      </c>
      <c r="BO15" s="145">
        <f t="shared" si="18"/>
        <v>0</v>
      </c>
    </row>
    <row r="16" spans="1:67" x14ac:dyDescent="0.3">
      <c r="B16" s="51"/>
      <c r="C16" s="40">
        <f>TRUNC(IF(AND(TbTradesBinance[[#This Row],[Tipo]]="SEND",TbTradesBinance[[#This Row],[Par]]="BRL"),TbTradesBinance[[#This Row],[Qtt]]*(1-P14)-IF(TbTradesBinance[[#This Row],[Moeda da Taxa]]="BRL",TbTradesBinance[[#This Row],[Taxa]],0),0)+IF(AND(TbTradesBinance[[#This Row],[Tipo]]="BURN",TbTradesBinance[[#This Row],[Par]]="BRL"),-TbTradesBinance[[#This Row],[Qtt]]*P14,0),2)</f>
        <v>0</v>
      </c>
      <c r="D16" s="53">
        <v>44250.758252314816</v>
      </c>
      <c r="E16" s="37" t="s">
        <v>138</v>
      </c>
      <c r="F16" s="47" t="s">
        <v>139</v>
      </c>
      <c r="G16" s="38">
        <v>265000</v>
      </c>
      <c r="H16" s="38">
        <v>1.8900000000000001E-4</v>
      </c>
      <c r="I16" s="38">
        <v>0</v>
      </c>
      <c r="J16" s="37" t="s">
        <v>6</v>
      </c>
      <c r="K16" s="52">
        <v>1</v>
      </c>
      <c r="L16" s="40">
        <f t="shared" si="0"/>
        <v>265000</v>
      </c>
      <c r="M16" s="40">
        <f>IF(OR(TbTradesBinance[[#This Row],[Tipo]]="BUY",TbTradesBinance[[#This Row],[Tipo]]="RECEIVE",TbTradesBinance[[#This Row],[Tipo]]="DROP"),L16*H16,-L16*H16)</f>
        <v>50.085000000000001</v>
      </c>
      <c r="N1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Row],[Tipo]]="DROP"),N15+TbTradesBinance[[#This Row],[Qtt]],N15-TbTradesBinance[[#This Row],[Qtt]]),IF(TbTradesBinance[[#This Row],[Tipo]]="BUY",N15-TbTradesBinance[[#This Row],[Qtt]]*TbTradesBinance[[#This Row],[Preço]],N15+TbTradesBinance[[#This Row],[Qtt]]*TbTradesBinance[[#This Row],[Preço]])),N15)-IF(TbTradesBinance[[#This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Row],[Tipo]]="DROP"),N15+TbTradesBinance[[#This Row],[Qtt]],N15-TbTradesBinance[[#This Row],[Qtt]]),IF(TbTradesBinance[[#This Row],[Tipo]]="BUY",N15-TbTradesBinance[[#This Row],[Qtt]]*TbTradesBinance[[#This Row],[Preço]],N15+TbTradesBinance[[#This Row],[Qtt]]*TbTradesBinance[[#This Row],[Preço]])),N15)-IF(TbTradesBinance[[#This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Row],[Tipo]]="DROP"),N15+TbTradesBinance[[#This Row],[Qtt]],N15-TbTradesBinance[[#This Row],[Qtt]]),IF(TbTradesBinance[[#This Row],[Tipo]]="BUY",N15-TbTradesBinance[[#This Row],[Qtt]]*TbTradesBinance[[#This Row],[Preço]],N15+TbTradesBinance[[#This Row],[Qtt]]*TbTradesBinance[[#This Row],[Preço]])),N15)-IF(TbTradesBinance[[#This Row],[Moeda da Taxa]]=MID(N$1,9,5),TbTradesBinance[[#This Row],[Taxa]],0),8)))</f>
        <v>19992.8964199</v>
      </c>
      <c r="O16" s="145" cm="1">
        <f t="array" ref="O16">IF(TbTradesBinance[[#This Row],[Tipo]]="EMPTY",0,O15+IF(TbTradesBinance[[#This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Row],[Par]]))),$1:$1,0)),-(N15-N16)/N15*O15),0),0)+IF(TbTradesBinance[[#This Row],[Tipo]]="SELL",IF(ISNUMBER(FIND(MID(O$1,10,5),TbTradesBinance[[#This Row],[Par]])),IF(FIND(MID(O$1,10,5),TbTradesBinance[[#This Row],[Par]])=1, -(N15-N16)/N15*O15,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Row],[Par]])),(-(N15-N16)/N15*O15)+IF(TbTradesBinance[[#This Row],[Resultado]]&gt;0,0,TbTradesBinance[[#This Row],[Taxa]]),0),0))</f>
        <v>19949.696583423447</v>
      </c>
      <c r="P16" s="145">
        <f t="shared" si="1"/>
        <v>0.9978392407198412</v>
      </c>
      <c r="Q1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Row],[Tipo]]="DROP"),Q15+TbTradesBinance[[#This Row],[Qtt]],Q15-TbTradesBinance[[#This Row],[Qtt]]),IF(TbTradesBinance[[#This Row],[Tipo]]="BUY",Q15-TbTradesBinance[[#This Row],[Qtt]]*TbTradesBinance[[#This Row],[Preço]],Q15+TbTradesBinance[[#This Row],[Qtt]]*TbTradesBinance[[#This Row],[Preço]])),Q15)-IF(TbTradesBinance[[#This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Row],[Tipo]]="DROP"),Q15+TbTradesBinance[[#This Row],[Qtt]],Q15-TbTradesBinance[[#This Row],[Qtt]]),IF(TbTradesBinance[[#This Row],[Tipo]]="BUY",Q15-TbTradesBinance[[#This Row],[Qtt]]*TbTradesBinance[[#This Row],[Preço]],Q15+TbTradesBinance[[#This Row],[Qtt]]*TbTradesBinance[[#This Row],[Preço]])),Q15)-IF(TbTradesBinance[[#This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Row],[Tipo]]="DROP"),Q15+TbTradesBinance[[#This Row],[Qtt]],Q15-TbTradesBinance[[#This Row],[Qtt]]),IF(TbTradesBinance[[#This Row],[Tipo]]="BUY",Q15-TbTradesBinance[[#This Row],[Qtt]]*TbTradesBinance[[#This Row],[Preço]],Q15+TbTradesBinance[[#This Row],[Qtt]]*TbTradesBinance[[#This Row],[Preço]])),Q15)-IF(TbTradesBinance[[#This Row],[Moeda da Taxa]]=MID(Q$1,9,5),TbTradesBinance[[#This Row],[Taxa]],0),8)))</f>
        <v>0</v>
      </c>
      <c r="R16" s="145" cm="1">
        <f t="array" ref="R16">IF(TbTradesBinance[[#This Row],[Tipo]]="EMPTY",0,R15+IF(TbTradesBinance[[#This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Row],[Par]]))),$1:$1,0)),-(Q15-Q16)/Q15*R15),0),0)+IF(TbTradesBinance[[#This Row],[Tipo]]="SELL",IF(ISNUMBER(FIND(MID(R$1,10,5),TbTradesBinance[[#This Row],[Par]])),IF(FIND(MID(R$1,10,5),TbTradesBinance[[#This Row],[Par]])=1, -(Q15-Q16)/Q15*R15,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Row],[Par]])),(-(Q15-Q16)/Q15*R15)+IF(TbTradesBinance[[#This Row],[Resultado]]&gt;0,0,TbTradesBinance[[#This Row],[Taxa]]),0),0))</f>
        <v>0</v>
      </c>
      <c r="S16" s="145">
        <f t="shared" si="2"/>
        <v>0</v>
      </c>
      <c r="T1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Row],[Tipo]]="DROP"),T15+TbTradesBinance[[#This Row],[Qtt]],T15-TbTradesBinance[[#This Row],[Qtt]]),IF(TbTradesBinance[[#This Row],[Tipo]]="BUY",T15-TbTradesBinance[[#This Row],[Qtt]]*TbTradesBinance[[#This Row],[Preço]],T15+TbTradesBinance[[#This Row],[Qtt]]*TbTradesBinance[[#This Row],[Preço]])),T15)-IF(TbTradesBinance[[#This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Row],[Tipo]]="DROP"),T15+TbTradesBinance[[#This Row],[Qtt]],T15-TbTradesBinance[[#This Row],[Qtt]]),IF(TbTradesBinance[[#This Row],[Tipo]]="BUY",T15-TbTradesBinance[[#This Row],[Qtt]]*TbTradesBinance[[#This Row],[Preço]],T15+TbTradesBinance[[#This Row],[Qtt]]*TbTradesBinance[[#This Row],[Preço]])),T15)-IF(TbTradesBinance[[#This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Row],[Tipo]]="DROP"),T15+TbTradesBinance[[#This Row],[Qtt]],T15-TbTradesBinance[[#This Row],[Qtt]]),IF(TbTradesBinance[[#This Row],[Tipo]]="BUY",T15-TbTradesBinance[[#This Row],[Qtt]]*TbTradesBinance[[#This Row],[Preço]],T15+TbTradesBinance[[#This Row],[Qtt]]*TbTradesBinance[[#This Row],[Preço]])),T15)-IF(TbTradesBinance[[#This Row],[Moeda da Taxa]]=MID(T$1,9,5),TbTradesBinance[[#This Row],[Taxa]],0),8)))</f>
        <v>2.867312E-2</v>
      </c>
      <c r="U16" s="145" cm="1">
        <f t="array" ref="U16">IF(TbTradesBinance[[#This Row],[Tipo]]="EMPTY",0,U15+IF(TbTradesBinance[[#This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Row],[Par]]))),$1:$1,0)),-(T15-T16)/T15*U15),0),0)+IF(TbTradesBinance[[#This Row],[Tipo]]="SELL",IF(ISNUMBER(FIND(MID(U$1,10,5),TbTradesBinance[[#This Row],[Par]])),IF(FIND(MID(U$1,10,5),TbTradesBinance[[#This Row],[Par]])=1, -(T15-T16)/T15*U15,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Row],[Par]])),(-(T15-T16)/T15*U15)+IF(TbTradesBinance[[#This Row],[Resultado]]&gt;0,0,TbTradesBinance[[#This Row],[Taxa]]),0),0))</f>
        <v>0.19365209596473676</v>
      </c>
      <c r="V16" s="145">
        <f t="shared" si="3"/>
        <v>6.7537852861752317</v>
      </c>
      <c r="W1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Row],[Tipo]]="DROP"),W15+TbTradesBinance[[#This Row],[Qtt]],W15-TbTradesBinance[[#This Row],[Qtt]]),IF(TbTradesBinance[[#This Row],[Tipo]]="BUY",W15-TbTradesBinance[[#This Row],[Qtt]]*TbTradesBinance[[#This Row],[Preço]],W15+TbTradesBinance[[#This Row],[Qtt]]*TbTradesBinance[[#This Row],[Preço]])),W15)-IF(TbTradesBinance[[#This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Row],[Tipo]]="DROP"),W15+TbTradesBinance[[#This Row],[Qtt]],W15-TbTradesBinance[[#This Row],[Qtt]]),IF(TbTradesBinance[[#This Row],[Tipo]]="BUY",W15-TbTradesBinance[[#This Row],[Qtt]]*TbTradesBinance[[#This Row],[Preço]],W15+TbTradesBinance[[#This Row],[Qtt]]*TbTradesBinance[[#This Row],[Preço]])),W15)-IF(TbTradesBinance[[#This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Row],[Tipo]]="DROP"),W15+TbTradesBinance[[#This Row],[Qtt]],W15-TbTradesBinance[[#This Row],[Qtt]]),IF(TbTradesBinance[[#This Row],[Tipo]]="BUY",W15-TbTradesBinance[[#This Row],[Qtt]]*TbTradesBinance[[#This Row],[Preço]],W15+TbTradesBinance[[#This Row],[Qtt]]*TbTradesBinance[[#This Row],[Preço]])),W15)-IF(TbTradesBinance[[#This Row],[Moeda da Taxa]]=MID(W$1,9,5),TbTradesBinance[[#This Row],[Taxa]],0),8)))</f>
        <v>1.8950999999999999E-4</v>
      </c>
      <c r="X16" s="145" cm="1">
        <f t="array" ref="X16">IF(TbTradesBinance[[#This Row],[Tipo]]="EMPTY",0,X15+IF(TbTradesBinance[[#This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Row],[Par]]))),$1:$1,0)),-(W15-W16)/W15*X15),0),0)+IF(TbTradesBinance[[#This Row],[Tipo]]="SELL",IF(ISNUMBER(FIND(MID(X$1,10,5),TbTradesBinance[[#This Row],[Par]])),IF(FIND(MID(X$1,10,5),TbTradesBinance[[#This Row],[Par]])=1, -(W15-W16)/W15*X15,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Row],[Par]])),(-(W15-W16)/W15*X15)+IF(TbTradesBinance[[#This Row],[Resultado]]&gt;0,0,TbTradesBinance[[#This Row],[Taxa]]),0),0))</f>
        <v>50.109764480588403</v>
      </c>
      <c r="Y16" s="145">
        <f t="shared" si="4"/>
        <v>264417.52140039264</v>
      </c>
      <c r="Z1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Row],[Tipo]]="DROP"),Z15+TbTradesBinance[[#This Row],[Qtt]],Z15-TbTradesBinance[[#This Row],[Qtt]]),IF(TbTradesBinance[[#This Row],[Tipo]]="BUY",Z15-TbTradesBinance[[#This Row],[Qtt]]*TbTradesBinance[[#This Row],[Preço]],Z15+TbTradesBinance[[#This Row],[Qtt]]*TbTradesBinance[[#This Row],[Preço]])),Z15)-IF(TbTradesBinance[[#This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Row],[Tipo]]="DROP"),Z15+TbTradesBinance[[#This Row],[Qtt]],Z15-TbTradesBinance[[#This Row],[Qtt]]),IF(TbTradesBinance[[#This Row],[Tipo]]="BUY",Z15-TbTradesBinance[[#This Row],[Qtt]]*TbTradesBinance[[#This Row],[Preço]],Z15+TbTradesBinance[[#This Row],[Qtt]]*TbTradesBinance[[#This Row],[Preço]])),Z15)-IF(TbTradesBinance[[#This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Row],[Tipo]]="DROP"),Z15+TbTradesBinance[[#This Row],[Qtt]],Z15-TbTradesBinance[[#This Row],[Qtt]]),IF(TbTradesBinance[[#This Row],[Tipo]]="BUY",Z15-TbTradesBinance[[#This Row],[Qtt]]*TbTradesBinance[[#This Row],[Preço]],Z15+TbTradesBinance[[#This Row],[Qtt]]*TbTradesBinance[[#This Row],[Preço]])),Z15)-IF(TbTradesBinance[[#This Row],[Moeda da Taxa]]=MID(Z$1,9,5),TbTradesBinance[[#This Row],[Taxa]],0),8)))</f>
        <v>0</v>
      </c>
      <c r="AA16" s="145" cm="1">
        <f t="array" ref="AA16">IF(TbTradesBinance[[#This Row],[Tipo]]="EMPTY",0,AA15+IF(TbTradesBinance[[#This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Row],[Par]]))),$1:$1,0)),-(Z15-Z16)/Z15*AA15),0),0)+IF(TbTradesBinance[[#This Row],[Tipo]]="SELL",IF(ISNUMBER(FIND(MID(AA$1,10,5),TbTradesBinance[[#This Row],[Par]])),IF(FIND(MID(AA$1,10,5),TbTradesBinance[[#This Row],[Par]])=1, -(Z15-Z16)/Z15*AA15,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Row],[Par]])),(-(Z15-Z16)/Z15*AA15)+IF(TbTradesBinance[[#This Row],[Resultado]]&gt;0,0,TbTradesBinance[[#This Row],[Taxa]]),0),0))</f>
        <v>0</v>
      </c>
      <c r="AB16" s="145">
        <f t="shared" si="5"/>
        <v>0</v>
      </c>
      <c r="AC1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Row],[Tipo]]="DROP"),AC15+TbTradesBinance[[#This Row],[Qtt]],AC15-TbTradesBinance[[#This Row],[Qtt]]),IF(TbTradesBinance[[#This Row],[Tipo]]="BUY",AC15-TbTradesBinance[[#This Row],[Qtt]]*TbTradesBinance[[#This Row],[Preço]],AC15+TbTradesBinance[[#This Row],[Qtt]]*TbTradesBinance[[#This Row],[Preço]])),AC15)-IF(TbTradesBinance[[#This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Row],[Tipo]]="DROP"),AC15+TbTradesBinance[[#This Row],[Qtt]],AC15-TbTradesBinance[[#This Row],[Qtt]]),IF(TbTradesBinance[[#This Row],[Tipo]]="BUY",AC15-TbTradesBinance[[#This Row],[Qtt]]*TbTradesBinance[[#This Row],[Preço]],AC15+TbTradesBinance[[#This Row],[Qtt]]*TbTradesBinance[[#This Row],[Preço]])),AC15)-IF(TbTradesBinance[[#This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Row],[Tipo]]="DROP"),AC15+TbTradesBinance[[#This Row],[Qtt]],AC15-TbTradesBinance[[#This Row],[Qtt]]),IF(TbTradesBinance[[#This Row],[Tipo]]="BUY",AC15-TbTradesBinance[[#This Row],[Qtt]]*TbTradesBinance[[#This Row],[Preço]],AC15+TbTradesBinance[[#This Row],[Qtt]]*TbTradesBinance[[#This Row],[Preço]])),AC15)-IF(TbTradesBinance[[#This Row],[Moeda da Taxa]]=MID(AC$1,9,5),TbTradesBinance[[#This Row],[Taxa]],0),8)))</f>
        <v>0</v>
      </c>
      <c r="AD16" s="145" cm="1">
        <f t="array" ref="AD16">IF(TbTradesBinance[[#This Row],[Tipo]]="EMPTY",0,AD15+IF(TbTradesBinance[[#This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Row],[Par]]))),$1:$1,0)),-(AC15-AC16)/AC15*AD15),0),0)+IF(TbTradesBinance[[#This Row],[Tipo]]="SELL",IF(ISNUMBER(FIND(MID(AD$1,10,5),TbTradesBinance[[#This Row],[Par]])),IF(FIND(MID(AD$1,10,5),TbTradesBinance[[#This Row],[Par]])=1, -(AC15-AC16)/AC15*AD15,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Row],[Par]])),(-(AC15-AC16)/AC15*AD15)+IF(TbTradesBinance[[#This Row],[Resultado]]&gt;0,0,TbTradesBinance[[#This Row],[Taxa]]),0),0))</f>
        <v>0</v>
      </c>
      <c r="AE16" s="145">
        <f t="shared" si="6"/>
        <v>0</v>
      </c>
      <c r="AF1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Row],[Tipo]]="DROP"),AF15+TbTradesBinance[[#This Row],[Qtt]],AF15-TbTradesBinance[[#This Row],[Qtt]]),IF(TbTradesBinance[[#This Row],[Tipo]]="BUY",AF15-TbTradesBinance[[#This Row],[Qtt]]*TbTradesBinance[[#This Row],[Preço]],AF15+TbTradesBinance[[#This Row],[Qtt]]*TbTradesBinance[[#This Row],[Preço]])),AF15)-IF(TbTradesBinance[[#This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Row],[Tipo]]="DROP"),AF15+TbTradesBinance[[#This Row],[Qtt]],AF15-TbTradesBinance[[#This Row],[Qtt]]),IF(TbTradesBinance[[#This Row],[Tipo]]="BUY",AF15-TbTradesBinance[[#This Row],[Qtt]]*TbTradesBinance[[#This Row],[Preço]],AF15+TbTradesBinance[[#This Row],[Qtt]]*TbTradesBinance[[#This Row],[Preço]])),AF15)-IF(TbTradesBinance[[#This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Row],[Tipo]]="DROP"),AF15+TbTradesBinance[[#This Row],[Qtt]],AF15-TbTradesBinance[[#This Row],[Qtt]]),IF(TbTradesBinance[[#This Row],[Tipo]]="BUY",AF15-TbTradesBinance[[#This Row],[Qtt]]*TbTradesBinance[[#This Row],[Preço]],AF15+TbTradesBinance[[#This Row],[Qtt]]*TbTradesBinance[[#This Row],[Preço]])),AF15)-IF(TbTradesBinance[[#This Row],[Moeda da Taxa]]=MID(AF$1,9,5),TbTradesBinance[[#This Row],[Taxa]],0),8)))</f>
        <v>0</v>
      </c>
      <c r="AG16" s="145" cm="1">
        <f t="array" ref="AG16">IF(TbTradesBinance[[#This Row],[Tipo]]="EMPTY",0,AG15+IF(TbTradesBinance[[#This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Row],[Par]]))),$1:$1,0)),-(AF15-AF16)/AF15*AG15),0),0)+IF(TbTradesBinance[[#This Row],[Tipo]]="SELL",IF(ISNUMBER(FIND(MID(AG$1,10,5),TbTradesBinance[[#This Row],[Par]])),IF(FIND(MID(AG$1,10,5),TbTradesBinance[[#This Row],[Par]])=1, -(AF15-AF16)/AF15*AG15,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Row],[Par]])),(-(AF15-AF16)/AF15*AG15)+IF(TbTradesBinance[[#This Row],[Resultado]]&gt;0,0,TbTradesBinance[[#This Row],[Taxa]]),0),0))</f>
        <v>0</v>
      </c>
      <c r="AH16" s="145">
        <f t="shared" si="7"/>
        <v>0</v>
      </c>
      <c r="AI1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Row],[Tipo]]="DROP"),AI15+TbTradesBinance[[#This Row],[Qtt]],AI15-TbTradesBinance[[#This Row],[Qtt]]),IF(TbTradesBinance[[#This Row],[Tipo]]="BUY",AI15-TbTradesBinance[[#This Row],[Qtt]]*TbTradesBinance[[#This Row],[Preço]],AI15+TbTradesBinance[[#This Row],[Qtt]]*TbTradesBinance[[#This Row],[Preço]])),AI15)-IF(TbTradesBinance[[#This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Row],[Tipo]]="DROP"),AI15+TbTradesBinance[[#This Row],[Qtt]],AI15-TbTradesBinance[[#This Row],[Qtt]]),IF(TbTradesBinance[[#This Row],[Tipo]]="BUY",AI15-TbTradesBinance[[#This Row],[Qtt]]*TbTradesBinance[[#This Row],[Preço]],AI15+TbTradesBinance[[#This Row],[Qtt]]*TbTradesBinance[[#This Row],[Preço]])),AI15)-IF(TbTradesBinance[[#This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Row],[Tipo]]="DROP"),AI15+TbTradesBinance[[#This Row],[Qtt]],AI15-TbTradesBinance[[#This Row],[Qtt]]),IF(TbTradesBinance[[#This Row],[Tipo]]="BUY",AI15-TbTradesBinance[[#This Row],[Qtt]]*TbTradesBinance[[#This Row],[Preço]],AI15+TbTradesBinance[[#This Row],[Qtt]]*TbTradesBinance[[#This Row],[Preço]])),AI15)-IF(TbTradesBinance[[#This Row],[Moeda da Taxa]]=MID(AI$1,9,5),TbTradesBinance[[#This Row],[Taxa]],0),8)))</f>
        <v>0</v>
      </c>
      <c r="AJ16" s="145" cm="1">
        <f t="array" ref="AJ16">IF(TbTradesBinance[[#This Row],[Tipo]]="EMPTY",0,AJ15+IF(TbTradesBinance[[#This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Row],[Par]]))),$1:$1,0)),-(AI15-AI16)/AI15*AJ15),0),0)+IF(TbTradesBinance[[#This Row],[Tipo]]="SELL",IF(ISNUMBER(FIND(MID(AJ$1,10,5),TbTradesBinance[[#This Row],[Par]])),IF(FIND(MID(AJ$1,10,5),TbTradesBinance[[#This Row],[Par]])=1, -(AI15-AI16)/AI15*AJ15,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Row],[Par]])),(-(AI15-AI16)/AI15*AJ15)+IF(TbTradesBinance[[#This Row],[Resultado]]&gt;0,0,TbTradesBinance[[#This Row],[Taxa]]),0),0))</f>
        <v>0</v>
      </c>
      <c r="AK16" s="145">
        <f t="shared" si="8"/>
        <v>0</v>
      </c>
      <c r="AL1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Row],[Tipo]]="DROP"),AL15+TbTradesBinance[[#This Row],[Qtt]],AL15-TbTradesBinance[[#This Row],[Qtt]]),IF(TbTradesBinance[[#This Row],[Tipo]]="BUY",AL15-TbTradesBinance[[#This Row],[Qtt]]*TbTradesBinance[[#This Row],[Preço]],AL15+TbTradesBinance[[#This Row],[Qtt]]*TbTradesBinance[[#This Row],[Preço]])),AL15)-IF(TbTradesBinance[[#This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Row],[Tipo]]="DROP"),AL15+TbTradesBinance[[#This Row],[Qtt]],AL15-TbTradesBinance[[#This Row],[Qtt]]),IF(TbTradesBinance[[#This Row],[Tipo]]="BUY",AL15-TbTradesBinance[[#This Row],[Qtt]]*TbTradesBinance[[#This Row],[Preço]],AL15+TbTradesBinance[[#This Row],[Qtt]]*TbTradesBinance[[#This Row],[Preço]])),AL15)-IF(TbTradesBinance[[#This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Row],[Tipo]]="DROP"),AL15+TbTradesBinance[[#This Row],[Qtt]],AL15-TbTradesBinance[[#This Row],[Qtt]]),IF(TbTradesBinance[[#This Row],[Tipo]]="BUY",AL15-TbTradesBinance[[#This Row],[Qtt]]*TbTradesBinance[[#This Row],[Preço]],AL15+TbTradesBinance[[#This Row],[Qtt]]*TbTradesBinance[[#This Row],[Preço]])),AL15)-IF(TbTradesBinance[[#This Row],[Moeda da Taxa]]=MID(AL$1,9,5),TbTradesBinance[[#This Row],[Taxa]],0),8)))</f>
        <v>0</v>
      </c>
      <c r="AM16" s="145" cm="1">
        <f t="array" ref="AM16">IF(TbTradesBinance[[#This Row],[Tipo]]="EMPTY",0,AM15+IF(TbTradesBinance[[#This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Row],[Par]]))),$1:$1,0)),-(AL15-AL16)/AL15*AM15),0),0)+IF(TbTradesBinance[[#This Row],[Tipo]]="SELL",IF(ISNUMBER(FIND(MID(AM$1,10,5),TbTradesBinance[[#This Row],[Par]])),IF(FIND(MID(AM$1,10,5),TbTradesBinance[[#This Row],[Par]])=1, -(AL15-AL16)/AL15*AM15,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Row],[Par]])),(-(AL15-AL16)/AL15*AM15)+IF(TbTradesBinance[[#This Row],[Resultado]]&gt;0,0,TbTradesBinance[[#This Row],[Taxa]]),0),0))</f>
        <v>0</v>
      </c>
      <c r="AN16" s="145">
        <f t="shared" si="9"/>
        <v>0</v>
      </c>
      <c r="AO1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Row],[Tipo]]="DROP"),AO15+TbTradesBinance[[#This Row],[Qtt]],AO15-TbTradesBinance[[#This Row],[Qtt]]),IF(TbTradesBinance[[#This Row],[Tipo]]="BUY",AO15-TbTradesBinance[[#This Row],[Qtt]]*TbTradesBinance[[#This Row],[Preço]],AO15+TbTradesBinance[[#This Row],[Qtt]]*TbTradesBinance[[#This Row],[Preço]])),AO15)-IF(TbTradesBinance[[#This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Row],[Tipo]]="DROP"),AO15+TbTradesBinance[[#This Row],[Qtt]],AO15-TbTradesBinance[[#This Row],[Qtt]]),IF(TbTradesBinance[[#This Row],[Tipo]]="BUY",AO15-TbTradesBinance[[#This Row],[Qtt]]*TbTradesBinance[[#This Row],[Preço]],AO15+TbTradesBinance[[#This Row],[Qtt]]*TbTradesBinance[[#This Row],[Preço]])),AO15)-IF(TbTradesBinance[[#This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Row],[Tipo]]="DROP"),AO15+TbTradesBinance[[#This Row],[Qtt]],AO15-TbTradesBinance[[#This Row],[Qtt]]),IF(TbTradesBinance[[#This Row],[Tipo]]="BUY",AO15-TbTradesBinance[[#This Row],[Qtt]]*TbTradesBinance[[#This Row],[Preço]],AO15+TbTradesBinance[[#This Row],[Qtt]]*TbTradesBinance[[#This Row],[Preço]])),AO15)-IF(TbTradesBinance[[#This Row],[Moeda da Taxa]]=MID(AO$1,9,5),TbTradesBinance[[#This Row],[Taxa]],0),8)))</f>
        <v>0</v>
      </c>
      <c r="AP16" s="145" cm="1">
        <f t="array" ref="AP16">IF(TbTradesBinance[[#This Row],[Tipo]]="EMPTY",0,AP15+IF(TbTradesBinance[[#This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Row],[Par]]))),$1:$1,0)),-(AO15-AO16)/AO15*AP15),0),0)+IF(TbTradesBinance[[#This Row],[Tipo]]="SELL",IF(ISNUMBER(FIND(MID(AP$1,10,5),TbTradesBinance[[#This Row],[Par]])),IF(FIND(MID(AP$1,10,5),TbTradesBinance[[#This Row],[Par]])=1, -(AO15-AO16)/AO15*AP15,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Row],[Par]])),(-(AO15-AO16)/AO15*AP15)+IF(TbTradesBinance[[#This Row],[Resultado]]&gt;0,0,TbTradesBinance[[#This Row],[Taxa]]),0),0))</f>
        <v>0</v>
      </c>
      <c r="AQ16" s="145">
        <f t="shared" si="10"/>
        <v>0</v>
      </c>
      <c r="AR1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Row],[Tipo]]="DROP"),AR15+TbTradesBinance[[#This Row],[Qtt]],AR15-TbTradesBinance[[#This Row],[Qtt]]),IF(TbTradesBinance[[#This Row],[Tipo]]="BUY",AR15-TbTradesBinance[[#This Row],[Qtt]]*TbTradesBinance[[#This Row],[Preço]],AR15+TbTradesBinance[[#This Row],[Qtt]]*TbTradesBinance[[#This Row],[Preço]])),AR15)-IF(TbTradesBinance[[#This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Row],[Tipo]]="DROP"),AR15+TbTradesBinance[[#This Row],[Qtt]],AR15-TbTradesBinance[[#This Row],[Qtt]]),IF(TbTradesBinance[[#This Row],[Tipo]]="BUY",AR15-TbTradesBinance[[#This Row],[Qtt]]*TbTradesBinance[[#This Row],[Preço]],AR15+TbTradesBinance[[#This Row],[Qtt]]*TbTradesBinance[[#This Row],[Preço]])),AR15)-IF(TbTradesBinance[[#This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Row],[Tipo]]="DROP"),AR15+TbTradesBinance[[#This Row],[Qtt]],AR15-TbTradesBinance[[#This Row],[Qtt]]),IF(TbTradesBinance[[#This Row],[Tipo]]="BUY",AR15-TbTradesBinance[[#This Row],[Qtt]]*TbTradesBinance[[#This Row],[Preço]],AR15+TbTradesBinance[[#This Row],[Qtt]]*TbTradesBinance[[#This Row],[Preço]])),AR15)-IF(TbTradesBinance[[#This Row],[Moeda da Taxa]]=MID(AR$1,9,5),TbTradesBinance[[#This Row],[Taxa]],0),8)))</f>
        <v>0</v>
      </c>
      <c r="AS16" s="145" cm="1">
        <f t="array" ref="AS16">IF(TbTradesBinance[[#This Row],[Tipo]]="EMPTY",0,AS15+IF(TbTradesBinance[[#This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Row],[Par]]))),$1:$1,0)),-(AR15-AR16)/AR15*AS15),0),0)+IF(TbTradesBinance[[#This Row],[Tipo]]="SELL",IF(ISNUMBER(FIND(MID(AS$1,10,5),TbTradesBinance[[#This Row],[Par]])),IF(FIND(MID(AS$1,10,5),TbTradesBinance[[#This Row],[Par]])=1, -(AR15-AR16)/AR15*AS15,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Row],[Par]])),(-(AR15-AR16)/AR15*AS15)+IF(TbTradesBinance[[#This Row],[Resultado]]&gt;0,0,TbTradesBinance[[#This Row],[Taxa]]),0),0))</f>
        <v>0</v>
      </c>
      <c r="AT16" s="145">
        <f t="shared" si="11"/>
        <v>0</v>
      </c>
      <c r="AU1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Row],[Tipo]]="DROP"),AU15+TbTradesBinance[[#This Row],[Qtt]],AU15-TbTradesBinance[[#This Row],[Qtt]]),IF(TbTradesBinance[[#This Row],[Tipo]]="BUY",AU15-TbTradesBinance[[#This Row],[Qtt]]*TbTradesBinance[[#This Row],[Preço]],AU15+TbTradesBinance[[#This Row],[Qtt]]*TbTradesBinance[[#This Row],[Preço]])),AU15)-IF(TbTradesBinance[[#This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Row],[Tipo]]="DROP"),AU15+TbTradesBinance[[#This Row],[Qtt]],AU15-TbTradesBinance[[#This Row],[Qtt]]),IF(TbTradesBinance[[#This Row],[Tipo]]="BUY",AU15-TbTradesBinance[[#This Row],[Qtt]]*TbTradesBinance[[#This Row],[Preço]],AU15+TbTradesBinance[[#This Row],[Qtt]]*TbTradesBinance[[#This Row],[Preço]])),AU15)-IF(TbTradesBinance[[#This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Row],[Tipo]]="DROP"),AU15+TbTradesBinance[[#This Row],[Qtt]],AU15-TbTradesBinance[[#This Row],[Qtt]]),IF(TbTradesBinance[[#This Row],[Tipo]]="BUY",AU15-TbTradesBinance[[#This Row],[Qtt]]*TbTradesBinance[[#This Row],[Preço]],AU15+TbTradesBinance[[#This Row],[Qtt]]*TbTradesBinance[[#This Row],[Preço]])),AU15)-IF(TbTradesBinance[[#This Row],[Moeda da Taxa]]=MID(AU$1,9,5),TbTradesBinance[[#This Row],[Taxa]],0),8)))</f>
        <v>0</v>
      </c>
      <c r="AV16" s="145" cm="1">
        <f t="array" ref="AV16">IF(TbTradesBinance[[#This Row],[Tipo]]="EMPTY",0,AV15+IF(TbTradesBinance[[#This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Row],[Par]]))),$1:$1,0)),-(AU15-AU16)/AU15*AV15),0),0)+IF(TbTradesBinance[[#This Row],[Tipo]]="SELL",IF(ISNUMBER(FIND(MID(AV$1,10,5),TbTradesBinance[[#This Row],[Par]])),IF(FIND(MID(AV$1,10,5),TbTradesBinance[[#This Row],[Par]])=1, -(AU15-AU16)/AU15*AV15,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Row],[Par]])),(-(AU15-AU16)/AU15*AV15)+IF(TbTradesBinance[[#This Row],[Resultado]]&gt;0,0,TbTradesBinance[[#This Row],[Taxa]]),0),0))</f>
        <v>0</v>
      </c>
      <c r="AW16" s="145">
        <f t="shared" si="12"/>
        <v>0</v>
      </c>
      <c r="AX1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Row],[Tipo]]="DROP"),AX15+TbTradesBinance[[#This Row],[Qtt]],AX15-TbTradesBinance[[#This Row],[Qtt]]),IF(TbTradesBinance[[#This Row],[Tipo]]="BUY",AX15-TbTradesBinance[[#This Row],[Qtt]]*TbTradesBinance[[#This Row],[Preço]],AX15+TbTradesBinance[[#This Row],[Qtt]]*TbTradesBinance[[#This Row],[Preço]])),AX15)-IF(TbTradesBinance[[#This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Row],[Tipo]]="DROP"),AX15+TbTradesBinance[[#This Row],[Qtt]],AX15-TbTradesBinance[[#This Row],[Qtt]]),IF(TbTradesBinance[[#This Row],[Tipo]]="BUY",AX15-TbTradesBinance[[#This Row],[Qtt]]*TbTradesBinance[[#This Row],[Preço]],AX15+TbTradesBinance[[#This Row],[Qtt]]*TbTradesBinance[[#This Row],[Preço]])),AX15)-IF(TbTradesBinance[[#This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Row],[Tipo]]="DROP"),AX15+TbTradesBinance[[#This Row],[Qtt]],AX15-TbTradesBinance[[#This Row],[Qtt]]),IF(TbTradesBinance[[#This Row],[Tipo]]="BUY",AX15-TbTradesBinance[[#This Row],[Qtt]]*TbTradesBinance[[#This Row],[Preço]],AX15+TbTradesBinance[[#This Row],[Qtt]]*TbTradesBinance[[#This Row],[Preço]])),AX15)-IF(TbTradesBinance[[#This Row],[Moeda da Taxa]]=MID(AX$1,9,5),TbTradesBinance[[#This Row],[Taxa]],0),8)))</f>
        <v>0</v>
      </c>
      <c r="AY16" s="145" cm="1">
        <f t="array" ref="AY16">IF(TbTradesBinance[[#This Row],[Tipo]]="EMPTY",0,AY15+IF(TbTradesBinance[[#This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Row],[Par]]))),$1:$1,0)),-(AX15-AX16)/AX15*AY15),0),0)+IF(TbTradesBinance[[#This Row],[Tipo]]="SELL",IF(ISNUMBER(FIND(MID(AY$1,10,5),TbTradesBinance[[#This Row],[Par]])),IF(FIND(MID(AY$1,10,5),TbTradesBinance[[#This Row],[Par]])=1, -(AX15-AX16)/AX15*AY15,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Row],[Par]])),(-(AX15-AX16)/AX15*AY15)+IF(TbTradesBinance[[#This Row],[Resultado]]&gt;0,0,TbTradesBinance[[#This Row],[Taxa]]),0),0))</f>
        <v>0</v>
      </c>
      <c r="AZ16" s="145">
        <f t="shared" si="13"/>
        <v>0</v>
      </c>
      <c r="BA1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Row],[Tipo]]="DROP"),BA15+TbTradesBinance[[#This Row],[Qtt]],BA15-TbTradesBinance[[#This Row],[Qtt]]),IF(TbTradesBinance[[#This Row],[Tipo]]="BUY",BA15-TbTradesBinance[[#This Row],[Qtt]]*TbTradesBinance[[#This Row],[Preço]],BA15+TbTradesBinance[[#This Row],[Qtt]]*TbTradesBinance[[#This Row],[Preço]])),BA15)-IF(TbTradesBinance[[#This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Row],[Tipo]]="DROP"),BA15+TbTradesBinance[[#This Row],[Qtt]],BA15-TbTradesBinance[[#This Row],[Qtt]]),IF(TbTradesBinance[[#This Row],[Tipo]]="BUY",BA15-TbTradesBinance[[#This Row],[Qtt]]*TbTradesBinance[[#This Row],[Preço]],BA15+TbTradesBinance[[#This Row],[Qtt]]*TbTradesBinance[[#This Row],[Preço]])),BA15)-IF(TbTradesBinance[[#This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Row],[Tipo]]="DROP"),BA15+TbTradesBinance[[#This Row],[Qtt]],BA15-TbTradesBinance[[#This Row],[Qtt]]),IF(TbTradesBinance[[#This Row],[Tipo]]="BUY",BA15-TbTradesBinance[[#This Row],[Qtt]]*TbTradesBinance[[#This Row],[Preço]],BA15+TbTradesBinance[[#This Row],[Qtt]]*TbTradesBinance[[#This Row],[Preço]])),BA15)-IF(TbTradesBinance[[#This Row],[Moeda da Taxa]]=MID(BA$1,9,5),TbTradesBinance[[#This Row],[Taxa]],0),8)))</f>
        <v>0</v>
      </c>
      <c r="BB16" s="145" cm="1">
        <f t="array" ref="BB16">IF(TbTradesBinance[[#This Row],[Tipo]]="EMPTY",0,BB15+IF(TbTradesBinance[[#This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Row],[Par]]))),$1:$1,0)),-(BA15-BA16)/BA15*BB15),0),0)+IF(TbTradesBinance[[#This Row],[Tipo]]="SELL",IF(ISNUMBER(FIND(MID(BB$1,10,5),TbTradesBinance[[#This Row],[Par]])),IF(FIND(MID(BB$1,10,5),TbTradesBinance[[#This Row],[Par]])=1, -(BA15-BA16)/BA15*BB15,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Row],[Par]])),(-(BA15-BA16)/BA15*BB15)+IF(TbTradesBinance[[#This Row],[Resultado]]&gt;0,0,TbTradesBinance[[#This Row],[Taxa]]),0),0))</f>
        <v>0</v>
      </c>
      <c r="BC16" s="145">
        <f t="shared" si="14"/>
        <v>0</v>
      </c>
      <c r="BD1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Row],[Tipo]]="DROP"),BD15+TbTradesBinance[[#This Row],[Qtt]],BD15-TbTradesBinance[[#This Row],[Qtt]]),IF(TbTradesBinance[[#This Row],[Tipo]]="BUY",BD15-TbTradesBinance[[#This Row],[Qtt]]*TbTradesBinance[[#This Row],[Preço]],BD15+TbTradesBinance[[#This Row],[Qtt]]*TbTradesBinance[[#This Row],[Preço]])),BD15)-IF(TbTradesBinance[[#This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Row],[Tipo]]="DROP"),BD15+TbTradesBinance[[#This Row],[Qtt]],BD15-TbTradesBinance[[#This Row],[Qtt]]),IF(TbTradesBinance[[#This Row],[Tipo]]="BUY",BD15-TbTradesBinance[[#This Row],[Qtt]]*TbTradesBinance[[#This Row],[Preço]],BD15+TbTradesBinance[[#This Row],[Qtt]]*TbTradesBinance[[#This Row],[Preço]])),BD15)-IF(TbTradesBinance[[#This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Row],[Tipo]]="DROP"),BD15+TbTradesBinance[[#This Row],[Qtt]],BD15-TbTradesBinance[[#This Row],[Qtt]]),IF(TbTradesBinance[[#This Row],[Tipo]]="BUY",BD15-TbTradesBinance[[#This Row],[Qtt]]*TbTradesBinance[[#This Row],[Preço]],BD15+TbTradesBinance[[#This Row],[Qtt]]*TbTradesBinance[[#This Row],[Preço]])),BD15)-IF(TbTradesBinance[[#This Row],[Moeda da Taxa]]=MID(BD$1,9,5),TbTradesBinance[[#This Row],[Taxa]],0),8)))</f>
        <v>0</v>
      </c>
      <c r="BE16" s="145" cm="1">
        <f t="array" ref="BE16">IF(TbTradesBinance[[#This Row],[Tipo]]="EMPTY",0,BE15+IF(TbTradesBinance[[#This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Row],[Par]]))),$1:$1,0)),-(BD15-BD16)/BD15*BE15),0),0)+IF(TbTradesBinance[[#This Row],[Tipo]]="SELL",IF(ISNUMBER(FIND(MID(BE$1,10,5),TbTradesBinance[[#This Row],[Par]])),IF(FIND(MID(BE$1,10,5),TbTradesBinance[[#This Row],[Par]])=1, -(BD15-BD16)/BD15*BE15,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Row],[Par]])),(-(BD15-BD16)/BD15*BE15)+IF(TbTradesBinance[[#This Row],[Resultado]]&gt;0,0,TbTradesBinance[[#This Row],[Taxa]]),0),0))</f>
        <v>0</v>
      </c>
      <c r="BF16" s="145">
        <f t="shared" si="15"/>
        <v>0</v>
      </c>
      <c r="BG1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Row],[Tipo]]="DROP"),BG15+TbTradesBinance[[#This Row],[Qtt]],BG15-TbTradesBinance[[#This Row],[Qtt]]),IF(TbTradesBinance[[#This Row],[Tipo]]="BUY",BG15-TbTradesBinance[[#This Row],[Qtt]]*TbTradesBinance[[#This Row],[Preço]],BG15+TbTradesBinance[[#This Row],[Qtt]]*TbTradesBinance[[#This Row],[Preço]])),BG15)-IF(TbTradesBinance[[#This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Row],[Tipo]]="DROP"),BG15+TbTradesBinance[[#This Row],[Qtt]],BG15-TbTradesBinance[[#This Row],[Qtt]]),IF(TbTradesBinance[[#This Row],[Tipo]]="BUY",BG15-TbTradesBinance[[#This Row],[Qtt]]*TbTradesBinance[[#This Row],[Preço]],BG15+TbTradesBinance[[#This Row],[Qtt]]*TbTradesBinance[[#This Row],[Preço]])),BG15)-IF(TbTradesBinance[[#This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Row],[Tipo]]="DROP"),BG15+TbTradesBinance[[#This Row],[Qtt]],BG15-TbTradesBinance[[#This Row],[Qtt]]),IF(TbTradesBinance[[#This Row],[Tipo]]="BUY",BG15-TbTradesBinance[[#This Row],[Qtt]]*TbTradesBinance[[#This Row],[Preço]],BG15+TbTradesBinance[[#This Row],[Qtt]]*TbTradesBinance[[#This Row],[Preço]])),BG15)-IF(TbTradesBinance[[#This Row],[Moeda da Taxa]]=MID(BG$1,9,5),TbTradesBinance[[#This Row],[Taxa]],0),8)))</f>
        <v>0</v>
      </c>
      <c r="BH16" s="145" cm="1">
        <f t="array" ref="BH16">IF(TbTradesBinance[[#This Row],[Tipo]]="EMPTY",0,BH15+IF(TbTradesBinance[[#This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Row],[Par]]))),$1:$1,0)),-(BG15-BG16)/BG15*BH15),0),0)+IF(TbTradesBinance[[#This Row],[Tipo]]="SELL",IF(ISNUMBER(FIND(MID(BH$1,10,5),TbTradesBinance[[#This Row],[Par]])),IF(FIND(MID(BH$1,10,5),TbTradesBinance[[#This Row],[Par]])=1, -(BG15-BG16)/BG15*BH15,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Row],[Par]])),(-(BG15-BG16)/BG15*BH15)+IF(TbTradesBinance[[#This Row],[Resultado]]&gt;0,0,TbTradesBinance[[#This Row],[Taxa]]),0),0))</f>
        <v>0</v>
      </c>
      <c r="BI16" s="145">
        <f t="shared" si="16"/>
        <v>0</v>
      </c>
      <c r="BJ1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Row],[Tipo]]="DROP"),BJ15+TbTradesBinance[[#This Row],[Qtt]],BJ15-TbTradesBinance[[#This Row],[Qtt]]),IF(TbTradesBinance[[#This Row],[Tipo]]="BUY",BJ15-TbTradesBinance[[#This Row],[Qtt]]*TbTradesBinance[[#This Row],[Preço]],BJ15+TbTradesBinance[[#This Row],[Qtt]]*TbTradesBinance[[#This Row],[Preço]])),BJ15)-IF(TbTradesBinance[[#This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Row],[Tipo]]="DROP"),BJ15+TbTradesBinance[[#This Row],[Qtt]],BJ15-TbTradesBinance[[#This Row],[Qtt]]),IF(TbTradesBinance[[#This Row],[Tipo]]="BUY",BJ15-TbTradesBinance[[#This Row],[Qtt]]*TbTradesBinance[[#This Row],[Preço]],BJ15+TbTradesBinance[[#This Row],[Qtt]]*TbTradesBinance[[#This Row],[Preço]])),BJ15)-IF(TbTradesBinance[[#This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Row],[Tipo]]="DROP"),BJ15+TbTradesBinance[[#This Row],[Qtt]],BJ15-TbTradesBinance[[#This Row],[Qtt]]),IF(TbTradesBinance[[#This Row],[Tipo]]="BUY",BJ15-TbTradesBinance[[#This Row],[Qtt]]*TbTradesBinance[[#This Row],[Preço]],BJ15+TbTradesBinance[[#This Row],[Qtt]]*TbTradesBinance[[#This Row],[Preço]])),BJ15)-IF(TbTradesBinance[[#This Row],[Moeda da Taxa]]=MID(BJ$1,9,5),TbTradesBinance[[#This Row],[Taxa]],0),8)))</f>
        <v>0</v>
      </c>
      <c r="BK16" s="145" cm="1">
        <f t="array" ref="BK16">IF(TbTradesBinance[[#This Row],[Tipo]]="EMPTY",0,BK15+IF(TbTradesBinance[[#This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Row],[Par]]))),$1:$1,0)),-(BJ15-BJ16)/BJ15*BK15),0),0)+IF(TbTradesBinance[[#This Row],[Tipo]]="SELL",IF(ISNUMBER(FIND(MID(BK$1,10,5),TbTradesBinance[[#This Row],[Par]])),IF(FIND(MID(BK$1,10,5),TbTradesBinance[[#This Row],[Par]])=1, -(BJ15-BJ16)/BJ15*BK15,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Row],[Par]])),(-(BJ15-BJ16)/BJ15*BK15)+IF(TbTradesBinance[[#This Row],[Resultado]]&gt;0,0,TbTradesBinance[[#This Row],[Taxa]]),0),0))</f>
        <v>0</v>
      </c>
      <c r="BL16" s="145">
        <f t="shared" si="17"/>
        <v>0</v>
      </c>
      <c r="BM1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Row],[Tipo]]="DROP"),BM15+TbTradesBinance[[#This Row],[Qtt]],BM15-TbTradesBinance[[#This Row],[Qtt]]),IF(TbTradesBinance[[#This Row],[Tipo]]="BUY",BM15-TbTradesBinance[[#This Row],[Qtt]]*TbTradesBinance[[#This Row],[Preço]],BM15+TbTradesBinance[[#This Row],[Qtt]]*TbTradesBinance[[#This Row],[Preço]])),BM15)-IF(TbTradesBinance[[#This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Row],[Tipo]]="DROP"),BM15+TbTradesBinance[[#This Row],[Qtt]],BM15-TbTradesBinance[[#This Row],[Qtt]]),IF(TbTradesBinance[[#This Row],[Tipo]]="BUY",BM15-TbTradesBinance[[#This Row],[Qtt]]*TbTradesBinance[[#This Row],[Preço]],BM15+TbTradesBinance[[#This Row],[Qtt]]*TbTradesBinance[[#This Row],[Preço]])),BM15)-IF(TbTradesBinance[[#This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Row],[Tipo]]="DROP"),BM15+TbTradesBinance[[#This Row],[Qtt]],BM15-TbTradesBinance[[#This Row],[Qtt]]),IF(TbTradesBinance[[#This Row],[Tipo]]="BUY",BM15-TbTradesBinance[[#This Row],[Qtt]]*TbTradesBinance[[#This Row],[Preço]],BM15+TbTradesBinance[[#This Row],[Qtt]]*TbTradesBinance[[#This Row],[Preço]])),BM15)-IF(TbTradesBinance[[#This Row],[Moeda da Taxa]]=MID(BM$1,9,5),TbTradesBinance[[#This Row],[Taxa]],0),8)))</f>
        <v>0</v>
      </c>
      <c r="BN16" s="145" cm="1">
        <f t="array" ref="BN16">IF(TbTradesBinance[[#This Row],[Tipo]]="EMPTY",0,BN15+IF(TbTradesBinance[[#This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Row],[Par]]))),$1:$1,0)),-(BM15-BM16)/BM15*BN15),0),0)+IF(TbTradesBinance[[#This Row],[Tipo]]="SELL",IF(ISNUMBER(FIND(MID(BN$1,10,5),TbTradesBinance[[#This Row],[Par]])),IF(FIND(MID(BN$1,10,5),TbTradesBinance[[#This Row],[Par]])=1, -(BM15-BM16)/BM15*BN15,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Row],[Par]])),(-(BM15-BM16)/BM15*BN15)+IF(TbTradesBinance[[#This Row],[Resultado]]&gt;0,0,TbTradesBinance[[#This Row],[Taxa]]),0),0))</f>
        <v>0</v>
      </c>
      <c r="BO16" s="145">
        <f t="shared" si="18"/>
        <v>0</v>
      </c>
    </row>
    <row r="17" spans="2:67" x14ac:dyDescent="0.3">
      <c r="B17" s="51"/>
      <c r="C17" s="40">
        <f>TRUNC(IF(AND(TbTradesBinance[[#This Row],[Tipo]]="SEND",TbTradesBinance[[#This Row],[Par]]="BRL"),TbTradesBinance[[#This Row],[Qtt]]*(1-P15)-IF(TbTradesBinance[[#This Row],[Moeda da Taxa]]="BRL",TbTradesBinance[[#This Row],[Taxa]],0),0)+IF(AND(TbTradesBinance[[#This Row],[Tipo]]="BURN",TbTradesBinance[[#This Row],[Par]]="BRL"),-TbTradesBinance[[#This Row],[Qtt]]*P15,0),2)</f>
        <v>0</v>
      </c>
      <c r="D17" s="53">
        <v>44250.766712962963</v>
      </c>
      <c r="E17" s="37" t="s">
        <v>138</v>
      </c>
      <c r="F17" s="47" t="s">
        <v>140</v>
      </c>
      <c r="G17" s="38">
        <v>270000</v>
      </c>
      <c r="H17" s="38">
        <v>1.8900000000000001E-4</v>
      </c>
      <c r="I17" s="38">
        <v>0</v>
      </c>
      <c r="J17" s="37" t="s">
        <v>50</v>
      </c>
      <c r="K17" s="52">
        <v>1</v>
      </c>
      <c r="L17" s="40">
        <f t="shared" si="0"/>
        <v>270000</v>
      </c>
      <c r="M17" s="40">
        <f>IF(OR(TbTradesBinance[[#This Row],[Tipo]]="BUY",TbTradesBinance[[#This Row],[Tipo]]="RECEIVE",TbTradesBinance[[#This Row],[Tipo]]="DROP"),L17*H17,-L17*H17)</f>
        <v>-51.03</v>
      </c>
      <c r="N1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Row],[Tipo]]="DROP"),N16+TbTradesBinance[[#This Row],[Qtt]],N16-TbTradesBinance[[#This Row],[Qtt]]),IF(TbTradesBinance[[#This Row],[Tipo]]="BUY",N16-TbTradesBinance[[#This Row],[Qtt]]*TbTradesBinance[[#This Row],[Preço]],N16+TbTradesBinance[[#This Row],[Qtt]]*TbTradesBinance[[#This Row],[Preço]])),N16)-IF(TbTradesBinance[[#This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Row],[Tipo]]="DROP"),N16+TbTradesBinance[[#This Row],[Qtt]],N16-TbTradesBinance[[#This Row],[Qtt]]),IF(TbTradesBinance[[#This Row],[Tipo]]="BUY",N16-TbTradesBinance[[#This Row],[Qtt]]*TbTradesBinance[[#This Row],[Preço]],N16+TbTradesBinance[[#This Row],[Qtt]]*TbTradesBinance[[#This Row],[Preço]])),N16)-IF(TbTradesBinance[[#This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Row],[Tipo]]="DROP"),N16+TbTradesBinance[[#This Row],[Qtt]],N16-TbTradesBinance[[#This Row],[Qtt]]),IF(TbTradesBinance[[#This Row],[Tipo]]="BUY",N16-TbTradesBinance[[#This Row],[Qtt]]*TbTradesBinance[[#This Row],[Preço]],N16+TbTradesBinance[[#This Row],[Qtt]]*TbTradesBinance[[#This Row],[Preço]])),N16)-IF(TbTradesBinance[[#This Row],[Moeda da Taxa]]=MID(N$1,9,5),TbTradesBinance[[#This Row],[Taxa]],0),8)))</f>
        <v>20043.926419899999</v>
      </c>
      <c r="O17" s="145" cm="1">
        <f t="array" ref="O17">IF(TbTradesBinance[[#This Row],[Tipo]]="EMPTY",0,O16+IF(TbTradesBinance[[#This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Row],[Par]]))),$1:$1,0)),-(N16-N17)/N16*O16),0),0)+IF(TbTradesBinance[[#This Row],[Tipo]]="SELL",IF(ISNUMBER(FIND(MID(O$1,10,5),TbTradesBinance[[#This Row],[Par]])),IF(FIND(MID(O$1,10,5),TbTradesBinance[[#This Row],[Par]])=1, -(N16-N17)/N16*O16,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Row],[Par]])),(-(N16-N17)/N16*O16)+IF(TbTradesBinance[[#This Row],[Resultado]]&gt;0,0,TbTradesBinance[[#This Row],[Taxa]]),0),0))</f>
        <v>19999.674139143335</v>
      </c>
      <c r="P17" s="145">
        <f t="shared" si="1"/>
        <v>0.99779223492295754</v>
      </c>
      <c r="Q1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Row],[Tipo]]="DROP"),Q16+TbTradesBinance[[#This Row],[Qtt]],Q16-TbTradesBinance[[#This Row],[Qtt]]),IF(TbTradesBinance[[#This Row],[Tipo]]="BUY",Q16-TbTradesBinance[[#This Row],[Qtt]]*TbTradesBinance[[#This Row],[Preço]],Q16+TbTradesBinance[[#This Row],[Qtt]]*TbTradesBinance[[#This Row],[Preço]])),Q16)-IF(TbTradesBinance[[#This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Row],[Tipo]]="DROP"),Q16+TbTradesBinance[[#This Row],[Qtt]],Q16-TbTradesBinance[[#This Row],[Qtt]]),IF(TbTradesBinance[[#This Row],[Tipo]]="BUY",Q16-TbTradesBinance[[#This Row],[Qtt]]*TbTradesBinance[[#This Row],[Preço]],Q16+TbTradesBinance[[#This Row],[Qtt]]*TbTradesBinance[[#This Row],[Preço]])),Q16)-IF(TbTradesBinance[[#This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Row],[Tipo]]="DROP"),Q16+TbTradesBinance[[#This Row],[Qtt]],Q16-TbTradesBinance[[#This Row],[Qtt]]),IF(TbTradesBinance[[#This Row],[Tipo]]="BUY",Q16-TbTradesBinance[[#This Row],[Qtt]]*TbTradesBinance[[#This Row],[Preço]],Q16+TbTradesBinance[[#This Row],[Qtt]]*TbTradesBinance[[#This Row],[Preço]])),Q16)-IF(TbTradesBinance[[#This Row],[Moeda da Taxa]]=MID(Q$1,9,5),TbTradesBinance[[#This Row],[Taxa]],0),8)))</f>
        <v>0</v>
      </c>
      <c r="R17" s="145" cm="1">
        <f t="array" ref="R17">IF(TbTradesBinance[[#This Row],[Tipo]]="EMPTY",0,R16+IF(TbTradesBinance[[#This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Row],[Par]]))),$1:$1,0)),-(Q16-Q17)/Q16*R16),0),0)+IF(TbTradesBinance[[#This Row],[Tipo]]="SELL",IF(ISNUMBER(FIND(MID(R$1,10,5),TbTradesBinance[[#This Row],[Par]])),IF(FIND(MID(R$1,10,5),TbTradesBinance[[#This Row],[Par]])=1, -(Q16-Q17)/Q16*R16,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Row],[Par]])),(-(Q16-Q17)/Q16*R16)+IF(TbTradesBinance[[#This Row],[Resultado]]&gt;0,0,TbTradesBinance[[#This Row],[Taxa]]),0),0))</f>
        <v>0</v>
      </c>
      <c r="S17" s="145">
        <f t="shared" si="2"/>
        <v>0</v>
      </c>
      <c r="T1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Row],[Tipo]]="DROP"),T16+TbTradesBinance[[#This Row],[Qtt]],T16-TbTradesBinance[[#This Row],[Qtt]]),IF(TbTradesBinance[[#This Row],[Tipo]]="BUY",T16-TbTradesBinance[[#This Row],[Qtt]]*TbTradesBinance[[#This Row],[Preço]],T16+TbTradesBinance[[#This Row],[Qtt]]*TbTradesBinance[[#This Row],[Preço]])),T16)-IF(TbTradesBinance[[#This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Row],[Tipo]]="DROP"),T16+TbTradesBinance[[#This Row],[Qtt]],T16-TbTradesBinance[[#This Row],[Qtt]]),IF(TbTradesBinance[[#This Row],[Tipo]]="BUY",T16-TbTradesBinance[[#This Row],[Qtt]]*TbTradesBinance[[#This Row],[Preço]],T16+TbTradesBinance[[#This Row],[Qtt]]*TbTradesBinance[[#This Row],[Preço]])),T16)-IF(TbTradesBinance[[#This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Row],[Tipo]]="DROP"),T16+TbTradesBinance[[#This Row],[Qtt]],T16-TbTradesBinance[[#This Row],[Qtt]]),IF(TbTradesBinance[[#This Row],[Tipo]]="BUY",T16-TbTradesBinance[[#This Row],[Qtt]]*TbTradesBinance[[#This Row],[Preço]],T16+TbTradesBinance[[#This Row],[Qtt]]*TbTradesBinance[[#This Row],[Preço]])),T16)-IF(TbTradesBinance[[#This Row],[Moeda da Taxa]]=MID(T$1,9,5),TbTradesBinance[[#This Row],[Taxa]],0),8)))</f>
        <v>2.867312E-2</v>
      </c>
      <c r="U17" s="145" cm="1">
        <f t="array" ref="U17">IF(TbTradesBinance[[#This Row],[Tipo]]="EMPTY",0,U16+IF(TbTradesBinance[[#This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Row],[Par]]))),$1:$1,0)),-(T16-T17)/T16*U16),0),0)+IF(TbTradesBinance[[#This Row],[Tipo]]="SELL",IF(ISNUMBER(FIND(MID(U$1,10,5),TbTradesBinance[[#This Row],[Par]])),IF(FIND(MID(U$1,10,5),TbTradesBinance[[#This Row],[Par]])=1, -(T16-T17)/T16*U16,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Row],[Par]])),(-(T16-T17)/T16*U16)+IF(TbTradesBinance[[#This Row],[Resultado]]&gt;0,0,TbTradesBinance[[#This Row],[Taxa]]),0),0))</f>
        <v>0.19365209596473676</v>
      </c>
      <c r="V17" s="145">
        <f t="shared" si="3"/>
        <v>6.7537852861752317</v>
      </c>
      <c r="W1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Row],[Tipo]]="DROP"),W16+TbTradesBinance[[#This Row],[Qtt]],W16-TbTradesBinance[[#This Row],[Qtt]]),IF(TbTradesBinance[[#This Row],[Tipo]]="BUY",W16-TbTradesBinance[[#This Row],[Qtt]]*TbTradesBinance[[#This Row],[Preço]],W16+TbTradesBinance[[#This Row],[Qtt]]*TbTradesBinance[[#This Row],[Preço]])),W16)-IF(TbTradesBinance[[#This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Row],[Tipo]]="DROP"),W16+TbTradesBinance[[#This Row],[Qtt]],W16-TbTradesBinance[[#This Row],[Qtt]]),IF(TbTradesBinance[[#This Row],[Tipo]]="BUY",W16-TbTradesBinance[[#This Row],[Qtt]]*TbTradesBinance[[#This Row],[Preço]],W16+TbTradesBinance[[#This Row],[Qtt]]*TbTradesBinance[[#This Row],[Preço]])),W16)-IF(TbTradesBinance[[#This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Row],[Tipo]]="DROP"),W16+TbTradesBinance[[#This Row],[Qtt]],W16-TbTradesBinance[[#This Row],[Qtt]]),IF(TbTradesBinance[[#This Row],[Tipo]]="BUY",W16-TbTradesBinance[[#This Row],[Qtt]]*TbTradesBinance[[#This Row],[Preço]],W16+TbTradesBinance[[#This Row],[Qtt]]*TbTradesBinance[[#This Row],[Preço]])),W16)-IF(TbTradesBinance[[#This Row],[Moeda da Taxa]]=MID(W$1,9,5),TbTradesBinance[[#This Row],[Taxa]],0),8)))</f>
        <v>4.9999999999999998E-7</v>
      </c>
      <c r="X17" s="145" cm="1">
        <f t="array" ref="X17">IF(TbTradesBinance[[#This Row],[Tipo]]="EMPTY",0,X16+IF(TbTradesBinance[[#This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Row],[Par]]))),$1:$1,0)),-(W16-W17)/W16*X16),0),0)+IF(TbTradesBinance[[#This Row],[Tipo]]="SELL",IF(ISNUMBER(FIND(MID(X$1,10,5),TbTradesBinance[[#This Row],[Par]])),IF(FIND(MID(X$1,10,5),TbTradesBinance[[#This Row],[Par]])=1, -(W16-W17)/W16*X16,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Row],[Par]])),(-(W16-W17)/W16*X16)+IF(TbTradesBinance[[#This Row],[Resultado]]&gt;0,0,TbTradesBinance[[#This Row],[Taxa]]),0),0))</f>
        <v>0.13220876070020182</v>
      </c>
      <c r="Y17" s="145">
        <f t="shared" si="4"/>
        <v>264417.52140040364</v>
      </c>
      <c r="Z1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Row],[Tipo]]="DROP"),Z16+TbTradesBinance[[#This Row],[Qtt]],Z16-TbTradesBinance[[#This Row],[Qtt]]),IF(TbTradesBinance[[#This Row],[Tipo]]="BUY",Z16-TbTradesBinance[[#This Row],[Qtt]]*TbTradesBinance[[#This Row],[Preço]],Z16+TbTradesBinance[[#This Row],[Qtt]]*TbTradesBinance[[#This Row],[Preço]])),Z16)-IF(TbTradesBinance[[#This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Row],[Tipo]]="DROP"),Z16+TbTradesBinance[[#This Row],[Qtt]],Z16-TbTradesBinance[[#This Row],[Qtt]]),IF(TbTradesBinance[[#This Row],[Tipo]]="BUY",Z16-TbTradesBinance[[#This Row],[Qtt]]*TbTradesBinance[[#This Row],[Preço]],Z16+TbTradesBinance[[#This Row],[Qtt]]*TbTradesBinance[[#This Row],[Preço]])),Z16)-IF(TbTradesBinance[[#This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Row],[Tipo]]="DROP"),Z16+TbTradesBinance[[#This Row],[Qtt]],Z16-TbTradesBinance[[#This Row],[Qtt]]),IF(TbTradesBinance[[#This Row],[Tipo]]="BUY",Z16-TbTradesBinance[[#This Row],[Qtt]]*TbTradesBinance[[#This Row],[Preço]],Z16+TbTradesBinance[[#This Row],[Qtt]]*TbTradesBinance[[#This Row],[Preço]])),Z16)-IF(TbTradesBinance[[#This Row],[Moeda da Taxa]]=MID(Z$1,9,5),TbTradesBinance[[#This Row],[Taxa]],0),8)))</f>
        <v>0</v>
      </c>
      <c r="AA17" s="145" cm="1">
        <f t="array" ref="AA17">IF(TbTradesBinance[[#This Row],[Tipo]]="EMPTY",0,AA16+IF(TbTradesBinance[[#This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Row],[Par]]))),$1:$1,0)),-(Z16-Z17)/Z16*AA16),0),0)+IF(TbTradesBinance[[#This Row],[Tipo]]="SELL",IF(ISNUMBER(FIND(MID(AA$1,10,5),TbTradesBinance[[#This Row],[Par]])),IF(FIND(MID(AA$1,10,5),TbTradesBinance[[#This Row],[Par]])=1, -(Z16-Z17)/Z16*AA16,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Row],[Par]])),(-(Z16-Z17)/Z16*AA16)+IF(TbTradesBinance[[#This Row],[Resultado]]&gt;0,0,TbTradesBinance[[#This Row],[Taxa]]),0),0))</f>
        <v>0</v>
      </c>
      <c r="AB17" s="145">
        <f t="shared" si="5"/>
        <v>0</v>
      </c>
      <c r="AC1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Row],[Tipo]]="DROP"),AC16+TbTradesBinance[[#This Row],[Qtt]],AC16-TbTradesBinance[[#This Row],[Qtt]]),IF(TbTradesBinance[[#This Row],[Tipo]]="BUY",AC16-TbTradesBinance[[#This Row],[Qtt]]*TbTradesBinance[[#This Row],[Preço]],AC16+TbTradesBinance[[#This Row],[Qtt]]*TbTradesBinance[[#This Row],[Preço]])),AC16)-IF(TbTradesBinance[[#This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Row],[Tipo]]="DROP"),AC16+TbTradesBinance[[#This Row],[Qtt]],AC16-TbTradesBinance[[#This Row],[Qtt]]),IF(TbTradesBinance[[#This Row],[Tipo]]="BUY",AC16-TbTradesBinance[[#This Row],[Qtt]]*TbTradesBinance[[#This Row],[Preço]],AC16+TbTradesBinance[[#This Row],[Qtt]]*TbTradesBinance[[#This Row],[Preço]])),AC16)-IF(TbTradesBinance[[#This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Row],[Tipo]]="DROP"),AC16+TbTradesBinance[[#This Row],[Qtt]],AC16-TbTradesBinance[[#This Row],[Qtt]]),IF(TbTradesBinance[[#This Row],[Tipo]]="BUY",AC16-TbTradesBinance[[#This Row],[Qtt]]*TbTradesBinance[[#This Row],[Preço]],AC16+TbTradesBinance[[#This Row],[Qtt]]*TbTradesBinance[[#This Row],[Preço]])),AC16)-IF(TbTradesBinance[[#This Row],[Moeda da Taxa]]=MID(AC$1,9,5),TbTradesBinance[[#This Row],[Taxa]],0),8)))</f>
        <v>0</v>
      </c>
      <c r="AD17" s="145" cm="1">
        <f t="array" ref="AD17">IF(TbTradesBinance[[#This Row],[Tipo]]="EMPTY",0,AD16+IF(TbTradesBinance[[#This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Row],[Par]]))),$1:$1,0)),-(AC16-AC17)/AC16*AD16),0),0)+IF(TbTradesBinance[[#This Row],[Tipo]]="SELL",IF(ISNUMBER(FIND(MID(AD$1,10,5),TbTradesBinance[[#This Row],[Par]])),IF(FIND(MID(AD$1,10,5),TbTradesBinance[[#This Row],[Par]])=1, -(AC16-AC17)/AC16*AD16,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Row],[Par]])),(-(AC16-AC17)/AC16*AD16)+IF(TbTradesBinance[[#This Row],[Resultado]]&gt;0,0,TbTradesBinance[[#This Row],[Taxa]]),0),0))</f>
        <v>0</v>
      </c>
      <c r="AE17" s="145">
        <f t="shared" si="6"/>
        <v>0</v>
      </c>
      <c r="AF1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Row],[Tipo]]="DROP"),AF16+TbTradesBinance[[#This Row],[Qtt]],AF16-TbTradesBinance[[#This Row],[Qtt]]),IF(TbTradesBinance[[#This Row],[Tipo]]="BUY",AF16-TbTradesBinance[[#This Row],[Qtt]]*TbTradesBinance[[#This Row],[Preço]],AF16+TbTradesBinance[[#This Row],[Qtt]]*TbTradesBinance[[#This Row],[Preço]])),AF16)-IF(TbTradesBinance[[#This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Row],[Tipo]]="DROP"),AF16+TbTradesBinance[[#This Row],[Qtt]],AF16-TbTradesBinance[[#This Row],[Qtt]]),IF(TbTradesBinance[[#This Row],[Tipo]]="BUY",AF16-TbTradesBinance[[#This Row],[Qtt]]*TbTradesBinance[[#This Row],[Preço]],AF16+TbTradesBinance[[#This Row],[Qtt]]*TbTradesBinance[[#This Row],[Preço]])),AF16)-IF(TbTradesBinance[[#This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Row],[Tipo]]="DROP"),AF16+TbTradesBinance[[#This Row],[Qtt]],AF16-TbTradesBinance[[#This Row],[Qtt]]),IF(TbTradesBinance[[#This Row],[Tipo]]="BUY",AF16-TbTradesBinance[[#This Row],[Qtt]]*TbTradesBinance[[#This Row],[Preço]],AF16+TbTradesBinance[[#This Row],[Qtt]]*TbTradesBinance[[#This Row],[Preço]])),AF16)-IF(TbTradesBinance[[#This Row],[Moeda da Taxa]]=MID(AF$1,9,5),TbTradesBinance[[#This Row],[Taxa]],0),8)))</f>
        <v>0</v>
      </c>
      <c r="AG17" s="145" cm="1">
        <f t="array" ref="AG17">IF(TbTradesBinance[[#This Row],[Tipo]]="EMPTY",0,AG16+IF(TbTradesBinance[[#This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Row],[Par]]))),$1:$1,0)),-(AF16-AF17)/AF16*AG16),0),0)+IF(TbTradesBinance[[#This Row],[Tipo]]="SELL",IF(ISNUMBER(FIND(MID(AG$1,10,5),TbTradesBinance[[#This Row],[Par]])),IF(FIND(MID(AG$1,10,5),TbTradesBinance[[#This Row],[Par]])=1, -(AF16-AF17)/AF16*AG16,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Row],[Par]])),(-(AF16-AF17)/AF16*AG16)+IF(TbTradesBinance[[#This Row],[Resultado]]&gt;0,0,TbTradesBinance[[#This Row],[Taxa]]),0),0))</f>
        <v>0</v>
      </c>
      <c r="AH17" s="145">
        <f t="shared" si="7"/>
        <v>0</v>
      </c>
      <c r="AI1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Row],[Tipo]]="DROP"),AI16+TbTradesBinance[[#This Row],[Qtt]],AI16-TbTradesBinance[[#This Row],[Qtt]]),IF(TbTradesBinance[[#This Row],[Tipo]]="BUY",AI16-TbTradesBinance[[#This Row],[Qtt]]*TbTradesBinance[[#This Row],[Preço]],AI16+TbTradesBinance[[#This Row],[Qtt]]*TbTradesBinance[[#This Row],[Preço]])),AI16)-IF(TbTradesBinance[[#This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Row],[Tipo]]="DROP"),AI16+TbTradesBinance[[#This Row],[Qtt]],AI16-TbTradesBinance[[#This Row],[Qtt]]),IF(TbTradesBinance[[#This Row],[Tipo]]="BUY",AI16-TbTradesBinance[[#This Row],[Qtt]]*TbTradesBinance[[#This Row],[Preço]],AI16+TbTradesBinance[[#This Row],[Qtt]]*TbTradesBinance[[#This Row],[Preço]])),AI16)-IF(TbTradesBinance[[#This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Row],[Tipo]]="DROP"),AI16+TbTradesBinance[[#This Row],[Qtt]],AI16-TbTradesBinance[[#This Row],[Qtt]]),IF(TbTradesBinance[[#This Row],[Tipo]]="BUY",AI16-TbTradesBinance[[#This Row],[Qtt]]*TbTradesBinance[[#This Row],[Preço]],AI16+TbTradesBinance[[#This Row],[Qtt]]*TbTradesBinance[[#This Row],[Preço]])),AI16)-IF(TbTradesBinance[[#This Row],[Moeda da Taxa]]=MID(AI$1,9,5),TbTradesBinance[[#This Row],[Taxa]],0),8)))</f>
        <v>0</v>
      </c>
      <c r="AJ17" s="145" cm="1">
        <f t="array" ref="AJ17">IF(TbTradesBinance[[#This Row],[Tipo]]="EMPTY",0,AJ16+IF(TbTradesBinance[[#This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Row],[Par]]))),$1:$1,0)),-(AI16-AI17)/AI16*AJ16),0),0)+IF(TbTradesBinance[[#This Row],[Tipo]]="SELL",IF(ISNUMBER(FIND(MID(AJ$1,10,5),TbTradesBinance[[#This Row],[Par]])),IF(FIND(MID(AJ$1,10,5),TbTradesBinance[[#This Row],[Par]])=1, -(AI16-AI17)/AI16*AJ16,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Row],[Par]])),(-(AI16-AI17)/AI16*AJ16)+IF(TbTradesBinance[[#This Row],[Resultado]]&gt;0,0,TbTradesBinance[[#This Row],[Taxa]]),0),0))</f>
        <v>0</v>
      </c>
      <c r="AK17" s="145">
        <f t="shared" si="8"/>
        <v>0</v>
      </c>
      <c r="AL1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Row],[Tipo]]="DROP"),AL16+TbTradesBinance[[#This Row],[Qtt]],AL16-TbTradesBinance[[#This Row],[Qtt]]),IF(TbTradesBinance[[#This Row],[Tipo]]="BUY",AL16-TbTradesBinance[[#This Row],[Qtt]]*TbTradesBinance[[#This Row],[Preço]],AL16+TbTradesBinance[[#This Row],[Qtt]]*TbTradesBinance[[#This Row],[Preço]])),AL16)-IF(TbTradesBinance[[#This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Row],[Tipo]]="DROP"),AL16+TbTradesBinance[[#This Row],[Qtt]],AL16-TbTradesBinance[[#This Row],[Qtt]]),IF(TbTradesBinance[[#This Row],[Tipo]]="BUY",AL16-TbTradesBinance[[#This Row],[Qtt]]*TbTradesBinance[[#This Row],[Preço]],AL16+TbTradesBinance[[#This Row],[Qtt]]*TbTradesBinance[[#This Row],[Preço]])),AL16)-IF(TbTradesBinance[[#This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Row],[Tipo]]="DROP"),AL16+TbTradesBinance[[#This Row],[Qtt]],AL16-TbTradesBinance[[#This Row],[Qtt]]),IF(TbTradesBinance[[#This Row],[Tipo]]="BUY",AL16-TbTradesBinance[[#This Row],[Qtt]]*TbTradesBinance[[#This Row],[Preço]],AL16+TbTradesBinance[[#This Row],[Qtt]]*TbTradesBinance[[#This Row],[Preço]])),AL16)-IF(TbTradesBinance[[#This Row],[Moeda da Taxa]]=MID(AL$1,9,5),TbTradesBinance[[#This Row],[Taxa]],0),8)))</f>
        <v>0</v>
      </c>
      <c r="AM17" s="145" cm="1">
        <f t="array" ref="AM17">IF(TbTradesBinance[[#This Row],[Tipo]]="EMPTY",0,AM16+IF(TbTradesBinance[[#This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Row],[Par]]))),$1:$1,0)),-(AL16-AL17)/AL16*AM16),0),0)+IF(TbTradesBinance[[#This Row],[Tipo]]="SELL",IF(ISNUMBER(FIND(MID(AM$1,10,5),TbTradesBinance[[#This Row],[Par]])),IF(FIND(MID(AM$1,10,5),TbTradesBinance[[#This Row],[Par]])=1, -(AL16-AL17)/AL16*AM16,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Row],[Par]])),(-(AL16-AL17)/AL16*AM16)+IF(TbTradesBinance[[#This Row],[Resultado]]&gt;0,0,TbTradesBinance[[#This Row],[Taxa]]),0),0))</f>
        <v>0</v>
      </c>
      <c r="AN17" s="145">
        <f t="shared" si="9"/>
        <v>0</v>
      </c>
      <c r="AO1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Row],[Tipo]]="DROP"),AO16+TbTradesBinance[[#This Row],[Qtt]],AO16-TbTradesBinance[[#This Row],[Qtt]]),IF(TbTradesBinance[[#This Row],[Tipo]]="BUY",AO16-TbTradesBinance[[#This Row],[Qtt]]*TbTradesBinance[[#This Row],[Preço]],AO16+TbTradesBinance[[#This Row],[Qtt]]*TbTradesBinance[[#This Row],[Preço]])),AO16)-IF(TbTradesBinance[[#This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Row],[Tipo]]="DROP"),AO16+TbTradesBinance[[#This Row],[Qtt]],AO16-TbTradesBinance[[#This Row],[Qtt]]),IF(TbTradesBinance[[#This Row],[Tipo]]="BUY",AO16-TbTradesBinance[[#This Row],[Qtt]]*TbTradesBinance[[#This Row],[Preço]],AO16+TbTradesBinance[[#This Row],[Qtt]]*TbTradesBinance[[#This Row],[Preço]])),AO16)-IF(TbTradesBinance[[#This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Row],[Tipo]]="DROP"),AO16+TbTradesBinance[[#This Row],[Qtt]],AO16-TbTradesBinance[[#This Row],[Qtt]]),IF(TbTradesBinance[[#This Row],[Tipo]]="BUY",AO16-TbTradesBinance[[#This Row],[Qtt]]*TbTradesBinance[[#This Row],[Preço]],AO16+TbTradesBinance[[#This Row],[Qtt]]*TbTradesBinance[[#This Row],[Preço]])),AO16)-IF(TbTradesBinance[[#This Row],[Moeda da Taxa]]=MID(AO$1,9,5),TbTradesBinance[[#This Row],[Taxa]],0),8)))</f>
        <v>0</v>
      </c>
      <c r="AP17" s="145" cm="1">
        <f t="array" ref="AP17">IF(TbTradesBinance[[#This Row],[Tipo]]="EMPTY",0,AP16+IF(TbTradesBinance[[#This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Row],[Par]]))),$1:$1,0)),-(AO16-AO17)/AO16*AP16),0),0)+IF(TbTradesBinance[[#This Row],[Tipo]]="SELL",IF(ISNUMBER(FIND(MID(AP$1,10,5),TbTradesBinance[[#This Row],[Par]])),IF(FIND(MID(AP$1,10,5),TbTradesBinance[[#This Row],[Par]])=1, -(AO16-AO17)/AO16*AP16,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Row],[Par]])),(-(AO16-AO17)/AO16*AP16)+IF(TbTradesBinance[[#This Row],[Resultado]]&gt;0,0,TbTradesBinance[[#This Row],[Taxa]]),0),0))</f>
        <v>0</v>
      </c>
      <c r="AQ17" s="145">
        <f t="shared" si="10"/>
        <v>0</v>
      </c>
      <c r="AR1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Row],[Tipo]]="DROP"),AR16+TbTradesBinance[[#This Row],[Qtt]],AR16-TbTradesBinance[[#This Row],[Qtt]]),IF(TbTradesBinance[[#This Row],[Tipo]]="BUY",AR16-TbTradesBinance[[#This Row],[Qtt]]*TbTradesBinance[[#This Row],[Preço]],AR16+TbTradesBinance[[#This Row],[Qtt]]*TbTradesBinance[[#This Row],[Preço]])),AR16)-IF(TbTradesBinance[[#This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Row],[Tipo]]="DROP"),AR16+TbTradesBinance[[#This Row],[Qtt]],AR16-TbTradesBinance[[#This Row],[Qtt]]),IF(TbTradesBinance[[#This Row],[Tipo]]="BUY",AR16-TbTradesBinance[[#This Row],[Qtt]]*TbTradesBinance[[#This Row],[Preço]],AR16+TbTradesBinance[[#This Row],[Qtt]]*TbTradesBinance[[#This Row],[Preço]])),AR16)-IF(TbTradesBinance[[#This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Row],[Tipo]]="DROP"),AR16+TbTradesBinance[[#This Row],[Qtt]],AR16-TbTradesBinance[[#This Row],[Qtt]]),IF(TbTradesBinance[[#This Row],[Tipo]]="BUY",AR16-TbTradesBinance[[#This Row],[Qtt]]*TbTradesBinance[[#This Row],[Preço]],AR16+TbTradesBinance[[#This Row],[Qtt]]*TbTradesBinance[[#This Row],[Preço]])),AR16)-IF(TbTradesBinance[[#This Row],[Moeda da Taxa]]=MID(AR$1,9,5),TbTradesBinance[[#This Row],[Taxa]],0),8)))</f>
        <v>0</v>
      </c>
      <c r="AS17" s="145" cm="1">
        <f t="array" ref="AS17">IF(TbTradesBinance[[#This Row],[Tipo]]="EMPTY",0,AS16+IF(TbTradesBinance[[#This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Row],[Par]]))),$1:$1,0)),-(AR16-AR17)/AR16*AS16),0),0)+IF(TbTradesBinance[[#This Row],[Tipo]]="SELL",IF(ISNUMBER(FIND(MID(AS$1,10,5),TbTradesBinance[[#This Row],[Par]])),IF(FIND(MID(AS$1,10,5),TbTradesBinance[[#This Row],[Par]])=1, -(AR16-AR17)/AR16*AS16,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Row],[Par]])),(-(AR16-AR17)/AR16*AS16)+IF(TbTradesBinance[[#This Row],[Resultado]]&gt;0,0,TbTradesBinance[[#This Row],[Taxa]]),0),0))</f>
        <v>0</v>
      </c>
      <c r="AT17" s="145">
        <f t="shared" si="11"/>
        <v>0</v>
      </c>
      <c r="AU1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Row],[Tipo]]="DROP"),AU16+TbTradesBinance[[#This Row],[Qtt]],AU16-TbTradesBinance[[#This Row],[Qtt]]),IF(TbTradesBinance[[#This Row],[Tipo]]="BUY",AU16-TbTradesBinance[[#This Row],[Qtt]]*TbTradesBinance[[#This Row],[Preço]],AU16+TbTradesBinance[[#This Row],[Qtt]]*TbTradesBinance[[#This Row],[Preço]])),AU16)-IF(TbTradesBinance[[#This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Row],[Tipo]]="DROP"),AU16+TbTradesBinance[[#This Row],[Qtt]],AU16-TbTradesBinance[[#This Row],[Qtt]]),IF(TbTradesBinance[[#This Row],[Tipo]]="BUY",AU16-TbTradesBinance[[#This Row],[Qtt]]*TbTradesBinance[[#This Row],[Preço]],AU16+TbTradesBinance[[#This Row],[Qtt]]*TbTradesBinance[[#This Row],[Preço]])),AU16)-IF(TbTradesBinance[[#This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Row],[Tipo]]="DROP"),AU16+TbTradesBinance[[#This Row],[Qtt]],AU16-TbTradesBinance[[#This Row],[Qtt]]),IF(TbTradesBinance[[#This Row],[Tipo]]="BUY",AU16-TbTradesBinance[[#This Row],[Qtt]]*TbTradesBinance[[#This Row],[Preço]],AU16+TbTradesBinance[[#This Row],[Qtt]]*TbTradesBinance[[#This Row],[Preço]])),AU16)-IF(TbTradesBinance[[#This Row],[Moeda da Taxa]]=MID(AU$1,9,5),TbTradesBinance[[#This Row],[Taxa]],0),8)))</f>
        <v>0</v>
      </c>
      <c r="AV17" s="145" cm="1">
        <f t="array" ref="AV17">IF(TbTradesBinance[[#This Row],[Tipo]]="EMPTY",0,AV16+IF(TbTradesBinance[[#This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Row],[Par]]))),$1:$1,0)),-(AU16-AU17)/AU16*AV16),0),0)+IF(TbTradesBinance[[#This Row],[Tipo]]="SELL",IF(ISNUMBER(FIND(MID(AV$1,10,5),TbTradesBinance[[#This Row],[Par]])),IF(FIND(MID(AV$1,10,5),TbTradesBinance[[#This Row],[Par]])=1, -(AU16-AU17)/AU16*AV16,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Row],[Par]])),(-(AU16-AU17)/AU16*AV16)+IF(TbTradesBinance[[#This Row],[Resultado]]&gt;0,0,TbTradesBinance[[#This Row],[Taxa]]),0),0))</f>
        <v>0</v>
      </c>
      <c r="AW17" s="145">
        <f t="shared" si="12"/>
        <v>0</v>
      </c>
      <c r="AX1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Row],[Tipo]]="DROP"),AX16+TbTradesBinance[[#This Row],[Qtt]],AX16-TbTradesBinance[[#This Row],[Qtt]]),IF(TbTradesBinance[[#This Row],[Tipo]]="BUY",AX16-TbTradesBinance[[#This Row],[Qtt]]*TbTradesBinance[[#This Row],[Preço]],AX16+TbTradesBinance[[#This Row],[Qtt]]*TbTradesBinance[[#This Row],[Preço]])),AX16)-IF(TbTradesBinance[[#This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Row],[Tipo]]="DROP"),AX16+TbTradesBinance[[#This Row],[Qtt]],AX16-TbTradesBinance[[#This Row],[Qtt]]),IF(TbTradesBinance[[#This Row],[Tipo]]="BUY",AX16-TbTradesBinance[[#This Row],[Qtt]]*TbTradesBinance[[#This Row],[Preço]],AX16+TbTradesBinance[[#This Row],[Qtt]]*TbTradesBinance[[#This Row],[Preço]])),AX16)-IF(TbTradesBinance[[#This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Row],[Tipo]]="DROP"),AX16+TbTradesBinance[[#This Row],[Qtt]],AX16-TbTradesBinance[[#This Row],[Qtt]]),IF(TbTradesBinance[[#This Row],[Tipo]]="BUY",AX16-TbTradesBinance[[#This Row],[Qtt]]*TbTradesBinance[[#This Row],[Preço]],AX16+TbTradesBinance[[#This Row],[Qtt]]*TbTradesBinance[[#This Row],[Preço]])),AX16)-IF(TbTradesBinance[[#This Row],[Moeda da Taxa]]=MID(AX$1,9,5),TbTradesBinance[[#This Row],[Taxa]],0),8)))</f>
        <v>0</v>
      </c>
      <c r="AY17" s="145" cm="1">
        <f t="array" ref="AY17">IF(TbTradesBinance[[#This Row],[Tipo]]="EMPTY",0,AY16+IF(TbTradesBinance[[#This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Row],[Par]]))),$1:$1,0)),-(AX16-AX17)/AX16*AY16),0),0)+IF(TbTradesBinance[[#This Row],[Tipo]]="SELL",IF(ISNUMBER(FIND(MID(AY$1,10,5),TbTradesBinance[[#This Row],[Par]])),IF(FIND(MID(AY$1,10,5),TbTradesBinance[[#This Row],[Par]])=1, -(AX16-AX17)/AX16*AY16,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Row],[Par]])),(-(AX16-AX17)/AX16*AY16)+IF(TbTradesBinance[[#This Row],[Resultado]]&gt;0,0,TbTradesBinance[[#This Row],[Taxa]]),0),0))</f>
        <v>0</v>
      </c>
      <c r="AZ17" s="145">
        <f t="shared" si="13"/>
        <v>0</v>
      </c>
      <c r="BA1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Row],[Tipo]]="DROP"),BA16+TbTradesBinance[[#This Row],[Qtt]],BA16-TbTradesBinance[[#This Row],[Qtt]]),IF(TbTradesBinance[[#This Row],[Tipo]]="BUY",BA16-TbTradesBinance[[#This Row],[Qtt]]*TbTradesBinance[[#This Row],[Preço]],BA16+TbTradesBinance[[#This Row],[Qtt]]*TbTradesBinance[[#This Row],[Preço]])),BA16)-IF(TbTradesBinance[[#This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Row],[Tipo]]="DROP"),BA16+TbTradesBinance[[#This Row],[Qtt]],BA16-TbTradesBinance[[#This Row],[Qtt]]),IF(TbTradesBinance[[#This Row],[Tipo]]="BUY",BA16-TbTradesBinance[[#This Row],[Qtt]]*TbTradesBinance[[#This Row],[Preço]],BA16+TbTradesBinance[[#This Row],[Qtt]]*TbTradesBinance[[#This Row],[Preço]])),BA16)-IF(TbTradesBinance[[#This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Row],[Tipo]]="DROP"),BA16+TbTradesBinance[[#This Row],[Qtt]],BA16-TbTradesBinance[[#This Row],[Qtt]]),IF(TbTradesBinance[[#This Row],[Tipo]]="BUY",BA16-TbTradesBinance[[#This Row],[Qtt]]*TbTradesBinance[[#This Row],[Preço]],BA16+TbTradesBinance[[#This Row],[Qtt]]*TbTradesBinance[[#This Row],[Preço]])),BA16)-IF(TbTradesBinance[[#This Row],[Moeda da Taxa]]=MID(BA$1,9,5),TbTradesBinance[[#This Row],[Taxa]],0),8)))</f>
        <v>0</v>
      </c>
      <c r="BB17" s="145" cm="1">
        <f t="array" ref="BB17">IF(TbTradesBinance[[#This Row],[Tipo]]="EMPTY",0,BB16+IF(TbTradesBinance[[#This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Row],[Par]]))),$1:$1,0)),-(BA16-BA17)/BA16*BB16),0),0)+IF(TbTradesBinance[[#This Row],[Tipo]]="SELL",IF(ISNUMBER(FIND(MID(BB$1,10,5),TbTradesBinance[[#This Row],[Par]])),IF(FIND(MID(BB$1,10,5),TbTradesBinance[[#This Row],[Par]])=1, -(BA16-BA17)/BA16*BB16,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Row],[Par]])),(-(BA16-BA17)/BA16*BB16)+IF(TbTradesBinance[[#This Row],[Resultado]]&gt;0,0,TbTradesBinance[[#This Row],[Taxa]]),0),0))</f>
        <v>0</v>
      </c>
      <c r="BC17" s="145">
        <f t="shared" si="14"/>
        <v>0</v>
      </c>
      <c r="BD1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Row],[Tipo]]="DROP"),BD16+TbTradesBinance[[#This Row],[Qtt]],BD16-TbTradesBinance[[#This Row],[Qtt]]),IF(TbTradesBinance[[#This Row],[Tipo]]="BUY",BD16-TbTradesBinance[[#This Row],[Qtt]]*TbTradesBinance[[#This Row],[Preço]],BD16+TbTradesBinance[[#This Row],[Qtt]]*TbTradesBinance[[#This Row],[Preço]])),BD16)-IF(TbTradesBinance[[#This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Row],[Tipo]]="DROP"),BD16+TbTradesBinance[[#This Row],[Qtt]],BD16-TbTradesBinance[[#This Row],[Qtt]]),IF(TbTradesBinance[[#This Row],[Tipo]]="BUY",BD16-TbTradesBinance[[#This Row],[Qtt]]*TbTradesBinance[[#This Row],[Preço]],BD16+TbTradesBinance[[#This Row],[Qtt]]*TbTradesBinance[[#This Row],[Preço]])),BD16)-IF(TbTradesBinance[[#This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Row],[Tipo]]="DROP"),BD16+TbTradesBinance[[#This Row],[Qtt]],BD16-TbTradesBinance[[#This Row],[Qtt]]),IF(TbTradesBinance[[#This Row],[Tipo]]="BUY",BD16-TbTradesBinance[[#This Row],[Qtt]]*TbTradesBinance[[#This Row],[Preço]],BD16+TbTradesBinance[[#This Row],[Qtt]]*TbTradesBinance[[#This Row],[Preço]])),BD16)-IF(TbTradesBinance[[#This Row],[Moeda da Taxa]]=MID(BD$1,9,5),TbTradesBinance[[#This Row],[Taxa]],0),8)))</f>
        <v>0</v>
      </c>
      <c r="BE17" s="145" cm="1">
        <f t="array" ref="BE17">IF(TbTradesBinance[[#This Row],[Tipo]]="EMPTY",0,BE16+IF(TbTradesBinance[[#This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Row],[Par]]))),$1:$1,0)),-(BD16-BD17)/BD16*BE16),0),0)+IF(TbTradesBinance[[#This Row],[Tipo]]="SELL",IF(ISNUMBER(FIND(MID(BE$1,10,5),TbTradesBinance[[#This Row],[Par]])),IF(FIND(MID(BE$1,10,5),TbTradesBinance[[#This Row],[Par]])=1, -(BD16-BD17)/BD16*BE16,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Row],[Par]])),(-(BD16-BD17)/BD16*BE16)+IF(TbTradesBinance[[#This Row],[Resultado]]&gt;0,0,TbTradesBinance[[#This Row],[Taxa]]),0),0))</f>
        <v>0</v>
      </c>
      <c r="BF17" s="145">
        <f t="shared" si="15"/>
        <v>0</v>
      </c>
      <c r="BG1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Row],[Tipo]]="DROP"),BG16+TbTradesBinance[[#This Row],[Qtt]],BG16-TbTradesBinance[[#This Row],[Qtt]]),IF(TbTradesBinance[[#This Row],[Tipo]]="BUY",BG16-TbTradesBinance[[#This Row],[Qtt]]*TbTradesBinance[[#This Row],[Preço]],BG16+TbTradesBinance[[#This Row],[Qtt]]*TbTradesBinance[[#This Row],[Preço]])),BG16)-IF(TbTradesBinance[[#This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Row],[Tipo]]="DROP"),BG16+TbTradesBinance[[#This Row],[Qtt]],BG16-TbTradesBinance[[#This Row],[Qtt]]),IF(TbTradesBinance[[#This Row],[Tipo]]="BUY",BG16-TbTradesBinance[[#This Row],[Qtt]]*TbTradesBinance[[#This Row],[Preço]],BG16+TbTradesBinance[[#This Row],[Qtt]]*TbTradesBinance[[#This Row],[Preço]])),BG16)-IF(TbTradesBinance[[#This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Row],[Tipo]]="DROP"),BG16+TbTradesBinance[[#This Row],[Qtt]],BG16-TbTradesBinance[[#This Row],[Qtt]]),IF(TbTradesBinance[[#This Row],[Tipo]]="BUY",BG16-TbTradesBinance[[#This Row],[Qtt]]*TbTradesBinance[[#This Row],[Preço]],BG16+TbTradesBinance[[#This Row],[Qtt]]*TbTradesBinance[[#This Row],[Preço]])),BG16)-IF(TbTradesBinance[[#This Row],[Moeda da Taxa]]=MID(BG$1,9,5),TbTradesBinance[[#This Row],[Taxa]],0),8)))</f>
        <v>0</v>
      </c>
      <c r="BH17" s="145" cm="1">
        <f t="array" ref="BH17">IF(TbTradesBinance[[#This Row],[Tipo]]="EMPTY",0,BH16+IF(TbTradesBinance[[#This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Row],[Par]]))),$1:$1,0)),-(BG16-BG17)/BG16*BH16),0),0)+IF(TbTradesBinance[[#This Row],[Tipo]]="SELL",IF(ISNUMBER(FIND(MID(BH$1,10,5),TbTradesBinance[[#This Row],[Par]])),IF(FIND(MID(BH$1,10,5),TbTradesBinance[[#This Row],[Par]])=1, -(BG16-BG17)/BG16*BH16,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Row],[Par]])),(-(BG16-BG17)/BG16*BH16)+IF(TbTradesBinance[[#This Row],[Resultado]]&gt;0,0,TbTradesBinance[[#This Row],[Taxa]]),0),0))</f>
        <v>0</v>
      </c>
      <c r="BI17" s="145">
        <f t="shared" si="16"/>
        <v>0</v>
      </c>
      <c r="BJ1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Row],[Tipo]]="DROP"),BJ16+TbTradesBinance[[#This Row],[Qtt]],BJ16-TbTradesBinance[[#This Row],[Qtt]]),IF(TbTradesBinance[[#This Row],[Tipo]]="BUY",BJ16-TbTradesBinance[[#This Row],[Qtt]]*TbTradesBinance[[#This Row],[Preço]],BJ16+TbTradesBinance[[#This Row],[Qtt]]*TbTradesBinance[[#This Row],[Preço]])),BJ16)-IF(TbTradesBinance[[#This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Row],[Tipo]]="DROP"),BJ16+TbTradesBinance[[#This Row],[Qtt]],BJ16-TbTradesBinance[[#This Row],[Qtt]]),IF(TbTradesBinance[[#This Row],[Tipo]]="BUY",BJ16-TbTradesBinance[[#This Row],[Qtt]]*TbTradesBinance[[#This Row],[Preço]],BJ16+TbTradesBinance[[#This Row],[Qtt]]*TbTradesBinance[[#This Row],[Preço]])),BJ16)-IF(TbTradesBinance[[#This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Row],[Tipo]]="DROP"),BJ16+TbTradesBinance[[#This Row],[Qtt]],BJ16-TbTradesBinance[[#This Row],[Qtt]]),IF(TbTradesBinance[[#This Row],[Tipo]]="BUY",BJ16-TbTradesBinance[[#This Row],[Qtt]]*TbTradesBinance[[#This Row],[Preço]],BJ16+TbTradesBinance[[#This Row],[Qtt]]*TbTradesBinance[[#This Row],[Preço]])),BJ16)-IF(TbTradesBinance[[#This Row],[Moeda da Taxa]]=MID(BJ$1,9,5),TbTradesBinance[[#This Row],[Taxa]],0),8)))</f>
        <v>0</v>
      </c>
      <c r="BK17" s="145" cm="1">
        <f t="array" ref="BK17">IF(TbTradesBinance[[#This Row],[Tipo]]="EMPTY",0,BK16+IF(TbTradesBinance[[#This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Row],[Par]]))),$1:$1,0)),-(BJ16-BJ17)/BJ16*BK16),0),0)+IF(TbTradesBinance[[#This Row],[Tipo]]="SELL",IF(ISNUMBER(FIND(MID(BK$1,10,5),TbTradesBinance[[#This Row],[Par]])),IF(FIND(MID(BK$1,10,5),TbTradesBinance[[#This Row],[Par]])=1, -(BJ16-BJ17)/BJ16*BK16,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Row],[Par]])),(-(BJ16-BJ17)/BJ16*BK16)+IF(TbTradesBinance[[#This Row],[Resultado]]&gt;0,0,TbTradesBinance[[#This Row],[Taxa]]),0),0))</f>
        <v>0</v>
      </c>
      <c r="BL17" s="145">
        <f t="shared" si="17"/>
        <v>0</v>
      </c>
      <c r="BM1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Row],[Tipo]]="DROP"),BM16+TbTradesBinance[[#This Row],[Qtt]],BM16-TbTradesBinance[[#This Row],[Qtt]]),IF(TbTradesBinance[[#This Row],[Tipo]]="BUY",BM16-TbTradesBinance[[#This Row],[Qtt]]*TbTradesBinance[[#This Row],[Preço]],BM16+TbTradesBinance[[#This Row],[Qtt]]*TbTradesBinance[[#This Row],[Preço]])),BM16)-IF(TbTradesBinance[[#This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Row],[Tipo]]="DROP"),BM16+TbTradesBinance[[#This Row],[Qtt]],BM16-TbTradesBinance[[#This Row],[Qtt]]),IF(TbTradesBinance[[#This Row],[Tipo]]="BUY",BM16-TbTradesBinance[[#This Row],[Qtt]]*TbTradesBinance[[#This Row],[Preço]],BM16+TbTradesBinance[[#This Row],[Qtt]]*TbTradesBinance[[#This Row],[Preço]])),BM16)-IF(TbTradesBinance[[#This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Row],[Tipo]]="DROP"),BM16+TbTradesBinance[[#This Row],[Qtt]],BM16-TbTradesBinance[[#This Row],[Qtt]]),IF(TbTradesBinance[[#This Row],[Tipo]]="BUY",BM16-TbTradesBinance[[#This Row],[Qtt]]*TbTradesBinance[[#This Row],[Preço]],BM16+TbTradesBinance[[#This Row],[Qtt]]*TbTradesBinance[[#This Row],[Preço]])),BM16)-IF(TbTradesBinance[[#This Row],[Moeda da Taxa]]=MID(BM$1,9,5),TbTradesBinance[[#This Row],[Taxa]],0),8)))</f>
        <v>0</v>
      </c>
      <c r="BN17" s="145" cm="1">
        <f t="array" ref="BN17">IF(TbTradesBinance[[#This Row],[Tipo]]="EMPTY",0,BN16+IF(TbTradesBinance[[#This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Row],[Par]]))),$1:$1,0)),-(BM16-BM17)/BM16*BN16),0),0)+IF(TbTradesBinance[[#This Row],[Tipo]]="SELL",IF(ISNUMBER(FIND(MID(BN$1,10,5),TbTradesBinance[[#This Row],[Par]])),IF(FIND(MID(BN$1,10,5),TbTradesBinance[[#This Row],[Par]])=1, -(BM16-BM17)/BM16*BN16,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Row],[Par]])),(-(BM16-BM17)/BM16*BN16)+IF(TbTradesBinance[[#This Row],[Resultado]]&gt;0,0,TbTradesBinance[[#This Row],[Taxa]]),0),0))</f>
        <v>0</v>
      </c>
      <c r="BO17" s="145">
        <f t="shared" si="18"/>
        <v>0</v>
      </c>
    </row>
    <row r="18" spans="2:67" x14ac:dyDescent="0.3">
      <c r="B18" s="51"/>
      <c r="C18" s="40">
        <f>TRUNC(IF(AND(TbTradesBinance[[#This Row],[Tipo]]="SEND",TbTradesBinance[[#This Row],[Par]]="BRL"),TbTradesBinance[[#This Row],[Qtt]]*(1-P16)-IF(TbTradesBinance[[#This Row],[Moeda da Taxa]]="BRL",TbTradesBinance[[#This Row],[Taxa]],0),0)+IF(AND(TbTradesBinance[[#This Row],[Tipo]]="BURN",TbTradesBinance[[#This Row],[Par]]="BRL"),-TbTradesBinance[[#This Row],[Qtt]]*P16,0),2)</f>
        <v>0</v>
      </c>
      <c r="D18" s="53">
        <v>44250.889606481483</v>
      </c>
      <c r="E18" s="37" t="s">
        <v>138</v>
      </c>
      <c r="F18" s="47" t="s">
        <v>139</v>
      </c>
      <c r="G18" s="38">
        <v>265074</v>
      </c>
      <c r="H18" s="38">
        <v>1.63E-4</v>
      </c>
      <c r="I18" s="38">
        <v>0</v>
      </c>
      <c r="J18" s="37" t="s">
        <v>6</v>
      </c>
      <c r="K18" s="52">
        <v>1</v>
      </c>
      <c r="L18" s="40">
        <f t="shared" si="0"/>
        <v>265074</v>
      </c>
      <c r="M18" s="40">
        <f>IF(OR(TbTradesBinance[[#This Row],[Tipo]]="BUY",TbTradesBinance[[#This Row],[Tipo]]="RECEIVE",TbTradesBinance[[#This Row],[Tipo]]="DROP"),L18*H18,-L18*H18)</f>
        <v>43.207062000000001</v>
      </c>
      <c r="N1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Row],[Tipo]]="DROP"),N17+TbTradesBinance[[#This Row],[Qtt]],N17-TbTradesBinance[[#This Row],[Qtt]]),IF(TbTradesBinance[[#This Row],[Tipo]]="BUY",N17-TbTradesBinance[[#This Row],[Qtt]]*TbTradesBinance[[#This Row],[Preço]],N17+TbTradesBinance[[#This Row],[Qtt]]*TbTradesBinance[[#This Row],[Preço]])),N17)-IF(TbTradesBinance[[#This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Row],[Tipo]]="DROP"),N17+TbTradesBinance[[#This Row],[Qtt]],N17-TbTradesBinance[[#This Row],[Qtt]]),IF(TbTradesBinance[[#This Row],[Tipo]]="BUY",N17-TbTradesBinance[[#This Row],[Qtt]]*TbTradesBinance[[#This Row],[Preço]],N17+TbTradesBinance[[#This Row],[Qtt]]*TbTradesBinance[[#This Row],[Preço]])),N17)-IF(TbTradesBinance[[#This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Row],[Tipo]]="DROP"),N17+TbTradesBinance[[#This Row],[Qtt]],N17-TbTradesBinance[[#This Row],[Qtt]]),IF(TbTradesBinance[[#This Row],[Tipo]]="BUY",N17-TbTradesBinance[[#This Row],[Qtt]]*TbTradesBinance[[#This Row],[Preço]],N17+TbTradesBinance[[#This Row],[Qtt]]*TbTradesBinance[[#This Row],[Preço]])),N17)-IF(TbTradesBinance[[#This Row],[Moeda da Taxa]]=MID(N$1,9,5),TbTradesBinance[[#This Row],[Taxa]],0),8)))</f>
        <v>20000.719357900001</v>
      </c>
      <c r="O18" s="145" cm="1">
        <f t="array" ref="O18">IF(TbTradesBinance[[#This Row],[Tipo]]="EMPTY",0,O17+IF(TbTradesBinance[[#This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Row],[Par]]))),$1:$1,0)),-(N17-N18)/N17*O17),0),0)+IF(TbTradesBinance[[#This Row],[Tipo]]="SELL",IF(ISNUMBER(FIND(MID(O$1,10,5),TbTradesBinance[[#This Row],[Par]])),IF(FIND(MID(O$1,10,5),TbTradesBinance[[#This Row],[Par]])=1, -(N17-N18)/N17*O17,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Row],[Par]])),(-(N17-N18)/N17*O17)+IF(TbTradesBinance[[#This Row],[Resultado]]&gt;0,0,TbTradesBinance[[#This Row],[Taxa]]),0),0))</f>
        <v>19956.562468185904</v>
      </c>
      <c r="P18" s="145">
        <f t="shared" si="1"/>
        <v>0.99779223492295765</v>
      </c>
      <c r="Q1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Row],[Tipo]]="DROP"),Q17+TbTradesBinance[[#This Row],[Qtt]],Q17-TbTradesBinance[[#This Row],[Qtt]]),IF(TbTradesBinance[[#This Row],[Tipo]]="BUY",Q17-TbTradesBinance[[#This Row],[Qtt]]*TbTradesBinance[[#This Row],[Preço]],Q17+TbTradesBinance[[#This Row],[Qtt]]*TbTradesBinance[[#This Row],[Preço]])),Q17)-IF(TbTradesBinance[[#This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Row],[Tipo]]="DROP"),Q17+TbTradesBinance[[#This Row],[Qtt]],Q17-TbTradesBinance[[#This Row],[Qtt]]),IF(TbTradesBinance[[#This Row],[Tipo]]="BUY",Q17-TbTradesBinance[[#This Row],[Qtt]]*TbTradesBinance[[#This Row],[Preço]],Q17+TbTradesBinance[[#This Row],[Qtt]]*TbTradesBinance[[#This Row],[Preço]])),Q17)-IF(TbTradesBinance[[#This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Row],[Tipo]]="DROP"),Q17+TbTradesBinance[[#This Row],[Qtt]],Q17-TbTradesBinance[[#This Row],[Qtt]]),IF(TbTradesBinance[[#This Row],[Tipo]]="BUY",Q17-TbTradesBinance[[#This Row],[Qtt]]*TbTradesBinance[[#This Row],[Preço]],Q17+TbTradesBinance[[#This Row],[Qtt]]*TbTradesBinance[[#This Row],[Preço]])),Q17)-IF(TbTradesBinance[[#This Row],[Moeda da Taxa]]=MID(Q$1,9,5),TbTradesBinance[[#This Row],[Taxa]],0),8)))</f>
        <v>0</v>
      </c>
      <c r="R18" s="145" cm="1">
        <f t="array" ref="R18">IF(TbTradesBinance[[#This Row],[Tipo]]="EMPTY",0,R17+IF(TbTradesBinance[[#This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Row],[Par]]))),$1:$1,0)),-(Q17-Q18)/Q17*R17),0),0)+IF(TbTradesBinance[[#This Row],[Tipo]]="SELL",IF(ISNUMBER(FIND(MID(R$1,10,5),TbTradesBinance[[#This Row],[Par]])),IF(FIND(MID(R$1,10,5),TbTradesBinance[[#This Row],[Par]])=1, -(Q17-Q18)/Q17*R17,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Row],[Par]])),(-(Q17-Q18)/Q17*R17)+IF(TbTradesBinance[[#This Row],[Resultado]]&gt;0,0,TbTradesBinance[[#This Row],[Taxa]]),0),0))</f>
        <v>0</v>
      </c>
      <c r="S18" s="145">
        <f t="shared" si="2"/>
        <v>0</v>
      </c>
      <c r="T1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Row],[Tipo]]="DROP"),T17+TbTradesBinance[[#This Row],[Qtt]],T17-TbTradesBinance[[#This Row],[Qtt]]),IF(TbTradesBinance[[#This Row],[Tipo]]="BUY",T17-TbTradesBinance[[#This Row],[Qtt]]*TbTradesBinance[[#This Row],[Preço]],T17+TbTradesBinance[[#This Row],[Qtt]]*TbTradesBinance[[#This Row],[Preço]])),T17)-IF(TbTradesBinance[[#This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Row],[Tipo]]="DROP"),T17+TbTradesBinance[[#This Row],[Qtt]],T17-TbTradesBinance[[#This Row],[Qtt]]),IF(TbTradesBinance[[#This Row],[Tipo]]="BUY",T17-TbTradesBinance[[#This Row],[Qtt]]*TbTradesBinance[[#This Row],[Preço]],T17+TbTradesBinance[[#This Row],[Qtt]]*TbTradesBinance[[#This Row],[Preço]])),T17)-IF(TbTradesBinance[[#This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Row],[Tipo]]="DROP"),T17+TbTradesBinance[[#This Row],[Qtt]],T17-TbTradesBinance[[#This Row],[Qtt]]),IF(TbTradesBinance[[#This Row],[Tipo]]="BUY",T17-TbTradesBinance[[#This Row],[Qtt]]*TbTradesBinance[[#This Row],[Preço]],T17+TbTradesBinance[[#This Row],[Qtt]]*TbTradesBinance[[#This Row],[Preço]])),T17)-IF(TbTradesBinance[[#This Row],[Moeda da Taxa]]=MID(T$1,9,5),TbTradesBinance[[#This Row],[Taxa]],0),8)))</f>
        <v>2.867312E-2</v>
      </c>
      <c r="U18" s="145" cm="1">
        <f t="array" ref="U18">IF(TbTradesBinance[[#This Row],[Tipo]]="EMPTY",0,U17+IF(TbTradesBinance[[#This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Row],[Par]]))),$1:$1,0)),-(T17-T18)/T17*U17),0),0)+IF(TbTradesBinance[[#This Row],[Tipo]]="SELL",IF(ISNUMBER(FIND(MID(U$1,10,5),TbTradesBinance[[#This Row],[Par]])),IF(FIND(MID(U$1,10,5),TbTradesBinance[[#This Row],[Par]])=1, -(T17-T18)/T17*U17,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Row],[Par]])),(-(T17-T18)/T17*U17)+IF(TbTradesBinance[[#This Row],[Resultado]]&gt;0,0,TbTradesBinance[[#This Row],[Taxa]]),0),0))</f>
        <v>0.19365209596473676</v>
      </c>
      <c r="V18" s="145">
        <f t="shared" si="3"/>
        <v>6.7537852861752317</v>
      </c>
      <c r="W1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Row],[Tipo]]="DROP"),W17+TbTradesBinance[[#This Row],[Qtt]],W17-TbTradesBinance[[#This Row],[Qtt]]),IF(TbTradesBinance[[#This Row],[Tipo]]="BUY",W17-TbTradesBinance[[#This Row],[Qtt]]*TbTradesBinance[[#This Row],[Preço]],W17+TbTradesBinance[[#This Row],[Qtt]]*TbTradesBinance[[#This Row],[Preço]])),W17)-IF(TbTradesBinance[[#This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Row],[Tipo]]="DROP"),W17+TbTradesBinance[[#This Row],[Qtt]],W17-TbTradesBinance[[#This Row],[Qtt]]),IF(TbTradesBinance[[#This Row],[Tipo]]="BUY",W17-TbTradesBinance[[#This Row],[Qtt]]*TbTradesBinance[[#This Row],[Preço]],W17+TbTradesBinance[[#This Row],[Qtt]]*TbTradesBinance[[#This Row],[Preço]])),W17)-IF(TbTradesBinance[[#This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Row],[Tipo]]="DROP"),W17+TbTradesBinance[[#This Row],[Qtt]],W17-TbTradesBinance[[#This Row],[Qtt]]),IF(TbTradesBinance[[#This Row],[Tipo]]="BUY",W17-TbTradesBinance[[#This Row],[Qtt]]*TbTradesBinance[[#This Row],[Preço]],W17+TbTradesBinance[[#This Row],[Qtt]]*TbTradesBinance[[#This Row],[Preço]])),W17)-IF(TbTradesBinance[[#This Row],[Moeda da Taxa]]=MID(W$1,9,5),TbTradesBinance[[#This Row],[Taxa]],0),8)))</f>
        <v>1.6349999999999999E-4</v>
      </c>
      <c r="X18" s="145" cm="1">
        <f t="array" ref="X18">IF(TbTradesBinance[[#This Row],[Tipo]]="EMPTY",0,X17+IF(TbTradesBinance[[#This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Row],[Par]]))),$1:$1,0)),-(W17-W18)/W17*X17),0),0)+IF(TbTradesBinance[[#This Row],[Tipo]]="SELL",IF(ISNUMBER(FIND(MID(X$1,10,5),TbTradesBinance[[#This Row],[Par]])),IF(FIND(MID(X$1,10,5),TbTradesBinance[[#This Row],[Par]])=1, -(W17-W18)/W17*X17,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Row],[Par]])),(-(W17-W18)/W17*X17)+IF(TbTradesBinance[[#This Row],[Resultado]]&gt;0,0,TbTradesBinance[[#This Row],[Taxa]]),0),0))</f>
        <v>43.243879718132675</v>
      </c>
      <c r="Y18" s="145">
        <f t="shared" si="4"/>
        <v>264488.56096717232</v>
      </c>
      <c r="Z1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Row],[Tipo]]="DROP"),Z17+TbTradesBinance[[#This Row],[Qtt]],Z17-TbTradesBinance[[#This Row],[Qtt]]),IF(TbTradesBinance[[#This Row],[Tipo]]="BUY",Z17-TbTradesBinance[[#This Row],[Qtt]]*TbTradesBinance[[#This Row],[Preço]],Z17+TbTradesBinance[[#This Row],[Qtt]]*TbTradesBinance[[#This Row],[Preço]])),Z17)-IF(TbTradesBinance[[#This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Row],[Tipo]]="DROP"),Z17+TbTradesBinance[[#This Row],[Qtt]],Z17-TbTradesBinance[[#This Row],[Qtt]]),IF(TbTradesBinance[[#This Row],[Tipo]]="BUY",Z17-TbTradesBinance[[#This Row],[Qtt]]*TbTradesBinance[[#This Row],[Preço]],Z17+TbTradesBinance[[#This Row],[Qtt]]*TbTradesBinance[[#This Row],[Preço]])),Z17)-IF(TbTradesBinance[[#This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Row],[Tipo]]="DROP"),Z17+TbTradesBinance[[#This Row],[Qtt]],Z17-TbTradesBinance[[#This Row],[Qtt]]),IF(TbTradesBinance[[#This Row],[Tipo]]="BUY",Z17-TbTradesBinance[[#This Row],[Qtt]]*TbTradesBinance[[#This Row],[Preço]],Z17+TbTradesBinance[[#This Row],[Qtt]]*TbTradesBinance[[#This Row],[Preço]])),Z17)-IF(TbTradesBinance[[#This Row],[Moeda da Taxa]]=MID(Z$1,9,5),TbTradesBinance[[#This Row],[Taxa]],0),8)))</f>
        <v>0</v>
      </c>
      <c r="AA18" s="145" cm="1">
        <f t="array" ref="AA18">IF(TbTradesBinance[[#This Row],[Tipo]]="EMPTY",0,AA17+IF(TbTradesBinance[[#This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Row],[Par]]))),$1:$1,0)),-(Z17-Z18)/Z17*AA17),0),0)+IF(TbTradesBinance[[#This Row],[Tipo]]="SELL",IF(ISNUMBER(FIND(MID(AA$1,10,5),TbTradesBinance[[#This Row],[Par]])),IF(FIND(MID(AA$1,10,5),TbTradesBinance[[#This Row],[Par]])=1, -(Z17-Z18)/Z17*AA17,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Row],[Par]])),(-(Z17-Z18)/Z17*AA17)+IF(TbTradesBinance[[#This Row],[Resultado]]&gt;0,0,TbTradesBinance[[#This Row],[Taxa]]),0),0))</f>
        <v>0</v>
      </c>
      <c r="AB18" s="145">
        <f t="shared" si="5"/>
        <v>0</v>
      </c>
      <c r="AC1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Row],[Tipo]]="DROP"),AC17+TbTradesBinance[[#This Row],[Qtt]],AC17-TbTradesBinance[[#This Row],[Qtt]]),IF(TbTradesBinance[[#This Row],[Tipo]]="BUY",AC17-TbTradesBinance[[#This Row],[Qtt]]*TbTradesBinance[[#This Row],[Preço]],AC17+TbTradesBinance[[#This Row],[Qtt]]*TbTradesBinance[[#This Row],[Preço]])),AC17)-IF(TbTradesBinance[[#This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Row],[Tipo]]="DROP"),AC17+TbTradesBinance[[#This Row],[Qtt]],AC17-TbTradesBinance[[#This Row],[Qtt]]),IF(TbTradesBinance[[#This Row],[Tipo]]="BUY",AC17-TbTradesBinance[[#This Row],[Qtt]]*TbTradesBinance[[#This Row],[Preço]],AC17+TbTradesBinance[[#This Row],[Qtt]]*TbTradesBinance[[#This Row],[Preço]])),AC17)-IF(TbTradesBinance[[#This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Row],[Tipo]]="DROP"),AC17+TbTradesBinance[[#This Row],[Qtt]],AC17-TbTradesBinance[[#This Row],[Qtt]]),IF(TbTradesBinance[[#This Row],[Tipo]]="BUY",AC17-TbTradesBinance[[#This Row],[Qtt]]*TbTradesBinance[[#This Row],[Preço]],AC17+TbTradesBinance[[#This Row],[Qtt]]*TbTradesBinance[[#This Row],[Preço]])),AC17)-IF(TbTradesBinance[[#This Row],[Moeda da Taxa]]=MID(AC$1,9,5),TbTradesBinance[[#This Row],[Taxa]],0),8)))</f>
        <v>0</v>
      </c>
      <c r="AD18" s="145" cm="1">
        <f t="array" ref="AD18">IF(TbTradesBinance[[#This Row],[Tipo]]="EMPTY",0,AD17+IF(TbTradesBinance[[#This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Row],[Par]]))),$1:$1,0)),-(AC17-AC18)/AC17*AD17),0),0)+IF(TbTradesBinance[[#This Row],[Tipo]]="SELL",IF(ISNUMBER(FIND(MID(AD$1,10,5),TbTradesBinance[[#This Row],[Par]])),IF(FIND(MID(AD$1,10,5),TbTradesBinance[[#This Row],[Par]])=1, -(AC17-AC18)/AC17*AD17,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Row],[Par]])),(-(AC17-AC18)/AC17*AD17)+IF(TbTradesBinance[[#This Row],[Resultado]]&gt;0,0,TbTradesBinance[[#This Row],[Taxa]]),0),0))</f>
        <v>0</v>
      </c>
      <c r="AE18" s="145">
        <f t="shared" si="6"/>
        <v>0</v>
      </c>
      <c r="AF1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Row],[Tipo]]="DROP"),AF17+TbTradesBinance[[#This Row],[Qtt]],AF17-TbTradesBinance[[#This Row],[Qtt]]),IF(TbTradesBinance[[#This Row],[Tipo]]="BUY",AF17-TbTradesBinance[[#This Row],[Qtt]]*TbTradesBinance[[#This Row],[Preço]],AF17+TbTradesBinance[[#This Row],[Qtt]]*TbTradesBinance[[#This Row],[Preço]])),AF17)-IF(TbTradesBinance[[#This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Row],[Tipo]]="DROP"),AF17+TbTradesBinance[[#This Row],[Qtt]],AF17-TbTradesBinance[[#This Row],[Qtt]]),IF(TbTradesBinance[[#This Row],[Tipo]]="BUY",AF17-TbTradesBinance[[#This Row],[Qtt]]*TbTradesBinance[[#This Row],[Preço]],AF17+TbTradesBinance[[#This Row],[Qtt]]*TbTradesBinance[[#This Row],[Preço]])),AF17)-IF(TbTradesBinance[[#This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Row],[Tipo]]="DROP"),AF17+TbTradesBinance[[#This Row],[Qtt]],AF17-TbTradesBinance[[#This Row],[Qtt]]),IF(TbTradesBinance[[#This Row],[Tipo]]="BUY",AF17-TbTradesBinance[[#This Row],[Qtt]]*TbTradesBinance[[#This Row],[Preço]],AF17+TbTradesBinance[[#This Row],[Qtt]]*TbTradesBinance[[#This Row],[Preço]])),AF17)-IF(TbTradesBinance[[#This Row],[Moeda da Taxa]]=MID(AF$1,9,5),TbTradesBinance[[#This Row],[Taxa]],0),8)))</f>
        <v>0</v>
      </c>
      <c r="AG18" s="145" cm="1">
        <f t="array" ref="AG18">IF(TbTradesBinance[[#This Row],[Tipo]]="EMPTY",0,AG17+IF(TbTradesBinance[[#This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Row],[Par]]))),$1:$1,0)),-(AF17-AF18)/AF17*AG17),0),0)+IF(TbTradesBinance[[#This Row],[Tipo]]="SELL",IF(ISNUMBER(FIND(MID(AG$1,10,5),TbTradesBinance[[#This Row],[Par]])),IF(FIND(MID(AG$1,10,5),TbTradesBinance[[#This Row],[Par]])=1, -(AF17-AF18)/AF17*AG17,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Row],[Par]])),(-(AF17-AF18)/AF17*AG17)+IF(TbTradesBinance[[#This Row],[Resultado]]&gt;0,0,TbTradesBinance[[#This Row],[Taxa]]),0),0))</f>
        <v>0</v>
      </c>
      <c r="AH18" s="145">
        <f t="shared" si="7"/>
        <v>0</v>
      </c>
      <c r="AI1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Row],[Tipo]]="DROP"),AI17+TbTradesBinance[[#This Row],[Qtt]],AI17-TbTradesBinance[[#This Row],[Qtt]]),IF(TbTradesBinance[[#This Row],[Tipo]]="BUY",AI17-TbTradesBinance[[#This Row],[Qtt]]*TbTradesBinance[[#This Row],[Preço]],AI17+TbTradesBinance[[#This Row],[Qtt]]*TbTradesBinance[[#This Row],[Preço]])),AI17)-IF(TbTradesBinance[[#This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Row],[Tipo]]="DROP"),AI17+TbTradesBinance[[#This Row],[Qtt]],AI17-TbTradesBinance[[#This Row],[Qtt]]),IF(TbTradesBinance[[#This Row],[Tipo]]="BUY",AI17-TbTradesBinance[[#This Row],[Qtt]]*TbTradesBinance[[#This Row],[Preço]],AI17+TbTradesBinance[[#This Row],[Qtt]]*TbTradesBinance[[#This Row],[Preço]])),AI17)-IF(TbTradesBinance[[#This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Row],[Tipo]]="DROP"),AI17+TbTradesBinance[[#This Row],[Qtt]],AI17-TbTradesBinance[[#This Row],[Qtt]]),IF(TbTradesBinance[[#This Row],[Tipo]]="BUY",AI17-TbTradesBinance[[#This Row],[Qtt]]*TbTradesBinance[[#This Row],[Preço]],AI17+TbTradesBinance[[#This Row],[Qtt]]*TbTradesBinance[[#This Row],[Preço]])),AI17)-IF(TbTradesBinance[[#This Row],[Moeda da Taxa]]=MID(AI$1,9,5),TbTradesBinance[[#This Row],[Taxa]],0),8)))</f>
        <v>0</v>
      </c>
      <c r="AJ18" s="145" cm="1">
        <f t="array" ref="AJ18">IF(TbTradesBinance[[#This Row],[Tipo]]="EMPTY",0,AJ17+IF(TbTradesBinance[[#This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Row],[Par]]))),$1:$1,0)),-(AI17-AI18)/AI17*AJ17),0),0)+IF(TbTradesBinance[[#This Row],[Tipo]]="SELL",IF(ISNUMBER(FIND(MID(AJ$1,10,5),TbTradesBinance[[#This Row],[Par]])),IF(FIND(MID(AJ$1,10,5),TbTradesBinance[[#This Row],[Par]])=1, -(AI17-AI18)/AI17*AJ17,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Row],[Par]])),(-(AI17-AI18)/AI17*AJ17)+IF(TbTradesBinance[[#This Row],[Resultado]]&gt;0,0,TbTradesBinance[[#This Row],[Taxa]]),0),0))</f>
        <v>0</v>
      </c>
      <c r="AK18" s="145">
        <f t="shared" si="8"/>
        <v>0</v>
      </c>
      <c r="AL1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Row],[Tipo]]="DROP"),AL17+TbTradesBinance[[#This Row],[Qtt]],AL17-TbTradesBinance[[#This Row],[Qtt]]),IF(TbTradesBinance[[#This Row],[Tipo]]="BUY",AL17-TbTradesBinance[[#This Row],[Qtt]]*TbTradesBinance[[#This Row],[Preço]],AL17+TbTradesBinance[[#This Row],[Qtt]]*TbTradesBinance[[#This Row],[Preço]])),AL17)-IF(TbTradesBinance[[#This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Row],[Tipo]]="DROP"),AL17+TbTradesBinance[[#This Row],[Qtt]],AL17-TbTradesBinance[[#This Row],[Qtt]]),IF(TbTradesBinance[[#This Row],[Tipo]]="BUY",AL17-TbTradesBinance[[#This Row],[Qtt]]*TbTradesBinance[[#This Row],[Preço]],AL17+TbTradesBinance[[#This Row],[Qtt]]*TbTradesBinance[[#This Row],[Preço]])),AL17)-IF(TbTradesBinance[[#This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Row],[Tipo]]="DROP"),AL17+TbTradesBinance[[#This Row],[Qtt]],AL17-TbTradesBinance[[#This Row],[Qtt]]),IF(TbTradesBinance[[#This Row],[Tipo]]="BUY",AL17-TbTradesBinance[[#This Row],[Qtt]]*TbTradesBinance[[#This Row],[Preço]],AL17+TbTradesBinance[[#This Row],[Qtt]]*TbTradesBinance[[#This Row],[Preço]])),AL17)-IF(TbTradesBinance[[#This Row],[Moeda da Taxa]]=MID(AL$1,9,5),TbTradesBinance[[#This Row],[Taxa]],0),8)))</f>
        <v>0</v>
      </c>
      <c r="AM18" s="145" cm="1">
        <f t="array" ref="AM18">IF(TbTradesBinance[[#This Row],[Tipo]]="EMPTY",0,AM17+IF(TbTradesBinance[[#This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Row],[Par]]))),$1:$1,0)),-(AL17-AL18)/AL17*AM17),0),0)+IF(TbTradesBinance[[#This Row],[Tipo]]="SELL",IF(ISNUMBER(FIND(MID(AM$1,10,5),TbTradesBinance[[#This Row],[Par]])),IF(FIND(MID(AM$1,10,5),TbTradesBinance[[#This Row],[Par]])=1, -(AL17-AL18)/AL17*AM17,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Row],[Par]])),(-(AL17-AL18)/AL17*AM17)+IF(TbTradesBinance[[#This Row],[Resultado]]&gt;0,0,TbTradesBinance[[#This Row],[Taxa]]),0),0))</f>
        <v>0</v>
      </c>
      <c r="AN18" s="145">
        <f t="shared" si="9"/>
        <v>0</v>
      </c>
      <c r="AO1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Row],[Tipo]]="DROP"),AO17+TbTradesBinance[[#This Row],[Qtt]],AO17-TbTradesBinance[[#This Row],[Qtt]]),IF(TbTradesBinance[[#This Row],[Tipo]]="BUY",AO17-TbTradesBinance[[#This Row],[Qtt]]*TbTradesBinance[[#This Row],[Preço]],AO17+TbTradesBinance[[#This Row],[Qtt]]*TbTradesBinance[[#This Row],[Preço]])),AO17)-IF(TbTradesBinance[[#This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Row],[Tipo]]="DROP"),AO17+TbTradesBinance[[#This Row],[Qtt]],AO17-TbTradesBinance[[#This Row],[Qtt]]),IF(TbTradesBinance[[#This Row],[Tipo]]="BUY",AO17-TbTradesBinance[[#This Row],[Qtt]]*TbTradesBinance[[#This Row],[Preço]],AO17+TbTradesBinance[[#This Row],[Qtt]]*TbTradesBinance[[#This Row],[Preço]])),AO17)-IF(TbTradesBinance[[#This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Row],[Tipo]]="DROP"),AO17+TbTradesBinance[[#This Row],[Qtt]],AO17-TbTradesBinance[[#This Row],[Qtt]]),IF(TbTradesBinance[[#This Row],[Tipo]]="BUY",AO17-TbTradesBinance[[#This Row],[Qtt]]*TbTradesBinance[[#This Row],[Preço]],AO17+TbTradesBinance[[#This Row],[Qtt]]*TbTradesBinance[[#This Row],[Preço]])),AO17)-IF(TbTradesBinance[[#This Row],[Moeda da Taxa]]=MID(AO$1,9,5),TbTradesBinance[[#This Row],[Taxa]],0),8)))</f>
        <v>0</v>
      </c>
      <c r="AP18" s="145" cm="1">
        <f t="array" ref="AP18">IF(TbTradesBinance[[#This Row],[Tipo]]="EMPTY",0,AP17+IF(TbTradesBinance[[#This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Row],[Par]]))),$1:$1,0)),-(AO17-AO18)/AO17*AP17),0),0)+IF(TbTradesBinance[[#This Row],[Tipo]]="SELL",IF(ISNUMBER(FIND(MID(AP$1,10,5),TbTradesBinance[[#This Row],[Par]])),IF(FIND(MID(AP$1,10,5),TbTradesBinance[[#This Row],[Par]])=1, -(AO17-AO18)/AO17*AP17,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Row],[Par]])),(-(AO17-AO18)/AO17*AP17)+IF(TbTradesBinance[[#This Row],[Resultado]]&gt;0,0,TbTradesBinance[[#This Row],[Taxa]]),0),0))</f>
        <v>0</v>
      </c>
      <c r="AQ18" s="145">
        <f t="shared" si="10"/>
        <v>0</v>
      </c>
      <c r="AR1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Row],[Tipo]]="DROP"),AR17+TbTradesBinance[[#This Row],[Qtt]],AR17-TbTradesBinance[[#This Row],[Qtt]]),IF(TbTradesBinance[[#This Row],[Tipo]]="BUY",AR17-TbTradesBinance[[#This Row],[Qtt]]*TbTradesBinance[[#This Row],[Preço]],AR17+TbTradesBinance[[#This Row],[Qtt]]*TbTradesBinance[[#This Row],[Preço]])),AR17)-IF(TbTradesBinance[[#This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Row],[Tipo]]="DROP"),AR17+TbTradesBinance[[#This Row],[Qtt]],AR17-TbTradesBinance[[#This Row],[Qtt]]),IF(TbTradesBinance[[#This Row],[Tipo]]="BUY",AR17-TbTradesBinance[[#This Row],[Qtt]]*TbTradesBinance[[#This Row],[Preço]],AR17+TbTradesBinance[[#This Row],[Qtt]]*TbTradesBinance[[#This Row],[Preço]])),AR17)-IF(TbTradesBinance[[#This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Row],[Tipo]]="DROP"),AR17+TbTradesBinance[[#This Row],[Qtt]],AR17-TbTradesBinance[[#This Row],[Qtt]]),IF(TbTradesBinance[[#This Row],[Tipo]]="BUY",AR17-TbTradesBinance[[#This Row],[Qtt]]*TbTradesBinance[[#This Row],[Preço]],AR17+TbTradesBinance[[#This Row],[Qtt]]*TbTradesBinance[[#This Row],[Preço]])),AR17)-IF(TbTradesBinance[[#This Row],[Moeda da Taxa]]=MID(AR$1,9,5),TbTradesBinance[[#This Row],[Taxa]],0),8)))</f>
        <v>0</v>
      </c>
      <c r="AS18" s="145" cm="1">
        <f t="array" ref="AS18">IF(TbTradesBinance[[#This Row],[Tipo]]="EMPTY",0,AS17+IF(TbTradesBinance[[#This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Row],[Par]]))),$1:$1,0)),-(AR17-AR18)/AR17*AS17),0),0)+IF(TbTradesBinance[[#This Row],[Tipo]]="SELL",IF(ISNUMBER(FIND(MID(AS$1,10,5),TbTradesBinance[[#This Row],[Par]])),IF(FIND(MID(AS$1,10,5),TbTradesBinance[[#This Row],[Par]])=1, -(AR17-AR18)/AR17*AS17,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Row],[Par]])),(-(AR17-AR18)/AR17*AS17)+IF(TbTradesBinance[[#This Row],[Resultado]]&gt;0,0,TbTradesBinance[[#This Row],[Taxa]]),0),0))</f>
        <v>0</v>
      </c>
      <c r="AT18" s="145">
        <f t="shared" si="11"/>
        <v>0</v>
      </c>
      <c r="AU1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Row],[Tipo]]="DROP"),AU17+TbTradesBinance[[#This Row],[Qtt]],AU17-TbTradesBinance[[#This Row],[Qtt]]),IF(TbTradesBinance[[#This Row],[Tipo]]="BUY",AU17-TbTradesBinance[[#This Row],[Qtt]]*TbTradesBinance[[#This Row],[Preço]],AU17+TbTradesBinance[[#This Row],[Qtt]]*TbTradesBinance[[#This Row],[Preço]])),AU17)-IF(TbTradesBinance[[#This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Row],[Tipo]]="DROP"),AU17+TbTradesBinance[[#This Row],[Qtt]],AU17-TbTradesBinance[[#This Row],[Qtt]]),IF(TbTradesBinance[[#This Row],[Tipo]]="BUY",AU17-TbTradesBinance[[#This Row],[Qtt]]*TbTradesBinance[[#This Row],[Preço]],AU17+TbTradesBinance[[#This Row],[Qtt]]*TbTradesBinance[[#This Row],[Preço]])),AU17)-IF(TbTradesBinance[[#This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Row],[Tipo]]="DROP"),AU17+TbTradesBinance[[#This Row],[Qtt]],AU17-TbTradesBinance[[#This Row],[Qtt]]),IF(TbTradesBinance[[#This Row],[Tipo]]="BUY",AU17-TbTradesBinance[[#This Row],[Qtt]]*TbTradesBinance[[#This Row],[Preço]],AU17+TbTradesBinance[[#This Row],[Qtt]]*TbTradesBinance[[#This Row],[Preço]])),AU17)-IF(TbTradesBinance[[#This Row],[Moeda da Taxa]]=MID(AU$1,9,5),TbTradesBinance[[#This Row],[Taxa]],0),8)))</f>
        <v>0</v>
      </c>
      <c r="AV18" s="145" cm="1">
        <f t="array" ref="AV18">IF(TbTradesBinance[[#This Row],[Tipo]]="EMPTY",0,AV17+IF(TbTradesBinance[[#This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Row],[Par]]))),$1:$1,0)),-(AU17-AU18)/AU17*AV17),0),0)+IF(TbTradesBinance[[#This Row],[Tipo]]="SELL",IF(ISNUMBER(FIND(MID(AV$1,10,5),TbTradesBinance[[#This Row],[Par]])),IF(FIND(MID(AV$1,10,5),TbTradesBinance[[#This Row],[Par]])=1, -(AU17-AU18)/AU17*AV17,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Row],[Par]])),(-(AU17-AU18)/AU17*AV17)+IF(TbTradesBinance[[#This Row],[Resultado]]&gt;0,0,TbTradesBinance[[#This Row],[Taxa]]),0),0))</f>
        <v>0</v>
      </c>
      <c r="AW18" s="145">
        <f t="shared" si="12"/>
        <v>0</v>
      </c>
      <c r="AX1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Row],[Tipo]]="DROP"),AX17+TbTradesBinance[[#This Row],[Qtt]],AX17-TbTradesBinance[[#This Row],[Qtt]]),IF(TbTradesBinance[[#This Row],[Tipo]]="BUY",AX17-TbTradesBinance[[#This Row],[Qtt]]*TbTradesBinance[[#This Row],[Preço]],AX17+TbTradesBinance[[#This Row],[Qtt]]*TbTradesBinance[[#This Row],[Preço]])),AX17)-IF(TbTradesBinance[[#This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Row],[Tipo]]="DROP"),AX17+TbTradesBinance[[#This Row],[Qtt]],AX17-TbTradesBinance[[#This Row],[Qtt]]),IF(TbTradesBinance[[#This Row],[Tipo]]="BUY",AX17-TbTradesBinance[[#This Row],[Qtt]]*TbTradesBinance[[#This Row],[Preço]],AX17+TbTradesBinance[[#This Row],[Qtt]]*TbTradesBinance[[#This Row],[Preço]])),AX17)-IF(TbTradesBinance[[#This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Row],[Tipo]]="DROP"),AX17+TbTradesBinance[[#This Row],[Qtt]],AX17-TbTradesBinance[[#This Row],[Qtt]]),IF(TbTradesBinance[[#This Row],[Tipo]]="BUY",AX17-TbTradesBinance[[#This Row],[Qtt]]*TbTradesBinance[[#This Row],[Preço]],AX17+TbTradesBinance[[#This Row],[Qtt]]*TbTradesBinance[[#This Row],[Preço]])),AX17)-IF(TbTradesBinance[[#This Row],[Moeda da Taxa]]=MID(AX$1,9,5),TbTradesBinance[[#This Row],[Taxa]],0),8)))</f>
        <v>0</v>
      </c>
      <c r="AY18" s="145" cm="1">
        <f t="array" ref="AY18">IF(TbTradesBinance[[#This Row],[Tipo]]="EMPTY",0,AY17+IF(TbTradesBinance[[#This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Row],[Par]]))),$1:$1,0)),-(AX17-AX18)/AX17*AY17),0),0)+IF(TbTradesBinance[[#This Row],[Tipo]]="SELL",IF(ISNUMBER(FIND(MID(AY$1,10,5),TbTradesBinance[[#This Row],[Par]])),IF(FIND(MID(AY$1,10,5),TbTradesBinance[[#This Row],[Par]])=1, -(AX17-AX18)/AX17*AY17,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Row],[Par]])),(-(AX17-AX18)/AX17*AY17)+IF(TbTradesBinance[[#This Row],[Resultado]]&gt;0,0,TbTradesBinance[[#This Row],[Taxa]]),0),0))</f>
        <v>0</v>
      </c>
      <c r="AZ18" s="145">
        <f t="shared" si="13"/>
        <v>0</v>
      </c>
      <c r="BA1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Row],[Tipo]]="DROP"),BA17+TbTradesBinance[[#This Row],[Qtt]],BA17-TbTradesBinance[[#This Row],[Qtt]]),IF(TbTradesBinance[[#This Row],[Tipo]]="BUY",BA17-TbTradesBinance[[#This Row],[Qtt]]*TbTradesBinance[[#This Row],[Preço]],BA17+TbTradesBinance[[#This Row],[Qtt]]*TbTradesBinance[[#This Row],[Preço]])),BA17)-IF(TbTradesBinance[[#This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Row],[Tipo]]="DROP"),BA17+TbTradesBinance[[#This Row],[Qtt]],BA17-TbTradesBinance[[#This Row],[Qtt]]),IF(TbTradesBinance[[#This Row],[Tipo]]="BUY",BA17-TbTradesBinance[[#This Row],[Qtt]]*TbTradesBinance[[#This Row],[Preço]],BA17+TbTradesBinance[[#This Row],[Qtt]]*TbTradesBinance[[#This Row],[Preço]])),BA17)-IF(TbTradesBinance[[#This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Row],[Tipo]]="DROP"),BA17+TbTradesBinance[[#This Row],[Qtt]],BA17-TbTradesBinance[[#This Row],[Qtt]]),IF(TbTradesBinance[[#This Row],[Tipo]]="BUY",BA17-TbTradesBinance[[#This Row],[Qtt]]*TbTradesBinance[[#This Row],[Preço]],BA17+TbTradesBinance[[#This Row],[Qtt]]*TbTradesBinance[[#This Row],[Preço]])),BA17)-IF(TbTradesBinance[[#This Row],[Moeda da Taxa]]=MID(BA$1,9,5),TbTradesBinance[[#This Row],[Taxa]],0),8)))</f>
        <v>0</v>
      </c>
      <c r="BB18" s="145" cm="1">
        <f t="array" ref="BB18">IF(TbTradesBinance[[#This Row],[Tipo]]="EMPTY",0,BB17+IF(TbTradesBinance[[#This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Row],[Par]]))),$1:$1,0)),-(BA17-BA18)/BA17*BB17),0),0)+IF(TbTradesBinance[[#This Row],[Tipo]]="SELL",IF(ISNUMBER(FIND(MID(BB$1,10,5),TbTradesBinance[[#This Row],[Par]])),IF(FIND(MID(BB$1,10,5),TbTradesBinance[[#This Row],[Par]])=1, -(BA17-BA18)/BA17*BB17,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Row],[Par]])),(-(BA17-BA18)/BA17*BB17)+IF(TbTradesBinance[[#This Row],[Resultado]]&gt;0,0,TbTradesBinance[[#This Row],[Taxa]]),0),0))</f>
        <v>0</v>
      </c>
      <c r="BC18" s="145">
        <f t="shared" si="14"/>
        <v>0</v>
      </c>
      <c r="BD1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Row],[Tipo]]="DROP"),BD17+TbTradesBinance[[#This Row],[Qtt]],BD17-TbTradesBinance[[#This Row],[Qtt]]),IF(TbTradesBinance[[#This Row],[Tipo]]="BUY",BD17-TbTradesBinance[[#This Row],[Qtt]]*TbTradesBinance[[#This Row],[Preço]],BD17+TbTradesBinance[[#This Row],[Qtt]]*TbTradesBinance[[#This Row],[Preço]])),BD17)-IF(TbTradesBinance[[#This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Row],[Tipo]]="DROP"),BD17+TbTradesBinance[[#This Row],[Qtt]],BD17-TbTradesBinance[[#This Row],[Qtt]]),IF(TbTradesBinance[[#This Row],[Tipo]]="BUY",BD17-TbTradesBinance[[#This Row],[Qtt]]*TbTradesBinance[[#This Row],[Preço]],BD17+TbTradesBinance[[#This Row],[Qtt]]*TbTradesBinance[[#This Row],[Preço]])),BD17)-IF(TbTradesBinance[[#This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Row],[Tipo]]="DROP"),BD17+TbTradesBinance[[#This Row],[Qtt]],BD17-TbTradesBinance[[#This Row],[Qtt]]),IF(TbTradesBinance[[#This Row],[Tipo]]="BUY",BD17-TbTradesBinance[[#This Row],[Qtt]]*TbTradesBinance[[#This Row],[Preço]],BD17+TbTradesBinance[[#This Row],[Qtt]]*TbTradesBinance[[#This Row],[Preço]])),BD17)-IF(TbTradesBinance[[#This Row],[Moeda da Taxa]]=MID(BD$1,9,5),TbTradesBinance[[#This Row],[Taxa]],0),8)))</f>
        <v>0</v>
      </c>
      <c r="BE18" s="145" cm="1">
        <f t="array" ref="BE18">IF(TbTradesBinance[[#This Row],[Tipo]]="EMPTY",0,BE17+IF(TbTradesBinance[[#This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Row],[Par]]))),$1:$1,0)),-(BD17-BD18)/BD17*BE17),0),0)+IF(TbTradesBinance[[#This Row],[Tipo]]="SELL",IF(ISNUMBER(FIND(MID(BE$1,10,5),TbTradesBinance[[#This Row],[Par]])),IF(FIND(MID(BE$1,10,5),TbTradesBinance[[#This Row],[Par]])=1, -(BD17-BD18)/BD17*BE17,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Row],[Par]])),(-(BD17-BD18)/BD17*BE17)+IF(TbTradesBinance[[#This Row],[Resultado]]&gt;0,0,TbTradesBinance[[#This Row],[Taxa]]),0),0))</f>
        <v>0</v>
      </c>
      <c r="BF18" s="145">
        <f t="shared" si="15"/>
        <v>0</v>
      </c>
      <c r="BG1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Row],[Tipo]]="DROP"),BG17+TbTradesBinance[[#This Row],[Qtt]],BG17-TbTradesBinance[[#This Row],[Qtt]]),IF(TbTradesBinance[[#This Row],[Tipo]]="BUY",BG17-TbTradesBinance[[#This Row],[Qtt]]*TbTradesBinance[[#This Row],[Preço]],BG17+TbTradesBinance[[#This Row],[Qtt]]*TbTradesBinance[[#This Row],[Preço]])),BG17)-IF(TbTradesBinance[[#This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Row],[Tipo]]="DROP"),BG17+TbTradesBinance[[#This Row],[Qtt]],BG17-TbTradesBinance[[#This Row],[Qtt]]),IF(TbTradesBinance[[#This Row],[Tipo]]="BUY",BG17-TbTradesBinance[[#This Row],[Qtt]]*TbTradesBinance[[#This Row],[Preço]],BG17+TbTradesBinance[[#This Row],[Qtt]]*TbTradesBinance[[#This Row],[Preço]])),BG17)-IF(TbTradesBinance[[#This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Row],[Tipo]]="DROP"),BG17+TbTradesBinance[[#This Row],[Qtt]],BG17-TbTradesBinance[[#This Row],[Qtt]]),IF(TbTradesBinance[[#This Row],[Tipo]]="BUY",BG17-TbTradesBinance[[#This Row],[Qtt]]*TbTradesBinance[[#This Row],[Preço]],BG17+TbTradesBinance[[#This Row],[Qtt]]*TbTradesBinance[[#This Row],[Preço]])),BG17)-IF(TbTradesBinance[[#This Row],[Moeda da Taxa]]=MID(BG$1,9,5),TbTradesBinance[[#This Row],[Taxa]],0),8)))</f>
        <v>0</v>
      </c>
      <c r="BH18" s="145" cm="1">
        <f t="array" ref="BH18">IF(TbTradesBinance[[#This Row],[Tipo]]="EMPTY",0,BH17+IF(TbTradesBinance[[#This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Row],[Par]]))),$1:$1,0)),-(BG17-BG18)/BG17*BH17),0),0)+IF(TbTradesBinance[[#This Row],[Tipo]]="SELL",IF(ISNUMBER(FIND(MID(BH$1,10,5),TbTradesBinance[[#This Row],[Par]])),IF(FIND(MID(BH$1,10,5),TbTradesBinance[[#This Row],[Par]])=1, -(BG17-BG18)/BG17*BH17,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Row],[Par]])),(-(BG17-BG18)/BG17*BH17)+IF(TbTradesBinance[[#This Row],[Resultado]]&gt;0,0,TbTradesBinance[[#This Row],[Taxa]]),0),0))</f>
        <v>0</v>
      </c>
      <c r="BI18" s="145">
        <f t="shared" si="16"/>
        <v>0</v>
      </c>
      <c r="BJ1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Row],[Tipo]]="DROP"),BJ17+TbTradesBinance[[#This Row],[Qtt]],BJ17-TbTradesBinance[[#This Row],[Qtt]]),IF(TbTradesBinance[[#This Row],[Tipo]]="BUY",BJ17-TbTradesBinance[[#This Row],[Qtt]]*TbTradesBinance[[#This Row],[Preço]],BJ17+TbTradesBinance[[#This Row],[Qtt]]*TbTradesBinance[[#This Row],[Preço]])),BJ17)-IF(TbTradesBinance[[#This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Row],[Tipo]]="DROP"),BJ17+TbTradesBinance[[#This Row],[Qtt]],BJ17-TbTradesBinance[[#This Row],[Qtt]]),IF(TbTradesBinance[[#This Row],[Tipo]]="BUY",BJ17-TbTradesBinance[[#This Row],[Qtt]]*TbTradesBinance[[#This Row],[Preço]],BJ17+TbTradesBinance[[#This Row],[Qtt]]*TbTradesBinance[[#This Row],[Preço]])),BJ17)-IF(TbTradesBinance[[#This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Row],[Tipo]]="DROP"),BJ17+TbTradesBinance[[#This Row],[Qtt]],BJ17-TbTradesBinance[[#This Row],[Qtt]]),IF(TbTradesBinance[[#This Row],[Tipo]]="BUY",BJ17-TbTradesBinance[[#This Row],[Qtt]]*TbTradesBinance[[#This Row],[Preço]],BJ17+TbTradesBinance[[#This Row],[Qtt]]*TbTradesBinance[[#This Row],[Preço]])),BJ17)-IF(TbTradesBinance[[#This Row],[Moeda da Taxa]]=MID(BJ$1,9,5),TbTradesBinance[[#This Row],[Taxa]],0),8)))</f>
        <v>0</v>
      </c>
      <c r="BK18" s="145" cm="1">
        <f t="array" ref="BK18">IF(TbTradesBinance[[#This Row],[Tipo]]="EMPTY",0,BK17+IF(TbTradesBinance[[#This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Row],[Par]]))),$1:$1,0)),-(BJ17-BJ18)/BJ17*BK17),0),0)+IF(TbTradesBinance[[#This Row],[Tipo]]="SELL",IF(ISNUMBER(FIND(MID(BK$1,10,5),TbTradesBinance[[#This Row],[Par]])),IF(FIND(MID(BK$1,10,5),TbTradesBinance[[#This Row],[Par]])=1, -(BJ17-BJ18)/BJ17*BK17,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Row],[Par]])),(-(BJ17-BJ18)/BJ17*BK17)+IF(TbTradesBinance[[#This Row],[Resultado]]&gt;0,0,TbTradesBinance[[#This Row],[Taxa]]),0),0))</f>
        <v>0</v>
      </c>
      <c r="BL18" s="145">
        <f t="shared" si="17"/>
        <v>0</v>
      </c>
      <c r="BM1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Row],[Tipo]]="DROP"),BM17+TbTradesBinance[[#This Row],[Qtt]],BM17-TbTradesBinance[[#This Row],[Qtt]]),IF(TbTradesBinance[[#This Row],[Tipo]]="BUY",BM17-TbTradesBinance[[#This Row],[Qtt]]*TbTradesBinance[[#This Row],[Preço]],BM17+TbTradesBinance[[#This Row],[Qtt]]*TbTradesBinance[[#This Row],[Preço]])),BM17)-IF(TbTradesBinance[[#This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Row],[Tipo]]="DROP"),BM17+TbTradesBinance[[#This Row],[Qtt]],BM17-TbTradesBinance[[#This Row],[Qtt]]),IF(TbTradesBinance[[#This Row],[Tipo]]="BUY",BM17-TbTradesBinance[[#This Row],[Qtt]]*TbTradesBinance[[#This Row],[Preço]],BM17+TbTradesBinance[[#This Row],[Qtt]]*TbTradesBinance[[#This Row],[Preço]])),BM17)-IF(TbTradesBinance[[#This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Row],[Tipo]]="DROP"),BM17+TbTradesBinance[[#This Row],[Qtt]],BM17-TbTradesBinance[[#This Row],[Qtt]]),IF(TbTradesBinance[[#This Row],[Tipo]]="BUY",BM17-TbTradesBinance[[#This Row],[Qtt]]*TbTradesBinance[[#This Row],[Preço]],BM17+TbTradesBinance[[#This Row],[Qtt]]*TbTradesBinance[[#This Row],[Preço]])),BM17)-IF(TbTradesBinance[[#This Row],[Moeda da Taxa]]=MID(BM$1,9,5),TbTradesBinance[[#This Row],[Taxa]],0),8)))</f>
        <v>0</v>
      </c>
      <c r="BN18" s="145" cm="1">
        <f t="array" ref="BN18">IF(TbTradesBinance[[#This Row],[Tipo]]="EMPTY",0,BN17+IF(TbTradesBinance[[#This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Row],[Par]]))),$1:$1,0)),-(BM17-BM18)/BM17*BN17),0),0)+IF(TbTradesBinance[[#This Row],[Tipo]]="SELL",IF(ISNUMBER(FIND(MID(BN$1,10,5),TbTradesBinance[[#This Row],[Par]])),IF(FIND(MID(BN$1,10,5),TbTradesBinance[[#This Row],[Par]])=1, -(BM17-BM18)/BM17*BN17,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Row],[Par]])),(-(BM17-BM18)/BM17*BN17)+IF(TbTradesBinance[[#This Row],[Resultado]]&gt;0,0,TbTradesBinance[[#This Row],[Taxa]]),0),0))</f>
        <v>0</v>
      </c>
      <c r="BO18" s="145">
        <f t="shared" si="18"/>
        <v>0</v>
      </c>
    </row>
    <row r="19" spans="2:67" x14ac:dyDescent="0.3">
      <c r="B19" s="51"/>
      <c r="C19" s="40">
        <f>TRUNC(IF(AND(TbTradesBinance[[#This Row],[Tipo]]="SEND",TbTradesBinance[[#This Row],[Par]]="BRL"),TbTradesBinance[[#This Row],[Qtt]]*(1-P17)-IF(TbTradesBinance[[#This Row],[Moeda da Taxa]]="BRL",TbTradesBinance[[#This Row],[Taxa]],0),0)+IF(AND(TbTradesBinance[[#This Row],[Tipo]]="BURN",TbTradesBinance[[#This Row],[Par]]="BRL"),-TbTradesBinance[[#This Row],[Qtt]]*P17,0),2)</f>
        <v>0</v>
      </c>
      <c r="D19" s="53">
        <v>44250.891840277778</v>
      </c>
      <c r="E19" s="37" t="s">
        <v>138</v>
      </c>
      <c r="F19" s="47" t="s">
        <v>139</v>
      </c>
      <c r="G19" s="38">
        <v>262715</v>
      </c>
      <c r="H19" s="38">
        <v>1.15E-4</v>
      </c>
      <c r="I19" s="38">
        <v>1.1999999999999999E-7</v>
      </c>
      <c r="J19" s="37" t="s">
        <v>6</v>
      </c>
      <c r="K19" s="52">
        <v>1</v>
      </c>
      <c r="L19" s="40">
        <f t="shared" si="0"/>
        <v>262715</v>
      </c>
      <c r="M19" s="40">
        <f>IF(OR(TbTradesBinance[[#This Row],[Tipo]]="BUY",TbTradesBinance[[#This Row],[Tipo]]="RECEIVE",TbTradesBinance[[#This Row],[Tipo]]="DROP"),L19*H19,-L19*H19)</f>
        <v>30.212225</v>
      </c>
      <c r="N1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Row],[Tipo]]="DROP"),N18+TbTradesBinance[[#This Row],[Qtt]],N18-TbTradesBinance[[#This Row],[Qtt]]),IF(TbTradesBinance[[#This Row],[Tipo]]="BUY",N18-TbTradesBinance[[#This Row],[Qtt]]*TbTradesBinance[[#This Row],[Preço]],N18+TbTradesBinance[[#This Row],[Qtt]]*TbTradesBinance[[#This Row],[Preço]])),N18)-IF(TbTradesBinance[[#This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Row],[Tipo]]="DROP"),N18+TbTradesBinance[[#This Row],[Qtt]],N18-TbTradesBinance[[#This Row],[Qtt]]),IF(TbTradesBinance[[#This Row],[Tipo]]="BUY",N18-TbTradesBinance[[#This Row],[Qtt]]*TbTradesBinance[[#This Row],[Preço]],N18+TbTradesBinance[[#This Row],[Qtt]]*TbTradesBinance[[#This Row],[Preço]])),N18)-IF(TbTradesBinance[[#This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Row],[Tipo]]="DROP"),N18+TbTradesBinance[[#This Row],[Qtt]],N18-TbTradesBinance[[#This Row],[Qtt]]),IF(TbTradesBinance[[#This Row],[Tipo]]="BUY",N18-TbTradesBinance[[#This Row],[Qtt]]*TbTradesBinance[[#This Row],[Preço]],N18+TbTradesBinance[[#This Row],[Qtt]]*TbTradesBinance[[#This Row],[Preço]])),N18)-IF(TbTradesBinance[[#This Row],[Moeda da Taxa]]=MID(N$1,9,5),TbTradesBinance[[#This Row],[Taxa]],0),8)))</f>
        <v>19970.507132899998</v>
      </c>
      <c r="O19" s="145" cm="1">
        <f t="array" ref="O19">IF(TbTradesBinance[[#This Row],[Tipo]]="EMPTY",0,O18+IF(TbTradesBinance[[#This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Row],[Par]]))),$1:$1,0)),-(N18-N19)/N18*O18),0),0)+IF(TbTradesBinance[[#This Row],[Tipo]]="SELL",IF(ISNUMBER(FIND(MID(O$1,10,5),TbTradesBinance[[#This Row],[Par]])),IF(FIND(MID(O$1,10,5),TbTradesBinance[[#This Row],[Par]])=1, -(N18-N19)/N18*O18,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Row],[Par]])),(-(N18-N19)/N18*O18)+IF(TbTradesBinance[[#This Row],[Resultado]]&gt;0,0,TbTradesBinance[[#This Row],[Taxa]]),0),0))</f>
        <v>19926.416944681157</v>
      </c>
      <c r="P19" s="145">
        <f t="shared" si="1"/>
        <v>0.99779223492295765</v>
      </c>
      <c r="Q1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Row],[Tipo]]="DROP"),Q18+TbTradesBinance[[#This Row],[Qtt]],Q18-TbTradesBinance[[#This Row],[Qtt]]),IF(TbTradesBinance[[#This Row],[Tipo]]="BUY",Q18-TbTradesBinance[[#This Row],[Qtt]]*TbTradesBinance[[#This Row],[Preço]],Q18+TbTradesBinance[[#This Row],[Qtt]]*TbTradesBinance[[#This Row],[Preço]])),Q18)-IF(TbTradesBinance[[#This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Row],[Tipo]]="DROP"),Q18+TbTradesBinance[[#This Row],[Qtt]],Q18-TbTradesBinance[[#This Row],[Qtt]]),IF(TbTradesBinance[[#This Row],[Tipo]]="BUY",Q18-TbTradesBinance[[#This Row],[Qtt]]*TbTradesBinance[[#This Row],[Preço]],Q18+TbTradesBinance[[#This Row],[Qtt]]*TbTradesBinance[[#This Row],[Preço]])),Q18)-IF(TbTradesBinance[[#This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Row],[Tipo]]="DROP"),Q18+TbTradesBinance[[#This Row],[Qtt]],Q18-TbTradesBinance[[#This Row],[Qtt]]),IF(TbTradesBinance[[#This Row],[Tipo]]="BUY",Q18-TbTradesBinance[[#This Row],[Qtt]]*TbTradesBinance[[#This Row],[Preço]],Q18+TbTradesBinance[[#This Row],[Qtt]]*TbTradesBinance[[#This Row],[Preço]])),Q18)-IF(TbTradesBinance[[#This Row],[Moeda da Taxa]]=MID(Q$1,9,5),TbTradesBinance[[#This Row],[Taxa]],0),8)))</f>
        <v>0</v>
      </c>
      <c r="R19" s="145" cm="1">
        <f t="array" ref="R19">IF(TbTradesBinance[[#This Row],[Tipo]]="EMPTY",0,R18+IF(TbTradesBinance[[#This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Row],[Par]]))),$1:$1,0)),-(Q18-Q19)/Q18*R18),0),0)+IF(TbTradesBinance[[#This Row],[Tipo]]="SELL",IF(ISNUMBER(FIND(MID(R$1,10,5),TbTradesBinance[[#This Row],[Par]])),IF(FIND(MID(R$1,10,5),TbTradesBinance[[#This Row],[Par]])=1, -(Q18-Q19)/Q18*R18,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Row],[Par]])),(-(Q18-Q19)/Q18*R18)+IF(TbTradesBinance[[#This Row],[Resultado]]&gt;0,0,TbTradesBinance[[#This Row],[Taxa]]),0),0))</f>
        <v>0</v>
      </c>
      <c r="S19" s="145">
        <f t="shared" si="2"/>
        <v>0</v>
      </c>
      <c r="T1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Row],[Tipo]]="DROP"),T18+TbTradesBinance[[#This Row],[Qtt]],T18-TbTradesBinance[[#This Row],[Qtt]]),IF(TbTradesBinance[[#This Row],[Tipo]]="BUY",T18-TbTradesBinance[[#This Row],[Qtt]]*TbTradesBinance[[#This Row],[Preço]],T18+TbTradesBinance[[#This Row],[Qtt]]*TbTradesBinance[[#This Row],[Preço]])),T18)-IF(TbTradesBinance[[#This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Row],[Tipo]]="DROP"),T18+TbTradesBinance[[#This Row],[Qtt]],T18-TbTradesBinance[[#This Row],[Qtt]]),IF(TbTradesBinance[[#This Row],[Tipo]]="BUY",T18-TbTradesBinance[[#This Row],[Qtt]]*TbTradesBinance[[#This Row],[Preço]],T18+TbTradesBinance[[#This Row],[Qtt]]*TbTradesBinance[[#This Row],[Preço]])),T18)-IF(TbTradesBinance[[#This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Row],[Tipo]]="DROP"),T18+TbTradesBinance[[#This Row],[Qtt]],T18-TbTradesBinance[[#This Row],[Qtt]]),IF(TbTradesBinance[[#This Row],[Tipo]]="BUY",T18-TbTradesBinance[[#This Row],[Qtt]]*TbTradesBinance[[#This Row],[Preço]],T18+TbTradesBinance[[#This Row],[Qtt]]*TbTradesBinance[[#This Row],[Preço]])),T18)-IF(TbTradesBinance[[#This Row],[Moeda da Taxa]]=MID(T$1,9,5),TbTradesBinance[[#This Row],[Taxa]],0),8)))</f>
        <v>2.867312E-2</v>
      </c>
      <c r="U19" s="145" cm="1">
        <f t="array" ref="U19">IF(TbTradesBinance[[#This Row],[Tipo]]="EMPTY",0,U18+IF(TbTradesBinance[[#This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Row],[Par]]))),$1:$1,0)),-(T18-T19)/T18*U18),0),0)+IF(TbTradesBinance[[#This Row],[Tipo]]="SELL",IF(ISNUMBER(FIND(MID(U$1,10,5),TbTradesBinance[[#This Row],[Par]])),IF(FIND(MID(U$1,10,5),TbTradesBinance[[#This Row],[Par]])=1, -(T18-T19)/T18*U18,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Row],[Par]])),(-(T18-T19)/T18*U18)+IF(TbTradesBinance[[#This Row],[Resultado]]&gt;0,0,TbTradesBinance[[#This Row],[Taxa]]),0),0))</f>
        <v>0.19365209596473676</v>
      </c>
      <c r="V19" s="145">
        <f t="shared" si="3"/>
        <v>6.7537852861752317</v>
      </c>
      <c r="W1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Row],[Tipo]]="DROP"),W18+TbTradesBinance[[#This Row],[Qtt]],W18-TbTradesBinance[[#This Row],[Qtt]]),IF(TbTradesBinance[[#This Row],[Tipo]]="BUY",W18-TbTradesBinance[[#This Row],[Qtt]]*TbTradesBinance[[#This Row],[Preço]],W18+TbTradesBinance[[#This Row],[Qtt]]*TbTradesBinance[[#This Row],[Preço]])),W18)-IF(TbTradesBinance[[#This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Row],[Tipo]]="DROP"),W18+TbTradesBinance[[#This Row],[Qtt]],W18-TbTradesBinance[[#This Row],[Qtt]]),IF(TbTradesBinance[[#This Row],[Tipo]]="BUY",W18-TbTradesBinance[[#This Row],[Qtt]]*TbTradesBinance[[#This Row],[Preço]],W18+TbTradesBinance[[#This Row],[Qtt]]*TbTradesBinance[[#This Row],[Preço]])),W18)-IF(TbTradesBinance[[#This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Row],[Tipo]]="DROP"),W18+TbTradesBinance[[#This Row],[Qtt]],W18-TbTradesBinance[[#This Row],[Qtt]]),IF(TbTradesBinance[[#This Row],[Tipo]]="BUY",W18-TbTradesBinance[[#This Row],[Qtt]]*TbTradesBinance[[#This Row],[Preço]],W18+TbTradesBinance[[#This Row],[Qtt]]*TbTradesBinance[[#This Row],[Preço]])),W18)-IF(TbTradesBinance[[#This Row],[Moeda da Taxa]]=MID(W$1,9,5),TbTradesBinance[[#This Row],[Taxa]],0),8)))</f>
        <v>2.7838E-4</v>
      </c>
      <c r="X19" s="145" cm="1">
        <f t="array" ref="X19">IF(TbTradesBinance[[#This Row],[Tipo]]="EMPTY",0,X18+IF(TbTradesBinance[[#This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Row],[Par]]))),$1:$1,0)),-(W18-W19)/W18*X18),0),0)+IF(TbTradesBinance[[#This Row],[Tipo]]="SELL",IF(ISNUMBER(FIND(MID(X$1,10,5),TbTradesBinance[[#This Row],[Par]])),IF(FIND(MID(X$1,10,5),TbTradesBinance[[#This Row],[Par]])=1, -(W18-W19)/W18*X18,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Row],[Par]])),(-(W18-W19)/W18*X18)+IF(TbTradesBinance[[#This Row],[Resultado]]&gt;0,0,TbTradesBinance[[#This Row],[Taxa]]),0),0))</f>
        <v>73.389403222880873</v>
      </c>
      <c r="Y19" s="145">
        <f t="shared" si="4"/>
        <v>263630.3011095656</v>
      </c>
      <c r="Z1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Row],[Tipo]]="DROP"),Z18+TbTradesBinance[[#This Row],[Qtt]],Z18-TbTradesBinance[[#This Row],[Qtt]]),IF(TbTradesBinance[[#This Row],[Tipo]]="BUY",Z18-TbTradesBinance[[#This Row],[Qtt]]*TbTradesBinance[[#This Row],[Preço]],Z18+TbTradesBinance[[#This Row],[Qtt]]*TbTradesBinance[[#This Row],[Preço]])),Z18)-IF(TbTradesBinance[[#This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Row],[Tipo]]="DROP"),Z18+TbTradesBinance[[#This Row],[Qtt]],Z18-TbTradesBinance[[#This Row],[Qtt]]),IF(TbTradesBinance[[#This Row],[Tipo]]="BUY",Z18-TbTradesBinance[[#This Row],[Qtt]]*TbTradesBinance[[#This Row],[Preço]],Z18+TbTradesBinance[[#This Row],[Qtt]]*TbTradesBinance[[#This Row],[Preço]])),Z18)-IF(TbTradesBinance[[#This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Row],[Tipo]]="DROP"),Z18+TbTradesBinance[[#This Row],[Qtt]],Z18-TbTradesBinance[[#This Row],[Qtt]]),IF(TbTradesBinance[[#This Row],[Tipo]]="BUY",Z18-TbTradesBinance[[#This Row],[Qtt]]*TbTradesBinance[[#This Row],[Preço]],Z18+TbTradesBinance[[#This Row],[Qtt]]*TbTradesBinance[[#This Row],[Preço]])),Z18)-IF(TbTradesBinance[[#This Row],[Moeda da Taxa]]=MID(Z$1,9,5),TbTradesBinance[[#This Row],[Taxa]],0),8)))</f>
        <v>0</v>
      </c>
      <c r="AA19" s="145" cm="1">
        <f t="array" ref="AA19">IF(TbTradesBinance[[#This Row],[Tipo]]="EMPTY",0,AA18+IF(TbTradesBinance[[#This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Row],[Par]]))),$1:$1,0)),-(Z18-Z19)/Z18*AA18),0),0)+IF(TbTradesBinance[[#This Row],[Tipo]]="SELL",IF(ISNUMBER(FIND(MID(AA$1,10,5),TbTradesBinance[[#This Row],[Par]])),IF(FIND(MID(AA$1,10,5),TbTradesBinance[[#This Row],[Par]])=1, -(Z18-Z19)/Z18*AA18,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Row],[Par]])),(-(Z18-Z19)/Z18*AA18)+IF(TbTradesBinance[[#This Row],[Resultado]]&gt;0,0,TbTradesBinance[[#This Row],[Taxa]]),0),0))</f>
        <v>0</v>
      </c>
      <c r="AB19" s="145">
        <f t="shared" si="5"/>
        <v>0</v>
      </c>
      <c r="AC1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Row],[Tipo]]="DROP"),AC18+TbTradesBinance[[#This Row],[Qtt]],AC18-TbTradesBinance[[#This Row],[Qtt]]),IF(TbTradesBinance[[#This Row],[Tipo]]="BUY",AC18-TbTradesBinance[[#This Row],[Qtt]]*TbTradesBinance[[#This Row],[Preço]],AC18+TbTradesBinance[[#This Row],[Qtt]]*TbTradesBinance[[#This Row],[Preço]])),AC18)-IF(TbTradesBinance[[#This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Row],[Tipo]]="DROP"),AC18+TbTradesBinance[[#This Row],[Qtt]],AC18-TbTradesBinance[[#This Row],[Qtt]]),IF(TbTradesBinance[[#This Row],[Tipo]]="BUY",AC18-TbTradesBinance[[#This Row],[Qtt]]*TbTradesBinance[[#This Row],[Preço]],AC18+TbTradesBinance[[#This Row],[Qtt]]*TbTradesBinance[[#This Row],[Preço]])),AC18)-IF(TbTradesBinance[[#This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Row],[Tipo]]="DROP"),AC18+TbTradesBinance[[#This Row],[Qtt]],AC18-TbTradesBinance[[#This Row],[Qtt]]),IF(TbTradesBinance[[#This Row],[Tipo]]="BUY",AC18-TbTradesBinance[[#This Row],[Qtt]]*TbTradesBinance[[#This Row],[Preço]],AC18+TbTradesBinance[[#This Row],[Qtt]]*TbTradesBinance[[#This Row],[Preço]])),AC18)-IF(TbTradesBinance[[#This Row],[Moeda da Taxa]]=MID(AC$1,9,5),TbTradesBinance[[#This Row],[Taxa]],0),8)))</f>
        <v>0</v>
      </c>
      <c r="AD19" s="145" cm="1">
        <f t="array" ref="AD19">IF(TbTradesBinance[[#This Row],[Tipo]]="EMPTY",0,AD18+IF(TbTradesBinance[[#This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Row],[Par]]))),$1:$1,0)),-(AC18-AC19)/AC18*AD18),0),0)+IF(TbTradesBinance[[#This Row],[Tipo]]="SELL",IF(ISNUMBER(FIND(MID(AD$1,10,5),TbTradesBinance[[#This Row],[Par]])),IF(FIND(MID(AD$1,10,5),TbTradesBinance[[#This Row],[Par]])=1, -(AC18-AC19)/AC18*AD18,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Row],[Par]])),(-(AC18-AC19)/AC18*AD18)+IF(TbTradesBinance[[#This Row],[Resultado]]&gt;0,0,TbTradesBinance[[#This Row],[Taxa]]),0),0))</f>
        <v>0</v>
      </c>
      <c r="AE19" s="145">
        <f t="shared" si="6"/>
        <v>0</v>
      </c>
      <c r="AF1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Row],[Tipo]]="DROP"),AF18+TbTradesBinance[[#This Row],[Qtt]],AF18-TbTradesBinance[[#This Row],[Qtt]]),IF(TbTradesBinance[[#This Row],[Tipo]]="BUY",AF18-TbTradesBinance[[#This Row],[Qtt]]*TbTradesBinance[[#This Row],[Preço]],AF18+TbTradesBinance[[#This Row],[Qtt]]*TbTradesBinance[[#This Row],[Preço]])),AF18)-IF(TbTradesBinance[[#This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Row],[Tipo]]="DROP"),AF18+TbTradesBinance[[#This Row],[Qtt]],AF18-TbTradesBinance[[#This Row],[Qtt]]),IF(TbTradesBinance[[#This Row],[Tipo]]="BUY",AF18-TbTradesBinance[[#This Row],[Qtt]]*TbTradesBinance[[#This Row],[Preço]],AF18+TbTradesBinance[[#This Row],[Qtt]]*TbTradesBinance[[#This Row],[Preço]])),AF18)-IF(TbTradesBinance[[#This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Row],[Tipo]]="DROP"),AF18+TbTradesBinance[[#This Row],[Qtt]],AF18-TbTradesBinance[[#This Row],[Qtt]]),IF(TbTradesBinance[[#This Row],[Tipo]]="BUY",AF18-TbTradesBinance[[#This Row],[Qtt]]*TbTradesBinance[[#This Row],[Preço]],AF18+TbTradesBinance[[#This Row],[Qtt]]*TbTradesBinance[[#This Row],[Preço]])),AF18)-IF(TbTradesBinance[[#This Row],[Moeda da Taxa]]=MID(AF$1,9,5),TbTradesBinance[[#This Row],[Taxa]],0),8)))</f>
        <v>0</v>
      </c>
      <c r="AG19" s="145" cm="1">
        <f t="array" ref="AG19">IF(TbTradesBinance[[#This Row],[Tipo]]="EMPTY",0,AG18+IF(TbTradesBinance[[#This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Row],[Par]]))),$1:$1,0)),-(AF18-AF19)/AF18*AG18),0),0)+IF(TbTradesBinance[[#This Row],[Tipo]]="SELL",IF(ISNUMBER(FIND(MID(AG$1,10,5),TbTradesBinance[[#This Row],[Par]])),IF(FIND(MID(AG$1,10,5),TbTradesBinance[[#This Row],[Par]])=1, -(AF18-AF19)/AF18*AG18,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Row],[Par]])),(-(AF18-AF19)/AF18*AG18)+IF(TbTradesBinance[[#This Row],[Resultado]]&gt;0,0,TbTradesBinance[[#This Row],[Taxa]]),0),0))</f>
        <v>0</v>
      </c>
      <c r="AH19" s="145">
        <f t="shared" si="7"/>
        <v>0</v>
      </c>
      <c r="AI1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Row],[Tipo]]="DROP"),AI18+TbTradesBinance[[#This Row],[Qtt]],AI18-TbTradesBinance[[#This Row],[Qtt]]),IF(TbTradesBinance[[#This Row],[Tipo]]="BUY",AI18-TbTradesBinance[[#This Row],[Qtt]]*TbTradesBinance[[#This Row],[Preço]],AI18+TbTradesBinance[[#This Row],[Qtt]]*TbTradesBinance[[#This Row],[Preço]])),AI18)-IF(TbTradesBinance[[#This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Row],[Tipo]]="DROP"),AI18+TbTradesBinance[[#This Row],[Qtt]],AI18-TbTradesBinance[[#This Row],[Qtt]]),IF(TbTradesBinance[[#This Row],[Tipo]]="BUY",AI18-TbTradesBinance[[#This Row],[Qtt]]*TbTradesBinance[[#This Row],[Preço]],AI18+TbTradesBinance[[#This Row],[Qtt]]*TbTradesBinance[[#This Row],[Preço]])),AI18)-IF(TbTradesBinance[[#This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Row],[Tipo]]="DROP"),AI18+TbTradesBinance[[#This Row],[Qtt]],AI18-TbTradesBinance[[#This Row],[Qtt]]),IF(TbTradesBinance[[#This Row],[Tipo]]="BUY",AI18-TbTradesBinance[[#This Row],[Qtt]]*TbTradesBinance[[#This Row],[Preço]],AI18+TbTradesBinance[[#This Row],[Qtt]]*TbTradesBinance[[#This Row],[Preço]])),AI18)-IF(TbTradesBinance[[#This Row],[Moeda da Taxa]]=MID(AI$1,9,5),TbTradesBinance[[#This Row],[Taxa]],0),8)))</f>
        <v>0</v>
      </c>
      <c r="AJ19" s="145" cm="1">
        <f t="array" ref="AJ19">IF(TbTradesBinance[[#This Row],[Tipo]]="EMPTY",0,AJ18+IF(TbTradesBinance[[#This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Row],[Par]]))),$1:$1,0)),-(AI18-AI19)/AI18*AJ18),0),0)+IF(TbTradesBinance[[#This Row],[Tipo]]="SELL",IF(ISNUMBER(FIND(MID(AJ$1,10,5),TbTradesBinance[[#This Row],[Par]])),IF(FIND(MID(AJ$1,10,5),TbTradesBinance[[#This Row],[Par]])=1, -(AI18-AI19)/AI18*AJ18,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Row],[Par]])),(-(AI18-AI19)/AI18*AJ18)+IF(TbTradesBinance[[#This Row],[Resultado]]&gt;0,0,TbTradesBinance[[#This Row],[Taxa]]),0),0))</f>
        <v>0</v>
      </c>
      <c r="AK19" s="145">
        <f t="shared" si="8"/>
        <v>0</v>
      </c>
      <c r="AL1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Row],[Tipo]]="DROP"),AL18+TbTradesBinance[[#This Row],[Qtt]],AL18-TbTradesBinance[[#This Row],[Qtt]]),IF(TbTradesBinance[[#This Row],[Tipo]]="BUY",AL18-TbTradesBinance[[#This Row],[Qtt]]*TbTradesBinance[[#This Row],[Preço]],AL18+TbTradesBinance[[#This Row],[Qtt]]*TbTradesBinance[[#This Row],[Preço]])),AL18)-IF(TbTradesBinance[[#This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Row],[Tipo]]="DROP"),AL18+TbTradesBinance[[#This Row],[Qtt]],AL18-TbTradesBinance[[#This Row],[Qtt]]),IF(TbTradesBinance[[#This Row],[Tipo]]="BUY",AL18-TbTradesBinance[[#This Row],[Qtt]]*TbTradesBinance[[#This Row],[Preço]],AL18+TbTradesBinance[[#This Row],[Qtt]]*TbTradesBinance[[#This Row],[Preço]])),AL18)-IF(TbTradesBinance[[#This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Row],[Tipo]]="DROP"),AL18+TbTradesBinance[[#This Row],[Qtt]],AL18-TbTradesBinance[[#This Row],[Qtt]]),IF(TbTradesBinance[[#This Row],[Tipo]]="BUY",AL18-TbTradesBinance[[#This Row],[Qtt]]*TbTradesBinance[[#This Row],[Preço]],AL18+TbTradesBinance[[#This Row],[Qtt]]*TbTradesBinance[[#This Row],[Preço]])),AL18)-IF(TbTradesBinance[[#This Row],[Moeda da Taxa]]=MID(AL$1,9,5),TbTradesBinance[[#This Row],[Taxa]],0),8)))</f>
        <v>0</v>
      </c>
      <c r="AM19" s="145" cm="1">
        <f t="array" ref="AM19">IF(TbTradesBinance[[#This Row],[Tipo]]="EMPTY",0,AM18+IF(TbTradesBinance[[#This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Row],[Par]]))),$1:$1,0)),-(AL18-AL19)/AL18*AM18),0),0)+IF(TbTradesBinance[[#This Row],[Tipo]]="SELL",IF(ISNUMBER(FIND(MID(AM$1,10,5),TbTradesBinance[[#This Row],[Par]])),IF(FIND(MID(AM$1,10,5),TbTradesBinance[[#This Row],[Par]])=1, -(AL18-AL19)/AL18*AM18,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Row],[Par]])),(-(AL18-AL19)/AL18*AM18)+IF(TbTradesBinance[[#This Row],[Resultado]]&gt;0,0,TbTradesBinance[[#This Row],[Taxa]]),0),0))</f>
        <v>0</v>
      </c>
      <c r="AN19" s="145">
        <f t="shared" si="9"/>
        <v>0</v>
      </c>
      <c r="AO1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Row],[Tipo]]="DROP"),AO18+TbTradesBinance[[#This Row],[Qtt]],AO18-TbTradesBinance[[#This Row],[Qtt]]),IF(TbTradesBinance[[#This Row],[Tipo]]="BUY",AO18-TbTradesBinance[[#This Row],[Qtt]]*TbTradesBinance[[#This Row],[Preço]],AO18+TbTradesBinance[[#This Row],[Qtt]]*TbTradesBinance[[#This Row],[Preço]])),AO18)-IF(TbTradesBinance[[#This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Row],[Tipo]]="DROP"),AO18+TbTradesBinance[[#This Row],[Qtt]],AO18-TbTradesBinance[[#This Row],[Qtt]]),IF(TbTradesBinance[[#This Row],[Tipo]]="BUY",AO18-TbTradesBinance[[#This Row],[Qtt]]*TbTradesBinance[[#This Row],[Preço]],AO18+TbTradesBinance[[#This Row],[Qtt]]*TbTradesBinance[[#This Row],[Preço]])),AO18)-IF(TbTradesBinance[[#This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Row],[Tipo]]="DROP"),AO18+TbTradesBinance[[#This Row],[Qtt]],AO18-TbTradesBinance[[#This Row],[Qtt]]),IF(TbTradesBinance[[#This Row],[Tipo]]="BUY",AO18-TbTradesBinance[[#This Row],[Qtt]]*TbTradesBinance[[#This Row],[Preço]],AO18+TbTradesBinance[[#This Row],[Qtt]]*TbTradesBinance[[#This Row],[Preço]])),AO18)-IF(TbTradesBinance[[#This Row],[Moeda da Taxa]]=MID(AO$1,9,5),TbTradesBinance[[#This Row],[Taxa]],0),8)))</f>
        <v>0</v>
      </c>
      <c r="AP19" s="145" cm="1">
        <f t="array" ref="AP19">IF(TbTradesBinance[[#This Row],[Tipo]]="EMPTY",0,AP18+IF(TbTradesBinance[[#This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Row],[Par]]))),$1:$1,0)),-(AO18-AO19)/AO18*AP18),0),0)+IF(TbTradesBinance[[#This Row],[Tipo]]="SELL",IF(ISNUMBER(FIND(MID(AP$1,10,5),TbTradesBinance[[#This Row],[Par]])),IF(FIND(MID(AP$1,10,5),TbTradesBinance[[#This Row],[Par]])=1, -(AO18-AO19)/AO18*AP18,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Row],[Par]])),(-(AO18-AO19)/AO18*AP18)+IF(TbTradesBinance[[#This Row],[Resultado]]&gt;0,0,TbTradesBinance[[#This Row],[Taxa]]),0),0))</f>
        <v>0</v>
      </c>
      <c r="AQ19" s="145">
        <f t="shared" si="10"/>
        <v>0</v>
      </c>
      <c r="AR1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Row],[Tipo]]="DROP"),AR18+TbTradesBinance[[#This Row],[Qtt]],AR18-TbTradesBinance[[#This Row],[Qtt]]),IF(TbTradesBinance[[#This Row],[Tipo]]="BUY",AR18-TbTradesBinance[[#This Row],[Qtt]]*TbTradesBinance[[#This Row],[Preço]],AR18+TbTradesBinance[[#This Row],[Qtt]]*TbTradesBinance[[#This Row],[Preço]])),AR18)-IF(TbTradesBinance[[#This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Row],[Tipo]]="DROP"),AR18+TbTradesBinance[[#This Row],[Qtt]],AR18-TbTradesBinance[[#This Row],[Qtt]]),IF(TbTradesBinance[[#This Row],[Tipo]]="BUY",AR18-TbTradesBinance[[#This Row],[Qtt]]*TbTradesBinance[[#This Row],[Preço]],AR18+TbTradesBinance[[#This Row],[Qtt]]*TbTradesBinance[[#This Row],[Preço]])),AR18)-IF(TbTradesBinance[[#This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Row],[Tipo]]="DROP"),AR18+TbTradesBinance[[#This Row],[Qtt]],AR18-TbTradesBinance[[#This Row],[Qtt]]),IF(TbTradesBinance[[#This Row],[Tipo]]="BUY",AR18-TbTradesBinance[[#This Row],[Qtt]]*TbTradesBinance[[#This Row],[Preço]],AR18+TbTradesBinance[[#This Row],[Qtt]]*TbTradesBinance[[#This Row],[Preço]])),AR18)-IF(TbTradesBinance[[#This Row],[Moeda da Taxa]]=MID(AR$1,9,5),TbTradesBinance[[#This Row],[Taxa]],0),8)))</f>
        <v>0</v>
      </c>
      <c r="AS19" s="145" cm="1">
        <f t="array" ref="AS19">IF(TbTradesBinance[[#This Row],[Tipo]]="EMPTY",0,AS18+IF(TbTradesBinance[[#This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Row],[Par]]))),$1:$1,0)),-(AR18-AR19)/AR18*AS18),0),0)+IF(TbTradesBinance[[#This Row],[Tipo]]="SELL",IF(ISNUMBER(FIND(MID(AS$1,10,5),TbTradesBinance[[#This Row],[Par]])),IF(FIND(MID(AS$1,10,5),TbTradesBinance[[#This Row],[Par]])=1, -(AR18-AR19)/AR18*AS18,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Row],[Par]])),(-(AR18-AR19)/AR18*AS18)+IF(TbTradesBinance[[#This Row],[Resultado]]&gt;0,0,TbTradesBinance[[#This Row],[Taxa]]),0),0))</f>
        <v>0</v>
      </c>
      <c r="AT19" s="145">
        <f t="shared" si="11"/>
        <v>0</v>
      </c>
      <c r="AU1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Row],[Tipo]]="DROP"),AU18+TbTradesBinance[[#This Row],[Qtt]],AU18-TbTradesBinance[[#This Row],[Qtt]]),IF(TbTradesBinance[[#This Row],[Tipo]]="BUY",AU18-TbTradesBinance[[#This Row],[Qtt]]*TbTradesBinance[[#This Row],[Preço]],AU18+TbTradesBinance[[#This Row],[Qtt]]*TbTradesBinance[[#This Row],[Preço]])),AU18)-IF(TbTradesBinance[[#This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Row],[Tipo]]="DROP"),AU18+TbTradesBinance[[#This Row],[Qtt]],AU18-TbTradesBinance[[#This Row],[Qtt]]),IF(TbTradesBinance[[#This Row],[Tipo]]="BUY",AU18-TbTradesBinance[[#This Row],[Qtt]]*TbTradesBinance[[#This Row],[Preço]],AU18+TbTradesBinance[[#This Row],[Qtt]]*TbTradesBinance[[#This Row],[Preço]])),AU18)-IF(TbTradesBinance[[#This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Row],[Tipo]]="DROP"),AU18+TbTradesBinance[[#This Row],[Qtt]],AU18-TbTradesBinance[[#This Row],[Qtt]]),IF(TbTradesBinance[[#This Row],[Tipo]]="BUY",AU18-TbTradesBinance[[#This Row],[Qtt]]*TbTradesBinance[[#This Row],[Preço]],AU18+TbTradesBinance[[#This Row],[Qtt]]*TbTradesBinance[[#This Row],[Preço]])),AU18)-IF(TbTradesBinance[[#This Row],[Moeda da Taxa]]=MID(AU$1,9,5),TbTradesBinance[[#This Row],[Taxa]],0),8)))</f>
        <v>0</v>
      </c>
      <c r="AV19" s="145" cm="1">
        <f t="array" ref="AV19">IF(TbTradesBinance[[#This Row],[Tipo]]="EMPTY",0,AV18+IF(TbTradesBinance[[#This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Row],[Par]]))),$1:$1,0)),-(AU18-AU19)/AU18*AV18),0),0)+IF(TbTradesBinance[[#This Row],[Tipo]]="SELL",IF(ISNUMBER(FIND(MID(AV$1,10,5),TbTradesBinance[[#This Row],[Par]])),IF(FIND(MID(AV$1,10,5),TbTradesBinance[[#This Row],[Par]])=1, -(AU18-AU19)/AU18*AV18,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Row],[Par]])),(-(AU18-AU19)/AU18*AV18)+IF(TbTradesBinance[[#This Row],[Resultado]]&gt;0,0,TbTradesBinance[[#This Row],[Taxa]]),0),0))</f>
        <v>0</v>
      </c>
      <c r="AW19" s="145">
        <f t="shared" si="12"/>
        <v>0</v>
      </c>
      <c r="AX1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Row],[Tipo]]="DROP"),AX18+TbTradesBinance[[#This Row],[Qtt]],AX18-TbTradesBinance[[#This Row],[Qtt]]),IF(TbTradesBinance[[#This Row],[Tipo]]="BUY",AX18-TbTradesBinance[[#This Row],[Qtt]]*TbTradesBinance[[#This Row],[Preço]],AX18+TbTradesBinance[[#This Row],[Qtt]]*TbTradesBinance[[#This Row],[Preço]])),AX18)-IF(TbTradesBinance[[#This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Row],[Tipo]]="DROP"),AX18+TbTradesBinance[[#This Row],[Qtt]],AX18-TbTradesBinance[[#This Row],[Qtt]]),IF(TbTradesBinance[[#This Row],[Tipo]]="BUY",AX18-TbTradesBinance[[#This Row],[Qtt]]*TbTradesBinance[[#This Row],[Preço]],AX18+TbTradesBinance[[#This Row],[Qtt]]*TbTradesBinance[[#This Row],[Preço]])),AX18)-IF(TbTradesBinance[[#This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Row],[Tipo]]="DROP"),AX18+TbTradesBinance[[#This Row],[Qtt]],AX18-TbTradesBinance[[#This Row],[Qtt]]),IF(TbTradesBinance[[#This Row],[Tipo]]="BUY",AX18-TbTradesBinance[[#This Row],[Qtt]]*TbTradesBinance[[#This Row],[Preço]],AX18+TbTradesBinance[[#This Row],[Qtt]]*TbTradesBinance[[#This Row],[Preço]])),AX18)-IF(TbTradesBinance[[#This Row],[Moeda da Taxa]]=MID(AX$1,9,5),TbTradesBinance[[#This Row],[Taxa]],0),8)))</f>
        <v>0</v>
      </c>
      <c r="AY19" s="145" cm="1">
        <f t="array" ref="AY19">IF(TbTradesBinance[[#This Row],[Tipo]]="EMPTY",0,AY18+IF(TbTradesBinance[[#This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Row],[Par]]))),$1:$1,0)),-(AX18-AX19)/AX18*AY18),0),0)+IF(TbTradesBinance[[#This Row],[Tipo]]="SELL",IF(ISNUMBER(FIND(MID(AY$1,10,5),TbTradesBinance[[#This Row],[Par]])),IF(FIND(MID(AY$1,10,5),TbTradesBinance[[#This Row],[Par]])=1, -(AX18-AX19)/AX18*AY18,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Row],[Par]])),(-(AX18-AX19)/AX18*AY18)+IF(TbTradesBinance[[#This Row],[Resultado]]&gt;0,0,TbTradesBinance[[#This Row],[Taxa]]),0),0))</f>
        <v>0</v>
      </c>
      <c r="AZ19" s="145">
        <f t="shared" si="13"/>
        <v>0</v>
      </c>
      <c r="BA1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Row],[Tipo]]="DROP"),BA18+TbTradesBinance[[#This Row],[Qtt]],BA18-TbTradesBinance[[#This Row],[Qtt]]),IF(TbTradesBinance[[#This Row],[Tipo]]="BUY",BA18-TbTradesBinance[[#This Row],[Qtt]]*TbTradesBinance[[#This Row],[Preço]],BA18+TbTradesBinance[[#This Row],[Qtt]]*TbTradesBinance[[#This Row],[Preço]])),BA18)-IF(TbTradesBinance[[#This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Row],[Tipo]]="DROP"),BA18+TbTradesBinance[[#This Row],[Qtt]],BA18-TbTradesBinance[[#This Row],[Qtt]]),IF(TbTradesBinance[[#This Row],[Tipo]]="BUY",BA18-TbTradesBinance[[#This Row],[Qtt]]*TbTradesBinance[[#This Row],[Preço]],BA18+TbTradesBinance[[#This Row],[Qtt]]*TbTradesBinance[[#This Row],[Preço]])),BA18)-IF(TbTradesBinance[[#This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Row],[Tipo]]="DROP"),BA18+TbTradesBinance[[#This Row],[Qtt]],BA18-TbTradesBinance[[#This Row],[Qtt]]),IF(TbTradesBinance[[#This Row],[Tipo]]="BUY",BA18-TbTradesBinance[[#This Row],[Qtt]]*TbTradesBinance[[#This Row],[Preço]],BA18+TbTradesBinance[[#This Row],[Qtt]]*TbTradesBinance[[#This Row],[Preço]])),BA18)-IF(TbTradesBinance[[#This Row],[Moeda da Taxa]]=MID(BA$1,9,5),TbTradesBinance[[#This Row],[Taxa]],0),8)))</f>
        <v>0</v>
      </c>
      <c r="BB19" s="145" cm="1">
        <f t="array" ref="BB19">IF(TbTradesBinance[[#This Row],[Tipo]]="EMPTY",0,BB18+IF(TbTradesBinance[[#This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Row],[Par]]))),$1:$1,0)),-(BA18-BA19)/BA18*BB18),0),0)+IF(TbTradesBinance[[#This Row],[Tipo]]="SELL",IF(ISNUMBER(FIND(MID(BB$1,10,5),TbTradesBinance[[#This Row],[Par]])),IF(FIND(MID(BB$1,10,5),TbTradesBinance[[#This Row],[Par]])=1, -(BA18-BA19)/BA18*BB18,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Row],[Par]])),(-(BA18-BA19)/BA18*BB18)+IF(TbTradesBinance[[#This Row],[Resultado]]&gt;0,0,TbTradesBinance[[#This Row],[Taxa]]),0),0))</f>
        <v>0</v>
      </c>
      <c r="BC19" s="145">
        <f t="shared" si="14"/>
        <v>0</v>
      </c>
      <c r="BD1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Row],[Tipo]]="DROP"),BD18+TbTradesBinance[[#This Row],[Qtt]],BD18-TbTradesBinance[[#This Row],[Qtt]]),IF(TbTradesBinance[[#This Row],[Tipo]]="BUY",BD18-TbTradesBinance[[#This Row],[Qtt]]*TbTradesBinance[[#This Row],[Preço]],BD18+TbTradesBinance[[#This Row],[Qtt]]*TbTradesBinance[[#This Row],[Preço]])),BD18)-IF(TbTradesBinance[[#This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Row],[Tipo]]="DROP"),BD18+TbTradesBinance[[#This Row],[Qtt]],BD18-TbTradesBinance[[#This Row],[Qtt]]),IF(TbTradesBinance[[#This Row],[Tipo]]="BUY",BD18-TbTradesBinance[[#This Row],[Qtt]]*TbTradesBinance[[#This Row],[Preço]],BD18+TbTradesBinance[[#This Row],[Qtt]]*TbTradesBinance[[#This Row],[Preço]])),BD18)-IF(TbTradesBinance[[#This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Row],[Tipo]]="DROP"),BD18+TbTradesBinance[[#This Row],[Qtt]],BD18-TbTradesBinance[[#This Row],[Qtt]]),IF(TbTradesBinance[[#This Row],[Tipo]]="BUY",BD18-TbTradesBinance[[#This Row],[Qtt]]*TbTradesBinance[[#This Row],[Preço]],BD18+TbTradesBinance[[#This Row],[Qtt]]*TbTradesBinance[[#This Row],[Preço]])),BD18)-IF(TbTradesBinance[[#This Row],[Moeda da Taxa]]=MID(BD$1,9,5),TbTradesBinance[[#This Row],[Taxa]],0),8)))</f>
        <v>0</v>
      </c>
      <c r="BE19" s="145" cm="1">
        <f t="array" ref="BE19">IF(TbTradesBinance[[#This Row],[Tipo]]="EMPTY",0,BE18+IF(TbTradesBinance[[#This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Row],[Par]]))),$1:$1,0)),-(BD18-BD19)/BD18*BE18),0),0)+IF(TbTradesBinance[[#This Row],[Tipo]]="SELL",IF(ISNUMBER(FIND(MID(BE$1,10,5),TbTradesBinance[[#This Row],[Par]])),IF(FIND(MID(BE$1,10,5),TbTradesBinance[[#This Row],[Par]])=1, -(BD18-BD19)/BD18*BE18,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Row],[Par]])),(-(BD18-BD19)/BD18*BE18)+IF(TbTradesBinance[[#This Row],[Resultado]]&gt;0,0,TbTradesBinance[[#This Row],[Taxa]]),0),0))</f>
        <v>0</v>
      </c>
      <c r="BF19" s="145">
        <f t="shared" si="15"/>
        <v>0</v>
      </c>
      <c r="BG1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Row],[Tipo]]="DROP"),BG18+TbTradesBinance[[#This Row],[Qtt]],BG18-TbTradesBinance[[#This Row],[Qtt]]),IF(TbTradesBinance[[#This Row],[Tipo]]="BUY",BG18-TbTradesBinance[[#This Row],[Qtt]]*TbTradesBinance[[#This Row],[Preço]],BG18+TbTradesBinance[[#This Row],[Qtt]]*TbTradesBinance[[#This Row],[Preço]])),BG18)-IF(TbTradesBinance[[#This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Row],[Tipo]]="DROP"),BG18+TbTradesBinance[[#This Row],[Qtt]],BG18-TbTradesBinance[[#This Row],[Qtt]]),IF(TbTradesBinance[[#This Row],[Tipo]]="BUY",BG18-TbTradesBinance[[#This Row],[Qtt]]*TbTradesBinance[[#This Row],[Preço]],BG18+TbTradesBinance[[#This Row],[Qtt]]*TbTradesBinance[[#This Row],[Preço]])),BG18)-IF(TbTradesBinance[[#This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Row],[Tipo]]="DROP"),BG18+TbTradesBinance[[#This Row],[Qtt]],BG18-TbTradesBinance[[#This Row],[Qtt]]),IF(TbTradesBinance[[#This Row],[Tipo]]="BUY",BG18-TbTradesBinance[[#This Row],[Qtt]]*TbTradesBinance[[#This Row],[Preço]],BG18+TbTradesBinance[[#This Row],[Qtt]]*TbTradesBinance[[#This Row],[Preço]])),BG18)-IF(TbTradesBinance[[#This Row],[Moeda da Taxa]]=MID(BG$1,9,5),TbTradesBinance[[#This Row],[Taxa]],0),8)))</f>
        <v>0</v>
      </c>
      <c r="BH19" s="145" cm="1">
        <f t="array" ref="BH19">IF(TbTradesBinance[[#This Row],[Tipo]]="EMPTY",0,BH18+IF(TbTradesBinance[[#This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Row],[Par]]))),$1:$1,0)),-(BG18-BG19)/BG18*BH18),0),0)+IF(TbTradesBinance[[#This Row],[Tipo]]="SELL",IF(ISNUMBER(FIND(MID(BH$1,10,5),TbTradesBinance[[#This Row],[Par]])),IF(FIND(MID(BH$1,10,5),TbTradesBinance[[#This Row],[Par]])=1, -(BG18-BG19)/BG18*BH18,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Row],[Par]])),(-(BG18-BG19)/BG18*BH18)+IF(TbTradesBinance[[#This Row],[Resultado]]&gt;0,0,TbTradesBinance[[#This Row],[Taxa]]),0),0))</f>
        <v>0</v>
      </c>
      <c r="BI19" s="145">
        <f t="shared" si="16"/>
        <v>0</v>
      </c>
      <c r="BJ1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Row],[Tipo]]="DROP"),BJ18+TbTradesBinance[[#This Row],[Qtt]],BJ18-TbTradesBinance[[#This Row],[Qtt]]),IF(TbTradesBinance[[#This Row],[Tipo]]="BUY",BJ18-TbTradesBinance[[#This Row],[Qtt]]*TbTradesBinance[[#This Row],[Preço]],BJ18+TbTradesBinance[[#This Row],[Qtt]]*TbTradesBinance[[#This Row],[Preço]])),BJ18)-IF(TbTradesBinance[[#This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Row],[Tipo]]="DROP"),BJ18+TbTradesBinance[[#This Row],[Qtt]],BJ18-TbTradesBinance[[#This Row],[Qtt]]),IF(TbTradesBinance[[#This Row],[Tipo]]="BUY",BJ18-TbTradesBinance[[#This Row],[Qtt]]*TbTradesBinance[[#This Row],[Preço]],BJ18+TbTradesBinance[[#This Row],[Qtt]]*TbTradesBinance[[#This Row],[Preço]])),BJ18)-IF(TbTradesBinance[[#This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Row],[Tipo]]="DROP"),BJ18+TbTradesBinance[[#This Row],[Qtt]],BJ18-TbTradesBinance[[#This Row],[Qtt]]),IF(TbTradesBinance[[#This Row],[Tipo]]="BUY",BJ18-TbTradesBinance[[#This Row],[Qtt]]*TbTradesBinance[[#This Row],[Preço]],BJ18+TbTradesBinance[[#This Row],[Qtt]]*TbTradesBinance[[#This Row],[Preço]])),BJ18)-IF(TbTradesBinance[[#This Row],[Moeda da Taxa]]=MID(BJ$1,9,5),TbTradesBinance[[#This Row],[Taxa]],0),8)))</f>
        <v>0</v>
      </c>
      <c r="BK19" s="145" cm="1">
        <f t="array" ref="BK19">IF(TbTradesBinance[[#This Row],[Tipo]]="EMPTY",0,BK18+IF(TbTradesBinance[[#This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Row],[Par]]))),$1:$1,0)),-(BJ18-BJ19)/BJ18*BK18),0),0)+IF(TbTradesBinance[[#This Row],[Tipo]]="SELL",IF(ISNUMBER(FIND(MID(BK$1,10,5),TbTradesBinance[[#This Row],[Par]])),IF(FIND(MID(BK$1,10,5),TbTradesBinance[[#This Row],[Par]])=1, -(BJ18-BJ19)/BJ18*BK18,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Row],[Par]])),(-(BJ18-BJ19)/BJ18*BK18)+IF(TbTradesBinance[[#This Row],[Resultado]]&gt;0,0,TbTradesBinance[[#This Row],[Taxa]]),0),0))</f>
        <v>0</v>
      </c>
      <c r="BL19" s="145">
        <f t="shared" si="17"/>
        <v>0</v>
      </c>
      <c r="BM1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Row],[Tipo]]="DROP"),BM18+TbTradesBinance[[#This Row],[Qtt]],BM18-TbTradesBinance[[#This Row],[Qtt]]),IF(TbTradesBinance[[#This Row],[Tipo]]="BUY",BM18-TbTradesBinance[[#This Row],[Qtt]]*TbTradesBinance[[#This Row],[Preço]],BM18+TbTradesBinance[[#This Row],[Qtt]]*TbTradesBinance[[#This Row],[Preço]])),BM18)-IF(TbTradesBinance[[#This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Row],[Tipo]]="DROP"),BM18+TbTradesBinance[[#This Row],[Qtt]],BM18-TbTradesBinance[[#This Row],[Qtt]]),IF(TbTradesBinance[[#This Row],[Tipo]]="BUY",BM18-TbTradesBinance[[#This Row],[Qtt]]*TbTradesBinance[[#This Row],[Preço]],BM18+TbTradesBinance[[#This Row],[Qtt]]*TbTradesBinance[[#This Row],[Preço]])),BM18)-IF(TbTradesBinance[[#This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Row],[Tipo]]="DROP"),BM18+TbTradesBinance[[#This Row],[Qtt]],BM18-TbTradesBinance[[#This Row],[Qtt]]),IF(TbTradesBinance[[#This Row],[Tipo]]="BUY",BM18-TbTradesBinance[[#This Row],[Qtt]]*TbTradesBinance[[#This Row],[Preço]],BM18+TbTradesBinance[[#This Row],[Qtt]]*TbTradesBinance[[#This Row],[Preço]])),BM18)-IF(TbTradesBinance[[#This Row],[Moeda da Taxa]]=MID(BM$1,9,5),TbTradesBinance[[#This Row],[Taxa]],0),8)))</f>
        <v>0</v>
      </c>
      <c r="BN19" s="145" cm="1">
        <f t="array" ref="BN19">IF(TbTradesBinance[[#This Row],[Tipo]]="EMPTY",0,BN18+IF(TbTradesBinance[[#This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Row],[Par]]))),$1:$1,0)),-(BM18-BM19)/BM18*BN18),0),0)+IF(TbTradesBinance[[#This Row],[Tipo]]="SELL",IF(ISNUMBER(FIND(MID(BN$1,10,5),TbTradesBinance[[#This Row],[Par]])),IF(FIND(MID(BN$1,10,5),TbTradesBinance[[#This Row],[Par]])=1, -(BM18-BM19)/BM18*BN18,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Row],[Par]])),(-(BM18-BM19)/BM18*BN18)+IF(TbTradesBinance[[#This Row],[Resultado]]&gt;0,0,TbTradesBinance[[#This Row],[Taxa]]),0),0))</f>
        <v>0</v>
      </c>
      <c r="BO19" s="145">
        <f t="shared" si="18"/>
        <v>0</v>
      </c>
    </row>
    <row r="20" spans="2:67" x14ac:dyDescent="0.3">
      <c r="B20" s="51"/>
      <c r="C20" s="40">
        <f>TRUNC(IF(AND(TbTradesBinance[[#This Row],[Tipo]]="SEND",TbTradesBinance[[#This Row],[Par]]="BRL"),TbTradesBinance[[#This Row],[Qtt]]*(1-P18)-IF(TbTradesBinance[[#This Row],[Moeda da Taxa]]="BRL",TbTradesBinance[[#This Row],[Taxa]],0),0)+IF(AND(TbTradesBinance[[#This Row],[Tipo]]="BURN",TbTradesBinance[[#This Row],[Par]]="BRL"),-TbTradesBinance[[#This Row],[Qtt]]*P18,0),2)</f>
        <v>0</v>
      </c>
      <c r="D20" s="53">
        <v>44250.892326388886</v>
      </c>
      <c r="E20" s="37" t="s">
        <v>138</v>
      </c>
      <c r="F20" s="47" t="s">
        <v>139</v>
      </c>
      <c r="G20" s="38">
        <v>263009</v>
      </c>
      <c r="H20" s="38">
        <v>1.1400000000000001E-4</v>
      </c>
      <c r="I20" s="38">
        <v>1.1000000000000001E-7</v>
      </c>
      <c r="J20" s="37" t="s">
        <v>6</v>
      </c>
      <c r="K20" s="52">
        <v>1</v>
      </c>
      <c r="L20" s="40">
        <f t="shared" si="0"/>
        <v>263009</v>
      </c>
      <c r="M20" s="40">
        <f>IF(OR(TbTradesBinance[[#This Row],[Tipo]]="BUY",TbTradesBinance[[#This Row],[Tipo]]="RECEIVE",TbTradesBinance[[#This Row],[Tipo]]="DROP"),L20*H20,-L20*H20)</f>
        <v>29.983026000000002</v>
      </c>
      <c r="N2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Row],[Tipo]]="DROP"),N19+TbTradesBinance[[#This Row],[Qtt]],N19-TbTradesBinance[[#This Row],[Qtt]]),IF(TbTradesBinance[[#This Row],[Tipo]]="BUY",N19-TbTradesBinance[[#This Row],[Qtt]]*TbTradesBinance[[#This Row],[Preço]],N19+TbTradesBinance[[#This Row],[Qtt]]*TbTradesBinance[[#This Row],[Preço]])),N19)-IF(TbTradesBinance[[#This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Row],[Tipo]]="DROP"),N19+TbTradesBinance[[#This Row],[Qtt]],N19-TbTradesBinance[[#This Row],[Qtt]]),IF(TbTradesBinance[[#This Row],[Tipo]]="BUY",N19-TbTradesBinance[[#This Row],[Qtt]]*TbTradesBinance[[#This Row],[Preço]],N19+TbTradesBinance[[#This Row],[Qtt]]*TbTradesBinance[[#This Row],[Preço]])),N19)-IF(TbTradesBinance[[#This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Row],[Tipo]]="DROP"),N19+TbTradesBinance[[#This Row],[Qtt]],N19-TbTradesBinance[[#This Row],[Qtt]]),IF(TbTradesBinance[[#This Row],[Tipo]]="BUY",N19-TbTradesBinance[[#This Row],[Qtt]]*TbTradesBinance[[#This Row],[Preço]],N19+TbTradesBinance[[#This Row],[Qtt]]*TbTradesBinance[[#This Row],[Preço]])),N19)-IF(TbTradesBinance[[#This Row],[Moeda da Taxa]]=MID(N$1,9,5),TbTradesBinance[[#This Row],[Taxa]],0),8)))</f>
        <v>19940.5241069</v>
      </c>
      <c r="O20" s="145" cm="1">
        <f t="array" ref="O20">IF(TbTradesBinance[[#This Row],[Tipo]]="EMPTY",0,O19+IF(TbTradesBinance[[#This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Row],[Par]]))),$1:$1,0)),-(N19-N20)/N19*O19),0),0)+IF(TbTradesBinance[[#This Row],[Tipo]]="SELL",IF(ISNUMBER(FIND(MID(O$1,10,5),TbTradesBinance[[#This Row],[Par]])),IF(FIND(MID(O$1,10,5),TbTradesBinance[[#This Row],[Par]])=1, -(N19-N20)/N19*O19,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Row],[Par]])),(-(N19-N20)/N19*O19)+IF(TbTradesBinance[[#This Row],[Resultado]]&gt;0,0,TbTradesBinance[[#This Row],[Taxa]]),0),0))</f>
        <v>19896.500114158865</v>
      </c>
      <c r="P20" s="145">
        <f t="shared" si="1"/>
        <v>0.99779223492295765</v>
      </c>
      <c r="Q2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Row],[Tipo]]="DROP"),Q19+TbTradesBinance[[#This Row],[Qtt]],Q19-TbTradesBinance[[#This Row],[Qtt]]),IF(TbTradesBinance[[#This Row],[Tipo]]="BUY",Q19-TbTradesBinance[[#This Row],[Qtt]]*TbTradesBinance[[#This Row],[Preço]],Q19+TbTradesBinance[[#This Row],[Qtt]]*TbTradesBinance[[#This Row],[Preço]])),Q19)-IF(TbTradesBinance[[#This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Row],[Tipo]]="DROP"),Q19+TbTradesBinance[[#This Row],[Qtt]],Q19-TbTradesBinance[[#This Row],[Qtt]]),IF(TbTradesBinance[[#This Row],[Tipo]]="BUY",Q19-TbTradesBinance[[#This Row],[Qtt]]*TbTradesBinance[[#This Row],[Preço]],Q19+TbTradesBinance[[#This Row],[Qtt]]*TbTradesBinance[[#This Row],[Preço]])),Q19)-IF(TbTradesBinance[[#This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Row],[Tipo]]="DROP"),Q19+TbTradesBinance[[#This Row],[Qtt]],Q19-TbTradesBinance[[#This Row],[Qtt]]),IF(TbTradesBinance[[#This Row],[Tipo]]="BUY",Q19-TbTradesBinance[[#This Row],[Qtt]]*TbTradesBinance[[#This Row],[Preço]],Q19+TbTradesBinance[[#This Row],[Qtt]]*TbTradesBinance[[#This Row],[Preço]])),Q19)-IF(TbTradesBinance[[#This Row],[Moeda da Taxa]]=MID(Q$1,9,5),TbTradesBinance[[#This Row],[Taxa]],0),8)))</f>
        <v>0</v>
      </c>
      <c r="R20" s="145" cm="1">
        <f t="array" ref="R20">IF(TbTradesBinance[[#This Row],[Tipo]]="EMPTY",0,R19+IF(TbTradesBinance[[#This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Row],[Par]]))),$1:$1,0)),-(Q19-Q20)/Q19*R19),0),0)+IF(TbTradesBinance[[#This Row],[Tipo]]="SELL",IF(ISNUMBER(FIND(MID(R$1,10,5),TbTradesBinance[[#This Row],[Par]])),IF(FIND(MID(R$1,10,5),TbTradesBinance[[#This Row],[Par]])=1, -(Q19-Q20)/Q19*R19,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Row],[Par]])),(-(Q19-Q20)/Q19*R19)+IF(TbTradesBinance[[#This Row],[Resultado]]&gt;0,0,TbTradesBinance[[#This Row],[Taxa]]),0),0))</f>
        <v>0</v>
      </c>
      <c r="S20" s="145">
        <f t="shared" si="2"/>
        <v>0</v>
      </c>
      <c r="T2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Row],[Tipo]]="DROP"),T19+TbTradesBinance[[#This Row],[Qtt]],T19-TbTradesBinance[[#This Row],[Qtt]]),IF(TbTradesBinance[[#This Row],[Tipo]]="BUY",T19-TbTradesBinance[[#This Row],[Qtt]]*TbTradesBinance[[#This Row],[Preço]],T19+TbTradesBinance[[#This Row],[Qtt]]*TbTradesBinance[[#This Row],[Preço]])),T19)-IF(TbTradesBinance[[#This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Row],[Tipo]]="DROP"),T19+TbTradesBinance[[#This Row],[Qtt]],T19-TbTradesBinance[[#This Row],[Qtt]]),IF(TbTradesBinance[[#This Row],[Tipo]]="BUY",T19-TbTradesBinance[[#This Row],[Qtt]]*TbTradesBinance[[#This Row],[Preço]],T19+TbTradesBinance[[#This Row],[Qtt]]*TbTradesBinance[[#This Row],[Preço]])),T19)-IF(TbTradesBinance[[#This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Row],[Tipo]]="DROP"),T19+TbTradesBinance[[#This Row],[Qtt]],T19-TbTradesBinance[[#This Row],[Qtt]]),IF(TbTradesBinance[[#This Row],[Tipo]]="BUY",T19-TbTradesBinance[[#This Row],[Qtt]]*TbTradesBinance[[#This Row],[Preço]],T19+TbTradesBinance[[#This Row],[Qtt]]*TbTradesBinance[[#This Row],[Preço]])),T19)-IF(TbTradesBinance[[#This Row],[Moeda da Taxa]]=MID(T$1,9,5),TbTradesBinance[[#This Row],[Taxa]],0),8)))</f>
        <v>2.867312E-2</v>
      </c>
      <c r="U20" s="145" cm="1">
        <f t="array" ref="U20">IF(TbTradesBinance[[#This Row],[Tipo]]="EMPTY",0,U19+IF(TbTradesBinance[[#This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Row],[Par]]))),$1:$1,0)),-(T19-T20)/T19*U19),0),0)+IF(TbTradesBinance[[#This Row],[Tipo]]="SELL",IF(ISNUMBER(FIND(MID(U$1,10,5),TbTradesBinance[[#This Row],[Par]])),IF(FIND(MID(U$1,10,5),TbTradesBinance[[#This Row],[Par]])=1, -(T19-T20)/T19*U19,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Row],[Par]])),(-(T19-T20)/T19*U19)+IF(TbTradesBinance[[#This Row],[Resultado]]&gt;0,0,TbTradesBinance[[#This Row],[Taxa]]),0),0))</f>
        <v>0.19365209596473676</v>
      </c>
      <c r="V20" s="145">
        <f t="shared" si="3"/>
        <v>6.7537852861752317</v>
      </c>
      <c r="W2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Row],[Tipo]]="DROP"),W19+TbTradesBinance[[#This Row],[Qtt]],W19-TbTradesBinance[[#This Row],[Qtt]]),IF(TbTradesBinance[[#This Row],[Tipo]]="BUY",W19-TbTradesBinance[[#This Row],[Qtt]]*TbTradesBinance[[#This Row],[Preço]],W19+TbTradesBinance[[#This Row],[Qtt]]*TbTradesBinance[[#This Row],[Preço]])),W19)-IF(TbTradesBinance[[#This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Row],[Tipo]]="DROP"),W19+TbTradesBinance[[#This Row],[Qtt]],W19-TbTradesBinance[[#This Row],[Qtt]]),IF(TbTradesBinance[[#This Row],[Tipo]]="BUY",W19-TbTradesBinance[[#This Row],[Qtt]]*TbTradesBinance[[#This Row],[Preço]],W19+TbTradesBinance[[#This Row],[Qtt]]*TbTradesBinance[[#This Row],[Preço]])),W19)-IF(TbTradesBinance[[#This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Row],[Tipo]]="DROP"),W19+TbTradesBinance[[#This Row],[Qtt]],W19-TbTradesBinance[[#This Row],[Qtt]]),IF(TbTradesBinance[[#This Row],[Tipo]]="BUY",W19-TbTradesBinance[[#This Row],[Qtt]]*TbTradesBinance[[#This Row],[Preço]],W19+TbTradesBinance[[#This Row],[Qtt]]*TbTradesBinance[[#This Row],[Preço]])),W19)-IF(TbTradesBinance[[#This Row],[Moeda da Taxa]]=MID(W$1,9,5),TbTradesBinance[[#This Row],[Taxa]],0),8)))</f>
        <v>3.9227000000000001E-4</v>
      </c>
      <c r="X20" s="145" cm="1">
        <f t="array" ref="X20">IF(TbTradesBinance[[#This Row],[Tipo]]="EMPTY",0,X19+IF(TbTradesBinance[[#This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Row],[Par]]))),$1:$1,0)),-(W19-W20)/W19*X19),0),0)+IF(TbTradesBinance[[#This Row],[Tipo]]="SELL",IF(ISNUMBER(FIND(MID(X$1,10,5),TbTradesBinance[[#This Row],[Par]])),IF(FIND(MID(X$1,10,5),TbTradesBinance[[#This Row],[Par]])=1, -(W19-W20)/W19*X19,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Row],[Par]])),(-(W19-W20)/W19*X19)+IF(TbTradesBinance[[#This Row],[Resultado]]&gt;0,0,TbTradesBinance[[#This Row],[Taxa]]),0),0))</f>
        <v>103.30623374517208</v>
      </c>
      <c r="Y20" s="145">
        <f t="shared" si="4"/>
        <v>263354.91815630073</v>
      </c>
      <c r="Z2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Row],[Tipo]]="DROP"),Z19+TbTradesBinance[[#This Row],[Qtt]],Z19-TbTradesBinance[[#This Row],[Qtt]]),IF(TbTradesBinance[[#This Row],[Tipo]]="BUY",Z19-TbTradesBinance[[#This Row],[Qtt]]*TbTradesBinance[[#This Row],[Preço]],Z19+TbTradesBinance[[#This Row],[Qtt]]*TbTradesBinance[[#This Row],[Preço]])),Z19)-IF(TbTradesBinance[[#This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Row],[Tipo]]="DROP"),Z19+TbTradesBinance[[#This Row],[Qtt]],Z19-TbTradesBinance[[#This Row],[Qtt]]),IF(TbTradesBinance[[#This Row],[Tipo]]="BUY",Z19-TbTradesBinance[[#This Row],[Qtt]]*TbTradesBinance[[#This Row],[Preço]],Z19+TbTradesBinance[[#This Row],[Qtt]]*TbTradesBinance[[#This Row],[Preço]])),Z19)-IF(TbTradesBinance[[#This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Row],[Tipo]]="DROP"),Z19+TbTradesBinance[[#This Row],[Qtt]],Z19-TbTradesBinance[[#This Row],[Qtt]]),IF(TbTradesBinance[[#This Row],[Tipo]]="BUY",Z19-TbTradesBinance[[#This Row],[Qtt]]*TbTradesBinance[[#This Row],[Preço]],Z19+TbTradesBinance[[#This Row],[Qtt]]*TbTradesBinance[[#This Row],[Preço]])),Z19)-IF(TbTradesBinance[[#This Row],[Moeda da Taxa]]=MID(Z$1,9,5),TbTradesBinance[[#This Row],[Taxa]],0),8)))</f>
        <v>0</v>
      </c>
      <c r="AA20" s="145" cm="1">
        <f t="array" ref="AA20">IF(TbTradesBinance[[#This Row],[Tipo]]="EMPTY",0,AA19+IF(TbTradesBinance[[#This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Row],[Par]]))),$1:$1,0)),-(Z19-Z20)/Z19*AA19),0),0)+IF(TbTradesBinance[[#This Row],[Tipo]]="SELL",IF(ISNUMBER(FIND(MID(AA$1,10,5),TbTradesBinance[[#This Row],[Par]])),IF(FIND(MID(AA$1,10,5),TbTradesBinance[[#This Row],[Par]])=1, -(Z19-Z20)/Z19*AA19,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Row],[Par]])),(-(Z19-Z20)/Z19*AA19)+IF(TbTradesBinance[[#This Row],[Resultado]]&gt;0,0,TbTradesBinance[[#This Row],[Taxa]]),0),0))</f>
        <v>0</v>
      </c>
      <c r="AB20" s="145">
        <f t="shared" si="5"/>
        <v>0</v>
      </c>
      <c r="AC2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Row],[Tipo]]="DROP"),AC19+TbTradesBinance[[#This Row],[Qtt]],AC19-TbTradesBinance[[#This Row],[Qtt]]),IF(TbTradesBinance[[#This Row],[Tipo]]="BUY",AC19-TbTradesBinance[[#This Row],[Qtt]]*TbTradesBinance[[#This Row],[Preço]],AC19+TbTradesBinance[[#This Row],[Qtt]]*TbTradesBinance[[#This Row],[Preço]])),AC19)-IF(TbTradesBinance[[#This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Row],[Tipo]]="DROP"),AC19+TbTradesBinance[[#This Row],[Qtt]],AC19-TbTradesBinance[[#This Row],[Qtt]]),IF(TbTradesBinance[[#This Row],[Tipo]]="BUY",AC19-TbTradesBinance[[#This Row],[Qtt]]*TbTradesBinance[[#This Row],[Preço]],AC19+TbTradesBinance[[#This Row],[Qtt]]*TbTradesBinance[[#This Row],[Preço]])),AC19)-IF(TbTradesBinance[[#This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Row],[Tipo]]="DROP"),AC19+TbTradesBinance[[#This Row],[Qtt]],AC19-TbTradesBinance[[#This Row],[Qtt]]),IF(TbTradesBinance[[#This Row],[Tipo]]="BUY",AC19-TbTradesBinance[[#This Row],[Qtt]]*TbTradesBinance[[#This Row],[Preço]],AC19+TbTradesBinance[[#This Row],[Qtt]]*TbTradesBinance[[#This Row],[Preço]])),AC19)-IF(TbTradesBinance[[#This Row],[Moeda da Taxa]]=MID(AC$1,9,5),TbTradesBinance[[#This Row],[Taxa]],0),8)))</f>
        <v>0</v>
      </c>
      <c r="AD20" s="145" cm="1">
        <f t="array" ref="AD20">IF(TbTradesBinance[[#This Row],[Tipo]]="EMPTY",0,AD19+IF(TbTradesBinance[[#This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Row],[Par]]))),$1:$1,0)),-(AC19-AC20)/AC19*AD19),0),0)+IF(TbTradesBinance[[#This Row],[Tipo]]="SELL",IF(ISNUMBER(FIND(MID(AD$1,10,5),TbTradesBinance[[#This Row],[Par]])),IF(FIND(MID(AD$1,10,5),TbTradesBinance[[#This Row],[Par]])=1, -(AC19-AC20)/AC19*AD19,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Row],[Par]])),(-(AC19-AC20)/AC19*AD19)+IF(TbTradesBinance[[#This Row],[Resultado]]&gt;0,0,TbTradesBinance[[#This Row],[Taxa]]),0),0))</f>
        <v>0</v>
      </c>
      <c r="AE20" s="145">
        <f t="shared" si="6"/>
        <v>0</v>
      </c>
      <c r="AF2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Row],[Tipo]]="DROP"),AF19+TbTradesBinance[[#This Row],[Qtt]],AF19-TbTradesBinance[[#This Row],[Qtt]]),IF(TbTradesBinance[[#This Row],[Tipo]]="BUY",AF19-TbTradesBinance[[#This Row],[Qtt]]*TbTradesBinance[[#This Row],[Preço]],AF19+TbTradesBinance[[#This Row],[Qtt]]*TbTradesBinance[[#This Row],[Preço]])),AF19)-IF(TbTradesBinance[[#This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Row],[Tipo]]="DROP"),AF19+TbTradesBinance[[#This Row],[Qtt]],AF19-TbTradesBinance[[#This Row],[Qtt]]),IF(TbTradesBinance[[#This Row],[Tipo]]="BUY",AF19-TbTradesBinance[[#This Row],[Qtt]]*TbTradesBinance[[#This Row],[Preço]],AF19+TbTradesBinance[[#This Row],[Qtt]]*TbTradesBinance[[#This Row],[Preço]])),AF19)-IF(TbTradesBinance[[#This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Row],[Tipo]]="DROP"),AF19+TbTradesBinance[[#This Row],[Qtt]],AF19-TbTradesBinance[[#This Row],[Qtt]]),IF(TbTradesBinance[[#This Row],[Tipo]]="BUY",AF19-TbTradesBinance[[#This Row],[Qtt]]*TbTradesBinance[[#This Row],[Preço]],AF19+TbTradesBinance[[#This Row],[Qtt]]*TbTradesBinance[[#This Row],[Preço]])),AF19)-IF(TbTradesBinance[[#This Row],[Moeda da Taxa]]=MID(AF$1,9,5),TbTradesBinance[[#This Row],[Taxa]],0),8)))</f>
        <v>0</v>
      </c>
      <c r="AG20" s="145" cm="1">
        <f t="array" ref="AG20">IF(TbTradesBinance[[#This Row],[Tipo]]="EMPTY",0,AG19+IF(TbTradesBinance[[#This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Row],[Par]]))),$1:$1,0)),-(AF19-AF20)/AF19*AG19),0),0)+IF(TbTradesBinance[[#This Row],[Tipo]]="SELL",IF(ISNUMBER(FIND(MID(AG$1,10,5),TbTradesBinance[[#This Row],[Par]])),IF(FIND(MID(AG$1,10,5),TbTradesBinance[[#This Row],[Par]])=1, -(AF19-AF20)/AF19*AG19,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Row],[Par]])),(-(AF19-AF20)/AF19*AG19)+IF(TbTradesBinance[[#This Row],[Resultado]]&gt;0,0,TbTradesBinance[[#This Row],[Taxa]]),0),0))</f>
        <v>0</v>
      </c>
      <c r="AH20" s="145">
        <f t="shared" si="7"/>
        <v>0</v>
      </c>
      <c r="AI2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Row],[Tipo]]="DROP"),AI19+TbTradesBinance[[#This Row],[Qtt]],AI19-TbTradesBinance[[#This Row],[Qtt]]),IF(TbTradesBinance[[#This Row],[Tipo]]="BUY",AI19-TbTradesBinance[[#This Row],[Qtt]]*TbTradesBinance[[#This Row],[Preço]],AI19+TbTradesBinance[[#This Row],[Qtt]]*TbTradesBinance[[#This Row],[Preço]])),AI19)-IF(TbTradesBinance[[#This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Row],[Tipo]]="DROP"),AI19+TbTradesBinance[[#This Row],[Qtt]],AI19-TbTradesBinance[[#This Row],[Qtt]]),IF(TbTradesBinance[[#This Row],[Tipo]]="BUY",AI19-TbTradesBinance[[#This Row],[Qtt]]*TbTradesBinance[[#This Row],[Preço]],AI19+TbTradesBinance[[#This Row],[Qtt]]*TbTradesBinance[[#This Row],[Preço]])),AI19)-IF(TbTradesBinance[[#This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Row],[Tipo]]="DROP"),AI19+TbTradesBinance[[#This Row],[Qtt]],AI19-TbTradesBinance[[#This Row],[Qtt]]),IF(TbTradesBinance[[#This Row],[Tipo]]="BUY",AI19-TbTradesBinance[[#This Row],[Qtt]]*TbTradesBinance[[#This Row],[Preço]],AI19+TbTradesBinance[[#This Row],[Qtt]]*TbTradesBinance[[#This Row],[Preço]])),AI19)-IF(TbTradesBinance[[#This Row],[Moeda da Taxa]]=MID(AI$1,9,5),TbTradesBinance[[#This Row],[Taxa]],0),8)))</f>
        <v>0</v>
      </c>
      <c r="AJ20" s="145" cm="1">
        <f t="array" ref="AJ20">IF(TbTradesBinance[[#This Row],[Tipo]]="EMPTY",0,AJ19+IF(TbTradesBinance[[#This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Row],[Par]]))),$1:$1,0)),-(AI19-AI20)/AI19*AJ19),0),0)+IF(TbTradesBinance[[#This Row],[Tipo]]="SELL",IF(ISNUMBER(FIND(MID(AJ$1,10,5),TbTradesBinance[[#This Row],[Par]])),IF(FIND(MID(AJ$1,10,5),TbTradesBinance[[#This Row],[Par]])=1, -(AI19-AI20)/AI19*AJ19,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Row],[Par]])),(-(AI19-AI20)/AI19*AJ19)+IF(TbTradesBinance[[#This Row],[Resultado]]&gt;0,0,TbTradesBinance[[#This Row],[Taxa]]),0),0))</f>
        <v>0</v>
      </c>
      <c r="AK20" s="145">
        <f t="shared" si="8"/>
        <v>0</v>
      </c>
      <c r="AL2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Row],[Tipo]]="DROP"),AL19+TbTradesBinance[[#This Row],[Qtt]],AL19-TbTradesBinance[[#This Row],[Qtt]]),IF(TbTradesBinance[[#This Row],[Tipo]]="BUY",AL19-TbTradesBinance[[#This Row],[Qtt]]*TbTradesBinance[[#This Row],[Preço]],AL19+TbTradesBinance[[#This Row],[Qtt]]*TbTradesBinance[[#This Row],[Preço]])),AL19)-IF(TbTradesBinance[[#This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Row],[Tipo]]="DROP"),AL19+TbTradesBinance[[#This Row],[Qtt]],AL19-TbTradesBinance[[#This Row],[Qtt]]),IF(TbTradesBinance[[#This Row],[Tipo]]="BUY",AL19-TbTradesBinance[[#This Row],[Qtt]]*TbTradesBinance[[#This Row],[Preço]],AL19+TbTradesBinance[[#This Row],[Qtt]]*TbTradesBinance[[#This Row],[Preço]])),AL19)-IF(TbTradesBinance[[#This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Row],[Tipo]]="DROP"),AL19+TbTradesBinance[[#This Row],[Qtt]],AL19-TbTradesBinance[[#This Row],[Qtt]]),IF(TbTradesBinance[[#This Row],[Tipo]]="BUY",AL19-TbTradesBinance[[#This Row],[Qtt]]*TbTradesBinance[[#This Row],[Preço]],AL19+TbTradesBinance[[#This Row],[Qtt]]*TbTradesBinance[[#This Row],[Preço]])),AL19)-IF(TbTradesBinance[[#This Row],[Moeda da Taxa]]=MID(AL$1,9,5),TbTradesBinance[[#This Row],[Taxa]],0),8)))</f>
        <v>0</v>
      </c>
      <c r="AM20" s="145" cm="1">
        <f t="array" ref="AM20">IF(TbTradesBinance[[#This Row],[Tipo]]="EMPTY",0,AM19+IF(TbTradesBinance[[#This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Row],[Par]]))),$1:$1,0)),-(AL19-AL20)/AL19*AM19),0),0)+IF(TbTradesBinance[[#This Row],[Tipo]]="SELL",IF(ISNUMBER(FIND(MID(AM$1,10,5),TbTradesBinance[[#This Row],[Par]])),IF(FIND(MID(AM$1,10,5),TbTradesBinance[[#This Row],[Par]])=1, -(AL19-AL20)/AL19*AM19,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Row],[Par]])),(-(AL19-AL20)/AL19*AM19)+IF(TbTradesBinance[[#This Row],[Resultado]]&gt;0,0,TbTradesBinance[[#This Row],[Taxa]]),0),0))</f>
        <v>0</v>
      </c>
      <c r="AN20" s="145">
        <f t="shared" si="9"/>
        <v>0</v>
      </c>
      <c r="AO2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Row],[Tipo]]="DROP"),AO19+TbTradesBinance[[#This Row],[Qtt]],AO19-TbTradesBinance[[#This Row],[Qtt]]),IF(TbTradesBinance[[#This Row],[Tipo]]="BUY",AO19-TbTradesBinance[[#This Row],[Qtt]]*TbTradesBinance[[#This Row],[Preço]],AO19+TbTradesBinance[[#This Row],[Qtt]]*TbTradesBinance[[#This Row],[Preço]])),AO19)-IF(TbTradesBinance[[#This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Row],[Tipo]]="DROP"),AO19+TbTradesBinance[[#This Row],[Qtt]],AO19-TbTradesBinance[[#This Row],[Qtt]]),IF(TbTradesBinance[[#This Row],[Tipo]]="BUY",AO19-TbTradesBinance[[#This Row],[Qtt]]*TbTradesBinance[[#This Row],[Preço]],AO19+TbTradesBinance[[#This Row],[Qtt]]*TbTradesBinance[[#This Row],[Preço]])),AO19)-IF(TbTradesBinance[[#This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Row],[Tipo]]="DROP"),AO19+TbTradesBinance[[#This Row],[Qtt]],AO19-TbTradesBinance[[#This Row],[Qtt]]),IF(TbTradesBinance[[#This Row],[Tipo]]="BUY",AO19-TbTradesBinance[[#This Row],[Qtt]]*TbTradesBinance[[#This Row],[Preço]],AO19+TbTradesBinance[[#This Row],[Qtt]]*TbTradesBinance[[#This Row],[Preço]])),AO19)-IF(TbTradesBinance[[#This Row],[Moeda da Taxa]]=MID(AO$1,9,5),TbTradesBinance[[#This Row],[Taxa]],0),8)))</f>
        <v>0</v>
      </c>
      <c r="AP20" s="145" cm="1">
        <f t="array" ref="AP20">IF(TbTradesBinance[[#This Row],[Tipo]]="EMPTY",0,AP19+IF(TbTradesBinance[[#This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Row],[Par]]))),$1:$1,0)),-(AO19-AO20)/AO19*AP19),0),0)+IF(TbTradesBinance[[#This Row],[Tipo]]="SELL",IF(ISNUMBER(FIND(MID(AP$1,10,5),TbTradesBinance[[#This Row],[Par]])),IF(FIND(MID(AP$1,10,5),TbTradesBinance[[#This Row],[Par]])=1, -(AO19-AO20)/AO19*AP19,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Row],[Par]])),(-(AO19-AO20)/AO19*AP19)+IF(TbTradesBinance[[#This Row],[Resultado]]&gt;0,0,TbTradesBinance[[#This Row],[Taxa]]),0),0))</f>
        <v>0</v>
      </c>
      <c r="AQ20" s="145">
        <f t="shared" si="10"/>
        <v>0</v>
      </c>
      <c r="AR2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Row],[Tipo]]="DROP"),AR19+TbTradesBinance[[#This Row],[Qtt]],AR19-TbTradesBinance[[#This Row],[Qtt]]),IF(TbTradesBinance[[#This Row],[Tipo]]="BUY",AR19-TbTradesBinance[[#This Row],[Qtt]]*TbTradesBinance[[#This Row],[Preço]],AR19+TbTradesBinance[[#This Row],[Qtt]]*TbTradesBinance[[#This Row],[Preço]])),AR19)-IF(TbTradesBinance[[#This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Row],[Tipo]]="DROP"),AR19+TbTradesBinance[[#This Row],[Qtt]],AR19-TbTradesBinance[[#This Row],[Qtt]]),IF(TbTradesBinance[[#This Row],[Tipo]]="BUY",AR19-TbTradesBinance[[#This Row],[Qtt]]*TbTradesBinance[[#This Row],[Preço]],AR19+TbTradesBinance[[#This Row],[Qtt]]*TbTradesBinance[[#This Row],[Preço]])),AR19)-IF(TbTradesBinance[[#This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Row],[Tipo]]="DROP"),AR19+TbTradesBinance[[#This Row],[Qtt]],AR19-TbTradesBinance[[#This Row],[Qtt]]),IF(TbTradesBinance[[#This Row],[Tipo]]="BUY",AR19-TbTradesBinance[[#This Row],[Qtt]]*TbTradesBinance[[#This Row],[Preço]],AR19+TbTradesBinance[[#This Row],[Qtt]]*TbTradesBinance[[#This Row],[Preço]])),AR19)-IF(TbTradesBinance[[#This Row],[Moeda da Taxa]]=MID(AR$1,9,5),TbTradesBinance[[#This Row],[Taxa]],0),8)))</f>
        <v>0</v>
      </c>
      <c r="AS20" s="145" cm="1">
        <f t="array" ref="AS20">IF(TbTradesBinance[[#This Row],[Tipo]]="EMPTY",0,AS19+IF(TbTradesBinance[[#This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Row],[Par]]))),$1:$1,0)),-(AR19-AR20)/AR19*AS19),0),0)+IF(TbTradesBinance[[#This Row],[Tipo]]="SELL",IF(ISNUMBER(FIND(MID(AS$1,10,5),TbTradesBinance[[#This Row],[Par]])),IF(FIND(MID(AS$1,10,5),TbTradesBinance[[#This Row],[Par]])=1, -(AR19-AR20)/AR19*AS19,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Row],[Par]])),(-(AR19-AR20)/AR19*AS19)+IF(TbTradesBinance[[#This Row],[Resultado]]&gt;0,0,TbTradesBinance[[#This Row],[Taxa]]),0),0))</f>
        <v>0</v>
      </c>
      <c r="AT20" s="145">
        <f t="shared" si="11"/>
        <v>0</v>
      </c>
      <c r="AU2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Row],[Tipo]]="DROP"),AU19+TbTradesBinance[[#This Row],[Qtt]],AU19-TbTradesBinance[[#This Row],[Qtt]]),IF(TbTradesBinance[[#This Row],[Tipo]]="BUY",AU19-TbTradesBinance[[#This Row],[Qtt]]*TbTradesBinance[[#This Row],[Preço]],AU19+TbTradesBinance[[#This Row],[Qtt]]*TbTradesBinance[[#This Row],[Preço]])),AU19)-IF(TbTradesBinance[[#This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Row],[Tipo]]="DROP"),AU19+TbTradesBinance[[#This Row],[Qtt]],AU19-TbTradesBinance[[#This Row],[Qtt]]),IF(TbTradesBinance[[#This Row],[Tipo]]="BUY",AU19-TbTradesBinance[[#This Row],[Qtt]]*TbTradesBinance[[#This Row],[Preço]],AU19+TbTradesBinance[[#This Row],[Qtt]]*TbTradesBinance[[#This Row],[Preço]])),AU19)-IF(TbTradesBinance[[#This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Row],[Tipo]]="DROP"),AU19+TbTradesBinance[[#This Row],[Qtt]],AU19-TbTradesBinance[[#This Row],[Qtt]]),IF(TbTradesBinance[[#This Row],[Tipo]]="BUY",AU19-TbTradesBinance[[#This Row],[Qtt]]*TbTradesBinance[[#This Row],[Preço]],AU19+TbTradesBinance[[#This Row],[Qtt]]*TbTradesBinance[[#This Row],[Preço]])),AU19)-IF(TbTradesBinance[[#This Row],[Moeda da Taxa]]=MID(AU$1,9,5),TbTradesBinance[[#This Row],[Taxa]],0),8)))</f>
        <v>0</v>
      </c>
      <c r="AV20" s="145" cm="1">
        <f t="array" ref="AV20">IF(TbTradesBinance[[#This Row],[Tipo]]="EMPTY",0,AV19+IF(TbTradesBinance[[#This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Row],[Par]]))),$1:$1,0)),-(AU19-AU20)/AU19*AV19),0),0)+IF(TbTradesBinance[[#This Row],[Tipo]]="SELL",IF(ISNUMBER(FIND(MID(AV$1,10,5),TbTradesBinance[[#This Row],[Par]])),IF(FIND(MID(AV$1,10,5),TbTradesBinance[[#This Row],[Par]])=1, -(AU19-AU20)/AU19*AV19,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Row],[Par]])),(-(AU19-AU20)/AU19*AV19)+IF(TbTradesBinance[[#This Row],[Resultado]]&gt;0,0,TbTradesBinance[[#This Row],[Taxa]]),0),0))</f>
        <v>0</v>
      </c>
      <c r="AW20" s="145">
        <f t="shared" si="12"/>
        <v>0</v>
      </c>
      <c r="AX2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Row],[Tipo]]="DROP"),AX19+TbTradesBinance[[#This Row],[Qtt]],AX19-TbTradesBinance[[#This Row],[Qtt]]),IF(TbTradesBinance[[#This Row],[Tipo]]="BUY",AX19-TbTradesBinance[[#This Row],[Qtt]]*TbTradesBinance[[#This Row],[Preço]],AX19+TbTradesBinance[[#This Row],[Qtt]]*TbTradesBinance[[#This Row],[Preço]])),AX19)-IF(TbTradesBinance[[#This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Row],[Tipo]]="DROP"),AX19+TbTradesBinance[[#This Row],[Qtt]],AX19-TbTradesBinance[[#This Row],[Qtt]]),IF(TbTradesBinance[[#This Row],[Tipo]]="BUY",AX19-TbTradesBinance[[#This Row],[Qtt]]*TbTradesBinance[[#This Row],[Preço]],AX19+TbTradesBinance[[#This Row],[Qtt]]*TbTradesBinance[[#This Row],[Preço]])),AX19)-IF(TbTradesBinance[[#This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Row],[Tipo]]="DROP"),AX19+TbTradesBinance[[#This Row],[Qtt]],AX19-TbTradesBinance[[#This Row],[Qtt]]),IF(TbTradesBinance[[#This Row],[Tipo]]="BUY",AX19-TbTradesBinance[[#This Row],[Qtt]]*TbTradesBinance[[#This Row],[Preço]],AX19+TbTradesBinance[[#This Row],[Qtt]]*TbTradesBinance[[#This Row],[Preço]])),AX19)-IF(TbTradesBinance[[#This Row],[Moeda da Taxa]]=MID(AX$1,9,5),TbTradesBinance[[#This Row],[Taxa]],0),8)))</f>
        <v>0</v>
      </c>
      <c r="AY20" s="145" cm="1">
        <f t="array" ref="AY20">IF(TbTradesBinance[[#This Row],[Tipo]]="EMPTY",0,AY19+IF(TbTradesBinance[[#This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Row],[Par]]))),$1:$1,0)),-(AX19-AX20)/AX19*AY19),0),0)+IF(TbTradesBinance[[#This Row],[Tipo]]="SELL",IF(ISNUMBER(FIND(MID(AY$1,10,5),TbTradesBinance[[#This Row],[Par]])),IF(FIND(MID(AY$1,10,5),TbTradesBinance[[#This Row],[Par]])=1, -(AX19-AX20)/AX19*AY19,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Row],[Par]])),(-(AX19-AX20)/AX19*AY19)+IF(TbTradesBinance[[#This Row],[Resultado]]&gt;0,0,TbTradesBinance[[#This Row],[Taxa]]),0),0))</f>
        <v>0</v>
      </c>
      <c r="AZ20" s="145">
        <f t="shared" si="13"/>
        <v>0</v>
      </c>
      <c r="BA2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Row],[Tipo]]="DROP"),BA19+TbTradesBinance[[#This Row],[Qtt]],BA19-TbTradesBinance[[#This Row],[Qtt]]),IF(TbTradesBinance[[#This Row],[Tipo]]="BUY",BA19-TbTradesBinance[[#This Row],[Qtt]]*TbTradesBinance[[#This Row],[Preço]],BA19+TbTradesBinance[[#This Row],[Qtt]]*TbTradesBinance[[#This Row],[Preço]])),BA19)-IF(TbTradesBinance[[#This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Row],[Tipo]]="DROP"),BA19+TbTradesBinance[[#This Row],[Qtt]],BA19-TbTradesBinance[[#This Row],[Qtt]]),IF(TbTradesBinance[[#This Row],[Tipo]]="BUY",BA19-TbTradesBinance[[#This Row],[Qtt]]*TbTradesBinance[[#This Row],[Preço]],BA19+TbTradesBinance[[#This Row],[Qtt]]*TbTradesBinance[[#This Row],[Preço]])),BA19)-IF(TbTradesBinance[[#This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Row],[Tipo]]="DROP"),BA19+TbTradesBinance[[#This Row],[Qtt]],BA19-TbTradesBinance[[#This Row],[Qtt]]),IF(TbTradesBinance[[#This Row],[Tipo]]="BUY",BA19-TbTradesBinance[[#This Row],[Qtt]]*TbTradesBinance[[#This Row],[Preço]],BA19+TbTradesBinance[[#This Row],[Qtt]]*TbTradesBinance[[#This Row],[Preço]])),BA19)-IF(TbTradesBinance[[#This Row],[Moeda da Taxa]]=MID(BA$1,9,5),TbTradesBinance[[#This Row],[Taxa]],0),8)))</f>
        <v>0</v>
      </c>
      <c r="BB20" s="145" cm="1">
        <f t="array" ref="BB20">IF(TbTradesBinance[[#This Row],[Tipo]]="EMPTY",0,BB19+IF(TbTradesBinance[[#This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Row],[Par]]))),$1:$1,0)),-(BA19-BA20)/BA19*BB19),0),0)+IF(TbTradesBinance[[#This Row],[Tipo]]="SELL",IF(ISNUMBER(FIND(MID(BB$1,10,5),TbTradesBinance[[#This Row],[Par]])),IF(FIND(MID(BB$1,10,5),TbTradesBinance[[#This Row],[Par]])=1, -(BA19-BA20)/BA19*BB19,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Row],[Par]])),(-(BA19-BA20)/BA19*BB19)+IF(TbTradesBinance[[#This Row],[Resultado]]&gt;0,0,TbTradesBinance[[#This Row],[Taxa]]),0),0))</f>
        <v>0</v>
      </c>
      <c r="BC20" s="145">
        <f t="shared" si="14"/>
        <v>0</v>
      </c>
      <c r="BD2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Row],[Tipo]]="DROP"),BD19+TbTradesBinance[[#This Row],[Qtt]],BD19-TbTradesBinance[[#This Row],[Qtt]]),IF(TbTradesBinance[[#This Row],[Tipo]]="BUY",BD19-TbTradesBinance[[#This Row],[Qtt]]*TbTradesBinance[[#This Row],[Preço]],BD19+TbTradesBinance[[#This Row],[Qtt]]*TbTradesBinance[[#This Row],[Preço]])),BD19)-IF(TbTradesBinance[[#This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Row],[Tipo]]="DROP"),BD19+TbTradesBinance[[#This Row],[Qtt]],BD19-TbTradesBinance[[#This Row],[Qtt]]),IF(TbTradesBinance[[#This Row],[Tipo]]="BUY",BD19-TbTradesBinance[[#This Row],[Qtt]]*TbTradesBinance[[#This Row],[Preço]],BD19+TbTradesBinance[[#This Row],[Qtt]]*TbTradesBinance[[#This Row],[Preço]])),BD19)-IF(TbTradesBinance[[#This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Row],[Tipo]]="DROP"),BD19+TbTradesBinance[[#This Row],[Qtt]],BD19-TbTradesBinance[[#This Row],[Qtt]]),IF(TbTradesBinance[[#This Row],[Tipo]]="BUY",BD19-TbTradesBinance[[#This Row],[Qtt]]*TbTradesBinance[[#This Row],[Preço]],BD19+TbTradesBinance[[#This Row],[Qtt]]*TbTradesBinance[[#This Row],[Preço]])),BD19)-IF(TbTradesBinance[[#This Row],[Moeda da Taxa]]=MID(BD$1,9,5),TbTradesBinance[[#This Row],[Taxa]],0),8)))</f>
        <v>0</v>
      </c>
      <c r="BE20" s="145" cm="1">
        <f t="array" ref="BE20">IF(TbTradesBinance[[#This Row],[Tipo]]="EMPTY",0,BE19+IF(TbTradesBinance[[#This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Row],[Par]]))),$1:$1,0)),-(BD19-BD20)/BD19*BE19),0),0)+IF(TbTradesBinance[[#This Row],[Tipo]]="SELL",IF(ISNUMBER(FIND(MID(BE$1,10,5),TbTradesBinance[[#This Row],[Par]])),IF(FIND(MID(BE$1,10,5),TbTradesBinance[[#This Row],[Par]])=1, -(BD19-BD20)/BD19*BE19,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Row],[Par]])),(-(BD19-BD20)/BD19*BE19)+IF(TbTradesBinance[[#This Row],[Resultado]]&gt;0,0,TbTradesBinance[[#This Row],[Taxa]]),0),0))</f>
        <v>0</v>
      </c>
      <c r="BF20" s="145">
        <f t="shared" si="15"/>
        <v>0</v>
      </c>
      <c r="BG2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Row],[Tipo]]="DROP"),BG19+TbTradesBinance[[#This Row],[Qtt]],BG19-TbTradesBinance[[#This Row],[Qtt]]),IF(TbTradesBinance[[#This Row],[Tipo]]="BUY",BG19-TbTradesBinance[[#This Row],[Qtt]]*TbTradesBinance[[#This Row],[Preço]],BG19+TbTradesBinance[[#This Row],[Qtt]]*TbTradesBinance[[#This Row],[Preço]])),BG19)-IF(TbTradesBinance[[#This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Row],[Tipo]]="DROP"),BG19+TbTradesBinance[[#This Row],[Qtt]],BG19-TbTradesBinance[[#This Row],[Qtt]]),IF(TbTradesBinance[[#This Row],[Tipo]]="BUY",BG19-TbTradesBinance[[#This Row],[Qtt]]*TbTradesBinance[[#This Row],[Preço]],BG19+TbTradesBinance[[#This Row],[Qtt]]*TbTradesBinance[[#This Row],[Preço]])),BG19)-IF(TbTradesBinance[[#This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Row],[Tipo]]="DROP"),BG19+TbTradesBinance[[#This Row],[Qtt]],BG19-TbTradesBinance[[#This Row],[Qtt]]),IF(TbTradesBinance[[#This Row],[Tipo]]="BUY",BG19-TbTradesBinance[[#This Row],[Qtt]]*TbTradesBinance[[#This Row],[Preço]],BG19+TbTradesBinance[[#This Row],[Qtt]]*TbTradesBinance[[#This Row],[Preço]])),BG19)-IF(TbTradesBinance[[#This Row],[Moeda da Taxa]]=MID(BG$1,9,5),TbTradesBinance[[#This Row],[Taxa]],0),8)))</f>
        <v>0</v>
      </c>
      <c r="BH20" s="145" cm="1">
        <f t="array" ref="BH20">IF(TbTradesBinance[[#This Row],[Tipo]]="EMPTY",0,BH19+IF(TbTradesBinance[[#This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Row],[Par]]))),$1:$1,0)),-(BG19-BG20)/BG19*BH19),0),0)+IF(TbTradesBinance[[#This Row],[Tipo]]="SELL",IF(ISNUMBER(FIND(MID(BH$1,10,5),TbTradesBinance[[#This Row],[Par]])),IF(FIND(MID(BH$1,10,5),TbTradesBinance[[#This Row],[Par]])=1, -(BG19-BG20)/BG19*BH19,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Row],[Par]])),(-(BG19-BG20)/BG19*BH19)+IF(TbTradesBinance[[#This Row],[Resultado]]&gt;0,0,TbTradesBinance[[#This Row],[Taxa]]),0),0))</f>
        <v>0</v>
      </c>
      <c r="BI20" s="145">
        <f t="shared" si="16"/>
        <v>0</v>
      </c>
      <c r="BJ2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Row],[Tipo]]="DROP"),BJ19+TbTradesBinance[[#This Row],[Qtt]],BJ19-TbTradesBinance[[#This Row],[Qtt]]),IF(TbTradesBinance[[#This Row],[Tipo]]="BUY",BJ19-TbTradesBinance[[#This Row],[Qtt]]*TbTradesBinance[[#This Row],[Preço]],BJ19+TbTradesBinance[[#This Row],[Qtt]]*TbTradesBinance[[#This Row],[Preço]])),BJ19)-IF(TbTradesBinance[[#This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Row],[Tipo]]="DROP"),BJ19+TbTradesBinance[[#This Row],[Qtt]],BJ19-TbTradesBinance[[#This Row],[Qtt]]),IF(TbTradesBinance[[#This Row],[Tipo]]="BUY",BJ19-TbTradesBinance[[#This Row],[Qtt]]*TbTradesBinance[[#This Row],[Preço]],BJ19+TbTradesBinance[[#This Row],[Qtt]]*TbTradesBinance[[#This Row],[Preço]])),BJ19)-IF(TbTradesBinance[[#This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Row],[Tipo]]="DROP"),BJ19+TbTradesBinance[[#This Row],[Qtt]],BJ19-TbTradesBinance[[#This Row],[Qtt]]),IF(TbTradesBinance[[#This Row],[Tipo]]="BUY",BJ19-TbTradesBinance[[#This Row],[Qtt]]*TbTradesBinance[[#This Row],[Preço]],BJ19+TbTradesBinance[[#This Row],[Qtt]]*TbTradesBinance[[#This Row],[Preço]])),BJ19)-IF(TbTradesBinance[[#This Row],[Moeda da Taxa]]=MID(BJ$1,9,5),TbTradesBinance[[#This Row],[Taxa]],0),8)))</f>
        <v>0</v>
      </c>
      <c r="BK20" s="145" cm="1">
        <f t="array" ref="BK20">IF(TbTradesBinance[[#This Row],[Tipo]]="EMPTY",0,BK19+IF(TbTradesBinance[[#This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Row],[Par]]))),$1:$1,0)),-(BJ19-BJ20)/BJ19*BK19),0),0)+IF(TbTradesBinance[[#This Row],[Tipo]]="SELL",IF(ISNUMBER(FIND(MID(BK$1,10,5),TbTradesBinance[[#This Row],[Par]])),IF(FIND(MID(BK$1,10,5),TbTradesBinance[[#This Row],[Par]])=1, -(BJ19-BJ20)/BJ19*BK19,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Row],[Par]])),(-(BJ19-BJ20)/BJ19*BK19)+IF(TbTradesBinance[[#This Row],[Resultado]]&gt;0,0,TbTradesBinance[[#This Row],[Taxa]]),0),0))</f>
        <v>0</v>
      </c>
      <c r="BL20" s="145">
        <f t="shared" si="17"/>
        <v>0</v>
      </c>
      <c r="BM2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Row],[Tipo]]="DROP"),BM19+TbTradesBinance[[#This Row],[Qtt]],BM19-TbTradesBinance[[#This Row],[Qtt]]),IF(TbTradesBinance[[#This Row],[Tipo]]="BUY",BM19-TbTradesBinance[[#This Row],[Qtt]]*TbTradesBinance[[#This Row],[Preço]],BM19+TbTradesBinance[[#This Row],[Qtt]]*TbTradesBinance[[#This Row],[Preço]])),BM19)-IF(TbTradesBinance[[#This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Row],[Tipo]]="DROP"),BM19+TbTradesBinance[[#This Row],[Qtt]],BM19-TbTradesBinance[[#This Row],[Qtt]]),IF(TbTradesBinance[[#This Row],[Tipo]]="BUY",BM19-TbTradesBinance[[#This Row],[Qtt]]*TbTradesBinance[[#This Row],[Preço]],BM19+TbTradesBinance[[#This Row],[Qtt]]*TbTradesBinance[[#This Row],[Preço]])),BM19)-IF(TbTradesBinance[[#This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Row],[Tipo]]="DROP"),BM19+TbTradesBinance[[#This Row],[Qtt]],BM19-TbTradesBinance[[#This Row],[Qtt]]),IF(TbTradesBinance[[#This Row],[Tipo]]="BUY",BM19-TbTradesBinance[[#This Row],[Qtt]]*TbTradesBinance[[#This Row],[Preço]],BM19+TbTradesBinance[[#This Row],[Qtt]]*TbTradesBinance[[#This Row],[Preço]])),BM19)-IF(TbTradesBinance[[#This Row],[Moeda da Taxa]]=MID(BM$1,9,5),TbTradesBinance[[#This Row],[Taxa]],0),8)))</f>
        <v>0</v>
      </c>
      <c r="BN20" s="145" cm="1">
        <f t="array" ref="BN20">IF(TbTradesBinance[[#This Row],[Tipo]]="EMPTY",0,BN19+IF(TbTradesBinance[[#This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Row],[Par]]))),$1:$1,0)),-(BM19-BM20)/BM19*BN19),0),0)+IF(TbTradesBinance[[#This Row],[Tipo]]="SELL",IF(ISNUMBER(FIND(MID(BN$1,10,5),TbTradesBinance[[#This Row],[Par]])),IF(FIND(MID(BN$1,10,5),TbTradesBinance[[#This Row],[Par]])=1, -(BM19-BM20)/BM19*BN19,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Row],[Par]])),(-(BM19-BM20)/BM19*BN19)+IF(TbTradesBinance[[#This Row],[Resultado]]&gt;0,0,TbTradesBinance[[#This Row],[Taxa]]),0),0))</f>
        <v>0</v>
      </c>
      <c r="BO20" s="145">
        <f t="shared" si="18"/>
        <v>0</v>
      </c>
    </row>
    <row r="21" spans="2:67" x14ac:dyDescent="0.3">
      <c r="B21" s="51"/>
      <c r="C21" s="40">
        <f>TRUNC(IF(AND(TbTradesBinance[[#This Row],[Tipo]]="SEND",TbTradesBinance[[#This Row],[Par]]="BRL"),TbTradesBinance[[#This Row],[Qtt]]*(1-P19)-IF(TbTradesBinance[[#This Row],[Moeda da Taxa]]="BRL",TbTradesBinance[[#This Row],[Taxa]],0),0)+IF(AND(TbTradesBinance[[#This Row],[Tipo]]="BURN",TbTradesBinance[[#This Row],[Par]]="BRL"),-TbTradesBinance[[#This Row],[Qtt]]*P19,0),2)</f>
        <v>0</v>
      </c>
      <c r="D21" s="53">
        <v>44250.916979166665</v>
      </c>
      <c r="E21" s="37" t="s">
        <v>138</v>
      </c>
      <c r="F21" s="47" t="s">
        <v>140</v>
      </c>
      <c r="G21" s="38">
        <v>270000</v>
      </c>
      <c r="H21" s="38">
        <v>1.8799999999999999E-4</v>
      </c>
      <c r="I21" s="38">
        <v>0</v>
      </c>
      <c r="J21" s="37" t="s">
        <v>50</v>
      </c>
      <c r="K21" s="52">
        <v>1</v>
      </c>
      <c r="L21" s="40">
        <f t="shared" si="0"/>
        <v>270000</v>
      </c>
      <c r="M21" s="40">
        <f>IF(OR(TbTradesBinance[[#This Row],[Tipo]]="BUY",TbTradesBinance[[#This Row],[Tipo]]="RECEIVE",TbTradesBinance[[#This Row],[Tipo]]="DROP"),L21*H21,-L21*H21)</f>
        <v>-50.76</v>
      </c>
      <c r="N2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Row],[Tipo]]="DROP"),N20+TbTradesBinance[[#This Row],[Qtt]],N20-TbTradesBinance[[#This Row],[Qtt]]),IF(TbTradesBinance[[#This Row],[Tipo]]="BUY",N20-TbTradesBinance[[#This Row],[Qtt]]*TbTradesBinance[[#This Row],[Preço]],N20+TbTradesBinance[[#This Row],[Qtt]]*TbTradesBinance[[#This Row],[Preço]])),N20)-IF(TbTradesBinance[[#This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Row],[Tipo]]="DROP"),N20+TbTradesBinance[[#This Row],[Qtt]],N20-TbTradesBinance[[#This Row],[Qtt]]),IF(TbTradesBinance[[#This Row],[Tipo]]="BUY",N20-TbTradesBinance[[#This Row],[Qtt]]*TbTradesBinance[[#This Row],[Preço]],N20+TbTradesBinance[[#This Row],[Qtt]]*TbTradesBinance[[#This Row],[Preço]])),N20)-IF(TbTradesBinance[[#This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Row],[Tipo]]="DROP"),N20+TbTradesBinance[[#This Row],[Qtt]],N20-TbTradesBinance[[#This Row],[Qtt]]),IF(TbTradesBinance[[#This Row],[Tipo]]="BUY",N20-TbTradesBinance[[#This Row],[Qtt]]*TbTradesBinance[[#This Row],[Preço]],N20+TbTradesBinance[[#This Row],[Qtt]]*TbTradesBinance[[#This Row],[Preço]])),N20)-IF(TbTradesBinance[[#This Row],[Moeda da Taxa]]=MID(N$1,9,5),TbTradesBinance[[#This Row],[Taxa]],0),8)))</f>
        <v>19991.284106899999</v>
      </c>
      <c r="O21" s="145" cm="1">
        <f t="array" ref="O21">IF(TbTradesBinance[[#This Row],[Tipo]]="EMPTY",0,O20+IF(TbTradesBinance[[#This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Row],[Par]]))),$1:$1,0)),-(N20-N21)/N20*O20),0),0)+IF(TbTradesBinance[[#This Row],[Tipo]]="SELL",IF(ISNUMBER(FIND(MID(O$1,10,5),TbTradesBinance[[#This Row],[Par]])),IF(FIND(MID(O$1,10,5),TbTradesBinance[[#This Row],[Par]])=1, -(N20-N21)/N20*O20,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Row],[Par]])),(-(N20-N21)/N20*O20)+IF(TbTradesBinance[[#This Row],[Resultado]]&gt;0,0,TbTradesBinance[[#This Row],[Taxa]]),0),0))</f>
        <v>19946.01083877225</v>
      </c>
      <c r="P21" s="145">
        <f t="shared" si="1"/>
        <v>0.99773534967110378</v>
      </c>
      <c r="Q2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Row],[Tipo]]="DROP"),Q20+TbTradesBinance[[#This Row],[Qtt]],Q20-TbTradesBinance[[#This Row],[Qtt]]),IF(TbTradesBinance[[#This Row],[Tipo]]="BUY",Q20-TbTradesBinance[[#This Row],[Qtt]]*TbTradesBinance[[#This Row],[Preço]],Q20+TbTradesBinance[[#This Row],[Qtt]]*TbTradesBinance[[#This Row],[Preço]])),Q20)-IF(TbTradesBinance[[#This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Row],[Tipo]]="DROP"),Q20+TbTradesBinance[[#This Row],[Qtt]],Q20-TbTradesBinance[[#This Row],[Qtt]]),IF(TbTradesBinance[[#This Row],[Tipo]]="BUY",Q20-TbTradesBinance[[#This Row],[Qtt]]*TbTradesBinance[[#This Row],[Preço]],Q20+TbTradesBinance[[#This Row],[Qtt]]*TbTradesBinance[[#This Row],[Preço]])),Q20)-IF(TbTradesBinance[[#This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Row],[Tipo]]="DROP"),Q20+TbTradesBinance[[#This Row],[Qtt]],Q20-TbTradesBinance[[#This Row],[Qtt]]),IF(TbTradesBinance[[#This Row],[Tipo]]="BUY",Q20-TbTradesBinance[[#This Row],[Qtt]]*TbTradesBinance[[#This Row],[Preço]],Q20+TbTradesBinance[[#This Row],[Qtt]]*TbTradesBinance[[#This Row],[Preço]])),Q20)-IF(TbTradesBinance[[#This Row],[Moeda da Taxa]]=MID(Q$1,9,5),TbTradesBinance[[#This Row],[Taxa]],0),8)))</f>
        <v>0</v>
      </c>
      <c r="R21" s="145" cm="1">
        <f t="array" ref="R21">IF(TbTradesBinance[[#This Row],[Tipo]]="EMPTY",0,R20+IF(TbTradesBinance[[#This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Row],[Par]]))),$1:$1,0)),-(Q20-Q21)/Q20*R20),0),0)+IF(TbTradesBinance[[#This Row],[Tipo]]="SELL",IF(ISNUMBER(FIND(MID(R$1,10,5),TbTradesBinance[[#This Row],[Par]])),IF(FIND(MID(R$1,10,5),TbTradesBinance[[#This Row],[Par]])=1, -(Q20-Q21)/Q20*R20,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Row],[Par]])),(-(Q20-Q21)/Q20*R20)+IF(TbTradesBinance[[#This Row],[Resultado]]&gt;0,0,TbTradesBinance[[#This Row],[Taxa]]),0),0))</f>
        <v>0</v>
      </c>
      <c r="S21" s="145">
        <f t="shared" si="2"/>
        <v>0</v>
      </c>
      <c r="T2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Row],[Tipo]]="DROP"),T20+TbTradesBinance[[#This Row],[Qtt]],T20-TbTradesBinance[[#This Row],[Qtt]]),IF(TbTradesBinance[[#This Row],[Tipo]]="BUY",T20-TbTradesBinance[[#This Row],[Qtt]]*TbTradesBinance[[#This Row],[Preço]],T20+TbTradesBinance[[#This Row],[Qtt]]*TbTradesBinance[[#This Row],[Preço]])),T20)-IF(TbTradesBinance[[#This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Row],[Tipo]]="DROP"),T20+TbTradesBinance[[#This Row],[Qtt]],T20-TbTradesBinance[[#This Row],[Qtt]]),IF(TbTradesBinance[[#This Row],[Tipo]]="BUY",T20-TbTradesBinance[[#This Row],[Qtt]]*TbTradesBinance[[#This Row],[Preço]],T20+TbTradesBinance[[#This Row],[Qtt]]*TbTradesBinance[[#This Row],[Preço]])),T20)-IF(TbTradesBinance[[#This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Row],[Tipo]]="DROP"),T20+TbTradesBinance[[#This Row],[Qtt]],T20-TbTradesBinance[[#This Row],[Qtt]]),IF(TbTradesBinance[[#This Row],[Tipo]]="BUY",T20-TbTradesBinance[[#This Row],[Qtt]]*TbTradesBinance[[#This Row],[Preço]],T20+TbTradesBinance[[#This Row],[Qtt]]*TbTradesBinance[[#This Row],[Preço]])),T20)-IF(TbTradesBinance[[#This Row],[Moeda da Taxa]]=MID(T$1,9,5),TbTradesBinance[[#This Row],[Taxa]],0),8)))</f>
        <v>2.867312E-2</v>
      </c>
      <c r="U21" s="145" cm="1">
        <f t="array" ref="U21">IF(TbTradesBinance[[#This Row],[Tipo]]="EMPTY",0,U20+IF(TbTradesBinance[[#This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Row],[Par]]))),$1:$1,0)),-(T20-T21)/T20*U20),0),0)+IF(TbTradesBinance[[#This Row],[Tipo]]="SELL",IF(ISNUMBER(FIND(MID(U$1,10,5),TbTradesBinance[[#This Row],[Par]])),IF(FIND(MID(U$1,10,5),TbTradesBinance[[#This Row],[Par]])=1, -(T20-T21)/T20*U20,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Row],[Par]])),(-(T20-T21)/T20*U20)+IF(TbTradesBinance[[#This Row],[Resultado]]&gt;0,0,TbTradesBinance[[#This Row],[Taxa]]),0),0))</f>
        <v>0.19365209596473676</v>
      </c>
      <c r="V21" s="145">
        <f t="shared" si="3"/>
        <v>6.7537852861752317</v>
      </c>
      <c r="W2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Row],[Tipo]]="DROP"),W20+TbTradesBinance[[#This Row],[Qtt]],W20-TbTradesBinance[[#This Row],[Qtt]]),IF(TbTradesBinance[[#This Row],[Tipo]]="BUY",W20-TbTradesBinance[[#This Row],[Qtt]]*TbTradesBinance[[#This Row],[Preço]],W20+TbTradesBinance[[#This Row],[Qtt]]*TbTradesBinance[[#This Row],[Preço]])),W20)-IF(TbTradesBinance[[#This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Row],[Tipo]]="DROP"),W20+TbTradesBinance[[#This Row],[Qtt]],W20-TbTradesBinance[[#This Row],[Qtt]]),IF(TbTradesBinance[[#This Row],[Tipo]]="BUY",W20-TbTradesBinance[[#This Row],[Qtt]]*TbTradesBinance[[#This Row],[Preço]],W20+TbTradesBinance[[#This Row],[Qtt]]*TbTradesBinance[[#This Row],[Preço]])),W20)-IF(TbTradesBinance[[#This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Row],[Tipo]]="DROP"),W20+TbTradesBinance[[#This Row],[Qtt]],W20-TbTradesBinance[[#This Row],[Qtt]]),IF(TbTradesBinance[[#This Row],[Tipo]]="BUY",W20-TbTradesBinance[[#This Row],[Qtt]]*TbTradesBinance[[#This Row],[Preço]],W20+TbTradesBinance[[#This Row],[Qtt]]*TbTradesBinance[[#This Row],[Preço]])),W20)-IF(TbTradesBinance[[#This Row],[Moeda da Taxa]]=MID(W$1,9,5),TbTradesBinance[[#This Row],[Taxa]],0),8)))</f>
        <v>2.0426999999999999E-4</v>
      </c>
      <c r="X21" s="145" cm="1">
        <f t="array" ref="X21">IF(TbTradesBinance[[#This Row],[Tipo]]="EMPTY",0,X20+IF(TbTradesBinance[[#This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Row],[Par]]))),$1:$1,0)),-(W20-W21)/W20*X20),0),0)+IF(TbTradesBinance[[#This Row],[Tipo]]="SELL",IF(ISNUMBER(FIND(MID(X$1,10,5),TbTradesBinance[[#This Row],[Par]])),IF(FIND(MID(X$1,10,5),TbTradesBinance[[#This Row],[Par]])=1, -(W20-W21)/W20*X20,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Row],[Par]])),(-(W20-W21)/W20*X20)+IF(TbTradesBinance[[#This Row],[Resultado]]&gt;0,0,TbTradesBinance[[#This Row],[Taxa]]),0),0))</f>
        <v>53.795509131787547</v>
      </c>
      <c r="Y21" s="145">
        <f t="shared" si="4"/>
        <v>263354.91815630073</v>
      </c>
      <c r="Z2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Row],[Tipo]]="DROP"),Z20+TbTradesBinance[[#This Row],[Qtt]],Z20-TbTradesBinance[[#This Row],[Qtt]]),IF(TbTradesBinance[[#This Row],[Tipo]]="BUY",Z20-TbTradesBinance[[#This Row],[Qtt]]*TbTradesBinance[[#This Row],[Preço]],Z20+TbTradesBinance[[#This Row],[Qtt]]*TbTradesBinance[[#This Row],[Preço]])),Z20)-IF(TbTradesBinance[[#This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Row],[Tipo]]="DROP"),Z20+TbTradesBinance[[#This Row],[Qtt]],Z20-TbTradesBinance[[#This Row],[Qtt]]),IF(TbTradesBinance[[#This Row],[Tipo]]="BUY",Z20-TbTradesBinance[[#This Row],[Qtt]]*TbTradesBinance[[#This Row],[Preço]],Z20+TbTradesBinance[[#This Row],[Qtt]]*TbTradesBinance[[#This Row],[Preço]])),Z20)-IF(TbTradesBinance[[#This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Row],[Tipo]]="DROP"),Z20+TbTradesBinance[[#This Row],[Qtt]],Z20-TbTradesBinance[[#This Row],[Qtt]]),IF(TbTradesBinance[[#This Row],[Tipo]]="BUY",Z20-TbTradesBinance[[#This Row],[Qtt]]*TbTradesBinance[[#This Row],[Preço]],Z20+TbTradesBinance[[#This Row],[Qtt]]*TbTradesBinance[[#This Row],[Preço]])),Z20)-IF(TbTradesBinance[[#This Row],[Moeda da Taxa]]=MID(Z$1,9,5),TbTradesBinance[[#This Row],[Taxa]],0),8)))</f>
        <v>0</v>
      </c>
      <c r="AA21" s="145" cm="1">
        <f t="array" ref="AA21">IF(TbTradesBinance[[#This Row],[Tipo]]="EMPTY",0,AA20+IF(TbTradesBinance[[#This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Row],[Par]]))),$1:$1,0)),-(Z20-Z21)/Z20*AA20),0),0)+IF(TbTradesBinance[[#This Row],[Tipo]]="SELL",IF(ISNUMBER(FIND(MID(AA$1,10,5),TbTradesBinance[[#This Row],[Par]])),IF(FIND(MID(AA$1,10,5),TbTradesBinance[[#This Row],[Par]])=1, -(Z20-Z21)/Z20*AA20,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Row],[Par]])),(-(Z20-Z21)/Z20*AA20)+IF(TbTradesBinance[[#This Row],[Resultado]]&gt;0,0,TbTradesBinance[[#This Row],[Taxa]]),0),0))</f>
        <v>0</v>
      </c>
      <c r="AB21" s="145">
        <f t="shared" si="5"/>
        <v>0</v>
      </c>
      <c r="AC2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Row],[Tipo]]="DROP"),AC20+TbTradesBinance[[#This Row],[Qtt]],AC20-TbTradesBinance[[#This Row],[Qtt]]),IF(TbTradesBinance[[#This Row],[Tipo]]="BUY",AC20-TbTradesBinance[[#This Row],[Qtt]]*TbTradesBinance[[#This Row],[Preço]],AC20+TbTradesBinance[[#This Row],[Qtt]]*TbTradesBinance[[#This Row],[Preço]])),AC20)-IF(TbTradesBinance[[#This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Row],[Tipo]]="DROP"),AC20+TbTradesBinance[[#This Row],[Qtt]],AC20-TbTradesBinance[[#This Row],[Qtt]]),IF(TbTradesBinance[[#This Row],[Tipo]]="BUY",AC20-TbTradesBinance[[#This Row],[Qtt]]*TbTradesBinance[[#This Row],[Preço]],AC20+TbTradesBinance[[#This Row],[Qtt]]*TbTradesBinance[[#This Row],[Preço]])),AC20)-IF(TbTradesBinance[[#This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Row],[Tipo]]="DROP"),AC20+TbTradesBinance[[#This Row],[Qtt]],AC20-TbTradesBinance[[#This Row],[Qtt]]),IF(TbTradesBinance[[#This Row],[Tipo]]="BUY",AC20-TbTradesBinance[[#This Row],[Qtt]]*TbTradesBinance[[#This Row],[Preço]],AC20+TbTradesBinance[[#This Row],[Qtt]]*TbTradesBinance[[#This Row],[Preço]])),AC20)-IF(TbTradesBinance[[#This Row],[Moeda da Taxa]]=MID(AC$1,9,5),TbTradesBinance[[#This Row],[Taxa]],0),8)))</f>
        <v>0</v>
      </c>
      <c r="AD21" s="145" cm="1">
        <f t="array" ref="AD21">IF(TbTradesBinance[[#This Row],[Tipo]]="EMPTY",0,AD20+IF(TbTradesBinance[[#This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Row],[Par]]))),$1:$1,0)),-(AC20-AC21)/AC20*AD20),0),0)+IF(TbTradesBinance[[#This Row],[Tipo]]="SELL",IF(ISNUMBER(FIND(MID(AD$1,10,5),TbTradesBinance[[#This Row],[Par]])),IF(FIND(MID(AD$1,10,5),TbTradesBinance[[#This Row],[Par]])=1, -(AC20-AC21)/AC20*AD20,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Row],[Par]])),(-(AC20-AC21)/AC20*AD20)+IF(TbTradesBinance[[#This Row],[Resultado]]&gt;0,0,TbTradesBinance[[#This Row],[Taxa]]),0),0))</f>
        <v>0</v>
      </c>
      <c r="AE21" s="145">
        <f t="shared" si="6"/>
        <v>0</v>
      </c>
      <c r="AF2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Row],[Tipo]]="DROP"),AF20+TbTradesBinance[[#This Row],[Qtt]],AF20-TbTradesBinance[[#This Row],[Qtt]]),IF(TbTradesBinance[[#This Row],[Tipo]]="BUY",AF20-TbTradesBinance[[#This Row],[Qtt]]*TbTradesBinance[[#This Row],[Preço]],AF20+TbTradesBinance[[#This Row],[Qtt]]*TbTradesBinance[[#This Row],[Preço]])),AF20)-IF(TbTradesBinance[[#This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Row],[Tipo]]="DROP"),AF20+TbTradesBinance[[#This Row],[Qtt]],AF20-TbTradesBinance[[#This Row],[Qtt]]),IF(TbTradesBinance[[#This Row],[Tipo]]="BUY",AF20-TbTradesBinance[[#This Row],[Qtt]]*TbTradesBinance[[#This Row],[Preço]],AF20+TbTradesBinance[[#This Row],[Qtt]]*TbTradesBinance[[#This Row],[Preço]])),AF20)-IF(TbTradesBinance[[#This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Row],[Tipo]]="DROP"),AF20+TbTradesBinance[[#This Row],[Qtt]],AF20-TbTradesBinance[[#This Row],[Qtt]]),IF(TbTradesBinance[[#This Row],[Tipo]]="BUY",AF20-TbTradesBinance[[#This Row],[Qtt]]*TbTradesBinance[[#This Row],[Preço]],AF20+TbTradesBinance[[#This Row],[Qtt]]*TbTradesBinance[[#This Row],[Preço]])),AF20)-IF(TbTradesBinance[[#This Row],[Moeda da Taxa]]=MID(AF$1,9,5),TbTradesBinance[[#This Row],[Taxa]],0),8)))</f>
        <v>0</v>
      </c>
      <c r="AG21" s="145" cm="1">
        <f t="array" ref="AG21">IF(TbTradesBinance[[#This Row],[Tipo]]="EMPTY",0,AG20+IF(TbTradesBinance[[#This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Row],[Par]]))),$1:$1,0)),-(AF20-AF21)/AF20*AG20),0),0)+IF(TbTradesBinance[[#This Row],[Tipo]]="SELL",IF(ISNUMBER(FIND(MID(AG$1,10,5),TbTradesBinance[[#This Row],[Par]])),IF(FIND(MID(AG$1,10,5),TbTradesBinance[[#This Row],[Par]])=1, -(AF20-AF21)/AF20*AG20,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Row],[Par]])),(-(AF20-AF21)/AF20*AG20)+IF(TbTradesBinance[[#This Row],[Resultado]]&gt;0,0,TbTradesBinance[[#This Row],[Taxa]]),0),0))</f>
        <v>0</v>
      </c>
      <c r="AH21" s="145">
        <f t="shared" si="7"/>
        <v>0</v>
      </c>
      <c r="AI2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Row],[Tipo]]="DROP"),AI20+TbTradesBinance[[#This Row],[Qtt]],AI20-TbTradesBinance[[#This Row],[Qtt]]),IF(TbTradesBinance[[#This Row],[Tipo]]="BUY",AI20-TbTradesBinance[[#This Row],[Qtt]]*TbTradesBinance[[#This Row],[Preço]],AI20+TbTradesBinance[[#This Row],[Qtt]]*TbTradesBinance[[#This Row],[Preço]])),AI20)-IF(TbTradesBinance[[#This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Row],[Tipo]]="DROP"),AI20+TbTradesBinance[[#This Row],[Qtt]],AI20-TbTradesBinance[[#This Row],[Qtt]]),IF(TbTradesBinance[[#This Row],[Tipo]]="BUY",AI20-TbTradesBinance[[#This Row],[Qtt]]*TbTradesBinance[[#This Row],[Preço]],AI20+TbTradesBinance[[#This Row],[Qtt]]*TbTradesBinance[[#This Row],[Preço]])),AI20)-IF(TbTradesBinance[[#This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Row],[Tipo]]="DROP"),AI20+TbTradesBinance[[#This Row],[Qtt]],AI20-TbTradesBinance[[#This Row],[Qtt]]),IF(TbTradesBinance[[#This Row],[Tipo]]="BUY",AI20-TbTradesBinance[[#This Row],[Qtt]]*TbTradesBinance[[#This Row],[Preço]],AI20+TbTradesBinance[[#This Row],[Qtt]]*TbTradesBinance[[#This Row],[Preço]])),AI20)-IF(TbTradesBinance[[#This Row],[Moeda da Taxa]]=MID(AI$1,9,5),TbTradesBinance[[#This Row],[Taxa]],0),8)))</f>
        <v>0</v>
      </c>
      <c r="AJ21" s="145" cm="1">
        <f t="array" ref="AJ21">IF(TbTradesBinance[[#This Row],[Tipo]]="EMPTY",0,AJ20+IF(TbTradesBinance[[#This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Row],[Par]]))),$1:$1,0)),-(AI20-AI21)/AI20*AJ20),0),0)+IF(TbTradesBinance[[#This Row],[Tipo]]="SELL",IF(ISNUMBER(FIND(MID(AJ$1,10,5),TbTradesBinance[[#This Row],[Par]])),IF(FIND(MID(AJ$1,10,5),TbTradesBinance[[#This Row],[Par]])=1, -(AI20-AI21)/AI20*AJ20,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Row],[Par]])),(-(AI20-AI21)/AI20*AJ20)+IF(TbTradesBinance[[#This Row],[Resultado]]&gt;0,0,TbTradesBinance[[#This Row],[Taxa]]),0),0))</f>
        <v>0</v>
      </c>
      <c r="AK21" s="145">
        <f t="shared" si="8"/>
        <v>0</v>
      </c>
      <c r="AL2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Row],[Tipo]]="DROP"),AL20+TbTradesBinance[[#This Row],[Qtt]],AL20-TbTradesBinance[[#This Row],[Qtt]]),IF(TbTradesBinance[[#This Row],[Tipo]]="BUY",AL20-TbTradesBinance[[#This Row],[Qtt]]*TbTradesBinance[[#This Row],[Preço]],AL20+TbTradesBinance[[#This Row],[Qtt]]*TbTradesBinance[[#This Row],[Preço]])),AL20)-IF(TbTradesBinance[[#This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Row],[Tipo]]="DROP"),AL20+TbTradesBinance[[#This Row],[Qtt]],AL20-TbTradesBinance[[#This Row],[Qtt]]),IF(TbTradesBinance[[#This Row],[Tipo]]="BUY",AL20-TbTradesBinance[[#This Row],[Qtt]]*TbTradesBinance[[#This Row],[Preço]],AL20+TbTradesBinance[[#This Row],[Qtt]]*TbTradesBinance[[#This Row],[Preço]])),AL20)-IF(TbTradesBinance[[#This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Row],[Tipo]]="DROP"),AL20+TbTradesBinance[[#This Row],[Qtt]],AL20-TbTradesBinance[[#This Row],[Qtt]]),IF(TbTradesBinance[[#This Row],[Tipo]]="BUY",AL20-TbTradesBinance[[#This Row],[Qtt]]*TbTradesBinance[[#This Row],[Preço]],AL20+TbTradesBinance[[#This Row],[Qtt]]*TbTradesBinance[[#This Row],[Preço]])),AL20)-IF(TbTradesBinance[[#This Row],[Moeda da Taxa]]=MID(AL$1,9,5),TbTradesBinance[[#This Row],[Taxa]],0),8)))</f>
        <v>0</v>
      </c>
      <c r="AM21" s="145" cm="1">
        <f t="array" ref="AM21">IF(TbTradesBinance[[#This Row],[Tipo]]="EMPTY",0,AM20+IF(TbTradesBinance[[#This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Row],[Par]]))),$1:$1,0)),-(AL20-AL21)/AL20*AM20),0),0)+IF(TbTradesBinance[[#This Row],[Tipo]]="SELL",IF(ISNUMBER(FIND(MID(AM$1,10,5),TbTradesBinance[[#This Row],[Par]])),IF(FIND(MID(AM$1,10,5),TbTradesBinance[[#This Row],[Par]])=1, -(AL20-AL21)/AL20*AM20,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Row],[Par]])),(-(AL20-AL21)/AL20*AM20)+IF(TbTradesBinance[[#This Row],[Resultado]]&gt;0,0,TbTradesBinance[[#This Row],[Taxa]]),0),0))</f>
        <v>0</v>
      </c>
      <c r="AN21" s="145">
        <f t="shared" si="9"/>
        <v>0</v>
      </c>
      <c r="AO2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Row],[Tipo]]="DROP"),AO20+TbTradesBinance[[#This Row],[Qtt]],AO20-TbTradesBinance[[#This Row],[Qtt]]),IF(TbTradesBinance[[#This Row],[Tipo]]="BUY",AO20-TbTradesBinance[[#This Row],[Qtt]]*TbTradesBinance[[#This Row],[Preço]],AO20+TbTradesBinance[[#This Row],[Qtt]]*TbTradesBinance[[#This Row],[Preço]])),AO20)-IF(TbTradesBinance[[#This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Row],[Tipo]]="DROP"),AO20+TbTradesBinance[[#This Row],[Qtt]],AO20-TbTradesBinance[[#This Row],[Qtt]]),IF(TbTradesBinance[[#This Row],[Tipo]]="BUY",AO20-TbTradesBinance[[#This Row],[Qtt]]*TbTradesBinance[[#This Row],[Preço]],AO20+TbTradesBinance[[#This Row],[Qtt]]*TbTradesBinance[[#This Row],[Preço]])),AO20)-IF(TbTradesBinance[[#This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Row],[Tipo]]="DROP"),AO20+TbTradesBinance[[#This Row],[Qtt]],AO20-TbTradesBinance[[#This Row],[Qtt]]),IF(TbTradesBinance[[#This Row],[Tipo]]="BUY",AO20-TbTradesBinance[[#This Row],[Qtt]]*TbTradesBinance[[#This Row],[Preço]],AO20+TbTradesBinance[[#This Row],[Qtt]]*TbTradesBinance[[#This Row],[Preço]])),AO20)-IF(TbTradesBinance[[#This Row],[Moeda da Taxa]]=MID(AO$1,9,5),TbTradesBinance[[#This Row],[Taxa]],0),8)))</f>
        <v>0</v>
      </c>
      <c r="AP21" s="145" cm="1">
        <f t="array" ref="AP21">IF(TbTradesBinance[[#This Row],[Tipo]]="EMPTY",0,AP20+IF(TbTradesBinance[[#This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Row],[Par]]))),$1:$1,0)),-(AO20-AO21)/AO20*AP20),0),0)+IF(TbTradesBinance[[#This Row],[Tipo]]="SELL",IF(ISNUMBER(FIND(MID(AP$1,10,5),TbTradesBinance[[#This Row],[Par]])),IF(FIND(MID(AP$1,10,5),TbTradesBinance[[#This Row],[Par]])=1, -(AO20-AO21)/AO20*AP20,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Row],[Par]])),(-(AO20-AO21)/AO20*AP20)+IF(TbTradesBinance[[#This Row],[Resultado]]&gt;0,0,TbTradesBinance[[#This Row],[Taxa]]),0),0))</f>
        <v>0</v>
      </c>
      <c r="AQ21" s="145">
        <f t="shared" si="10"/>
        <v>0</v>
      </c>
      <c r="AR2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Row],[Tipo]]="DROP"),AR20+TbTradesBinance[[#This Row],[Qtt]],AR20-TbTradesBinance[[#This Row],[Qtt]]),IF(TbTradesBinance[[#This Row],[Tipo]]="BUY",AR20-TbTradesBinance[[#This Row],[Qtt]]*TbTradesBinance[[#This Row],[Preço]],AR20+TbTradesBinance[[#This Row],[Qtt]]*TbTradesBinance[[#This Row],[Preço]])),AR20)-IF(TbTradesBinance[[#This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Row],[Tipo]]="DROP"),AR20+TbTradesBinance[[#This Row],[Qtt]],AR20-TbTradesBinance[[#This Row],[Qtt]]),IF(TbTradesBinance[[#This Row],[Tipo]]="BUY",AR20-TbTradesBinance[[#This Row],[Qtt]]*TbTradesBinance[[#This Row],[Preço]],AR20+TbTradesBinance[[#This Row],[Qtt]]*TbTradesBinance[[#This Row],[Preço]])),AR20)-IF(TbTradesBinance[[#This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Row],[Tipo]]="DROP"),AR20+TbTradesBinance[[#This Row],[Qtt]],AR20-TbTradesBinance[[#This Row],[Qtt]]),IF(TbTradesBinance[[#This Row],[Tipo]]="BUY",AR20-TbTradesBinance[[#This Row],[Qtt]]*TbTradesBinance[[#This Row],[Preço]],AR20+TbTradesBinance[[#This Row],[Qtt]]*TbTradesBinance[[#This Row],[Preço]])),AR20)-IF(TbTradesBinance[[#This Row],[Moeda da Taxa]]=MID(AR$1,9,5),TbTradesBinance[[#This Row],[Taxa]],0),8)))</f>
        <v>0</v>
      </c>
      <c r="AS21" s="145" cm="1">
        <f t="array" ref="AS21">IF(TbTradesBinance[[#This Row],[Tipo]]="EMPTY",0,AS20+IF(TbTradesBinance[[#This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Row],[Par]]))),$1:$1,0)),-(AR20-AR21)/AR20*AS20),0),0)+IF(TbTradesBinance[[#This Row],[Tipo]]="SELL",IF(ISNUMBER(FIND(MID(AS$1,10,5),TbTradesBinance[[#This Row],[Par]])),IF(FIND(MID(AS$1,10,5),TbTradesBinance[[#This Row],[Par]])=1, -(AR20-AR21)/AR20*AS20,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Row],[Par]])),(-(AR20-AR21)/AR20*AS20)+IF(TbTradesBinance[[#This Row],[Resultado]]&gt;0,0,TbTradesBinance[[#This Row],[Taxa]]),0),0))</f>
        <v>0</v>
      </c>
      <c r="AT21" s="145">
        <f t="shared" si="11"/>
        <v>0</v>
      </c>
      <c r="AU2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Row],[Tipo]]="DROP"),AU20+TbTradesBinance[[#This Row],[Qtt]],AU20-TbTradesBinance[[#This Row],[Qtt]]),IF(TbTradesBinance[[#This Row],[Tipo]]="BUY",AU20-TbTradesBinance[[#This Row],[Qtt]]*TbTradesBinance[[#This Row],[Preço]],AU20+TbTradesBinance[[#This Row],[Qtt]]*TbTradesBinance[[#This Row],[Preço]])),AU20)-IF(TbTradesBinance[[#This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Row],[Tipo]]="DROP"),AU20+TbTradesBinance[[#This Row],[Qtt]],AU20-TbTradesBinance[[#This Row],[Qtt]]),IF(TbTradesBinance[[#This Row],[Tipo]]="BUY",AU20-TbTradesBinance[[#This Row],[Qtt]]*TbTradesBinance[[#This Row],[Preço]],AU20+TbTradesBinance[[#This Row],[Qtt]]*TbTradesBinance[[#This Row],[Preço]])),AU20)-IF(TbTradesBinance[[#This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Row],[Tipo]]="DROP"),AU20+TbTradesBinance[[#This Row],[Qtt]],AU20-TbTradesBinance[[#This Row],[Qtt]]),IF(TbTradesBinance[[#This Row],[Tipo]]="BUY",AU20-TbTradesBinance[[#This Row],[Qtt]]*TbTradesBinance[[#This Row],[Preço]],AU20+TbTradesBinance[[#This Row],[Qtt]]*TbTradesBinance[[#This Row],[Preço]])),AU20)-IF(TbTradesBinance[[#This Row],[Moeda da Taxa]]=MID(AU$1,9,5),TbTradesBinance[[#This Row],[Taxa]],0),8)))</f>
        <v>0</v>
      </c>
      <c r="AV21" s="145" cm="1">
        <f t="array" ref="AV21">IF(TbTradesBinance[[#This Row],[Tipo]]="EMPTY",0,AV20+IF(TbTradesBinance[[#This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Row],[Par]]))),$1:$1,0)),-(AU20-AU21)/AU20*AV20),0),0)+IF(TbTradesBinance[[#This Row],[Tipo]]="SELL",IF(ISNUMBER(FIND(MID(AV$1,10,5),TbTradesBinance[[#This Row],[Par]])),IF(FIND(MID(AV$1,10,5),TbTradesBinance[[#This Row],[Par]])=1, -(AU20-AU21)/AU20*AV20,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Row],[Par]])),(-(AU20-AU21)/AU20*AV20)+IF(TbTradesBinance[[#This Row],[Resultado]]&gt;0,0,TbTradesBinance[[#This Row],[Taxa]]),0),0))</f>
        <v>0</v>
      </c>
      <c r="AW21" s="145">
        <f t="shared" si="12"/>
        <v>0</v>
      </c>
      <c r="AX2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Row],[Tipo]]="DROP"),AX20+TbTradesBinance[[#This Row],[Qtt]],AX20-TbTradesBinance[[#This Row],[Qtt]]),IF(TbTradesBinance[[#This Row],[Tipo]]="BUY",AX20-TbTradesBinance[[#This Row],[Qtt]]*TbTradesBinance[[#This Row],[Preço]],AX20+TbTradesBinance[[#This Row],[Qtt]]*TbTradesBinance[[#This Row],[Preço]])),AX20)-IF(TbTradesBinance[[#This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Row],[Tipo]]="DROP"),AX20+TbTradesBinance[[#This Row],[Qtt]],AX20-TbTradesBinance[[#This Row],[Qtt]]),IF(TbTradesBinance[[#This Row],[Tipo]]="BUY",AX20-TbTradesBinance[[#This Row],[Qtt]]*TbTradesBinance[[#This Row],[Preço]],AX20+TbTradesBinance[[#This Row],[Qtt]]*TbTradesBinance[[#This Row],[Preço]])),AX20)-IF(TbTradesBinance[[#This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Row],[Tipo]]="DROP"),AX20+TbTradesBinance[[#This Row],[Qtt]],AX20-TbTradesBinance[[#This Row],[Qtt]]),IF(TbTradesBinance[[#This Row],[Tipo]]="BUY",AX20-TbTradesBinance[[#This Row],[Qtt]]*TbTradesBinance[[#This Row],[Preço]],AX20+TbTradesBinance[[#This Row],[Qtt]]*TbTradesBinance[[#This Row],[Preço]])),AX20)-IF(TbTradesBinance[[#This Row],[Moeda da Taxa]]=MID(AX$1,9,5),TbTradesBinance[[#This Row],[Taxa]],0),8)))</f>
        <v>0</v>
      </c>
      <c r="AY21" s="145" cm="1">
        <f t="array" ref="AY21">IF(TbTradesBinance[[#This Row],[Tipo]]="EMPTY",0,AY20+IF(TbTradesBinance[[#This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Row],[Par]]))),$1:$1,0)),-(AX20-AX21)/AX20*AY20),0),0)+IF(TbTradesBinance[[#This Row],[Tipo]]="SELL",IF(ISNUMBER(FIND(MID(AY$1,10,5),TbTradesBinance[[#This Row],[Par]])),IF(FIND(MID(AY$1,10,5),TbTradesBinance[[#This Row],[Par]])=1, -(AX20-AX21)/AX20*AY20,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Row],[Par]])),(-(AX20-AX21)/AX20*AY20)+IF(TbTradesBinance[[#This Row],[Resultado]]&gt;0,0,TbTradesBinance[[#This Row],[Taxa]]),0),0))</f>
        <v>0</v>
      </c>
      <c r="AZ21" s="145">
        <f t="shared" si="13"/>
        <v>0</v>
      </c>
      <c r="BA2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Row],[Tipo]]="DROP"),BA20+TbTradesBinance[[#This Row],[Qtt]],BA20-TbTradesBinance[[#This Row],[Qtt]]),IF(TbTradesBinance[[#This Row],[Tipo]]="BUY",BA20-TbTradesBinance[[#This Row],[Qtt]]*TbTradesBinance[[#This Row],[Preço]],BA20+TbTradesBinance[[#This Row],[Qtt]]*TbTradesBinance[[#This Row],[Preço]])),BA20)-IF(TbTradesBinance[[#This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Row],[Tipo]]="DROP"),BA20+TbTradesBinance[[#This Row],[Qtt]],BA20-TbTradesBinance[[#This Row],[Qtt]]),IF(TbTradesBinance[[#This Row],[Tipo]]="BUY",BA20-TbTradesBinance[[#This Row],[Qtt]]*TbTradesBinance[[#This Row],[Preço]],BA20+TbTradesBinance[[#This Row],[Qtt]]*TbTradesBinance[[#This Row],[Preço]])),BA20)-IF(TbTradesBinance[[#This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Row],[Tipo]]="DROP"),BA20+TbTradesBinance[[#This Row],[Qtt]],BA20-TbTradesBinance[[#This Row],[Qtt]]),IF(TbTradesBinance[[#This Row],[Tipo]]="BUY",BA20-TbTradesBinance[[#This Row],[Qtt]]*TbTradesBinance[[#This Row],[Preço]],BA20+TbTradesBinance[[#This Row],[Qtt]]*TbTradesBinance[[#This Row],[Preço]])),BA20)-IF(TbTradesBinance[[#This Row],[Moeda da Taxa]]=MID(BA$1,9,5),TbTradesBinance[[#This Row],[Taxa]],0),8)))</f>
        <v>0</v>
      </c>
      <c r="BB21" s="145" cm="1">
        <f t="array" ref="BB21">IF(TbTradesBinance[[#This Row],[Tipo]]="EMPTY",0,BB20+IF(TbTradesBinance[[#This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Row],[Par]]))),$1:$1,0)),-(BA20-BA21)/BA20*BB20),0),0)+IF(TbTradesBinance[[#This Row],[Tipo]]="SELL",IF(ISNUMBER(FIND(MID(BB$1,10,5),TbTradesBinance[[#This Row],[Par]])),IF(FIND(MID(BB$1,10,5),TbTradesBinance[[#This Row],[Par]])=1, -(BA20-BA21)/BA20*BB20,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Row],[Par]])),(-(BA20-BA21)/BA20*BB20)+IF(TbTradesBinance[[#This Row],[Resultado]]&gt;0,0,TbTradesBinance[[#This Row],[Taxa]]),0),0))</f>
        <v>0</v>
      </c>
      <c r="BC21" s="145">
        <f t="shared" si="14"/>
        <v>0</v>
      </c>
      <c r="BD2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Row],[Tipo]]="DROP"),BD20+TbTradesBinance[[#This Row],[Qtt]],BD20-TbTradesBinance[[#This Row],[Qtt]]),IF(TbTradesBinance[[#This Row],[Tipo]]="BUY",BD20-TbTradesBinance[[#This Row],[Qtt]]*TbTradesBinance[[#This Row],[Preço]],BD20+TbTradesBinance[[#This Row],[Qtt]]*TbTradesBinance[[#This Row],[Preço]])),BD20)-IF(TbTradesBinance[[#This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Row],[Tipo]]="DROP"),BD20+TbTradesBinance[[#This Row],[Qtt]],BD20-TbTradesBinance[[#This Row],[Qtt]]),IF(TbTradesBinance[[#This Row],[Tipo]]="BUY",BD20-TbTradesBinance[[#This Row],[Qtt]]*TbTradesBinance[[#This Row],[Preço]],BD20+TbTradesBinance[[#This Row],[Qtt]]*TbTradesBinance[[#This Row],[Preço]])),BD20)-IF(TbTradesBinance[[#This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Row],[Tipo]]="DROP"),BD20+TbTradesBinance[[#This Row],[Qtt]],BD20-TbTradesBinance[[#This Row],[Qtt]]),IF(TbTradesBinance[[#This Row],[Tipo]]="BUY",BD20-TbTradesBinance[[#This Row],[Qtt]]*TbTradesBinance[[#This Row],[Preço]],BD20+TbTradesBinance[[#This Row],[Qtt]]*TbTradesBinance[[#This Row],[Preço]])),BD20)-IF(TbTradesBinance[[#This Row],[Moeda da Taxa]]=MID(BD$1,9,5),TbTradesBinance[[#This Row],[Taxa]],0),8)))</f>
        <v>0</v>
      </c>
      <c r="BE21" s="145" cm="1">
        <f t="array" ref="BE21">IF(TbTradesBinance[[#This Row],[Tipo]]="EMPTY",0,BE20+IF(TbTradesBinance[[#This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Row],[Par]]))),$1:$1,0)),-(BD20-BD21)/BD20*BE20),0),0)+IF(TbTradesBinance[[#This Row],[Tipo]]="SELL",IF(ISNUMBER(FIND(MID(BE$1,10,5),TbTradesBinance[[#This Row],[Par]])),IF(FIND(MID(BE$1,10,5),TbTradesBinance[[#This Row],[Par]])=1, -(BD20-BD21)/BD20*BE20,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Row],[Par]])),(-(BD20-BD21)/BD20*BE20)+IF(TbTradesBinance[[#This Row],[Resultado]]&gt;0,0,TbTradesBinance[[#This Row],[Taxa]]),0),0))</f>
        <v>0</v>
      </c>
      <c r="BF21" s="145">
        <f t="shared" si="15"/>
        <v>0</v>
      </c>
      <c r="BG2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Row],[Tipo]]="DROP"),BG20+TbTradesBinance[[#This Row],[Qtt]],BG20-TbTradesBinance[[#This Row],[Qtt]]),IF(TbTradesBinance[[#This Row],[Tipo]]="BUY",BG20-TbTradesBinance[[#This Row],[Qtt]]*TbTradesBinance[[#This Row],[Preço]],BG20+TbTradesBinance[[#This Row],[Qtt]]*TbTradesBinance[[#This Row],[Preço]])),BG20)-IF(TbTradesBinance[[#This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Row],[Tipo]]="DROP"),BG20+TbTradesBinance[[#This Row],[Qtt]],BG20-TbTradesBinance[[#This Row],[Qtt]]),IF(TbTradesBinance[[#This Row],[Tipo]]="BUY",BG20-TbTradesBinance[[#This Row],[Qtt]]*TbTradesBinance[[#This Row],[Preço]],BG20+TbTradesBinance[[#This Row],[Qtt]]*TbTradesBinance[[#This Row],[Preço]])),BG20)-IF(TbTradesBinance[[#This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Row],[Tipo]]="DROP"),BG20+TbTradesBinance[[#This Row],[Qtt]],BG20-TbTradesBinance[[#This Row],[Qtt]]),IF(TbTradesBinance[[#This Row],[Tipo]]="BUY",BG20-TbTradesBinance[[#This Row],[Qtt]]*TbTradesBinance[[#This Row],[Preço]],BG20+TbTradesBinance[[#This Row],[Qtt]]*TbTradesBinance[[#This Row],[Preço]])),BG20)-IF(TbTradesBinance[[#This Row],[Moeda da Taxa]]=MID(BG$1,9,5),TbTradesBinance[[#This Row],[Taxa]],0),8)))</f>
        <v>0</v>
      </c>
      <c r="BH21" s="145" cm="1">
        <f t="array" ref="BH21">IF(TbTradesBinance[[#This Row],[Tipo]]="EMPTY",0,BH20+IF(TbTradesBinance[[#This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Row],[Par]]))),$1:$1,0)),-(BG20-BG21)/BG20*BH20),0),0)+IF(TbTradesBinance[[#This Row],[Tipo]]="SELL",IF(ISNUMBER(FIND(MID(BH$1,10,5),TbTradesBinance[[#This Row],[Par]])),IF(FIND(MID(BH$1,10,5),TbTradesBinance[[#This Row],[Par]])=1, -(BG20-BG21)/BG20*BH20,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Row],[Par]])),(-(BG20-BG21)/BG20*BH20)+IF(TbTradesBinance[[#This Row],[Resultado]]&gt;0,0,TbTradesBinance[[#This Row],[Taxa]]),0),0))</f>
        <v>0</v>
      </c>
      <c r="BI21" s="145">
        <f t="shared" si="16"/>
        <v>0</v>
      </c>
      <c r="BJ2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Row],[Tipo]]="DROP"),BJ20+TbTradesBinance[[#This Row],[Qtt]],BJ20-TbTradesBinance[[#This Row],[Qtt]]),IF(TbTradesBinance[[#This Row],[Tipo]]="BUY",BJ20-TbTradesBinance[[#This Row],[Qtt]]*TbTradesBinance[[#This Row],[Preço]],BJ20+TbTradesBinance[[#This Row],[Qtt]]*TbTradesBinance[[#This Row],[Preço]])),BJ20)-IF(TbTradesBinance[[#This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Row],[Tipo]]="DROP"),BJ20+TbTradesBinance[[#This Row],[Qtt]],BJ20-TbTradesBinance[[#This Row],[Qtt]]),IF(TbTradesBinance[[#This Row],[Tipo]]="BUY",BJ20-TbTradesBinance[[#This Row],[Qtt]]*TbTradesBinance[[#This Row],[Preço]],BJ20+TbTradesBinance[[#This Row],[Qtt]]*TbTradesBinance[[#This Row],[Preço]])),BJ20)-IF(TbTradesBinance[[#This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Row],[Tipo]]="DROP"),BJ20+TbTradesBinance[[#This Row],[Qtt]],BJ20-TbTradesBinance[[#This Row],[Qtt]]),IF(TbTradesBinance[[#This Row],[Tipo]]="BUY",BJ20-TbTradesBinance[[#This Row],[Qtt]]*TbTradesBinance[[#This Row],[Preço]],BJ20+TbTradesBinance[[#This Row],[Qtt]]*TbTradesBinance[[#This Row],[Preço]])),BJ20)-IF(TbTradesBinance[[#This Row],[Moeda da Taxa]]=MID(BJ$1,9,5),TbTradesBinance[[#This Row],[Taxa]],0),8)))</f>
        <v>0</v>
      </c>
      <c r="BK21" s="145" cm="1">
        <f t="array" ref="BK21">IF(TbTradesBinance[[#This Row],[Tipo]]="EMPTY",0,BK20+IF(TbTradesBinance[[#This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Row],[Par]]))),$1:$1,0)),-(BJ20-BJ21)/BJ20*BK20),0),0)+IF(TbTradesBinance[[#This Row],[Tipo]]="SELL",IF(ISNUMBER(FIND(MID(BK$1,10,5),TbTradesBinance[[#This Row],[Par]])),IF(FIND(MID(BK$1,10,5),TbTradesBinance[[#This Row],[Par]])=1, -(BJ20-BJ21)/BJ20*BK20,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Row],[Par]])),(-(BJ20-BJ21)/BJ20*BK20)+IF(TbTradesBinance[[#This Row],[Resultado]]&gt;0,0,TbTradesBinance[[#This Row],[Taxa]]),0),0))</f>
        <v>0</v>
      </c>
      <c r="BL21" s="145">
        <f t="shared" si="17"/>
        <v>0</v>
      </c>
      <c r="BM2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Row],[Tipo]]="DROP"),BM20+TbTradesBinance[[#This Row],[Qtt]],BM20-TbTradesBinance[[#This Row],[Qtt]]),IF(TbTradesBinance[[#This Row],[Tipo]]="BUY",BM20-TbTradesBinance[[#This Row],[Qtt]]*TbTradesBinance[[#This Row],[Preço]],BM20+TbTradesBinance[[#This Row],[Qtt]]*TbTradesBinance[[#This Row],[Preço]])),BM20)-IF(TbTradesBinance[[#This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Row],[Tipo]]="DROP"),BM20+TbTradesBinance[[#This Row],[Qtt]],BM20-TbTradesBinance[[#This Row],[Qtt]]),IF(TbTradesBinance[[#This Row],[Tipo]]="BUY",BM20-TbTradesBinance[[#This Row],[Qtt]]*TbTradesBinance[[#This Row],[Preço]],BM20+TbTradesBinance[[#This Row],[Qtt]]*TbTradesBinance[[#This Row],[Preço]])),BM20)-IF(TbTradesBinance[[#This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Row],[Tipo]]="DROP"),BM20+TbTradesBinance[[#This Row],[Qtt]],BM20-TbTradesBinance[[#This Row],[Qtt]]),IF(TbTradesBinance[[#This Row],[Tipo]]="BUY",BM20-TbTradesBinance[[#This Row],[Qtt]]*TbTradesBinance[[#This Row],[Preço]],BM20+TbTradesBinance[[#This Row],[Qtt]]*TbTradesBinance[[#This Row],[Preço]])),BM20)-IF(TbTradesBinance[[#This Row],[Moeda da Taxa]]=MID(BM$1,9,5),TbTradesBinance[[#This Row],[Taxa]],0),8)))</f>
        <v>0</v>
      </c>
      <c r="BN21" s="145" cm="1">
        <f t="array" ref="BN21">IF(TbTradesBinance[[#This Row],[Tipo]]="EMPTY",0,BN20+IF(TbTradesBinance[[#This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Row],[Par]]))),$1:$1,0)),-(BM20-BM21)/BM20*BN20),0),0)+IF(TbTradesBinance[[#This Row],[Tipo]]="SELL",IF(ISNUMBER(FIND(MID(BN$1,10,5),TbTradesBinance[[#This Row],[Par]])),IF(FIND(MID(BN$1,10,5),TbTradesBinance[[#This Row],[Par]])=1, -(BM20-BM21)/BM20*BN20,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Row],[Par]])),(-(BM20-BM21)/BM20*BN20)+IF(TbTradesBinance[[#This Row],[Resultado]]&gt;0,0,TbTradesBinance[[#This Row],[Taxa]]),0),0))</f>
        <v>0</v>
      </c>
      <c r="BO21" s="145">
        <f t="shared" si="18"/>
        <v>0</v>
      </c>
    </row>
    <row r="22" spans="2:67" x14ac:dyDescent="0.3">
      <c r="B22" s="51"/>
      <c r="C22" s="40">
        <f>TRUNC(IF(AND(TbTradesBinance[[#This Row],[Tipo]]="SEND",TbTradesBinance[[#This Row],[Par]]="BRL"),TbTradesBinance[[#This Row],[Qtt]]*(1-P20)-IF(TbTradesBinance[[#This Row],[Moeda da Taxa]]="BRL",TbTradesBinance[[#This Row],[Taxa]],0),0)+IF(AND(TbTradesBinance[[#This Row],[Tipo]]="BURN",TbTradesBinance[[#This Row],[Par]]="BRL"),-TbTradesBinance[[#This Row],[Qtt]]*P20,0),2)</f>
        <v>0</v>
      </c>
      <c r="D22" s="53">
        <v>44250.960451388892</v>
      </c>
      <c r="E22" s="37" t="s">
        <v>138</v>
      </c>
      <c r="F22" s="47" t="s">
        <v>140</v>
      </c>
      <c r="G22" s="38">
        <v>279000</v>
      </c>
      <c r="H22" s="38">
        <v>1.1400000000000001E-4</v>
      </c>
      <c r="I22" s="38">
        <v>0</v>
      </c>
      <c r="J22" s="37" t="s">
        <v>50</v>
      </c>
      <c r="K22" s="52">
        <v>1</v>
      </c>
      <c r="L22" s="40">
        <f t="shared" si="0"/>
        <v>279000</v>
      </c>
      <c r="M22" s="40">
        <f>IF(OR(TbTradesBinance[[#This Row],[Tipo]]="BUY",TbTradesBinance[[#This Row],[Tipo]]="RECEIVE",TbTradesBinance[[#This Row],[Tipo]]="DROP"),L22*H22,-L22*H22)</f>
        <v>-31.806000000000001</v>
      </c>
      <c r="N2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Row],[Tipo]]="DROP"),N21+TbTradesBinance[[#This Row],[Qtt]],N21-TbTradesBinance[[#This Row],[Qtt]]),IF(TbTradesBinance[[#This Row],[Tipo]]="BUY",N21-TbTradesBinance[[#This Row],[Qtt]]*TbTradesBinance[[#This Row],[Preço]],N21+TbTradesBinance[[#This Row],[Qtt]]*TbTradesBinance[[#This Row],[Preço]])),N21)-IF(TbTradesBinance[[#This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Row],[Tipo]]="DROP"),N21+TbTradesBinance[[#This Row],[Qtt]],N21-TbTradesBinance[[#This Row],[Qtt]]),IF(TbTradesBinance[[#This Row],[Tipo]]="BUY",N21-TbTradesBinance[[#This Row],[Qtt]]*TbTradesBinance[[#This Row],[Preço]],N21+TbTradesBinance[[#This Row],[Qtt]]*TbTradesBinance[[#This Row],[Preço]])),N21)-IF(TbTradesBinance[[#This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Row],[Tipo]]="DROP"),N21+TbTradesBinance[[#This Row],[Qtt]],N21-TbTradesBinance[[#This Row],[Qtt]]),IF(TbTradesBinance[[#This Row],[Tipo]]="BUY",N21-TbTradesBinance[[#This Row],[Qtt]]*TbTradesBinance[[#This Row],[Preço]],N21+TbTradesBinance[[#This Row],[Qtt]]*TbTradesBinance[[#This Row],[Preço]])),N21)-IF(TbTradesBinance[[#This Row],[Moeda da Taxa]]=MID(N$1,9,5),TbTradesBinance[[#This Row],[Taxa]],0),8)))</f>
        <v>20023.090106899999</v>
      </c>
      <c r="O22" s="145" cm="1">
        <f t="array" ref="O22">IF(TbTradesBinance[[#This Row],[Tipo]]="EMPTY",0,O21+IF(TbTradesBinance[[#This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Row],[Par]]))),$1:$1,0)),-(N21-N22)/N21*O21),0),0)+IF(TbTradesBinance[[#This Row],[Tipo]]="SELL",IF(ISNUMBER(FIND(MID(O$1,10,5),TbTradesBinance[[#This Row],[Par]])),IF(FIND(MID(O$1,10,5),TbTradesBinance[[#This Row],[Par]])=1, -(N21-N22)/N21*O21,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Row],[Par]])),(-(N21-N22)/N21*O21)+IF(TbTradesBinance[[#This Row],[Resultado]]&gt;0,0,TbTradesBinance[[#This Row],[Taxa]]),0),0))</f>
        <v>19976.033299442068</v>
      </c>
      <c r="P22" s="145">
        <f t="shared" si="1"/>
        <v>0.99764987286144635</v>
      </c>
      <c r="Q2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Row],[Tipo]]="DROP"),Q21+TbTradesBinance[[#This Row],[Qtt]],Q21-TbTradesBinance[[#This Row],[Qtt]]),IF(TbTradesBinance[[#This Row],[Tipo]]="BUY",Q21-TbTradesBinance[[#This Row],[Qtt]]*TbTradesBinance[[#This Row],[Preço]],Q21+TbTradesBinance[[#This Row],[Qtt]]*TbTradesBinance[[#This Row],[Preço]])),Q21)-IF(TbTradesBinance[[#This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Row],[Tipo]]="DROP"),Q21+TbTradesBinance[[#This Row],[Qtt]],Q21-TbTradesBinance[[#This Row],[Qtt]]),IF(TbTradesBinance[[#This Row],[Tipo]]="BUY",Q21-TbTradesBinance[[#This Row],[Qtt]]*TbTradesBinance[[#This Row],[Preço]],Q21+TbTradesBinance[[#This Row],[Qtt]]*TbTradesBinance[[#This Row],[Preço]])),Q21)-IF(TbTradesBinance[[#This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Row],[Tipo]]="DROP"),Q21+TbTradesBinance[[#This Row],[Qtt]],Q21-TbTradesBinance[[#This Row],[Qtt]]),IF(TbTradesBinance[[#This Row],[Tipo]]="BUY",Q21-TbTradesBinance[[#This Row],[Qtt]]*TbTradesBinance[[#This Row],[Preço]],Q21+TbTradesBinance[[#This Row],[Qtt]]*TbTradesBinance[[#This Row],[Preço]])),Q21)-IF(TbTradesBinance[[#This Row],[Moeda da Taxa]]=MID(Q$1,9,5),TbTradesBinance[[#This Row],[Taxa]],0),8)))</f>
        <v>0</v>
      </c>
      <c r="R22" s="145" cm="1">
        <f t="array" ref="R22">IF(TbTradesBinance[[#This Row],[Tipo]]="EMPTY",0,R21+IF(TbTradesBinance[[#This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Row],[Par]]))),$1:$1,0)),-(Q21-Q22)/Q21*R21),0),0)+IF(TbTradesBinance[[#This Row],[Tipo]]="SELL",IF(ISNUMBER(FIND(MID(R$1,10,5),TbTradesBinance[[#This Row],[Par]])),IF(FIND(MID(R$1,10,5),TbTradesBinance[[#This Row],[Par]])=1, -(Q21-Q22)/Q21*R21,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Row],[Par]])),(-(Q21-Q22)/Q21*R21)+IF(TbTradesBinance[[#This Row],[Resultado]]&gt;0,0,TbTradesBinance[[#This Row],[Taxa]]),0),0))</f>
        <v>0</v>
      </c>
      <c r="S22" s="145">
        <f t="shared" si="2"/>
        <v>0</v>
      </c>
      <c r="T2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Row],[Tipo]]="DROP"),T21+TbTradesBinance[[#This Row],[Qtt]],T21-TbTradesBinance[[#This Row],[Qtt]]),IF(TbTradesBinance[[#This Row],[Tipo]]="BUY",T21-TbTradesBinance[[#This Row],[Qtt]]*TbTradesBinance[[#This Row],[Preço]],T21+TbTradesBinance[[#This Row],[Qtt]]*TbTradesBinance[[#This Row],[Preço]])),T21)-IF(TbTradesBinance[[#This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Row],[Tipo]]="DROP"),T21+TbTradesBinance[[#This Row],[Qtt]],T21-TbTradesBinance[[#This Row],[Qtt]]),IF(TbTradesBinance[[#This Row],[Tipo]]="BUY",T21-TbTradesBinance[[#This Row],[Qtt]]*TbTradesBinance[[#This Row],[Preço]],T21+TbTradesBinance[[#This Row],[Qtt]]*TbTradesBinance[[#This Row],[Preço]])),T21)-IF(TbTradesBinance[[#This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Row],[Tipo]]="DROP"),T21+TbTradesBinance[[#This Row],[Qtt]],T21-TbTradesBinance[[#This Row],[Qtt]]),IF(TbTradesBinance[[#This Row],[Tipo]]="BUY",T21-TbTradesBinance[[#This Row],[Qtt]]*TbTradesBinance[[#This Row],[Preço]],T21+TbTradesBinance[[#This Row],[Qtt]]*TbTradesBinance[[#This Row],[Preço]])),T21)-IF(TbTradesBinance[[#This Row],[Moeda da Taxa]]=MID(T$1,9,5),TbTradesBinance[[#This Row],[Taxa]],0),8)))</f>
        <v>2.867312E-2</v>
      </c>
      <c r="U22" s="145" cm="1">
        <f t="array" ref="U22">IF(TbTradesBinance[[#This Row],[Tipo]]="EMPTY",0,U21+IF(TbTradesBinance[[#This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Row],[Par]]))),$1:$1,0)),-(T21-T22)/T21*U21),0),0)+IF(TbTradesBinance[[#This Row],[Tipo]]="SELL",IF(ISNUMBER(FIND(MID(U$1,10,5),TbTradesBinance[[#This Row],[Par]])),IF(FIND(MID(U$1,10,5),TbTradesBinance[[#This Row],[Par]])=1, -(T21-T22)/T21*U21,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Row],[Par]])),(-(T21-T22)/T21*U21)+IF(TbTradesBinance[[#This Row],[Resultado]]&gt;0,0,TbTradesBinance[[#This Row],[Taxa]]),0),0))</f>
        <v>0.19365209596473676</v>
      </c>
      <c r="V22" s="145">
        <f t="shared" si="3"/>
        <v>6.7537852861752317</v>
      </c>
      <c r="W2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Row],[Tipo]]="DROP"),W21+TbTradesBinance[[#This Row],[Qtt]],W21-TbTradesBinance[[#This Row],[Qtt]]),IF(TbTradesBinance[[#This Row],[Tipo]]="BUY",W21-TbTradesBinance[[#This Row],[Qtt]]*TbTradesBinance[[#This Row],[Preço]],W21+TbTradesBinance[[#This Row],[Qtt]]*TbTradesBinance[[#This Row],[Preço]])),W21)-IF(TbTradesBinance[[#This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Row],[Tipo]]="DROP"),W21+TbTradesBinance[[#This Row],[Qtt]],W21-TbTradesBinance[[#This Row],[Qtt]]),IF(TbTradesBinance[[#This Row],[Tipo]]="BUY",W21-TbTradesBinance[[#This Row],[Qtt]]*TbTradesBinance[[#This Row],[Preço]],W21+TbTradesBinance[[#This Row],[Qtt]]*TbTradesBinance[[#This Row],[Preço]])),W21)-IF(TbTradesBinance[[#This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Row],[Tipo]]="DROP"),W21+TbTradesBinance[[#This Row],[Qtt]],W21-TbTradesBinance[[#This Row],[Qtt]]),IF(TbTradesBinance[[#This Row],[Tipo]]="BUY",W21-TbTradesBinance[[#This Row],[Qtt]]*TbTradesBinance[[#This Row],[Preço]],W21+TbTradesBinance[[#This Row],[Qtt]]*TbTradesBinance[[#This Row],[Preço]])),W21)-IF(TbTradesBinance[[#This Row],[Moeda da Taxa]]=MID(W$1,9,5),TbTradesBinance[[#This Row],[Taxa]],0),8)))</f>
        <v>9.0270000000000001E-5</v>
      </c>
      <c r="X22" s="145" cm="1">
        <f t="array" ref="X22">IF(TbTradesBinance[[#This Row],[Tipo]]="EMPTY",0,X21+IF(TbTradesBinance[[#This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Row],[Par]]))),$1:$1,0)),-(W21-W22)/W21*X21),0),0)+IF(TbTradesBinance[[#This Row],[Tipo]]="SELL",IF(ISNUMBER(FIND(MID(X$1,10,5),TbTradesBinance[[#This Row],[Par]])),IF(FIND(MID(X$1,10,5),TbTradesBinance[[#This Row],[Par]])=1, -(W21-W22)/W21*X21,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Row],[Par]])),(-(W21-W22)/W21*X21)+IF(TbTradesBinance[[#This Row],[Resultado]]&gt;0,0,TbTradesBinance[[#This Row],[Taxa]]),0),0))</f>
        <v>23.773048461969267</v>
      </c>
      <c r="Y22" s="145">
        <f t="shared" si="4"/>
        <v>263354.91815630073</v>
      </c>
      <c r="Z2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Row],[Tipo]]="DROP"),Z21+TbTradesBinance[[#This Row],[Qtt]],Z21-TbTradesBinance[[#This Row],[Qtt]]),IF(TbTradesBinance[[#This Row],[Tipo]]="BUY",Z21-TbTradesBinance[[#This Row],[Qtt]]*TbTradesBinance[[#This Row],[Preço]],Z21+TbTradesBinance[[#This Row],[Qtt]]*TbTradesBinance[[#This Row],[Preço]])),Z21)-IF(TbTradesBinance[[#This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Row],[Tipo]]="DROP"),Z21+TbTradesBinance[[#This Row],[Qtt]],Z21-TbTradesBinance[[#This Row],[Qtt]]),IF(TbTradesBinance[[#This Row],[Tipo]]="BUY",Z21-TbTradesBinance[[#This Row],[Qtt]]*TbTradesBinance[[#This Row],[Preço]],Z21+TbTradesBinance[[#This Row],[Qtt]]*TbTradesBinance[[#This Row],[Preço]])),Z21)-IF(TbTradesBinance[[#This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Row],[Tipo]]="DROP"),Z21+TbTradesBinance[[#This Row],[Qtt]],Z21-TbTradesBinance[[#This Row],[Qtt]]),IF(TbTradesBinance[[#This Row],[Tipo]]="BUY",Z21-TbTradesBinance[[#This Row],[Qtt]]*TbTradesBinance[[#This Row],[Preço]],Z21+TbTradesBinance[[#This Row],[Qtt]]*TbTradesBinance[[#This Row],[Preço]])),Z21)-IF(TbTradesBinance[[#This Row],[Moeda da Taxa]]=MID(Z$1,9,5),TbTradesBinance[[#This Row],[Taxa]],0),8)))</f>
        <v>0</v>
      </c>
      <c r="AA22" s="145" cm="1">
        <f t="array" ref="AA22">IF(TbTradesBinance[[#This Row],[Tipo]]="EMPTY",0,AA21+IF(TbTradesBinance[[#This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Row],[Par]]))),$1:$1,0)),-(Z21-Z22)/Z21*AA21),0),0)+IF(TbTradesBinance[[#This Row],[Tipo]]="SELL",IF(ISNUMBER(FIND(MID(AA$1,10,5),TbTradesBinance[[#This Row],[Par]])),IF(FIND(MID(AA$1,10,5),TbTradesBinance[[#This Row],[Par]])=1, -(Z21-Z22)/Z21*AA21,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Row],[Par]])),(-(Z21-Z22)/Z21*AA21)+IF(TbTradesBinance[[#This Row],[Resultado]]&gt;0,0,TbTradesBinance[[#This Row],[Taxa]]),0),0))</f>
        <v>0</v>
      </c>
      <c r="AB22" s="145">
        <f t="shared" si="5"/>
        <v>0</v>
      </c>
      <c r="AC2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Row],[Tipo]]="DROP"),AC21+TbTradesBinance[[#This Row],[Qtt]],AC21-TbTradesBinance[[#This Row],[Qtt]]),IF(TbTradesBinance[[#This Row],[Tipo]]="BUY",AC21-TbTradesBinance[[#This Row],[Qtt]]*TbTradesBinance[[#This Row],[Preço]],AC21+TbTradesBinance[[#This Row],[Qtt]]*TbTradesBinance[[#This Row],[Preço]])),AC21)-IF(TbTradesBinance[[#This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Row],[Tipo]]="DROP"),AC21+TbTradesBinance[[#This Row],[Qtt]],AC21-TbTradesBinance[[#This Row],[Qtt]]),IF(TbTradesBinance[[#This Row],[Tipo]]="BUY",AC21-TbTradesBinance[[#This Row],[Qtt]]*TbTradesBinance[[#This Row],[Preço]],AC21+TbTradesBinance[[#This Row],[Qtt]]*TbTradesBinance[[#This Row],[Preço]])),AC21)-IF(TbTradesBinance[[#This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Row],[Tipo]]="DROP"),AC21+TbTradesBinance[[#This Row],[Qtt]],AC21-TbTradesBinance[[#This Row],[Qtt]]),IF(TbTradesBinance[[#This Row],[Tipo]]="BUY",AC21-TbTradesBinance[[#This Row],[Qtt]]*TbTradesBinance[[#This Row],[Preço]],AC21+TbTradesBinance[[#This Row],[Qtt]]*TbTradesBinance[[#This Row],[Preço]])),AC21)-IF(TbTradesBinance[[#This Row],[Moeda da Taxa]]=MID(AC$1,9,5),TbTradesBinance[[#This Row],[Taxa]],0),8)))</f>
        <v>0</v>
      </c>
      <c r="AD22" s="145" cm="1">
        <f t="array" ref="AD22">IF(TbTradesBinance[[#This Row],[Tipo]]="EMPTY",0,AD21+IF(TbTradesBinance[[#This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Row],[Par]]))),$1:$1,0)),-(AC21-AC22)/AC21*AD21),0),0)+IF(TbTradesBinance[[#This Row],[Tipo]]="SELL",IF(ISNUMBER(FIND(MID(AD$1,10,5),TbTradesBinance[[#This Row],[Par]])),IF(FIND(MID(AD$1,10,5),TbTradesBinance[[#This Row],[Par]])=1, -(AC21-AC22)/AC21*AD21,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Row],[Par]])),(-(AC21-AC22)/AC21*AD21)+IF(TbTradesBinance[[#This Row],[Resultado]]&gt;0,0,TbTradesBinance[[#This Row],[Taxa]]),0),0))</f>
        <v>0</v>
      </c>
      <c r="AE22" s="145">
        <f t="shared" si="6"/>
        <v>0</v>
      </c>
      <c r="AF2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Row],[Tipo]]="DROP"),AF21+TbTradesBinance[[#This Row],[Qtt]],AF21-TbTradesBinance[[#This Row],[Qtt]]),IF(TbTradesBinance[[#This Row],[Tipo]]="BUY",AF21-TbTradesBinance[[#This Row],[Qtt]]*TbTradesBinance[[#This Row],[Preço]],AF21+TbTradesBinance[[#This Row],[Qtt]]*TbTradesBinance[[#This Row],[Preço]])),AF21)-IF(TbTradesBinance[[#This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Row],[Tipo]]="DROP"),AF21+TbTradesBinance[[#This Row],[Qtt]],AF21-TbTradesBinance[[#This Row],[Qtt]]),IF(TbTradesBinance[[#This Row],[Tipo]]="BUY",AF21-TbTradesBinance[[#This Row],[Qtt]]*TbTradesBinance[[#This Row],[Preço]],AF21+TbTradesBinance[[#This Row],[Qtt]]*TbTradesBinance[[#This Row],[Preço]])),AF21)-IF(TbTradesBinance[[#This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Row],[Tipo]]="DROP"),AF21+TbTradesBinance[[#This Row],[Qtt]],AF21-TbTradesBinance[[#This Row],[Qtt]]),IF(TbTradesBinance[[#This Row],[Tipo]]="BUY",AF21-TbTradesBinance[[#This Row],[Qtt]]*TbTradesBinance[[#This Row],[Preço]],AF21+TbTradesBinance[[#This Row],[Qtt]]*TbTradesBinance[[#This Row],[Preço]])),AF21)-IF(TbTradesBinance[[#This Row],[Moeda da Taxa]]=MID(AF$1,9,5),TbTradesBinance[[#This Row],[Taxa]],0),8)))</f>
        <v>0</v>
      </c>
      <c r="AG22" s="145" cm="1">
        <f t="array" ref="AG22">IF(TbTradesBinance[[#This Row],[Tipo]]="EMPTY",0,AG21+IF(TbTradesBinance[[#This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Row],[Par]]))),$1:$1,0)),-(AF21-AF22)/AF21*AG21),0),0)+IF(TbTradesBinance[[#This Row],[Tipo]]="SELL",IF(ISNUMBER(FIND(MID(AG$1,10,5),TbTradesBinance[[#This Row],[Par]])),IF(FIND(MID(AG$1,10,5),TbTradesBinance[[#This Row],[Par]])=1, -(AF21-AF22)/AF21*AG21,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Row],[Par]])),(-(AF21-AF22)/AF21*AG21)+IF(TbTradesBinance[[#This Row],[Resultado]]&gt;0,0,TbTradesBinance[[#This Row],[Taxa]]),0),0))</f>
        <v>0</v>
      </c>
      <c r="AH22" s="145">
        <f t="shared" si="7"/>
        <v>0</v>
      </c>
      <c r="AI2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Row],[Tipo]]="DROP"),AI21+TbTradesBinance[[#This Row],[Qtt]],AI21-TbTradesBinance[[#This Row],[Qtt]]),IF(TbTradesBinance[[#This Row],[Tipo]]="BUY",AI21-TbTradesBinance[[#This Row],[Qtt]]*TbTradesBinance[[#This Row],[Preço]],AI21+TbTradesBinance[[#This Row],[Qtt]]*TbTradesBinance[[#This Row],[Preço]])),AI21)-IF(TbTradesBinance[[#This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Row],[Tipo]]="DROP"),AI21+TbTradesBinance[[#This Row],[Qtt]],AI21-TbTradesBinance[[#This Row],[Qtt]]),IF(TbTradesBinance[[#This Row],[Tipo]]="BUY",AI21-TbTradesBinance[[#This Row],[Qtt]]*TbTradesBinance[[#This Row],[Preço]],AI21+TbTradesBinance[[#This Row],[Qtt]]*TbTradesBinance[[#This Row],[Preço]])),AI21)-IF(TbTradesBinance[[#This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Row],[Tipo]]="DROP"),AI21+TbTradesBinance[[#This Row],[Qtt]],AI21-TbTradesBinance[[#This Row],[Qtt]]),IF(TbTradesBinance[[#This Row],[Tipo]]="BUY",AI21-TbTradesBinance[[#This Row],[Qtt]]*TbTradesBinance[[#This Row],[Preço]],AI21+TbTradesBinance[[#This Row],[Qtt]]*TbTradesBinance[[#This Row],[Preço]])),AI21)-IF(TbTradesBinance[[#This Row],[Moeda da Taxa]]=MID(AI$1,9,5),TbTradesBinance[[#This Row],[Taxa]],0),8)))</f>
        <v>0</v>
      </c>
      <c r="AJ22" s="145" cm="1">
        <f t="array" ref="AJ22">IF(TbTradesBinance[[#This Row],[Tipo]]="EMPTY",0,AJ21+IF(TbTradesBinance[[#This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Row],[Par]]))),$1:$1,0)),-(AI21-AI22)/AI21*AJ21),0),0)+IF(TbTradesBinance[[#This Row],[Tipo]]="SELL",IF(ISNUMBER(FIND(MID(AJ$1,10,5),TbTradesBinance[[#This Row],[Par]])),IF(FIND(MID(AJ$1,10,5),TbTradesBinance[[#This Row],[Par]])=1, -(AI21-AI22)/AI21*AJ21,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Row],[Par]])),(-(AI21-AI22)/AI21*AJ21)+IF(TbTradesBinance[[#This Row],[Resultado]]&gt;0,0,TbTradesBinance[[#This Row],[Taxa]]),0),0))</f>
        <v>0</v>
      </c>
      <c r="AK22" s="145">
        <f t="shared" si="8"/>
        <v>0</v>
      </c>
      <c r="AL2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Row],[Tipo]]="DROP"),AL21+TbTradesBinance[[#This Row],[Qtt]],AL21-TbTradesBinance[[#This Row],[Qtt]]),IF(TbTradesBinance[[#This Row],[Tipo]]="BUY",AL21-TbTradesBinance[[#This Row],[Qtt]]*TbTradesBinance[[#This Row],[Preço]],AL21+TbTradesBinance[[#This Row],[Qtt]]*TbTradesBinance[[#This Row],[Preço]])),AL21)-IF(TbTradesBinance[[#This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Row],[Tipo]]="DROP"),AL21+TbTradesBinance[[#This Row],[Qtt]],AL21-TbTradesBinance[[#This Row],[Qtt]]),IF(TbTradesBinance[[#This Row],[Tipo]]="BUY",AL21-TbTradesBinance[[#This Row],[Qtt]]*TbTradesBinance[[#This Row],[Preço]],AL21+TbTradesBinance[[#This Row],[Qtt]]*TbTradesBinance[[#This Row],[Preço]])),AL21)-IF(TbTradesBinance[[#This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Row],[Tipo]]="DROP"),AL21+TbTradesBinance[[#This Row],[Qtt]],AL21-TbTradesBinance[[#This Row],[Qtt]]),IF(TbTradesBinance[[#This Row],[Tipo]]="BUY",AL21-TbTradesBinance[[#This Row],[Qtt]]*TbTradesBinance[[#This Row],[Preço]],AL21+TbTradesBinance[[#This Row],[Qtt]]*TbTradesBinance[[#This Row],[Preço]])),AL21)-IF(TbTradesBinance[[#This Row],[Moeda da Taxa]]=MID(AL$1,9,5),TbTradesBinance[[#This Row],[Taxa]],0),8)))</f>
        <v>0</v>
      </c>
      <c r="AM22" s="145" cm="1">
        <f t="array" ref="AM22">IF(TbTradesBinance[[#This Row],[Tipo]]="EMPTY",0,AM21+IF(TbTradesBinance[[#This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Row],[Par]]))),$1:$1,0)),-(AL21-AL22)/AL21*AM21),0),0)+IF(TbTradesBinance[[#This Row],[Tipo]]="SELL",IF(ISNUMBER(FIND(MID(AM$1,10,5),TbTradesBinance[[#This Row],[Par]])),IF(FIND(MID(AM$1,10,5),TbTradesBinance[[#This Row],[Par]])=1, -(AL21-AL22)/AL21*AM21,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Row],[Par]])),(-(AL21-AL22)/AL21*AM21)+IF(TbTradesBinance[[#This Row],[Resultado]]&gt;0,0,TbTradesBinance[[#This Row],[Taxa]]),0),0))</f>
        <v>0</v>
      </c>
      <c r="AN22" s="145">
        <f t="shared" si="9"/>
        <v>0</v>
      </c>
      <c r="AO2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Row],[Tipo]]="DROP"),AO21+TbTradesBinance[[#This Row],[Qtt]],AO21-TbTradesBinance[[#This Row],[Qtt]]),IF(TbTradesBinance[[#This Row],[Tipo]]="BUY",AO21-TbTradesBinance[[#This Row],[Qtt]]*TbTradesBinance[[#This Row],[Preço]],AO21+TbTradesBinance[[#This Row],[Qtt]]*TbTradesBinance[[#This Row],[Preço]])),AO21)-IF(TbTradesBinance[[#This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Row],[Tipo]]="DROP"),AO21+TbTradesBinance[[#This Row],[Qtt]],AO21-TbTradesBinance[[#This Row],[Qtt]]),IF(TbTradesBinance[[#This Row],[Tipo]]="BUY",AO21-TbTradesBinance[[#This Row],[Qtt]]*TbTradesBinance[[#This Row],[Preço]],AO21+TbTradesBinance[[#This Row],[Qtt]]*TbTradesBinance[[#This Row],[Preço]])),AO21)-IF(TbTradesBinance[[#This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Row],[Tipo]]="DROP"),AO21+TbTradesBinance[[#This Row],[Qtt]],AO21-TbTradesBinance[[#This Row],[Qtt]]),IF(TbTradesBinance[[#This Row],[Tipo]]="BUY",AO21-TbTradesBinance[[#This Row],[Qtt]]*TbTradesBinance[[#This Row],[Preço]],AO21+TbTradesBinance[[#This Row],[Qtt]]*TbTradesBinance[[#This Row],[Preço]])),AO21)-IF(TbTradesBinance[[#This Row],[Moeda da Taxa]]=MID(AO$1,9,5),TbTradesBinance[[#This Row],[Taxa]],0),8)))</f>
        <v>0</v>
      </c>
      <c r="AP22" s="145" cm="1">
        <f t="array" ref="AP22">IF(TbTradesBinance[[#This Row],[Tipo]]="EMPTY",0,AP21+IF(TbTradesBinance[[#This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Row],[Par]]))),$1:$1,0)),-(AO21-AO22)/AO21*AP21),0),0)+IF(TbTradesBinance[[#This Row],[Tipo]]="SELL",IF(ISNUMBER(FIND(MID(AP$1,10,5),TbTradesBinance[[#This Row],[Par]])),IF(FIND(MID(AP$1,10,5),TbTradesBinance[[#This Row],[Par]])=1, -(AO21-AO22)/AO21*AP21,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Row],[Par]])),(-(AO21-AO22)/AO21*AP21)+IF(TbTradesBinance[[#This Row],[Resultado]]&gt;0,0,TbTradesBinance[[#This Row],[Taxa]]),0),0))</f>
        <v>0</v>
      </c>
      <c r="AQ22" s="145">
        <f t="shared" si="10"/>
        <v>0</v>
      </c>
      <c r="AR2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Row],[Tipo]]="DROP"),AR21+TbTradesBinance[[#This Row],[Qtt]],AR21-TbTradesBinance[[#This Row],[Qtt]]),IF(TbTradesBinance[[#This Row],[Tipo]]="BUY",AR21-TbTradesBinance[[#This Row],[Qtt]]*TbTradesBinance[[#This Row],[Preço]],AR21+TbTradesBinance[[#This Row],[Qtt]]*TbTradesBinance[[#This Row],[Preço]])),AR21)-IF(TbTradesBinance[[#This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Row],[Tipo]]="DROP"),AR21+TbTradesBinance[[#This Row],[Qtt]],AR21-TbTradesBinance[[#This Row],[Qtt]]),IF(TbTradesBinance[[#This Row],[Tipo]]="BUY",AR21-TbTradesBinance[[#This Row],[Qtt]]*TbTradesBinance[[#This Row],[Preço]],AR21+TbTradesBinance[[#This Row],[Qtt]]*TbTradesBinance[[#This Row],[Preço]])),AR21)-IF(TbTradesBinance[[#This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Row],[Tipo]]="DROP"),AR21+TbTradesBinance[[#This Row],[Qtt]],AR21-TbTradesBinance[[#This Row],[Qtt]]),IF(TbTradesBinance[[#This Row],[Tipo]]="BUY",AR21-TbTradesBinance[[#This Row],[Qtt]]*TbTradesBinance[[#This Row],[Preço]],AR21+TbTradesBinance[[#This Row],[Qtt]]*TbTradesBinance[[#This Row],[Preço]])),AR21)-IF(TbTradesBinance[[#This Row],[Moeda da Taxa]]=MID(AR$1,9,5),TbTradesBinance[[#This Row],[Taxa]],0),8)))</f>
        <v>0</v>
      </c>
      <c r="AS22" s="145" cm="1">
        <f t="array" ref="AS22">IF(TbTradesBinance[[#This Row],[Tipo]]="EMPTY",0,AS21+IF(TbTradesBinance[[#This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Row],[Par]]))),$1:$1,0)),-(AR21-AR22)/AR21*AS21),0),0)+IF(TbTradesBinance[[#This Row],[Tipo]]="SELL",IF(ISNUMBER(FIND(MID(AS$1,10,5),TbTradesBinance[[#This Row],[Par]])),IF(FIND(MID(AS$1,10,5),TbTradesBinance[[#This Row],[Par]])=1, -(AR21-AR22)/AR21*AS21,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Row],[Par]])),(-(AR21-AR22)/AR21*AS21)+IF(TbTradesBinance[[#This Row],[Resultado]]&gt;0,0,TbTradesBinance[[#This Row],[Taxa]]),0),0))</f>
        <v>0</v>
      </c>
      <c r="AT22" s="145">
        <f t="shared" si="11"/>
        <v>0</v>
      </c>
      <c r="AU2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Row],[Tipo]]="DROP"),AU21+TbTradesBinance[[#This Row],[Qtt]],AU21-TbTradesBinance[[#This Row],[Qtt]]),IF(TbTradesBinance[[#This Row],[Tipo]]="BUY",AU21-TbTradesBinance[[#This Row],[Qtt]]*TbTradesBinance[[#This Row],[Preço]],AU21+TbTradesBinance[[#This Row],[Qtt]]*TbTradesBinance[[#This Row],[Preço]])),AU21)-IF(TbTradesBinance[[#This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Row],[Tipo]]="DROP"),AU21+TbTradesBinance[[#This Row],[Qtt]],AU21-TbTradesBinance[[#This Row],[Qtt]]),IF(TbTradesBinance[[#This Row],[Tipo]]="BUY",AU21-TbTradesBinance[[#This Row],[Qtt]]*TbTradesBinance[[#This Row],[Preço]],AU21+TbTradesBinance[[#This Row],[Qtt]]*TbTradesBinance[[#This Row],[Preço]])),AU21)-IF(TbTradesBinance[[#This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Row],[Tipo]]="DROP"),AU21+TbTradesBinance[[#This Row],[Qtt]],AU21-TbTradesBinance[[#This Row],[Qtt]]),IF(TbTradesBinance[[#This Row],[Tipo]]="BUY",AU21-TbTradesBinance[[#This Row],[Qtt]]*TbTradesBinance[[#This Row],[Preço]],AU21+TbTradesBinance[[#This Row],[Qtt]]*TbTradesBinance[[#This Row],[Preço]])),AU21)-IF(TbTradesBinance[[#This Row],[Moeda da Taxa]]=MID(AU$1,9,5),TbTradesBinance[[#This Row],[Taxa]],0),8)))</f>
        <v>0</v>
      </c>
      <c r="AV22" s="145" cm="1">
        <f t="array" ref="AV22">IF(TbTradesBinance[[#This Row],[Tipo]]="EMPTY",0,AV21+IF(TbTradesBinance[[#This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Row],[Par]]))),$1:$1,0)),-(AU21-AU22)/AU21*AV21),0),0)+IF(TbTradesBinance[[#This Row],[Tipo]]="SELL",IF(ISNUMBER(FIND(MID(AV$1,10,5),TbTradesBinance[[#This Row],[Par]])),IF(FIND(MID(AV$1,10,5),TbTradesBinance[[#This Row],[Par]])=1, -(AU21-AU22)/AU21*AV21,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Row],[Par]])),(-(AU21-AU22)/AU21*AV21)+IF(TbTradesBinance[[#This Row],[Resultado]]&gt;0,0,TbTradesBinance[[#This Row],[Taxa]]),0),0))</f>
        <v>0</v>
      </c>
      <c r="AW22" s="145">
        <f t="shared" si="12"/>
        <v>0</v>
      </c>
      <c r="AX2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Row],[Tipo]]="DROP"),AX21+TbTradesBinance[[#This Row],[Qtt]],AX21-TbTradesBinance[[#This Row],[Qtt]]),IF(TbTradesBinance[[#This Row],[Tipo]]="BUY",AX21-TbTradesBinance[[#This Row],[Qtt]]*TbTradesBinance[[#This Row],[Preço]],AX21+TbTradesBinance[[#This Row],[Qtt]]*TbTradesBinance[[#This Row],[Preço]])),AX21)-IF(TbTradesBinance[[#This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Row],[Tipo]]="DROP"),AX21+TbTradesBinance[[#This Row],[Qtt]],AX21-TbTradesBinance[[#This Row],[Qtt]]),IF(TbTradesBinance[[#This Row],[Tipo]]="BUY",AX21-TbTradesBinance[[#This Row],[Qtt]]*TbTradesBinance[[#This Row],[Preço]],AX21+TbTradesBinance[[#This Row],[Qtt]]*TbTradesBinance[[#This Row],[Preço]])),AX21)-IF(TbTradesBinance[[#This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Row],[Tipo]]="DROP"),AX21+TbTradesBinance[[#This Row],[Qtt]],AX21-TbTradesBinance[[#This Row],[Qtt]]),IF(TbTradesBinance[[#This Row],[Tipo]]="BUY",AX21-TbTradesBinance[[#This Row],[Qtt]]*TbTradesBinance[[#This Row],[Preço]],AX21+TbTradesBinance[[#This Row],[Qtt]]*TbTradesBinance[[#This Row],[Preço]])),AX21)-IF(TbTradesBinance[[#This Row],[Moeda da Taxa]]=MID(AX$1,9,5),TbTradesBinance[[#This Row],[Taxa]],0),8)))</f>
        <v>0</v>
      </c>
      <c r="AY22" s="145" cm="1">
        <f t="array" ref="AY22">IF(TbTradesBinance[[#This Row],[Tipo]]="EMPTY",0,AY21+IF(TbTradesBinance[[#This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Row],[Par]]))),$1:$1,0)),-(AX21-AX22)/AX21*AY21),0),0)+IF(TbTradesBinance[[#This Row],[Tipo]]="SELL",IF(ISNUMBER(FIND(MID(AY$1,10,5),TbTradesBinance[[#This Row],[Par]])),IF(FIND(MID(AY$1,10,5),TbTradesBinance[[#This Row],[Par]])=1, -(AX21-AX22)/AX21*AY21,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Row],[Par]])),(-(AX21-AX22)/AX21*AY21)+IF(TbTradesBinance[[#This Row],[Resultado]]&gt;0,0,TbTradesBinance[[#This Row],[Taxa]]),0),0))</f>
        <v>0</v>
      </c>
      <c r="AZ22" s="145">
        <f t="shared" si="13"/>
        <v>0</v>
      </c>
      <c r="BA2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Row],[Tipo]]="DROP"),BA21+TbTradesBinance[[#This Row],[Qtt]],BA21-TbTradesBinance[[#This Row],[Qtt]]),IF(TbTradesBinance[[#This Row],[Tipo]]="BUY",BA21-TbTradesBinance[[#This Row],[Qtt]]*TbTradesBinance[[#This Row],[Preço]],BA21+TbTradesBinance[[#This Row],[Qtt]]*TbTradesBinance[[#This Row],[Preço]])),BA21)-IF(TbTradesBinance[[#This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Row],[Tipo]]="DROP"),BA21+TbTradesBinance[[#This Row],[Qtt]],BA21-TbTradesBinance[[#This Row],[Qtt]]),IF(TbTradesBinance[[#This Row],[Tipo]]="BUY",BA21-TbTradesBinance[[#This Row],[Qtt]]*TbTradesBinance[[#This Row],[Preço]],BA21+TbTradesBinance[[#This Row],[Qtt]]*TbTradesBinance[[#This Row],[Preço]])),BA21)-IF(TbTradesBinance[[#This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Row],[Tipo]]="DROP"),BA21+TbTradesBinance[[#This Row],[Qtt]],BA21-TbTradesBinance[[#This Row],[Qtt]]),IF(TbTradesBinance[[#This Row],[Tipo]]="BUY",BA21-TbTradesBinance[[#This Row],[Qtt]]*TbTradesBinance[[#This Row],[Preço]],BA21+TbTradesBinance[[#This Row],[Qtt]]*TbTradesBinance[[#This Row],[Preço]])),BA21)-IF(TbTradesBinance[[#This Row],[Moeda da Taxa]]=MID(BA$1,9,5),TbTradesBinance[[#This Row],[Taxa]],0),8)))</f>
        <v>0</v>
      </c>
      <c r="BB22" s="145" cm="1">
        <f t="array" ref="BB22">IF(TbTradesBinance[[#This Row],[Tipo]]="EMPTY",0,BB21+IF(TbTradesBinance[[#This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Row],[Par]]))),$1:$1,0)),-(BA21-BA22)/BA21*BB21),0),0)+IF(TbTradesBinance[[#This Row],[Tipo]]="SELL",IF(ISNUMBER(FIND(MID(BB$1,10,5),TbTradesBinance[[#This Row],[Par]])),IF(FIND(MID(BB$1,10,5),TbTradesBinance[[#This Row],[Par]])=1, -(BA21-BA22)/BA21*BB21,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Row],[Par]])),(-(BA21-BA22)/BA21*BB21)+IF(TbTradesBinance[[#This Row],[Resultado]]&gt;0,0,TbTradesBinance[[#This Row],[Taxa]]),0),0))</f>
        <v>0</v>
      </c>
      <c r="BC22" s="145">
        <f t="shared" si="14"/>
        <v>0</v>
      </c>
      <c r="BD2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Row],[Tipo]]="DROP"),BD21+TbTradesBinance[[#This Row],[Qtt]],BD21-TbTradesBinance[[#This Row],[Qtt]]),IF(TbTradesBinance[[#This Row],[Tipo]]="BUY",BD21-TbTradesBinance[[#This Row],[Qtt]]*TbTradesBinance[[#This Row],[Preço]],BD21+TbTradesBinance[[#This Row],[Qtt]]*TbTradesBinance[[#This Row],[Preço]])),BD21)-IF(TbTradesBinance[[#This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Row],[Tipo]]="DROP"),BD21+TbTradesBinance[[#This Row],[Qtt]],BD21-TbTradesBinance[[#This Row],[Qtt]]),IF(TbTradesBinance[[#This Row],[Tipo]]="BUY",BD21-TbTradesBinance[[#This Row],[Qtt]]*TbTradesBinance[[#This Row],[Preço]],BD21+TbTradesBinance[[#This Row],[Qtt]]*TbTradesBinance[[#This Row],[Preço]])),BD21)-IF(TbTradesBinance[[#This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Row],[Tipo]]="DROP"),BD21+TbTradesBinance[[#This Row],[Qtt]],BD21-TbTradesBinance[[#This Row],[Qtt]]),IF(TbTradesBinance[[#This Row],[Tipo]]="BUY",BD21-TbTradesBinance[[#This Row],[Qtt]]*TbTradesBinance[[#This Row],[Preço]],BD21+TbTradesBinance[[#This Row],[Qtt]]*TbTradesBinance[[#This Row],[Preço]])),BD21)-IF(TbTradesBinance[[#This Row],[Moeda da Taxa]]=MID(BD$1,9,5),TbTradesBinance[[#This Row],[Taxa]],0),8)))</f>
        <v>0</v>
      </c>
      <c r="BE22" s="145" cm="1">
        <f t="array" ref="BE22">IF(TbTradesBinance[[#This Row],[Tipo]]="EMPTY",0,BE21+IF(TbTradesBinance[[#This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Row],[Par]]))),$1:$1,0)),-(BD21-BD22)/BD21*BE21),0),0)+IF(TbTradesBinance[[#This Row],[Tipo]]="SELL",IF(ISNUMBER(FIND(MID(BE$1,10,5),TbTradesBinance[[#This Row],[Par]])),IF(FIND(MID(BE$1,10,5),TbTradesBinance[[#This Row],[Par]])=1, -(BD21-BD22)/BD21*BE21,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Row],[Par]])),(-(BD21-BD22)/BD21*BE21)+IF(TbTradesBinance[[#This Row],[Resultado]]&gt;0,0,TbTradesBinance[[#This Row],[Taxa]]),0),0))</f>
        <v>0</v>
      </c>
      <c r="BF22" s="145">
        <f t="shared" si="15"/>
        <v>0</v>
      </c>
      <c r="BG2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Row],[Tipo]]="DROP"),BG21+TbTradesBinance[[#This Row],[Qtt]],BG21-TbTradesBinance[[#This Row],[Qtt]]),IF(TbTradesBinance[[#This Row],[Tipo]]="BUY",BG21-TbTradesBinance[[#This Row],[Qtt]]*TbTradesBinance[[#This Row],[Preço]],BG21+TbTradesBinance[[#This Row],[Qtt]]*TbTradesBinance[[#This Row],[Preço]])),BG21)-IF(TbTradesBinance[[#This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Row],[Tipo]]="DROP"),BG21+TbTradesBinance[[#This Row],[Qtt]],BG21-TbTradesBinance[[#This Row],[Qtt]]),IF(TbTradesBinance[[#This Row],[Tipo]]="BUY",BG21-TbTradesBinance[[#This Row],[Qtt]]*TbTradesBinance[[#This Row],[Preço]],BG21+TbTradesBinance[[#This Row],[Qtt]]*TbTradesBinance[[#This Row],[Preço]])),BG21)-IF(TbTradesBinance[[#This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Row],[Tipo]]="DROP"),BG21+TbTradesBinance[[#This Row],[Qtt]],BG21-TbTradesBinance[[#This Row],[Qtt]]),IF(TbTradesBinance[[#This Row],[Tipo]]="BUY",BG21-TbTradesBinance[[#This Row],[Qtt]]*TbTradesBinance[[#This Row],[Preço]],BG21+TbTradesBinance[[#This Row],[Qtt]]*TbTradesBinance[[#This Row],[Preço]])),BG21)-IF(TbTradesBinance[[#This Row],[Moeda da Taxa]]=MID(BG$1,9,5),TbTradesBinance[[#This Row],[Taxa]],0),8)))</f>
        <v>0</v>
      </c>
      <c r="BH22" s="145" cm="1">
        <f t="array" ref="BH22">IF(TbTradesBinance[[#This Row],[Tipo]]="EMPTY",0,BH21+IF(TbTradesBinance[[#This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Row],[Par]]))),$1:$1,0)),-(BG21-BG22)/BG21*BH21),0),0)+IF(TbTradesBinance[[#This Row],[Tipo]]="SELL",IF(ISNUMBER(FIND(MID(BH$1,10,5),TbTradesBinance[[#This Row],[Par]])),IF(FIND(MID(BH$1,10,5),TbTradesBinance[[#This Row],[Par]])=1, -(BG21-BG22)/BG21*BH21,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Row],[Par]])),(-(BG21-BG22)/BG21*BH21)+IF(TbTradesBinance[[#This Row],[Resultado]]&gt;0,0,TbTradesBinance[[#This Row],[Taxa]]),0),0))</f>
        <v>0</v>
      </c>
      <c r="BI22" s="145">
        <f t="shared" si="16"/>
        <v>0</v>
      </c>
      <c r="BJ2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Row],[Tipo]]="DROP"),BJ21+TbTradesBinance[[#This Row],[Qtt]],BJ21-TbTradesBinance[[#This Row],[Qtt]]),IF(TbTradesBinance[[#This Row],[Tipo]]="BUY",BJ21-TbTradesBinance[[#This Row],[Qtt]]*TbTradesBinance[[#This Row],[Preço]],BJ21+TbTradesBinance[[#This Row],[Qtt]]*TbTradesBinance[[#This Row],[Preço]])),BJ21)-IF(TbTradesBinance[[#This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Row],[Tipo]]="DROP"),BJ21+TbTradesBinance[[#This Row],[Qtt]],BJ21-TbTradesBinance[[#This Row],[Qtt]]),IF(TbTradesBinance[[#This Row],[Tipo]]="BUY",BJ21-TbTradesBinance[[#This Row],[Qtt]]*TbTradesBinance[[#This Row],[Preço]],BJ21+TbTradesBinance[[#This Row],[Qtt]]*TbTradesBinance[[#This Row],[Preço]])),BJ21)-IF(TbTradesBinance[[#This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Row],[Tipo]]="DROP"),BJ21+TbTradesBinance[[#This Row],[Qtt]],BJ21-TbTradesBinance[[#This Row],[Qtt]]),IF(TbTradesBinance[[#This Row],[Tipo]]="BUY",BJ21-TbTradesBinance[[#This Row],[Qtt]]*TbTradesBinance[[#This Row],[Preço]],BJ21+TbTradesBinance[[#This Row],[Qtt]]*TbTradesBinance[[#This Row],[Preço]])),BJ21)-IF(TbTradesBinance[[#This Row],[Moeda da Taxa]]=MID(BJ$1,9,5),TbTradesBinance[[#This Row],[Taxa]],0),8)))</f>
        <v>0</v>
      </c>
      <c r="BK22" s="145" cm="1">
        <f t="array" ref="BK22">IF(TbTradesBinance[[#This Row],[Tipo]]="EMPTY",0,BK21+IF(TbTradesBinance[[#This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Row],[Par]]))),$1:$1,0)),-(BJ21-BJ22)/BJ21*BK21),0),0)+IF(TbTradesBinance[[#This Row],[Tipo]]="SELL",IF(ISNUMBER(FIND(MID(BK$1,10,5),TbTradesBinance[[#This Row],[Par]])),IF(FIND(MID(BK$1,10,5),TbTradesBinance[[#This Row],[Par]])=1, -(BJ21-BJ22)/BJ21*BK21,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Row],[Par]])),(-(BJ21-BJ22)/BJ21*BK21)+IF(TbTradesBinance[[#This Row],[Resultado]]&gt;0,0,TbTradesBinance[[#This Row],[Taxa]]),0),0))</f>
        <v>0</v>
      </c>
      <c r="BL22" s="145">
        <f t="shared" si="17"/>
        <v>0</v>
      </c>
      <c r="BM2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Row],[Tipo]]="DROP"),BM21+TbTradesBinance[[#This Row],[Qtt]],BM21-TbTradesBinance[[#This Row],[Qtt]]),IF(TbTradesBinance[[#This Row],[Tipo]]="BUY",BM21-TbTradesBinance[[#This Row],[Qtt]]*TbTradesBinance[[#This Row],[Preço]],BM21+TbTradesBinance[[#This Row],[Qtt]]*TbTradesBinance[[#This Row],[Preço]])),BM21)-IF(TbTradesBinance[[#This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Row],[Tipo]]="DROP"),BM21+TbTradesBinance[[#This Row],[Qtt]],BM21-TbTradesBinance[[#This Row],[Qtt]]),IF(TbTradesBinance[[#This Row],[Tipo]]="BUY",BM21-TbTradesBinance[[#This Row],[Qtt]]*TbTradesBinance[[#This Row],[Preço]],BM21+TbTradesBinance[[#This Row],[Qtt]]*TbTradesBinance[[#This Row],[Preço]])),BM21)-IF(TbTradesBinance[[#This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Row],[Tipo]]="DROP"),BM21+TbTradesBinance[[#This Row],[Qtt]],BM21-TbTradesBinance[[#This Row],[Qtt]]),IF(TbTradesBinance[[#This Row],[Tipo]]="BUY",BM21-TbTradesBinance[[#This Row],[Qtt]]*TbTradesBinance[[#This Row],[Preço]],BM21+TbTradesBinance[[#This Row],[Qtt]]*TbTradesBinance[[#This Row],[Preço]])),BM21)-IF(TbTradesBinance[[#This Row],[Moeda da Taxa]]=MID(BM$1,9,5),TbTradesBinance[[#This Row],[Taxa]],0),8)))</f>
        <v>0</v>
      </c>
      <c r="BN22" s="145" cm="1">
        <f t="array" ref="BN22">IF(TbTradesBinance[[#This Row],[Tipo]]="EMPTY",0,BN21+IF(TbTradesBinance[[#This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Row],[Par]]))),$1:$1,0)),-(BM21-BM22)/BM21*BN21),0),0)+IF(TbTradesBinance[[#This Row],[Tipo]]="SELL",IF(ISNUMBER(FIND(MID(BN$1,10,5),TbTradesBinance[[#This Row],[Par]])),IF(FIND(MID(BN$1,10,5),TbTradesBinance[[#This Row],[Par]])=1, -(BM21-BM22)/BM21*BN21,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Row],[Par]])),(-(BM21-BM22)/BM21*BN21)+IF(TbTradesBinance[[#This Row],[Resultado]]&gt;0,0,TbTradesBinance[[#This Row],[Taxa]]),0),0))</f>
        <v>0</v>
      </c>
      <c r="BO22" s="145">
        <f t="shared" si="18"/>
        <v>0</v>
      </c>
    </row>
    <row r="23" spans="2:67" x14ac:dyDescent="0.3">
      <c r="B23" s="51"/>
      <c r="C23" s="40">
        <f>TRUNC(IF(AND(TbTradesBinance[[#This Row],[Tipo]]="SEND",TbTradesBinance[[#This Row],[Par]]="BRL"),TbTradesBinance[[#This Row],[Qtt]]*(1-P21)-IF(TbTradesBinance[[#This Row],[Moeda da Taxa]]="BRL",TbTradesBinance[[#This Row],[Taxa]],0),0)+IF(AND(TbTradesBinance[[#This Row],[Tipo]]="BURN",TbTradesBinance[[#This Row],[Par]]="BRL"),-TbTradesBinance[[#This Row],[Qtt]]*P21,0),2)</f>
        <v>0</v>
      </c>
      <c r="D23" s="53">
        <v>44250.963553240741</v>
      </c>
      <c r="E23" s="37" t="s">
        <v>138</v>
      </c>
      <c r="F23" s="47" t="s">
        <v>140</v>
      </c>
      <c r="G23" s="38">
        <v>280000</v>
      </c>
      <c r="H23" s="38">
        <v>9.0000000000000006E-5</v>
      </c>
      <c r="I23" s="38">
        <v>0</v>
      </c>
      <c r="J23" s="37" t="s">
        <v>50</v>
      </c>
      <c r="K23" s="52">
        <v>1</v>
      </c>
      <c r="L23" s="40">
        <f t="shared" si="0"/>
        <v>280000</v>
      </c>
      <c r="M23" s="40">
        <f>IF(OR(TbTradesBinance[[#This Row],[Tipo]]="BUY",TbTradesBinance[[#This Row],[Tipo]]="RECEIVE",TbTradesBinance[[#This Row],[Tipo]]="DROP"),L23*H23,-L23*H23)</f>
        <v>-25.200000000000003</v>
      </c>
      <c r="N2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Row],[Tipo]]="DROP"),N22+TbTradesBinance[[#This Row],[Qtt]],N22-TbTradesBinance[[#This Row],[Qtt]]),IF(TbTradesBinance[[#This Row],[Tipo]]="BUY",N22-TbTradesBinance[[#This Row],[Qtt]]*TbTradesBinance[[#This Row],[Preço]],N22+TbTradesBinance[[#This Row],[Qtt]]*TbTradesBinance[[#This Row],[Preço]])),N22)-IF(TbTradesBinance[[#This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Row],[Tipo]]="DROP"),N22+TbTradesBinance[[#This Row],[Qtt]],N22-TbTradesBinance[[#This Row],[Qtt]]),IF(TbTradesBinance[[#This Row],[Tipo]]="BUY",N22-TbTradesBinance[[#This Row],[Qtt]]*TbTradesBinance[[#This Row],[Preço]],N22+TbTradesBinance[[#This Row],[Qtt]]*TbTradesBinance[[#This Row],[Preço]])),N22)-IF(TbTradesBinance[[#This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Row],[Tipo]]="DROP"),N22+TbTradesBinance[[#This Row],[Qtt]],N22-TbTradesBinance[[#This Row],[Qtt]]),IF(TbTradesBinance[[#This Row],[Tipo]]="BUY",N22-TbTradesBinance[[#This Row],[Qtt]]*TbTradesBinance[[#This Row],[Preço]],N22+TbTradesBinance[[#This Row],[Qtt]]*TbTradesBinance[[#This Row],[Preço]])),N22)-IF(TbTradesBinance[[#This Row],[Moeda da Taxa]]=MID(N$1,9,5),TbTradesBinance[[#This Row],[Taxa]],0),8)))</f>
        <v>20048.2901069</v>
      </c>
      <c r="O23" s="145" cm="1">
        <f t="array" ref="O23">IF(TbTradesBinance[[#This Row],[Tipo]]="EMPTY",0,O22+IF(TbTradesBinance[[#This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Row],[Par]]))),$1:$1,0)),-(N22-N23)/N22*O22),0),0)+IF(TbTradesBinance[[#This Row],[Tipo]]="SELL",IF(ISNUMBER(FIND(MID(O$1,10,5),TbTradesBinance[[#This Row],[Par]])),IF(FIND(MID(O$1,10,5),TbTradesBinance[[#This Row],[Par]])=1, -(N22-N23)/N22*O22,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Row],[Par]])),(-(N22-N23)/N22*O22)+IF(TbTradesBinance[[#This Row],[Resultado]]&gt;0,0,TbTradesBinance[[#This Row],[Taxa]]),0),0))</f>
        <v>19999.737875625317</v>
      </c>
      <c r="P23" s="145">
        <f t="shared" si="1"/>
        <v>0.99757823579887372</v>
      </c>
      <c r="Q2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Row],[Tipo]]="DROP"),Q22+TbTradesBinance[[#This Row],[Qtt]],Q22-TbTradesBinance[[#This Row],[Qtt]]),IF(TbTradesBinance[[#This Row],[Tipo]]="BUY",Q22-TbTradesBinance[[#This Row],[Qtt]]*TbTradesBinance[[#This Row],[Preço]],Q22+TbTradesBinance[[#This Row],[Qtt]]*TbTradesBinance[[#This Row],[Preço]])),Q22)-IF(TbTradesBinance[[#This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Row],[Tipo]]="DROP"),Q22+TbTradesBinance[[#This Row],[Qtt]],Q22-TbTradesBinance[[#This Row],[Qtt]]),IF(TbTradesBinance[[#This Row],[Tipo]]="BUY",Q22-TbTradesBinance[[#This Row],[Qtt]]*TbTradesBinance[[#This Row],[Preço]],Q22+TbTradesBinance[[#This Row],[Qtt]]*TbTradesBinance[[#This Row],[Preço]])),Q22)-IF(TbTradesBinance[[#This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Row],[Tipo]]="DROP"),Q22+TbTradesBinance[[#This Row],[Qtt]],Q22-TbTradesBinance[[#This Row],[Qtt]]),IF(TbTradesBinance[[#This Row],[Tipo]]="BUY",Q22-TbTradesBinance[[#This Row],[Qtt]]*TbTradesBinance[[#This Row],[Preço]],Q22+TbTradesBinance[[#This Row],[Qtt]]*TbTradesBinance[[#This Row],[Preço]])),Q22)-IF(TbTradesBinance[[#This Row],[Moeda da Taxa]]=MID(Q$1,9,5),TbTradesBinance[[#This Row],[Taxa]],0),8)))</f>
        <v>0</v>
      </c>
      <c r="R23" s="145" cm="1">
        <f t="array" ref="R23">IF(TbTradesBinance[[#This Row],[Tipo]]="EMPTY",0,R22+IF(TbTradesBinance[[#This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Row],[Par]]))),$1:$1,0)),-(Q22-Q23)/Q22*R22),0),0)+IF(TbTradesBinance[[#This Row],[Tipo]]="SELL",IF(ISNUMBER(FIND(MID(R$1,10,5),TbTradesBinance[[#This Row],[Par]])),IF(FIND(MID(R$1,10,5),TbTradesBinance[[#This Row],[Par]])=1, -(Q22-Q23)/Q22*R22,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Row],[Par]])),(-(Q22-Q23)/Q22*R22)+IF(TbTradesBinance[[#This Row],[Resultado]]&gt;0,0,TbTradesBinance[[#This Row],[Taxa]]),0),0))</f>
        <v>0</v>
      </c>
      <c r="S23" s="145">
        <f t="shared" si="2"/>
        <v>0</v>
      </c>
      <c r="T2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Row],[Tipo]]="DROP"),T22+TbTradesBinance[[#This Row],[Qtt]],T22-TbTradesBinance[[#This Row],[Qtt]]),IF(TbTradesBinance[[#This Row],[Tipo]]="BUY",T22-TbTradesBinance[[#This Row],[Qtt]]*TbTradesBinance[[#This Row],[Preço]],T22+TbTradesBinance[[#This Row],[Qtt]]*TbTradesBinance[[#This Row],[Preço]])),T22)-IF(TbTradesBinance[[#This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Row],[Tipo]]="DROP"),T22+TbTradesBinance[[#This Row],[Qtt]],T22-TbTradesBinance[[#This Row],[Qtt]]),IF(TbTradesBinance[[#This Row],[Tipo]]="BUY",T22-TbTradesBinance[[#This Row],[Qtt]]*TbTradesBinance[[#This Row],[Preço]],T22+TbTradesBinance[[#This Row],[Qtt]]*TbTradesBinance[[#This Row],[Preço]])),T22)-IF(TbTradesBinance[[#This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Row],[Tipo]]="DROP"),T22+TbTradesBinance[[#This Row],[Qtt]],T22-TbTradesBinance[[#This Row],[Qtt]]),IF(TbTradesBinance[[#This Row],[Tipo]]="BUY",T22-TbTradesBinance[[#This Row],[Qtt]]*TbTradesBinance[[#This Row],[Preço]],T22+TbTradesBinance[[#This Row],[Qtt]]*TbTradesBinance[[#This Row],[Preço]])),T22)-IF(TbTradesBinance[[#This Row],[Moeda da Taxa]]=MID(T$1,9,5),TbTradesBinance[[#This Row],[Taxa]],0),8)))</f>
        <v>2.867312E-2</v>
      </c>
      <c r="U23" s="145" cm="1">
        <f t="array" ref="U23">IF(TbTradesBinance[[#This Row],[Tipo]]="EMPTY",0,U22+IF(TbTradesBinance[[#This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Row],[Par]]))),$1:$1,0)),-(T22-T23)/T22*U22),0),0)+IF(TbTradesBinance[[#This Row],[Tipo]]="SELL",IF(ISNUMBER(FIND(MID(U$1,10,5),TbTradesBinance[[#This Row],[Par]])),IF(FIND(MID(U$1,10,5),TbTradesBinance[[#This Row],[Par]])=1, -(T22-T23)/T22*U22,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Row],[Par]])),(-(T22-T23)/T22*U22)+IF(TbTradesBinance[[#This Row],[Resultado]]&gt;0,0,TbTradesBinance[[#This Row],[Taxa]]),0),0))</f>
        <v>0.19365209596473676</v>
      </c>
      <c r="V23" s="145">
        <f t="shared" si="3"/>
        <v>6.7537852861752317</v>
      </c>
      <c r="W2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Row],[Tipo]]="DROP"),W22+TbTradesBinance[[#This Row],[Qtt]],W22-TbTradesBinance[[#This Row],[Qtt]]),IF(TbTradesBinance[[#This Row],[Tipo]]="BUY",W22-TbTradesBinance[[#This Row],[Qtt]]*TbTradesBinance[[#This Row],[Preço]],W22+TbTradesBinance[[#This Row],[Qtt]]*TbTradesBinance[[#This Row],[Preço]])),W22)-IF(TbTradesBinance[[#This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Row],[Tipo]]="DROP"),W22+TbTradesBinance[[#This Row],[Qtt]],W22-TbTradesBinance[[#This Row],[Qtt]]),IF(TbTradesBinance[[#This Row],[Tipo]]="BUY",W22-TbTradesBinance[[#This Row],[Qtt]]*TbTradesBinance[[#This Row],[Preço]],W22+TbTradesBinance[[#This Row],[Qtt]]*TbTradesBinance[[#This Row],[Preço]])),W22)-IF(TbTradesBinance[[#This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Row],[Tipo]]="DROP"),W22+TbTradesBinance[[#This Row],[Qtt]],W22-TbTradesBinance[[#This Row],[Qtt]]),IF(TbTradesBinance[[#This Row],[Tipo]]="BUY",W22-TbTradesBinance[[#This Row],[Qtt]]*TbTradesBinance[[#This Row],[Preço]],W22+TbTradesBinance[[#This Row],[Qtt]]*TbTradesBinance[[#This Row],[Preço]])),W22)-IF(TbTradesBinance[[#This Row],[Moeda da Taxa]]=MID(W$1,9,5),TbTradesBinance[[#This Row],[Taxa]],0),8)))</f>
        <v>2.6E-7</v>
      </c>
      <c r="X23" s="145" cm="1">
        <f t="array" ref="X23">IF(TbTradesBinance[[#This Row],[Tipo]]="EMPTY",0,X22+IF(TbTradesBinance[[#This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Row],[Par]]))),$1:$1,0)),-(W22-W23)/W22*X22),0),0)+IF(TbTradesBinance[[#This Row],[Tipo]]="SELL",IF(ISNUMBER(FIND(MID(X$1,10,5),TbTradesBinance[[#This Row],[Par]])),IF(FIND(MID(X$1,10,5),TbTradesBinance[[#This Row],[Par]])=1, -(W22-W23)/W22*X22,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Row],[Par]])),(-(W22-W23)/W22*X22)+IF(TbTradesBinance[[#This Row],[Resultado]]&gt;0,0,TbTradesBinance[[#This Row],[Taxa]]),0),0))</f>
        <v>6.8472278720637547E-2</v>
      </c>
      <c r="Y23" s="145">
        <f t="shared" si="4"/>
        <v>263354.91815629828</v>
      </c>
      <c r="Z2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Row],[Tipo]]="DROP"),Z22+TbTradesBinance[[#This Row],[Qtt]],Z22-TbTradesBinance[[#This Row],[Qtt]]),IF(TbTradesBinance[[#This Row],[Tipo]]="BUY",Z22-TbTradesBinance[[#This Row],[Qtt]]*TbTradesBinance[[#This Row],[Preço]],Z22+TbTradesBinance[[#This Row],[Qtt]]*TbTradesBinance[[#This Row],[Preço]])),Z22)-IF(TbTradesBinance[[#This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Row],[Tipo]]="DROP"),Z22+TbTradesBinance[[#This Row],[Qtt]],Z22-TbTradesBinance[[#This Row],[Qtt]]),IF(TbTradesBinance[[#This Row],[Tipo]]="BUY",Z22-TbTradesBinance[[#This Row],[Qtt]]*TbTradesBinance[[#This Row],[Preço]],Z22+TbTradesBinance[[#This Row],[Qtt]]*TbTradesBinance[[#This Row],[Preço]])),Z22)-IF(TbTradesBinance[[#This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Row],[Tipo]]="DROP"),Z22+TbTradesBinance[[#This Row],[Qtt]],Z22-TbTradesBinance[[#This Row],[Qtt]]),IF(TbTradesBinance[[#This Row],[Tipo]]="BUY",Z22-TbTradesBinance[[#This Row],[Qtt]]*TbTradesBinance[[#This Row],[Preço]],Z22+TbTradesBinance[[#This Row],[Qtt]]*TbTradesBinance[[#This Row],[Preço]])),Z22)-IF(TbTradesBinance[[#This Row],[Moeda da Taxa]]=MID(Z$1,9,5),TbTradesBinance[[#This Row],[Taxa]],0),8)))</f>
        <v>0</v>
      </c>
      <c r="AA23" s="145" cm="1">
        <f t="array" ref="AA23">IF(TbTradesBinance[[#This Row],[Tipo]]="EMPTY",0,AA22+IF(TbTradesBinance[[#This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Row],[Par]]))),$1:$1,0)),-(Z22-Z23)/Z22*AA22),0),0)+IF(TbTradesBinance[[#This Row],[Tipo]]="SELL",IF(ISNUMBER(FIND(MID(AA$1,10,5),TbTradesBinance[[#This Row],[Par]])),IF(FIND(MID(AA$1,10,5),TbTradesBinance[[#This Row],[Par]])=1, -(Z22-Z23)/Z22*AA22,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Row],[Par]])),(-(Z22-Z23)/Z22*AA22)+IF(TbTradesBinance[[#This Row],[Resultado]]&gt;0,0,TbTradesBinance[[#This Row],[Taxa]]),0),0))</f>
        <v>0</v>
      </c>
      <c r="AB23" s="145">
        <f t="shared" si="5"/>
        <v>0</v>
      </c>
      <c r="AC2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Row],[Tipo]]="DROP"),AC22+TbTradesBinance[[#This Row],[Qtt]],AC22-TbTradesBinance[[#This Row],[Qtt]]),IF(TbTradesBinance[[#This Row],[Tipo]]="BUY",AC22-TbTradesBinance[[#This Row],[Qtt]]*TbTradesBinance[[#This Row],[Preço]],AC22+TbTradesBinance[[#This Row],[Qtt]]*TbTradesBinance[[#This Row],[Preço]])),AC22)-IF(TbTradesBinance[[#This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Row],[Tipo]]="DROP"),AC22+TbTradesBinance[[#This Row],[Qtt]],AC22-TbTradesBinance[[#This Row],[Qtt]]),IF(TbTradesBinance[[#This Row],[Tipo]]="BUY",AC22-TbTradesBinance[[#This Row],[Qtt]]*TbTradesBinance[[#This Row],[Preço]],AC22+TbTradesBinance[[#This Row],[Qtt]]*TbTradesBinance[[#This Row],[Preço]])),AC22)-IF(TbTradesBinance[[#This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Row],[Tipo]]="DROP"),AC22+TbTradesBinance[[#This Row],[Qtt]],AC22-TbTradesBinance[[#This Row],[Qtt]]),IF(TbTradesBinance[[#This Row],[Tipo]]="BUY",AC22-TbTradesBinance[[#This Row],[Qtt]]*TbTradesBinance[[#This Row],[Preço]],AC22+TbTradesBinance[[#This Row],[Qtt]]*TbTradesBinance[[#This Row],[Preço]])),AC22)-IF(TbTradesBinance[[#This Row],[Moeda da Taxa]]=MID(AC$1,9,5),TbTradesBinance[[#This Row],[Taxa]],0),8)))</f>
        <v>0</v>
      </c>
      <c r="AD23" s="145" cm="1">
        <f t="array" ref="AD23">IF(TbTradesBinance[[#This Row],[Tipo]]="EMPTY",0,AD22+IF(TbTradesBinance[[#This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Row],[Par]]))),$1:$1,0)),-(AC22-AC23)/AC22*AD22),0),0)+IF(TbTradesBinance[[#This Row],[Tipo]]="SELL",IF(ISNUMBER(FIND(MID(AD$1,10,5),TbTradesBinance[[#This Row],[Par]])),IF(FIND(MID(AD$1,10,5),TbTradesBinance[[#This Row],[Par]])=1, -(AC22-AC23)/AC22*AD22,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Row],[Par]])),(-(AC22-AC23)/AC22*AD22)+IF(TbTradesBinance[[#This Row],[Resultado]]&gt;0,0,TbTradesBinance[[#This Row],[Taxa]]),0),0))</f>
        <v>0</v>
      </c>
      <c r="AE23" s="145">
        <f t="shared" si="6"/>
        <v>0</v>
      </c>
      <c r="AF2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Row],[Tipo]]="DROP"),AF22+TbTradesBinance[[#This Row],[Qtt]],AF22-TbTradesBinance[[#This Row],[Qtt]]),IF(TbTradesBinance[[#This Row],[Tipo]]="BUY",AF22-TbTradesBinance[[#This Row],[Qtt]]*TbTradesBinance[[#This Row],[Preço]],AF22+TbTradesBinance[[#This Row],[Qtt]]*TbTradesBinance[[#This Row],[Preço]])),AF22)-IF(TbTradesBinance[[#This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Row],[Tipo]]="DROP"),AF22+TbTradesBinance[[#This Row],[Qtt]],AF22-TbTradesBinance[[#This Row],[Qtt]]),IF(TbTradesBinance[[#This Row],[Tipo]]="BUY",AF22-TbTradesBinance[[#This Row],[Qtt]]*TbTradesBinance[[#This Row],[Preço]],AF22+TbTradesBinance[[#This Row],[Qtt]]*TbTradesBinance[[#This Row],[Preço]])),AF22)-IF(TbTradesBinance[[#This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Row],[Tipo]]="DROP"),AF22+TbTradesBinance[[#This Row],[Qtt]],AF22-TbTradesBinance[[#This Row],[Qtt]]),IF(TbTradesBinance[[#This Row],[Tipo]]="BUY",AF22-TbTradesBinance[[#This Row],[Qtt]]*TbTradesBinance[[#This Row],[Preço]],AF22+TbTradesBinance[[#This Row],[Qtt]]*TbTradesBinance[[#This Row],[Preço]])),AF22)-IF(TbTradesBinance[[#This Row],[Moeda da Taxa]]=MID(AF$1,9,5),TbTradesBinance[[#This Row],[Taxa]],0),8)))</f>
        <v>0</v>
      </c>
      <c r="AG23" s="145" cm="1">
        <f t="array" ref="AG23">IF(TbTradesBinance[[#This Row],[Tipo]]="EMPTY",0,AG22+IF(TbTradesBinance[[#This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Row],[Par]]))),$1:$1,0)),-(AF22-AF23)/AF22*AG22),0),0)+IF(TbTradesBinance[[#This Row],[Tipo]]="SELL",IF(ISNUMBER(FIND(MID(AG$1,10,5),TbTradesBinance[[#This Row],[Par]])),IF(FIND(MID(AG$1,10,5),TbTradesBinance[[#This Row],[Par]])=1, -(AF22-AF23)/AF22*AG22,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Row],[Par]])),(-(AF22-AF23)/AF22*AG22)+IF(TbTradesBinance[[#This Row],[Resultado]]&gt;0,0,TbTradesBinance[[#This Row],[Taxa]]),0),0))</f>
        <v>0</v>
      </c>
      <c r="AH23" s="145">
        <f t="shared" si="7"/>
        <v>0</v>
      </c>
      <c r="AI2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Row],[Tipo]]="DROP"),AI22+TbTradesBinance[[#This Row],[Qtt]],AI22-TbTradesBinance[[#This Row],[Qtt]]),IF(TbTradesBinance[[#This Row],[Tipo]]="BUY",AI22-TbTradesBinance[[#This Row],[Qtt]]*TbTradesBinance[[#This Row],[Preço]],AI22+TbTradesBinance[[#This Row],[Qtt]]*TbTradesBinance[[#This Row],[Preço]])),AI22)-IF(TbTradesBinance[[#This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Row],[Tipo]]="DROP"),AI22+TbTradesBinance[[#This Row],[Qtt]],AI22-TbTradesBinance[[#This Row],[Qtt]]),IF(TbTradesBinance[[#This Row],[Tipo]]="BUY",AI22-TbTradesBinance[[#This Row],[Qtt]]*TbTradesBinance[[#This Row],[Preço]],AI22+TbTradesBinance[[#This Row],[Qtt]]*TbTradesBinance[[#This Row],[Preço]])),AI22)-IF(TbTradesBinance[[#This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Row],[Tipo]]="DROP"),AI22+TbTradesBinance[[#This Row],[Qtt]],AI22-TbTradesBinance[[#This Row],[Qtt]]),IF(TbTradesBinance[[#This Row],[Tipo]]="BUY",AI22-TbTradesBinance[[#This Row],[Qtt]]*TbTradesBinance[[#This Row],[Preço]],AI22+TbTradesBinance[[#This Row],[Qtt]]*TbTradesBinance[[#This Row],[Preço]])),AI22)-IF(TbTradesBinance[[#This Row],[Moeda da Taxa]]=MID(AI$1,9,5),TbTradesBinance[[#This Row],[Taxa]],0),8)))</f>
        <v>0</v>
      </c>
      <c r="AJ23" s="145" cm="1">
        <f t="array" ref="AJ23">IF(TbTradesBinance[[#This Row],[Tipo]]="EMPTY",0,AJ22+IF(TbTradesBinance[[#This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Row],[Par]]))),$1:$1,0)),-(AI22-AI23)/AI22*AJ22),0),0)+IF(TbTradesBinance[[#This Row],[Tipo]]="SELL",IF(ISNUMBER(FIND(MID(AJ$1,10,5),TbTradesBinance[[#This Row],[Par]])),IF(FIND(MID(AJ$1,10,5),TbTradesBinance[[#This Row],[Par]])=1, -(AI22-AI23)/AI22*AJ22,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Row],[Par]])),(-(AI22-AI23)/AI22*AJ22)+IF(TbTradesBinance[[#This Row],[Resultado]]&gt;0,0,TbTradesBinance[[#This Row],[Taxa]]),0),0))</f>
        <v>0</v>
      </c>
      <c r="AK23" s="145">
        <f t="shared" si="8"/>
        <v>0</v>
      </c>
      <c r="AL2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Row],[Tipo]]="DROP"),AL22+TbTradesBinance[[#This Row],[Qtt]],AL22-TbTradesBinance[[#This Row],[Qtt]]),IF(TbTradesBinance[[#This Row],[Tipo]]="BUY",AL22-TbTradesBinance[[#This Row],[Qtt]]*TbTradesBinance[[#This Row],[Preço]],AL22+TbTradesBinance[[#This Row],[Qtt]]*TbTradesBinance[[#This Row],[Preço]])),AL22)-IF(TbTradesBinance[[#This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Row],[Tipo]]="DROP"),AL22+TbTradesBinance[[#This Row],[Qtt]],AL22-TbTradesBinance[[#This Row],[Qtt]]),IF(TbTradesBinance[[#This Row],[Tipo]]="BUY",AL22-TbTradesBinance[[#This Row],[Qtt]]*TbTradesBinance[[#This Row],[Preço]],AL22+TbTradesBinance[[#This Row],[Qtt]]*TbTradesBinance[[#This Row],[Preço]])),AL22)-IF(TbTradesBinance[[#This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Row],[Tipo]]="DROP"),AL22+TbTradesBinance[[#This Row],[Qtt]],AL22-TbTradesBinance[[#This Row],[Qtt]]),IF(TbTradesBinance[[#This Row],[Tipo]]="BUY",AL22-TbTradesBinance[[#This Row],[Qtt]]*TbTradesBinance[[#This Row],[Preço]],AL22+TbTradesBinance[[#This Row],[Qtt]]*TbTradesBinance[[#This Row],[Preço]])),AL22)-IF(TbTradesBinance[[#This Row],[Moeda da Taxa]]=MID(AL$1,9,5),TbTradesBinance[[#This Row],[Taxa]],0),8)))</f>
        <v>0</v>
      </c>
      <c r="AM23" s="145" cm="1">
        <f t="array" ref="AM23">IF(TbTradesBinance[[#This Row],[Tipo]]="EMPTY",0,AM22+IF(TbTradesBinance[[#This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Row],[Par]]))),$1:$1,0)),-(AL22-AL23)/AL22*AM22),0),0)+IF(TbTradesBinance[[#This Row],[Tipo]]="SELL",IF(ISNUMBER(FIND(MID(AM$1,10,5),TbTradesBinance[[#This Row],[Par]])),IF(FIND(MID(AM$1,10,5),TbTradesBinance[[#This Row],[Par]])=1, -(AL22-AL23)/AL22*AM22,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Row],[Par]])),(-(AL22-AL23)/AL22*AM22)+IF(TbTradesBinance[[#This Row],[Resultado]]&gt;0,0,TbTradesBinance[[#This Row],[Taxa]]),0),0))</f>
        <v>0</v>
      </c>
      <c r="AN23" s="145">
        <f t="shared" si="9"/>
        <v>0</v>
      </c>
      <c r="AO2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Row],[Tipo]]="DROP"),AO22+TbTradesBinance[[#This Row],[Qtt]],AO22-TbTradesBinance[[#This Row],[Qtt]]),IF(TbTradesBinance[[#This Row],[Tipo]]="BUY",AO22-TbTradesBinance[[#This Row],[Qtt]]*TbTradesBinance[[#This Row],[Preço]],AO22+TbTradesBinance[[#This Row],[Qtt]]*TbTradesBinance[[#This Row],[Preço]])),AO22)-IF(TbTradesBinance[[#This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Row],[Tipo]]="DROP"),AO22+TbTradesBinance[[#This Row],[Qtt]],AO22-TbTradesBinance[[#This Row],[Qtt]]),IF(TbTradesBinance[[#This Row],[Tipo]]="BUY",AO22-TbTradesBinance[[#This Row],[Qtt]]*TbTradesBinance[[#This Row],[Preço]],AO22+TbTradesBinance[[#This Row],[Qtt]]*TbTradesBinance[[#This Row],[Preço]])),AO22)-IF(TbTradesBinance[[#This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Row],[Tipo]]="DROP"),AO22+TbTradesBinance[[#This Row],[Qtt]],AO22-TbTradesBinance[[#This Row],[Qtt]]),IF(TbTradesBinance[[#This Row],[Tipo]]="BUY",AO22-TbTradesBinance[[#This Row],[Qtt]]*TbTradesBinance[[#This Row],[Preço]],AO22+TbTradesBinance[[#This Row],[Qtt]]*TbTradesBinance[[#This Row],[Preço]])),AO22)-IF(TbTradesBinance[[#This Row],[Moeda da Taxa]]=MID(AO$1,9,5),TbTradesBinance[[#This Row],[Taxa]],0),8)))</f>
        <v>0</v>
      </c>
      <c r="AP23" s="145" cm="1">
        <f t="array" ref="AP23">IF(TbTradesBinance[[#This Row],[Tipo]]="EMPTY",0,AP22+IF(TbTradesBinance[[#This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Row],[Par]]))),$1:$1,0)),-(AO22-AO23)/AO22*AP22),0),0)+IF(TbTradesBinance[[#This Row],[Tipo]]="SELL",IF(ISNUMBER(FIND(MID(AP$1,10,5),TbTradesBinance[[#This Row],[Par]])),IF(FIND(MID(AP$1,10,5),TbTradesBinance[[#This Row],[Par]])=1, -(AO22-AO23)/AO22*AP22,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Row],[Par]])),(-(AO22-AO23)/AO22*AP22)+IF(TbTradesBinance[[#This Row],[Resultado]]&gt;0,0,TbTradesBinance[[#This Row],[Taxa]]),0),0))</f>
        <v>0</v>
      </c>
      <c r="AQ23" s="145">
        <f t="shared" si="10"/>
        <v>0</v>
      </c>
      <c r="AR2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Row],[Tipo]]="DROP"),AR22+TbTradesBinance[[#This Row],[Qtt]],AR22-TbTradesBinance[[#This Row],[Qtt]]),IF(TbTradesBinance[[#This Row],[Tipo]]="BUY",AR22-TbTradesBinance[[#This Row],[Qtt]]*TbTradesBinance[[#This Row],[Preço]],AR22+TbTradesBinance[[#This Row],[Qtt]]*TbTradesBinance[[#This Row],[Preço]])),AR22)-IF(TbTradesBinance[[#This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Row],[Tipo]]="DROP"),AR22+TbTradesBinance[[#This Row],[Qtt]],AR22-TbTradesBinance[[#This Row],[Qtt]]),IF(TbTradesBinance[[#This Row],[Tipo]]="BUY",AR22-TbTradesBinance[[#This Row],[Qtt]]*TbTradesBinance[[#This Row],[Preço]],AR22+TbTradesBinance[[#This Row],[Qtt]]*TbTradesBinance[[#This Row],[Preço]])),AR22)-IF(TbTradesBinance[[#This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Row],[Tipo]]="DROP"),AR22+TbTradesBinance[[#This Row],[Qtt]],AR22-TbTradesBinance[[#This Row],[Qtt]]),IF(TbTradesBinance[[#This Row],[Tipo]]="BUY",AR22-TbTradesBinance[[#This Row],[Qtt]]*TbTradesBinance[[#This Row],[Preço]],AR22+TbTradesBinance[[#This Row],[Qtt]]*TbTradesBinance[[#This Row],[Preço]])),AR22)-IF(TbTradesBinance[[#This Row],[Moeda da Taxa]]=MID(AR$1,9,5),TbTradesBinance[[#This Row],[Taxa]],0),8)))</f>
        <v>0</v>
      </c>
      <c r="AS23" s="145" cm="1">
        <f t="array" ref="AS23">IF(TbTradesBinance[[#This Row],[Tipo]]="EMPTY",0,AS22+IF(TbTradesBinance[[#This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Row],[Par]]))),$1:$1,0)),-(AR22-AR23)/AR22*AS22),0),0)+IF(TbTradesBinance[[#This Row],[Tipo]]="SELL",IF(ISNUMBER(FIND(MID(AS$1,10,5),TbTradesBinance[[#This Row],[Par]])),IF(FIND(MID(AS$1,10,5),TbTradesBinance[[#This Row],[Par]])=1, -(AR22-AR23)/AR22*AS22,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Row],[Par]])),(-(AR22-AR23)/AR22*AS22)+IF(TbTradesBinance[[#This Row],[Resultado]]&gt;0,0,TbTradesBinance[[#This Row],[Taxa]]),0),0))</f>
        <v>0</v>
      </c>
      <c r="AT23" s="145">
        <f t="shared" si="11"/>
        <v>0</v>
      </c>
      <c r="AU2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Row],[Tipo]]="DROP"),AU22+TbTradesBinance[[#This Row],[Qtt]],AU22-TbTradesBinance[[#This Row],[Qtt]]),IF(TbTradesBinance[[#This Row],[Tipo]]="BUY",AU22-TbTradesBinance[[#This Row],[Qtt]]*TbTradesBinance[[#This Row],[Preço]],AU22+TbTradesBinance[[#This Row],[Qtt]]*TbTradesBinance[[#This Row],[Preço]])),AU22)-IF(TbTradesBinance[[#This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Row],[Tipo]]="DROP"),AU22+TbTradesBinance[[#This Row],[Qtt]],AU22-TbTradesBinance[[#This Row],[Qtt]]),IF(TbTradesBinance[[#This Row],[Tipo]]="BUY",AU22-TbTradesBinance[[#This Row],[Qtt]]*TbTradesBinance[[#This Row],[Preço]],AU22+TbTradesBinance[[#This Row],[Qtt]]*TbTradesBinance[[#This Row],[Preço]])),AU22)-IF(TbTradesBinance[[#This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Row],[Tipo]]="DROP"),AU22+TbTradesBinance[[#This Row],[Qtt]],AU22-TbTradesBinance[[#This Row],[Qtt]]),IF(TbTradesBinance[[#This Row],[Tipo]]="BUY",AU22-TbTradesBinance[[#This Row],[Qtt]]*TbTradesBinance[[#This Row],[Preço]],AU22+TbTradesBinance[[#This Row],[Qtt]]*TbTradesBinance[[#This Row],[Preço]])),AU22)-IF(TbTradesBinance[[#This Row],[Moeda da Taxa]]=MID(AU$1,9,5),TbTradesBinance[[#This Row],[Taxa]],0),8)))</f>
        <v>0</v>
      </c>
      <c r="AV23" s="145" cm="1">
        <f t="array" ref="AV23">IF(TbTradesBinance[[#This Row],[Tipo]]="EMPTY",0,AV22+IF(TbTradesBinance[[#This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Row],[Par]]))),$1:$1,0)),-(AU22-AU23)/AU22*AV22),0),0)+IF(TbTradesBinance[[#This Row],[Tipo]]="SELL",IF(ISNUMBER(FIND(MID(AV$1,10,5),TbTradesBinance[[#This Row],[Par]])),IF(FIND(MID(AV$1,10,5),TbTradesBinance[[#This Row],[Par]])=1, -(AU22-AU23)/AU22*AV22,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Row],[Par]])),(-(AU22-AU23)/AU22*AV22)+IF(TbTradesBinance[[#This Row],[Resultado]]&gt;0,0,TbTradesBinance[[#This Row],[Taxa]]),0),0))</f>
        <v>0</v>
      </c>
      <c r="AW23" s="145">
        <f t="shared" si="12"/>
        <v>0</v>
      </c>
      <c r="AX2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Row],[Tipo]]="DROP"),AX22+TbTradesBinance[[#This Row],[Qtt]],AX22-TbTradesBinance[[#This Row],[Qtt]]),IF(TbTradesBinance[[#This Row],[Tipo]]="BUY",AX22-TbTradesBinance[[#This Row],[Qtt]]*TbTradesBinance[[#This Row],[Preço]],AX22+TbTradesBinance[[#This Row],[Qtt]]*TbTradesBinance[[#This Row],[Preço]])),AX22)-IF(TbTradesBinance[[#This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Row],[Tipo]]="DROP"),AX22+TbTradesBinance[[#This Row],[Qtt]],AX22-TbTradesBinance[[#This Row],[Qtt]]),IF(TbTradesBinance[[#This Row],[Tipo]]="BUY",AX22-TbTradesBinance[[#This Row],[Qtt]]*TbTradesBinance[[#This Row],[Preço]],AX22+TbTradesBinance[[#This Row],[Qtt]]*TbTradesBinance[[#This Row],[Preço]])),AX22)-IF(TbTradesBinance[[#This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Row],[Tipo]]="DROP"),AX22+TbTradesBinance[[#This Row],[Qtt]],AX22-TbTradesBinance[[#This Row],[Qtt]]),IF(TbTradesBinance[[#This Row],[Tipo]]="BUY",AX22-TbTradesBinance[[#This Row],[Qtt]]*TbTradesBinance[[#This Row],[Preço]],AX22+TbTradesBinance[[#This Row],[Qtt]]*TbTradesBinance[[#This Row],[Preço]])),AX22)-IF(TbTradesBinance[[#This Row],[Moeda da Taxa]]=MID(AX$1,9,5),TbTradesBinance[[#This Row],[Taxa]],0),8)))</f>
        <v>0</v>
      </c>
      <c r="AY23" s="145" cm="1">
        <f t="array" ref="AY23">IF(TbTradesBinance[[#This Row],[Tipo]]="EMPTY",0,AY22+IF(TbTradesBinance[[#This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Row],[Par]]))),$1:$1,0)),-(AX22-AX23)/AX22*AY22),0),0)+IF(TbTradesBinance[[#This Row],[Tipo]]="SELL",IF(ISNUMBER(FIND(MID(AY$1,10,5),TbTradesBinance[[#This Row],[Par]])),IF(FIND(MID(AY$1,10,5),TbTradesBinance[[#This Row],[Par]])=1, -(AX22-AX23)/AX22*AY22,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Row],[Par]])),(-(AX22-AX23)/AX22*AY22)+IF(TbTradesBinance[[#This Row],[Resultado]]&gt;0,0,TbTradesBinance[[#This Row],[Taxa]]),0),0))</f>
        <v>0</v>
      </c>
      <c r="AZ23" s="145">
        <f t="shared" si="13"/>
        <v>0</v>
      </c>
      <c r="BA2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Row],[Tipo]]="DROP"),BA22+TbTradesBinance[[#This Row],[Qtt]],BA22-TbTradesBinance[[#This Row],[Qtt]]),IF(TbTradesBinance[[#This Row],[Tipo]]="BUY",BA22-TbTradesBinance[[#This Row],[Qtt]]*TbTradesBinance[[#This Row],[Preço]],BA22+TbTradesBinance[[#This Row],[Qtt]]*TbTradesBinance[[#This Row],[Preço]])),BA22)-IF(TbTradesBinance[[#This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Row],[Tipo]]="DROP"),BA22+TbTradesBinance[[#This Row],[Qtt]],BA22-TbTradesBinance[[#This Row],[Qtt]]),IF(TbTradesBinance[[#This Row],[Tipo]]="BUY",BA22-TbTradesBinance[[#This Row],[Qtt]]*TbTradesBinance[[#This Row],[Preço]],BA22+TbTradesBinance[[#This Row],[Qtt]]*TbTradesBinance[[#This Row],[Preço]])),BA22)-IF(TbTradesBinance[[#This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Row],[Tipo]]="DROP"),BA22+TbTradesBinance[[#This Row],[Qtt]],BA22-TbTradesBinance[[#This Row],[Qtt]]),IF(TbTradesBinance[[#This Row],[Tipo]]="BUY",BA22-TbTradesBinance[[#This Row],[Qtt]]*TbTradesBinance[[#This Row],[Preço]],BA22+TbTradesBinance[[#This Row],[Qtt]]*TbTradesBinance[[#This Row],[Preço]])),BA22)-IF(TbTradesBinance[[#This Row],[Moeda da Taxa]]=MID(BA$1,9,5),TbTradesBinance[[#This Row],[Taxa]],0),8)))</f>
        <v>0</v>
      </c>
      <c r="BB23" s="145" cm="1">
        <f t="array" ref="BB23">IF(TbTradesBinance[[#This Row],[Tipo]]="EMPTY",0,BB22+IF(TbTradesBinance[[#This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Row],[Par]]))),$1:$1,0)),-(BA22-BA23)/BA22*BB22),0),0)+IF(TbTradesBinance[[#This Row],[Tipo]]="SELL",IF(ISNUMBER(FIND(MID(BB$1,10,5),TbTradesBinance[[#This Row],[Par]])),IF(FIND(MID(BB$1,10,5),TbTradesBinance[[#This Row],[Par]])=1, -(BA22-BA23)/BA22*BB22,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Row],[Par]])),(-(BA22-BA23)/BA22*BB22)+IF(TbTradesBinance[[#This Row],[Resultado]]&gt;0,0,TbTradesBinance[[#This Row],[Taxa]]),0),0))</f>
        <v>0</v>
      </c>
      <c r="BC23" s="145">
        <f t="shared" si="14"/>
        <v>0</v>
      </c>
      <c r="BD2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Row],[Tipo]]="DROP"),BD22+TbTradesBinance[[#This Row],[Qtt]],BD22-TbTradesBinance[[#This Row],[Qtt]]),IF(TbTradesBinance[[#This Row],[Tipo]]="BUY",BD22-TbTradesBinance[[#This Row],[Qtt]]*TbTradesBinance[[#This Row],[Preço]],BD22+TbTradesBinance[[#This Row],[Qtt]]*TbTradesBinance[[#This Row],[Preço]])),BD22)-IF(TbTradesBinance[[#This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Row],[Tipo]]="DROP"),BD22+TbTradesBinance[[#This Row],[Qtt]],BD22-TbTradesBinance[[#This Row],[Qtt]]),IF(TbTradesBinance[[#This Row],[Tipo]]="BUY",BD22-TbTradesBinance[[#This Row],[Qtt]]*TbTradesBinance[[#This Row],[Preço]],BD22+TbTradesBinance[[#This Row],[Qtt]]*TbTradesBinance[[#This Row],[Preço]])),BD22)-IF(TbTradesBinance[[#This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Row],[Tipo]]="DROP"),BD22+TbTradesBinance[[#This Row],[Qtt]],BD22-TbTradesBinance[[#This Row],[Qtt]]),IF(TbTradesBinance[[#This Row],[Tipo]]="BUY",BD22-TbTradesBinance[[#This Row],[Qtt]]*TbTradesBinance[[#This Row],[Preço]],BD22+TbTradesBinance[[#This Row],[Qtt]]*TbTradesBinance[[#This Row],[Preço]])),BD22)-IF(TbTradesBinance[[#This Row],[Moeda da Taxa]]=MID(BD$1,9,5),TbTradesBinance[[#This Row],[Taxa]],0),8)))</f>
        <v>0</v>
      </c>
      <c r="BE23" s="145" cm="1">
        <f t="array" ref="BE23">IF(TbTradesBinance[[#This Row],[Tipo]]="EMPTY",0,BE22+IF(TbTradesBinance[[#This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Row],[Par]]))),$1:$1,0)),-(BD22-BD23)/BD22*BE22),0),0)+IF(TbTradesBinance[[#This Row],[Tipo]]="SELL",IF(ISNUMBER(FIND(MID(BE$1,10,5),TbTradesBinance[[#This Row],[Par]])),IF(FIND(MID(BE$1,10,5),TbTradesBinance[[#This Row],[Par]])=1, -(BD22-BD23)/BD22*BE22,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Row],[Par]])),(-(BD22-BD23)/BD22*BE22)+IF(TbTradesBinance[[#This Row],[Resultado]]&gt;0,0,TbTradesBinance[[#This Row],[Taxa]]),0),0))</f>
        <v>0</v>
      </c>
      <c r="BF23" s="145">
        <f t="shared" si="15"/>
        <v>0</v>
      </c>
      <c r="BG2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Row],[Tipo]]="DROP"),BG22+TbTradesBinance[[#This Row],[Qtt]],BG22-TbTradesBinance[[#This Row],[Qtt]]),IF(TbTradesBinance[[#This Row],[Tipo]]="BUY",BG22-TbTradesBinance[[#This Row],[Qtt]]*TbTradesBinance[[#This Row],[Preço]],BG22+TbTradesBinance[[#This Row],[Qtt]]*TbTradesBinance[[#This Row],[Preço]])),BG22)-IF(TbTradesBinance[[#This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Row],[Tipo]]="DROP"),BG22+TbTradesBinance[[#This Row],[Qtt]],BG22-TbTradesBinance[[#This Row],[Qtt]]),IF(TbTradesBinance[[#This Row],[Tipo]]="BUY",BG22-TbTradesBinance[[#This Row],[Qtt]]*TbTradesBinance[[#This Row],[Preço]],BG22+TbTradesBinance[[#This Row],[Qtt]]*TbTradesBinance[[#This Row],[Preço]])),BG22)-IF(TbTradesBinance[[#This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Row],[Tipo]]="DROP"),BG22+TbTradesBinance[[#This Row],[Qtt]],BG22-TbTradesBinance[[#This Row],[Qtt]]),IF(TbTradesBinance[[#This Row],[Tipo]]="BUY",BG22-TbTradesBinance[[#This Row],[Qtt]]*TbTradesBinance[[#This Row],[Preço]],BG22+TbTradesBinance[[#This Row],[Qtt]]*TbTradesBinance[[#This Row],[Preço]])),BG22)-IF(TbTradesBinance[[#This Row],[Moeda da Taxa]]=MID(BG$1,9,5),TbTradesBinance[[#This Row],[Taxa]],0),8)))</f>
        <v>0</v>
      </c>
      <c r="BH23" s="145" cm="1">
        <f t="array" ref="BH23">IF(TbTradesBinance[[#This Row],[Tipo]]="EMPTY",0,BH22+IF(TbTradesBinance[[#This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Row],[Par]]))),$1:$1,0)),-(BG22-BG23)/BG22*BH22),0),0)+IF(TbTradesBinance[[#This Row],[Tipo]]="SELL",IF(ISNUMBER(FIND(MID(BH$1,10,5),TbTradesBinance[[#This Row],[Par]])),IF(FIND(MID(BH$1,10,5),TbTradesBinance[[#This Row],[Par]])=1, -(BG22-BG23)/BG22*BH22,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Row],[Par]])),(-(BG22-BG23)/BG22*BH22)+IF(TbTradesBinance[[#This Row],[Resultado]]&gt;0,0,TbTradesBinance[[#This Row],[Taxa]]),0),0))</f>
        <v>0</v>
      </c>
      <c r="BI23" s="145">
        <f t="shared" si="16"/>
        <v>0</v>
      </c>
      <c r="BJ2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Row],[Tipo]]="DROP"),BJ22+TbTradesBinance[[#This Row],[Qtt]],BJ22-TbTradesBinance[[#This Row],[Qtt]]),IF(TbTradesBinance[[#This Row],[Tipo]]="BUY",BJ22-TbTradesBinance[[#This Row],[Qtt]]*TbTradesBinance[[#This Row],[Preço]],BJ22+TbTradesBinance[[#This Row],[Qtt]]*TbTradesBinance[[#This Row],[Preço]])),BJ22)-IF(TbTradesBinance[[#This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Row],[Tipo]]="DROP"),BJ22+TbTradesBinance[[#This Row],[Qtt]],BJ22-TbTradesBinance[[#This Row],[Qtt]]),IF(TbTradesBinance[[#This Row],[Tipo]]="BUY",BJ22-TbTradesBinance[[#This Row],[Qtt]]*TbTradesBinance[[#This Row],[Preço]],BJ22+TbTradesBinance[[#This Row],[Qtt]]*TbTradesBinance[[#This Row],[Preço]])),BJ22)-IF(TbTradesBinance[[#This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Row],[Tipo]]="DROP"),BJ22+TbTradesBinance[[#This Row],[Qtt]],BJ22-TbTradesBinance[[#This Row],[Qtt]]),IF(TbTradesBinance[[#This Row],[Tipo]]="BUY",BJ22-TbTradesBinance[[#This Row],[Qtt]]*TbTradesBinance[[#This Row],[Preço]],BJ22+TbTradesBinance[[#This Row],[Qtt]]*TbTradesBinance[[#This Row],[Preço]])),BJ22)-IF(TbTradesBinance[[#This Row],[Moeda da Taxa]]=MID(BJ$1,9,5),TbTradesBinance[[#This Row],[Taxa]],0),8)))</f>
        <v>0</v>
      </c>
      <c r="BK23" s="145" cm="1">
        <f t="array" ref="BK23">IF(TbTradesBinance[[#This Row],[Tipo]]="EMPTY",0,BK22+IF(TbTradesBinance[[#This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Row],[Par]]))),$1:$1,0)),-(BJ22-BJ23)/BJ22*BK22),0),0)+IF(TbTradesBinance[[#This Row],[Tipo]]="SELL",IF(ISNUMBER(FIND(MID(BK$1,10,5),TbTradesBinance[[#This Row],[Par]])),IF(FIND(MID(BK$1,10,5),TbTradesBinance[[#This Row],[Par]])=1, -(BJ22-BJ23)/BJ22*BK22,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Row],[Par]])),(-(BJ22-BJ23)/BJ22*BK22)+IF(TbTradesBinance[[#This Row],[Resultado]]&gt;0,0,TbTradesBinance[[#This Row],[Taxa]]),0),0))</f>
        <v>0</v>
      </c>
      <c r="BL23" s="145">
        <f t="shared" si="17"/>
        <v>0</v>
      </c>
      <c r="BM2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Row],[Tipo]]="DROP"),BM22+TbTradesBinance[[#This Row],[Qtt]],BM22-TbTradesBinance[[#This Row],[Qtt]]),IF(TbTradesBinance[[#This Row],[Tipo]]="BUY",BM22-TbTradesBinance[[#This Row],[Qtt]]*TbTradesBinance[[#This Row],[Preço]],BM22+TbTradesBinance[[#This Row],[Qtt]]*TbTradesBinance[[#This Row],[Preço]])),BM22)-IF(TbTradesBinance[[#This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Row],[Tipo]]="DROP"),BM22+TbTradesBinance[[#This Row],[Qtt]],BM22-TbTradesBinance[[#This Row],[Qtt]]),IF(TbTradesBinance[[#This Row],[Tipo]]="BUY",BM22-TbTradesBinance[[#This Row],[Qtt]]*TbTradesBinance[[#This Row],[Preço]],BM22+TbTradesBinance[[#This Row],[Qtt]]*TbTradesBinance[[#This Row],[Preço]])),BM22)-IF(TbTradesBinance[[#This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Row],[Tipo]]="DROP"),BM22+TbTradesBinance[[#This Row],[Qtt]],BM22-TbTradesBinance[[#This Row],[Qtt]]),IF(TbTradesBinance[[#This Row],[Tipo]]="BUY",BM22-TbTradesBinance[[#This Row],[Qtt]]*TbTradesBinance[[#This Row],[Preço]],BM22+TbTradesBinance[[#This Row],[Qtt]]*TbTradesBinance[[#This Row],[Preço]])),BM22)-IF(TbTradesBinance[[#This Row],[Moeda da Taxa]]=MID(BM$1,9,5),TbTradesBinance[[#This Row],[Taxa]],0),8)))</f>
        <v>0</v>
      </c>
      <c r="BN23" s="145" cm="1">
        <f t="array" ref="BN23">IF(TbTradesBinance[[#This Row],[Tipo]]="EMPTY",0,BN22+IF(TbTradesBinance[[#This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Row],[Par]]))),$1:$1,0)),-(BM22-BM23)/BM22*BN22),0),0)+IF(TbTradesBinance[[#This Row],[Tipo]]="SELL",IF(ISNUMBER(FIND(MID(BN$1,10,5),TbTradesBinance[[#This Row],[Par]])),IF(FIND(MID(BN$1,10,5),TbTradesBinance[[#This Row],[Par]])=1, -(BM22-BM23)/BM22*BN22,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Row],[Par]])),(-(BM22-BM23)/BM22*BN22)+IF(TbTradesBinance[[#This Row],[Resultado]]&gt;0,0,TbTradesBinance[[#This Row],[Taxa]]),0),0))</f>
        <v>0</v>
      </c>
      <c r="BO23" s="145">
        <f t="shared" si="18"/>
        <v>0</v>
      </c>
    </row>
    <row r="24" spans="2:67" x14ac:dyDescent="0.3">
      <c r="B24" s="51"/>
      <c r="C24" s="40">
        <f>TRUNC(IF(AND(TbTradesBinance[[#This Row],[Tipo]]="SEND",TbTradesBinance[[#This Row],[Par]]="BRL"),TbTradesBinance[[#This Row],[Qtt]]*(1-P22)-IF(TbTradesBinance[[#This Row],[Moeda da Taxa]]="BRL",TbTradesBinance[[#This Row],[Taxa]],0),0)+IF(AND(TbTradesBinance[[#This Row],[Tipo]]="BURN",TbTradesBinance[[#This Row],[Par]]="BRL"),-TbTradesBinance[[#This Row],[Qtt]]*P22,0),2)</f>
        <v>0</v>
      </c>
      <c r="D24" s="53">
        <v>44252.798414351855</v>
      </c>
      <c r="E24" s="37" t="s">
        <v>237</v>
      </c>
      <c r="F24" s="47" t="s">
        <v>139</v>
      </c>
      <c r="G24" s="38">
        <v>5.6</v>
      </c>
      <c r="H24" s="38">
        <v>7.15</v>
      </c>
      <c r="I24" s="38">
        <v>7.1500000000000001E-3</v>
      </c>
      <c r="J24" s="37" t="s">
        <v>42</v>
      </c>
      <c r="K24" s="52">
        <v>1</v>
      </c>
      <c r="L24" s="40">
        <f t="shared" si="0"/>
        <v>5.6</v>
      </c>
      <c r="M24" s="40">
        <f>IF(OR(TbTradesBinance[[#This Row],[Tipo]]="BUY",TbTradesBinance[[#This Row],[Tipo]]="RECEIVE",TbTradesBinance[[#This Row],[Tipo]]="DROP"),L24*H24,-L24*H24)</f>
        <v>40.04</v>
      </c>
      <c r="N2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Row],[Tipo]]="DROP"),N23+TbTradesBinance[[#This Row],[Qtt]],N23-TbTradesBinance[[#This Row],[Qtt]]),IF(TbTradesBinance[[#This Row],[Tipo]]="BUY",N23-TbTradesBinance[[#This Row],[Qtt]]*TbTradesBinance[[#This Row],[Preço]],N23+TbTradesBinance[[#This Row],[Qtt]]*TbTradesBinance[[#This Row],[Preço]])),N23)-IF(TbTradesBinance[[#This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Row],[Tipo]]="DROP"),N23+TbTradesBinance[[#This Row],[Qtt]],N23-TbTradesBinance[[#This Row],[Qtt]]),IF(TbTradesBinance[[#This Row],[Tipo]]="BUY",N23-TbTradesBinance[[#This Row],[Qtt]]*TbTradesBinance[[#This Row],[Preço]],N23+TbTradesBinance[[#This Row],[Qtt]]*TbTradesBinance[[#This Row],[Preço]])),N23)-IF(TbTradesBinance[[#This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Row],[Tipo]]="DROP"),N23+TbTradesBinance[[#This Row],[Qtt]],N23-TbTradesBinance[[#This Row],[Qtt]]),IF(TbTradesBinance[[#This Row],[Tipo]]="BUY",N23-TbTradesBinance[[#This Row],[Qtt]]*TbTradesBinance[[#This Row],[Preço]],N23+TbTradesBinance[[#This Row],[Qtt]]*TbTradesBinance[[#This Row],[Preço]])),N23)-IF(TbTradesBinance[[#This Row],[Moeda da Taxa]]=MID(N$1,9,5),TbTradesBinance[[#This Row],[Taxa]],0),8)))</f>
        <v>20008.250106889998</v>
      </c>
      <c r="O24" s="145" cm="1">
        <f t="array" ref="O24">IF(TbTradesBinance[[#This Row],[Tipo]]="EMPTY",0,O23+IF(TbTradesBinance[[#This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Row],[Par]]))),$1:$1,0)),-(N23-N24)/N23*O23),0),0)+IF(TbTradesBinance[[#This Row],[Tipo]]="SELL",IF(ISNUMBER(FIND(MID(O$1,10,5),TbTradesBinance[[#This Row],[Par]])),IF(FIND(MID(O$1,10,5),TbTradesBinance[[#This Row],[Par]])=1, -(N23-N24)/N23*O23,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Row],[Par]])),(-(N23-N24)/N23*O23)+IF(TbTradesBinance[[#This Row],[Resultado]]&gt;0,0,TbTradesBinance[[#This Row],[Taxa]]),0),0))</f>
        <v>19959.794843053951</v>
      </c>
      <c r="P24" s="145">
        <f t="shared" si="1"/>
        <v>0.99757823579887372</v>
      </c>
      <c r="Q2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Row],[Tipo]]="DROP"),Q23+TbTradesBinance[[#This Row],[Qtt]],Q23-TbTradesBinance[[#This Row],[Qtt]]),IF(TbTradesBinance[[#This Row],[Tipo]]="BUY",Q23-TbTradesBinance[[#This Row],[Qtt]]*TbTradesBinance[[#This Row],[Preço]],Q23+TbTradesBinance[[#This Row],[Qtt]]*TbTradesBinance[[#This Row],[Preço]])),Q23)-IF(TbTradesBinance[[#This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Row],[Tipo]]="DROP"),Q23+TbTradesBinance[[#This Row],[Qtt]],Q23-TbTradesBinance[[#This Row],[Qtt]]),IF(TbTradesBinance[[#This Row],[Tipo]]="BUY",Q23-TbTradesBinance[[#This Row],[Qtt]]*TbTradesBinance[[#This Row],[Preço]],Q23+TbTradesBinance[[#This Row],[Qtt]]*TbTradesBinance[[#This Row],[Preço]])),Q23)-IF(TbTradesBinance[[#This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Row],[Tipo]]="DROP"),Q23+TbTradesBinance[[#This Row],[Qtt]],Q23-TbTradesBinance[[#This Row],[Qtt]]),IF(TbTradesBinance[[#This Row],[Tipo]]="BUY",Q23-TbTradesBinance[[#This Row],[Qtt]]*TbTradesBinance[[#This Row],[Preço]],Q23+TbTradesBinance[[#This Row],[Qtt]]*TbTradesBinance[[#This Row],[Preço]])),Q23)-IF(TbTradesBinance[[#This Row],[Moeda da Taxa]]=MID(Q$1,9,5),TbTradesBinance[[#This Row],[Taxa]],0),8)))</f>
        <v>7.1428500000000001</v>
      </c>
      <c r="R24" s="145" cm="1">
        <f t="array" ref="R24">IF(TbTradesBinance[[#This Row],[Tipo]]="EMPTY",0,R23+IF(TbTradesBinance[[#This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Row],[Par]]))),$1:$1,0)),-(Q23-Q24)/Q23*R23),0),0)+IF(TbTradesBinance[[#This Row],[Tipo]]="SELL",IF(ISNUMBER(FIND(MID(R$1,10,5),TbTradesBinance[[#This Row],[Par]])),IF(FIND(MID(R$1,10,5),TbTradesBinance[[#This Row],[Par]])=1, -(Q23-Q24)/Q23*R23,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Row],[Par]])),(-(Q23-Q24)/Q23*R23)+IF(TbTradesBinance[[#This Row],[Resultado]]&gt;0,0,TbTradesBinance[[#This Row],[Taxa]]),0),0))</f>
        <v>39.943032571364363</v>
      </c>
      <c r="S24" s="145">
        <f t="shared" si="2"/>
        <v>5.592030152021163</v>
      </c>
      <c r="T2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Row],[Tipo]]="DROP"),T23+TbTradesBinance[[#This Row],[Qtt]],T23-TbTradesBinance[[#This Row],[Qtt]]),IF(TbTradesBinance[[#This Row],[Tipo]]="BUY",T23-TbTradesBinance[[#This Row],[Qtt]]*TbTradesBinance[[#This Row],[Preço]],T23+TbTradesBinance[[#This Row],[Qtt]]*TbTradesBinance[[#This Row],[Preço]])),T23)-IF(TbTradesBinance[[#This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Row],[Tipo]]="DROP"),T23+TbTradesBinance[[#This Row],[Qtt]],T23-TbTradesBinance[[#This Row],[Qtt]]),IF(TbTradesBinance[[#This Row],[Tipo]]="BUY",T23-TbTradesBinance[[#This Row],[Qtt]]*TbTradesBinance[[#This Row],[Preço]],T23+TbTradesBinance[[#This Row],[Qtt]]*TbTradesBinance[[#This Row],[Preço]])),T23)-IF(TbTradesBinance[[#This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Row],[Tipo]]="DROP"),T23+TbTradesBinance[[#This Row],[Qtt]],T23-TbTradesBinance[[#This Row],[Qtt]]),IF(TbTradesBinance[[#This Row],[Tipo]]="BUY",T23-TbTradesBinance[[#This Row],[Qtt]]*TbTradesBinance[[#This Row],[Preço]],T23+TbTradesBinance[[#This Row],[Qtt]]*TbTradesBinance[[#This Row],[Preço]])),T23)-IF(TbTradesBinance[[#This Row],[Moeda da Taxa]]=MID(T$1,9,5),TbTradesBinance[[#This Row],[Taxa]],0),8)))</f>
        <v>2.867312E-2</v>
      </c>
      <c r="U24" s="145" cm="1">
        <f t="array" ref="U24">IF(TbTradesBinance[[#This Row],[Tipo]]="EMPTY",0,U23+IF(TbTradesBinance[[#This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Row],[Par]]))),$1:$1,0)),-(T23-T24)/T23*U23),0),0)+IF(TbTradesBinance[[#This Row],[Tipo]]="SELL",IF(ISNUMBER(FIND(MID(U$1,10,5),TbTradesBinance[[#This Row],[Par]])),IF(FIND(MID(U$1,10,5),TbTradesBinance[[#This Row],[Par]])=1, -(T23-T24)/T23*U23,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Row],[Par]])),(-(T23-T24)/T23*U23)+IF(TbTradesBinance[[#This Row],[Resultado]]&gt;0,0,TbTradesBinance[[#This Row],[Taxa]]),0),0))</f>
        <v>0.19365209596473676</v>
      </c>
      <c r="V24" s="145">
        <f t="shared" si="3"/>
        <v>6.7537852861752317</v>
      </c>
      <c r="W2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Row],[Tipo]]="DROP"),W23+TbTradesBinance[[#This Row],[Qtt]],W23-TbTradesBinance[[#This Row],[Qtt]]),IF(TbTradesBinance[[#This Row],[Tipo]]="BUY",W23-TbTradesBinance[[#This Row],[Qtt]]*TbTradesBinance[[#This Row],[Preço]],W23+TbTradesBinance[[#This Row],[Qtt]]*TbTradesBinance[[#This Row],[Preço]])),W23)-IF(TbTradesBinance[[#This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Row],[Tipo]]="DROP"),W23+TbTradesBinance[[#This Row],[Qtt]],W23-TbTradesBinance[[#This Row],[Qtt]]),IF(TbTradesBinance[[#This Row],[Tipo]]="BUY",W23-TbTradesBinance[[#This Row],[Qtt]]*TbTradesBinance[[#This Row],[Preço]],W23+TbTradesBinance[[#This Row],[Qtt]]*TbTradesBinance[[#This Row],[Preço]])),W23)-IF(TbTradesBinance[[#This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Row],[Tipo]]="DROP"),W23+TbTradesBinance[[#This Row],[Qtt]],W23-TbTradesBinance[[#This Row],[Qtt]]),IF(TbTradesBinance[[#This Row],[Tipo]]="BUY",W23-TbTradesBinance[[#This Row],[Qtt]]*TbTradesBinance[[#This Row],[Preço]],W23+TbTradesBinance[[#This Row],[Qtt]]*TbTradesBinance[[#This Row],[Preço]])),W23)-IF(TbTradesBinance[[#This Row],[Moeda da Taxa]]=MID(W$1,9,5),TbTradesBinance[[#This Row],[Taxa]],0),8)))</f>
        <v>2.6E-7</v>
      </c>
      <c r="X24" s="145" cm="1">
        <f t="array" ref="X24">IF(TbTradesBinance[[#This Row],[Tipo]]="EMPTY",0,X23+IF(TbTradesBinance[[#This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Row],[Par]]))),$1:$1,0)),-(W23-W24)/W23*X23),0),0)+IF(TbTradesBinance[[#This Row],[Tipo]]="SELL",IF(ISNUMBER(FIND(MID(X$1,10,5),TbTradesBinance[[#This Row],[Par]])),IF(FIND(MID(X$1,10,5),TbTradesBinance[[#This Row],[Par]])=1, -(W23-W24)/W23*X23,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Row],[Par]])),(-(W23-W24)/W23*X23)+IF(TbTradesBinance[[#This Row],[Resultado]]&gt;0,0,TbTradesBinance[[#This Row],[Taxa]]),0),0))</f>
        <v>6.8472278720637547E-2</v>
      </c>
      <c r="Y24" s="145">
        <f t="shared" si="4"/>
        <v>263354.91815629828</v>
      </c>
      <c r="Z2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Row],[Tipo]]="DROP"),Z23+TbTradesBinance[[#This Row],[Qtt]],Z23-TbTradesBinance[[#This Row],[Qtt]]),IF(TbTradesBinance[[#This Row],[Tipo]]="BUY",Z23-TbTradesBinance[[#This Row],[Qtt]]*TbTradesBinance[[#This Row],[Preço]],Z23+TbTradesBinance[[#This Row],[Qtt]]*TbTradesBinance[[#This Row],[Preço]])),Z23)-IF(TbTradesBinance[[#This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Row],[Tipo]]="DROP"),Z23+TbTradesBinance[[#This Row],[Qtt]],Z23-TbTradesBinance[[#This Row],[Qtt]]),IF(TbTradesBinance[[#This Row],[Tipo]]="BUY",Z23-TbTradesBinance[[#This Row],[Qtt]]*TbTradesBinance[[#This Row],[Preço]],Z23+TbTradesBinance[[#This Row],[Qtt]]*TbTradesBinance[[#This Row],[Preço]])),Z23)-IF(TbTradesBinance[[#This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Row],[Tipo]]="DROP"),Z23+TbTradesBinance[[#This Row],[Qtt]],Z23-TbTradesBinance[[#This Row],[Qtt]]),IF(TbTradesBinance[[#This Row],[Tipo]]="BUY",Z23-TbTradesBinance[[#This Row],[Qtt]]*TbTradesBinance[[#This Row],[Preço]],Z23+TbTradesBinance[[#This Row],[Qtt]]*TbTradesBinance[[#This Row],[Preço]])),Z23)-IF(TbTradesBinance[[#This Row],[Moeda da Taxa]]=MID(Z$1,9,5),TbTradesBinance[[#This Row],[Taxa]],0),8)))</f>
        <v>0</v>
      </c>
      <c r="AA24" s="145" cm="1">
        <f t="array" ref="AA24">IF(TbTradesBinance[[#This Row],[Tipo]]="EMPTY",0,AA23+IF(TbTradesBinance[[#This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Row],[Par]]))),$1:$1,0)),-(Z23-Z24)/Z23*AA23),0),0)+IF(TbTradesBinance[[#This Row],[Tipo]]="SELL",IF(ISNUMBER(FIND(MID(AA$1,10,5),TbTradesBinance[[#This Row],[Par]])),IF(FIND(MID(AA$1,10,5),TbTradesBinance[[#This Row],[Par]])=1, -(Z23-Z24)/Z23*AA23,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Row],[Par]])),(-(Z23-Z24)/Z23*AA23)+IF(TbTradesBinance[[#This Row],[Resultado]]&gt;0,0,TbTradesBinance[[#This Row],[Taxa]]),0),0))</f>
        <v>0</v>
      </c>
      <c r="AB24" s="145">
        <f t="shared" si="5"/>
        <v>0</v>
      </c>
      <c r="AC2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Row],[Tipo]]="DROP"),AC23+TbTradesBinance[[#This Row],[Qtt]],AC23-TbTradesBinance[[#This Row],[Qtt]]),IF(TbTradesBinance[[#This Row],[Tipo]]="BUY",AC23-TbTradesBinance[[#This Row],[Qtt]]*TbTradesBinance[[#This Row],[Preço]],AC23+TbTradesBinance[[#This Row],[Qtt]]*TbTradesBinance[[#This Row],[Preço]])),AC23)-IF(TbTradesBinance[[#This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Row],[Tipo]]="DROP"),AC23+TbTradesBinance[[#This Row],[Qtt]],AC23-TbTradesBinance[[#This Row],[Qtt]]),IF(TbTradesBinance[[#This Row],[Tipo]]="BUY",AC23-TbTradesBinance[[#This Row],[Qtt]]*TbTradesBinance[[#This Row],[Preço]],AC23+TbTradesBinance[[#This Row],[Qtt]]*TbTradesBinance[[#This Row],[Preço]])),AC23)-IF(TbTradesBinance[[#This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Row],[Tipo]]="DROP"),AC23+TbTradesBinance[[#This Row],[Qtt]],AC23-TbTradesBinance[[#This Row],[Qtt]]),IF(TbTradesBinance[[#This Row],[Tipo]]="BUY",AC23-TbTradesBinance[[#This Row],[Qtt]]*TbTradesBinance[[#This Row],[Preço]],AC23+TbTradesBinance[[#This Row],[Qtt]]*TbTradesBinance[[#This Row],[Preço]])),AC23)-IF(TbTradesBinance[[#This Row],[Moeda da Taxa]]=MID(AC$1,9,5),TbTradesBinance[[#This Row],[Taxa]],0),8)))</f>
        <v>0</v>
      </c>
      <c r="AD24" s="145" cm="1">
        <f t="array" ref="AD24">IF(TbTradesBinance[[#This Row],[Tipo]]="EMPTY",0,AD23+IF(TbTradesBinance[[#This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Row],[Par]]))),$1:$1,0)),-(AC23-AC24)/AC23*AD23),0),0)+IF(TbTradesBinance[[#This Row],[Tipo]]="SELL",IF(ISNUMBER(FIND(MID(AD$1,10,5),TbTradesBinance[[#This Row],[Par]])),IF(FIND(MID(AD$1,10,5),TbTradesBinance[[#This Row],[Par]])=1, -(AC23-AC24)/AC23*AD23,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Row],[Par]])),(-(AC23-AC24)/AC23*AD23)+IF(TbTradesBinance[[#This Row],[Resultado]]&gt;0,0,TbTradesBinance[[#This Row],[Taxa]]),0),0))</f>
        <v>0</v>
      </c>
      <c r="AE24" s="145">
        <f t="shared" si="6"/>
        <v>0</v>
      </c>
      <c r="AF2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Row],[Tipo]]="DROP"),AF23+TbTradesBinance[[#This Row],[Qtt]],AF23-TbTradesBinance[[#This Row],[Qtt]]),IF(TbTradesBinance[[#This Row],[Tipo]]="BUY",AF23-TbTradesBinance[[#This Row],[Qtt]]*TbTradesBinance[[#This Row],[Preço]],AF23+TbTradesBinance[[#This Row],[Qtt]]*TbTradesBinance[[#This Row],[Preço]])),AF23)-IF(TbTradesBinance[[#This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Row],[Tipo]]="DROP"),AF23+TbTradesBinance[[#This Row],[Qtt]],AF23-TbTradesBinance[[#This Row],[Qtt]]),IF(TbTradesBinance[[#This Row],[Tipo]]="BUY",AF23-TbTradesBinance[[#This Row],[Qtt]]*TbTradesBinance[[#This Row],[Preço]],AF23+TbTradesBinance[[#This Row],[Qtt]]*TbTradesBinance[[#This Row],[Preço]])),AF23)-IF(TbTradesBinance[[#This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Row],[Tipo]]="DROP"),AF23+TbTradesBinance[[#This Row],[Qtt]],AF23-TbTradesBinance[[#This Row],[Qtt]]),IF(TbTradesBinance[[#This Row],[Tipo]]="BUY",AF23-TbTradesBinance[[#This Row],[Qtt]]*TbTradesBinance[[#This Row],[Preço]],AF23+TbTradesBinance[[#This Row],[Qtt]]*TbTradesBinance[[#This Row],[Preço]])),AF23)-IF(TbTradesBinance[[#This Row],[Moeda da Taxa]]=MID(AF$1,9,5),TbTradesBinance[[#This Row],[Taxa]],0),8)))</f>
        <v>0</v>
      </c>
      <c r="AG24" s="145" cm="1">
        <f t="array" ref="AG24">IF(TbTradesBinance[[#This Row],[Tipo]]="EMPTY",0,AG23+IF(TbTradesBinance[[#This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Row],[Par]]))),$1:$1,0)),-(AF23-AF24)/AF23*AG23),0),0)+IF(TbTradesBinance[[#This Row],[Tipo]]="SELL",IF(ISNUMBER(FIND(MID(AG$1,10,5),TbTradesBinance[[#This Row],[Par]])),IF(FIND(MID(AG$1,10,5),TbTradesBinance[[#This Row],[Par]])=1, -(AF23-AF24)/AF23*AG23,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Row],[Par]])),(-(AF23-AF24)/AF23*AG23)+IF(TbTradesBinance[[#This Row],[Resultado]]&gt;0,0,TbTradesBinance[[#This Row],[Taxa]]),0),0))</f>
        <v>0</v>
      </c>
      <c r="AH24" s="145">
        <f t="shared" si="7"/>
        <v>0</v>
      </c>
      <c r="AI2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Row],[Tipo]]="DROP"),AI23+TbTradesBinance[[#This Row],[Qtt]],AI23-TbTradesBinance[[#This Row],[Qtt]]),IF(TbTradesBinance[[#This Row],[Tipo]]="BUY",AI23-TbTradesBinance[[#This Row],[Qtt]]*TbTradesBinance[[#This Row],[Preço]],AI23+TbTradesBinance[[#This Row],[Qtt]]*TbTradesBinance[[#This Row],[Preço]])),AI23)-IF(TbTradesBinance[[#This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Row],[Tipo]]="DROP"),AI23+TbTradesBinance[[#This Row],[Qtt]],AI23-TbTradesBinance[[#This Row],[Qtt]]),IF(TbTradesBinance[[#This Row],[Tipo]]="BUY",AI23-TbTradesBinance[[#This Row],[Qtt]]*TbTradesBinance[[#This Row],[Preço]],AI23+TbTradesBinance[[#This Row],[Qtt]]*TbTradesBinance[[#This Row],[Preço]])),AI23)-IF(TbTradesBinance[[#This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Row],[Tipo]]="DROP"),AI23+TbTradesBinance[[#This Row],[Qtt]],AI23-TbTradesBinance[[#This Row],[Qtt]]),IF(TbTradesBinance[[#This Row],[Tipo]]="BUY",AI23-TbTradesBinance[[#This Row],[Qtt]]*TbTradesBinance[[#This Row],[Preço]],AI23+TbTradesBinance[[#This Row],[Qtt]]*TbTradesBinance[[#This Row],[Preço]])),AI23)-IF(TbTradesBinance[[#This Row],[Moeda da Taxa]]=MID(AI$1,9,5),TbTradesBinance[[#This Row],[Taxa]],0),8)))</f>
        <v>0</v>
      </c>
      <c r="AJ24" s="145" cm="1">
        <f t="array" ref="AJ24">IF(TbTradesBinance[[#This Row],[Tipo]]="EMPTY",0,AJ23+IF(TbTradesBinance[[#This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Row],[Par]]))),$1:$1,0)),-(AI23-AI24)/AI23*AJ23),0),0)+IF(TbTradesBinance[[#This Row],[Tipo]]="SELL",IF(ISNUMBER(FIND(MID(AJ$1,10,5),TbTradesBinance[[#This Row],[Par]])),IF(FIND(MID(AJ$1,10,5),TbTradesBinance[[#This Row],[Par]])=1, -(AI23-AI24)/AI23*AJ23,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Row],[Par]])),(-(AI23-AI24)/AI23*AJ23)+IF(TbTradesBinance[[#This Row],[Resultado]]&gt;0,0,TbTradesBinance[[#This Row],[Taxa]]),0),0))</f>
        <v>0</v>
      </c>
      <c r="AK24" s="145">
        <f t="shared" si="8"/>
        <v>0</v>
      </c>
      <c r="AL2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Row],[Tipo]]="DROP"),AL23+TbTradesBinance[[#This Row],[Qtt]],AL23-TbTradesBinance[[#This Row],[Qtt]]),IF(TbTradesBinance[[#This Row],[Tipo]]="BUY",AL23-TbTradesBinance[[#This Row],[Qtt]]*TbTradesBinance[[#This Row],[Preço]],AL23+TbTradesBinance[[#This Row],[Qtt]]*TbTradesBinance[[#This Row],[Preço]])),AL23)-IF(TbTradesBinance[[#This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Row],[Tipo]]="DROP"),AL23+TbTradesBinance[[#This Row],[Qtt]],AL23-TbTradesBinance[[#This Row],[Qtt]]),IF(TbTradesBinance[[#This Row],[Tipo]]="BUY",AL23-TbTradesBinance[[#This Row],[Qtt]]*TbTradesBinance[[#This Row],[Preço]],AL23+TbTradesBinance[[#This Row],[Qtt]]*TbTradesBinance[[#This Row],[Preço]])),AL23)-IF(TbTradesBinance[[#This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Row],[Tipo]]="DROP"),AL23+TbTradesBinance[[#This Row],[Qtt]],AL23-TbTradesBinance[[#This Row],[Qtt]]),IF(TbTradesBinance[[#This Row],[Tipo]]="BUY",AL23-TbTradesBinance[[#This Row],[Qtt]]*TbTradesBinance[[#This Row],[Preço]],AL23+TbTradesBinance[[#This Row],[Qtt]]*TbTradesBinance[[#This Row],[Preço]])),AL23)-IF(TbTradesBinance[[#This Row],[Moeda da Taxa]]=MID(AL$1,9,5),TbTradesBinance[[#This Row],[Taxa]],0),8)))</f>
        <v>0</v>
      </c>
      <c r="AM24" s="145" cm="1">
        <f t="array" ref="AM24">IF(TbTradesBinance[[#This Row],[Tipo]]="EMPTY",0,AM23+IF(TbTradesBinance[[#This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Row],[Par]]))),$1:$1,0)),-(AL23-AL24)/AL23*AM23),0),0)+IF(TbTradesBinance[[#This Row],[Tipo]]="SELL",IF(ISNUMBER(FIND(MID(AM$1,10,5),TbTradesBinance[[#This Row],[Par]])),IF(FIND(MID(AM$1,10,5),TbTradesBinance[[#This Row],[Par]])=1, -(AL23-AL24)/AL23*AM23,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Row],[Par]])),(-(AL23-AL24)/AL23*AM23)+IF(TbTradesBinance[[#This Row],[Resultado]]&gt;0,0,TbTradesBinance[[#This Row],[Taxa]]),0),0))</f>
        <v>0</v>
      </c>
      <c r="AN24" s="145">
        <f t="shared" si="9"/>
        <v>0</v>
      </c>
      <c r="AO2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Row],[Tipo]]="DROP"),AO23+TbTradesBinance[[#This Row],[Qtt]],AO23-TbTradesBinance[[#This Row],[Qtt]]),IF(TbTradesBinance[[#This Row],[Tipo]]="BUY",AO23-TbTradesBinance[[#This Row],[Qtt]]*TbTradesBinance[[#This Row],[Preço]],AO23+TbTradesBinance[[#This Row],[Qtt]]*TbTradesBinance[[#This Row],[Preço]])),AO23)-IF(TbTradesBinance[[#This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Row],[Tipo]]="DROP"),AO23+TbTradesBinance[[#This Row],[Qtt]],AO23-TbTradesBinance[[#This Row],[Qtt]]),IF(TbTradesBinance[[#This Row],[Tipo]]="BUY",AO23-TbTradesBinance[[#This Row],[Qtt]]*TbTradesBinance[[#This Row],[Preço]],AO23+TbTradesBinance[[#This Row],[Qtt]]*TbTradesBinance[[#This Row],[Preço]])),AO23)-IF(TbTradesBinance[[#This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Row],[Tipo]]="DROP"),AO23+TbTradesBinance[[#This Row],[Qtt]],AO23-TbTradesBinance[[#This Row],[Qtt]]),IF(TbTradesBinance[[#This Row],[Tipo]]="BUY",AO23-TbTradesBinance[[#This Row],[Qtt]]*TbTradesBinance[[#This Row],[Preço]],AO23+TbTradesBinance[[#This Row],[Qtt]]*TbTradesBinance[[#This Row],[Preço]])),AO23)-IF(TbTradesBinance[[#This Row],[Moeda da Taxa]]=MID(AO$1,9,5),TbTradesBinance[[#This Row],[Taxa]],0),8)))</f>
        <v>0</v>
      </c>
      <c r="AP24" s="145" cm="1">
        <f t="array" ref="AP24">IF(TbTradesBinance[[#This Row],[Tipo]]="EMPTY",0,AP23+IF(TbTradesBinance[[#This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Row],[Par]]))),$1:$1,0)),-(AO23-AO24)/AO23*AP23),0),0)+IF(TbTradesBinance[[#This Row],[Tipo]]="SELL",IF(ISNUMBER(FIND(MID(AP$1,10,5),TbTradesBinance[[#This Row],[Par]])),IF(FIND(MID(AP$1,10,5),TbTradesBinance[[#This Row],[Par]])=1, -(AO23-AO24)/AO23*AP23,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Row],[Par]])),(-(AO23-AO24)/AO23*AP23)+IF(TbTradesBinance[[#This Row],[Resultado]]&gt;0,0,TbTradesBinance[[#This Row],[Taxa]]),0),0))</f>
        <v>0</v>
      </c>
      <c r="AQ24" s="145">
        <f t="shared" si="10"/>
        <v>0</v>
      </c>
      <c r="AR2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Row],[Tipo]]="DROP"),AR23+TbTradesBinance[[#This Row],[Qtt]],AR23-TbTradesBinance[[#This Row],[Qtt]]),IF(TbTradesBinance[[#This Row],[Tipo]]="BUY",AR23-TbTradesBinance[[#This Row],[Qtt]]*TbTradesBinance[[#This Row],[Preço]],AR23+TbTradesBinance[[#This Row],[Qtt]]*TbTradesBinance[[#This Row],[Preço]])),AR23)-IF(TbTradesBinance[[#This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Row],[Tipo]]="DROP"),AR23+TbTradesBinance[[#This Row],[Qtt]],AR23-TbTradesBinance[[#This Row],[Qtt]]),IF(TbTradesBinance[[#This Row],[Tipo]]="BUY",AR23-TbTradesBinance[[#This Row],[Qtt]]*TbTradesBinance[[#This Row],[Preço]],AR23+TbTradesBinance[[#This Row],[Qtt]]*TbTradesBinance[[#This Row],[Preço]])),AR23)-IF(TbTradesBinance[[#This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Row],[Tipo]]="DROP"),AR23+TbTradesBinance[[#This Row],[Qtt]],AR23-TbTradesBinance[[#This Row],[Qtt]]),IF(TbTradesBinance[[#This Row],[Tipo]]="BUY",AR23-TbTradesBinance[[#This Row],[Qtt]]*TbTradesBinance[[#This Row],[Preço]],AR23+TbTradesBinance[[#This Row],[Qtt]]*TbTradesBinance[[#This Row],[Preço]])),AR23)-IF(TbTradesBinance[[#This Row],[Moeda da Taxa]]=MID(AR$1,9,5),TbTradesBinance[[#This Row],[Taxa]],0),8)))</f>
        <v>0</v>
      </c>
      <c r="AS24" s="145" cm="1">
        <f t="array" ref="AS24">IF(TbTradesBinance[[#This Row],[Tipo]]="EMPTY",0,AS23+IF(TbTradesBinance[[#This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Row],[Par]]))),$1:$1,0)),-(AR23-AR24)/AR23*AS23),0),0)+IF(TbTradesBinance[[#This Row],[Tipo]]="SELL",IF(ISNUMBER(FIND(MID(AS$1,10,5),TbTradesBinance[[#This Row],[Par]])),IF(FIND(MID(AS$1,10,5),TbTradesBinance[[#This Row],[Par]])=1, -(AR23-AR24)/AR23*AS23,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Row],[Par]])),(-(AR23-AR24)/AR23*AS23)+IF(TbTradesBinance[[#This Row],[Resultado]]&gt;0,0,TbTradesBinance[[#This Row],[Taxa]]),0),0))</f>
        <v>0</v>
      </c>
      <c r="AT24" s="145">
        <f t="shared" si="11"/>
        <v>0</v>
      </c>
      <c r="AU2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Row],[Tipo]]="DROP"),AU23+TbTradesBinance[[#This Row],[Qtt]],AU23-TbTradesBinance[[#This Row],[Qtt]]),IF(TbTradesBinance[[#This Row],[Tipo]]="BUY",AU23-TbTradesBinance[[#This Row],[Qtt]]*TbTradesBinance[[#This Row],[Preço]],AU23+TbTradesBinance[[#This Row],[Qtt]]*TbTradesBinance[[#This Row],[Preço]])),AU23)-IF(TbTradesBinance[[#This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Row],[Tipo]]="DROP"),AU23+TbTradesBinance[[#This Row],[Qtt]],AU23-TbTradesBinance[[#This Row],[Qtt]]),IF(TbTradesBinance[[#This Row],[Tipo]]="BUY",AU23-TbTradesBinance[[#This Row],[Qtt]]*TbTradesBinance[[#This Row],[Preço]],AU23+TbTradesBinance[[#This Row],[Qtt]]*TbTradesBinance[[#This Row],[Preço]])),AU23)-IF(TbTradesBinance[[#This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Row],[Tipo]]="DROP"),AU23+TbTradesBinance[[#This Row],[Qtt]],AU23-TbTradesBinance[[#This Row],[Qtt]]),IF(TbTradesBinance[[#This Row],[Tipo]]="BUY",AU23-TbTradesBinance[[#This Row],[Qtt]]*TbTradesBinance[[#This Row],[Preço]],AU23+TbTradesBinance[[#This Row],[Qtt]]*TbTradesBinance[[#This Row],[Preço]])),AU23)-IF(TbTradesBinance[[#This Row],[Moeda da Taxa]]=MID(AU$1,9,5),TbTradesBinance[[#This Row],[Taxa]],0),8)))</f>
        <v>0</v>
      </c>
      <c r="AV24" s="145" cm="1">
        <f t="array" ref="AV24">IF(TbTradesBinance[[#This Row],[Tipo]]="EMPTY",0,AV23+IF(TbTradesBinance[[#This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Row],[Par]]))),$1:$1,0)),-(AU23-AU24)/AU23*AV23),0),0)+IF(TbTradesBinance[[#This Row],[Tipo]]="SELL",IF(ISNUMBER(FIND(MID(AV$1,10,5),TbTradesBinance[[#This Row],[Par]])),IF(FIND(MID(AV$1,10,5),TbTradesBinance[[#This Row],[Par]])=1, -(AU23-AU24)/AU23*AV23,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Row],[Par]])),(-(AU23-AU24)/AU23*AV23)+IF(TbTradesBinance[[#This Row],[Resultado]]&gt;0,0,TbTradesBinance[[#This Row],[Taxa]]),0),0))</f>
        <v>0</v>
      </c>
      <c r="AW24" s="145">
        <f t="shared" si="12"/>
        <v>0</v>
      </c>
      <c r="AX2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Row],[Tipo]]="DROP"),AX23+TbTradesBinance[[#This Row],[Qtt]],AX23-TbTradesBinance[[#This Row],[Qtt]]),IF(TbTradesBinance[[#This Row],[Tipo]]="BUY",AX23-TbTradesBinance[[#This Row],[Qtt]]*TbTradesBinance[[#This Row],[Preço]],AX23+TbTradesBinance[[#This Row],[Qtt]]*TbTradesBinance[[#This Row],[Preço]])),AX23)-IF(TbTradesBinance[[#This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Row],[Tipo]]="DROP"),AX23+TbTradesBinance[[#This Row],[Qtt]],AX23-TbTradesBinance[[#This Row],[Qtt]]),IF(TbTradesBinance[[#This Row],[Tipo]]="BUY",AX23-TbTradesBinance[[#This Row],[Qtt]]*TbTradesBinance[[#This Row],[Preço]],AX23+TbTradesBinance[[#This Row],[Qtt]]*TbTradesBinance[[#This Row],[Preço]])),AX23)-IF(TbTradesBinance[[#This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Row],[Tipo]]="DROP"),AX23+TbTradesBinance[[#This Row],[Qtt]],AX23-TbTradesBinance[[#This Row],[Qtt]]),IF(TbTradesBinance[[#This Row],[Tipo]]="BUY",AX23-TbTradesBinance[[#This Row],[Qtt]]*TbTradesBinance[[#This Row],[Preço]],AX23+TbTradesBinance[[#This Row],[Qtt]]*TbTradesBinance[[#This Row],[Preço]])),AX23)-IF(TbTradesBinance[[#This Row],[Moeda da Taxa]]=MID(AX$1,9,5),TbTradesBinance[[#This Row],[Taxa]],0),8)))</f>
        <v>0</v>
      </c>
      <c r="AY24" s="145" cm="1">
        <f t="array" ref="AY24">IF(TbTradesBinance[[#This Row],[Tipo]]="EMPTY",0,AY23+IF(TbTradesBinance[[#This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Row],[Par]]))),$1:$1,0)),-(AX23-AX24)/AX23*AY23),0),0)+IF(TbTradesBinance[[#This Row],[Tipo]]="SELL",IF(ISNUMBER(FIND(MID(AY$1,10,5),TbTradesBinance[[#This Row],[Par]])),IF(FIND(MID(AY$1,10,5),TbTradesBinance[[#This Row],[Par]])=1, -(AX23-AX24)/AX23*AY23,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Row],[Par]])),(-(AX23-AX24)/AX23*AY23)+IF(TbTradesBinance[[#This Row],[Resultado]]&gt;0,0,TbTradesBinance[[#This Row],[Taxa]]),0),0))</f>
        <v>0</v>
      </c>
      <c r="AZ24" s="145">
        <f t="shared" si="13"/>
        <v>0</v>
      </c>
      <c r="BA2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Row],[Tipo]]="DROP"),BA23+TbTradesBinance[[#This Row],[Qtt]],BA23-TbTradesBinance[[#This Row],[Qtt]]),IF(TbTradesBinance[[#This Row],[Tipo]]="BUY",BA23-TbTradesBinance[[#This Row],[Qtt]]*TbTradesBinance[[#This Row],[Preço]],BA23+TbTradesBinance[[#This Row],[Qtt]]*TbTradesBinance[[#This Row],[Preço]])),BA23)-IF(TbTradesBinance[[#This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Row],[Tipo]]="DROP"),BA23+TbTradesBinance[[#This Row],[Qtt]],BA23-TbTradesBinance[[#This Row],[Qtt]]),IF(TbTradesBinance[[#This Row],[Tipo]]="BUY",BA23-TbTradesBinance[[#This Row],[Qtt]]*TbTradesBinance[[#This Row],[Preço]],BA23+TbTradesBinance[[#This Row],[Qtt]]*TbTradesBinance[[#This Row],[Preço]])),BA23)-IF(TbTradesBinance[[#This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Row],[Tipo]]="DROP"),BA23+TbTradesBinance[[#This Row],[Qtt]],BA23-TbTradesBinance[[#This Row],[Qtt]]),IF(TbTradesBinance[[#This Row],[Tipo]]="BUY",BA23-TbTradesBinance[[#This Row],[Qtt]]*TbTradesBinance[[#This Row],[Preço]],BA23+TbTradesBinance[[#This Row],[Qtt]]*TbTradesBinance[[#This Row],[Preço]])),BA23)-IF(TbTradesBinance[[#This Row],[Moeda da Taxa]]=MID(BA$1,9,5),TbTradesBinance[[#This Row],[Taxa]],0),8)))</f>
        <v>0</v>
      </c>
      <c r="BB24" s="145" cm="1">
        <f t="array" ref="BB24">IF(TbTradesBinance[[#This Row],[Tipo]]="EMPTY",0,BB23+IF(TbTradesBinance[[#This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Row],[Par]]))),$1:$1,0)),-(BA23-BA24)/BA23*BB23),0),0)+IF(TbTradesBinance[[#This Row],[Tipo]]="SELL",IF(ISNUMBER(FIND(MID(BB$1,10,5),TbTradesBinance[[#This Row],[Par]])),IF(FIND(MID(BB$1,10,5),TbTradesBinance[[#This Row],[Par]])=1, -(BA23-BA24)/BA23*BB23,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Row],[Par]])),(-(BA23-BA24)/BA23*BB23)+IF(TbTradesBinance[[#This Row],[Resultado]]&gt;0,0,TbTradesBinance[[#This Row],[Taxa]]),0),0))</f>
        <v>0</v>
      </c>
      <c r="BC24" s="145">
        <f t="shared" si="14"/>
        <v>0</v>
      </c>
      <c r="BD2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Row],[Tipo]]="DROP"),BD23+TbTradesBinance[[#This Row],[Qtt]],BD23-TbTradesBinance[[#This Row],[Qtt]]),IF(TbTradesBinance[[#This Row],[Tipo]]="BUY",BD23-TbTradesBinance[[#This Row],[Qtt]]*TbTradesBinance[[#This Row],[Preço]],BD23+TbTradesBinance[[#This Row],[Qtt]]*TbTradesBinance[[#This Row],[Preço]])),BD23)-IF(TbTradesBinance[[#This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Row],[Tipo]]="DROP"),BD23+TbTradesBinance[[#This Row],[Qtt]],BD23-TbTradesBinance[[#This Row],[Qtt]]),IF(TbTradesBinance[[#This Row],[Tipo]]="BUY",BD23-TbTradesBinance[[#This Row],[Qtt]]*TbTradesBinance[[#This Row],[Preço]],BD23+TbTradesBinance[[#This Row],[Qtt]]*TbTradesBinance[[#This Row],[Preço]])),BD23)-IF(TbTradesBinance[[#This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Row],[Tipo]]="DROP"),BD23+TbTradesBinance[[#This Row],[Qtt]],BD23-TbTradesBinance[[#This Row],[Qtt]]),IF(TbTradesBinance[[#This Row],[Tipo]]="BUY",BD23-TbTradesBinance[[#This Row],[Qtt]]*TbTradesBinance[[#This Row],[Preço]],BD23+TbTradesBinance[[#This Row],[Qtt]]*TbTradesBinance[[#This Row],[Preço]])),BD23)-IF(TbTradesBinance[[#This Row],[Moeda da Taxa]]=MID(BD$1,9,5),TbTradesBinance[[#This Row],[Taxa]],0),8)))</f>
        <v>0</v>
      </c>
      <c r="BE24" s="145" cm="1">
        <f t="array" ref="BE24">IF(TbTradesBinance[[#This Row],[Tipo]]="EMPTY",0,BE23+IF(TbTradesBinance[[#This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Row],[Par]]))),$1:$1,0)),-(BD23-BD24)/BD23*BE23),0),0)+IF(TbTradesBinance[[#This Row],[Tipo]]="SELL",IF(ISNUMBER(FIND(MID(BE$1,10,5),TbTradesBinance[[#This Row],[Par]])),IF(FIND(MID(BE$1,10,5),TbTradesBinance[[#This Row],[Par]])=1, -(BD23-BD24)/BD23*BE23,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Row],[Par]])),(-(BD23-BD24)/BD23*BE23)+IF(TbTradesBinance[[#This Row],[Resultado]]&gt;0,0,TbTradesBinance[[#This Row],[Taxa]]),0),0))</f>
        <v>0</v>
      </c>
      <c r="BF24" s="145">
        <f t="shared" si="15"/>
        <v>0</v>
      </c>
      <c r="BG2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Row],[Tipo]]="DROP"),BG23+TbTradesBinance[[#This Row],[Qtt]],BG23-TbTradesBinance[[#This Row],[Qtt]]),IF(TbTradesBinance[[#This Row],[Tipo]]="BUY",BG23-TbTradesBinance[[#This Row],[Qtt]]*TbTradesBinance[[#This Row],[Preço]],BG23+TbTradesBinance[[#This Row],[Qtt]]*TbTradesBinance[[#This Row],[Preço]])),BG23)-IF(TbTradesBinance[[#This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Row],[Tipo]]="DROP"),BG23+TbTradesBinance[[#This Row],[Qtt]],BG23-TbTradesBinance[[#This Row],[Qtt]]),IF(TbTradesBinance[[#This Row],[Tipo]]="BUY",BG23-TbTradesBinance[[#This Row],[Qtt]]*TbTradesBinance[[#This Row],[Preço]],BG23+TbTradesBinance[[#This Row],[Qtt]]*TbTradesBinance[[#This Row],[Preço]])),BG23)-IF(TbTradesBinance[[#This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Row],[Tipo]]="DROP"),BG23+TbTradesBinance[[#This Row],[Qtt]],BG23-TbTradesBinance[[#This Row],[Qtt]]),IF(TbTradesBinance[[#This Row],[Tipo]]="BUY",BG23-TbTradesBinance[[#This Row],[Qtt]]*TbTradesBinance[[#This Row],[Preço]],BG23+TbTradesBinance[[#This Row],[Qtt]]*TbTradesBinance[[#This Row],[Preço]])),BG23)-IF(TbTradesBinance[[#This Row],[Moeda da Taxa]]=MID(BG$1,9,5),TbTradesBinance[[#This Row],[Taxa]],0),8)))</f>
        <v>0</v>
      </c>
      <c r="BH24" s="145" cm="1">
        <f t="array" ref="BH24">IF(TbTradesBinance[[#This Row],[Tipo]]="EMPTY",0,BH23+IF(TbTradesBinance[[#This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Row],[Par]]))),$1:$1,0)),-(BG23-BG24)/BG23*BH23),0),0)+IF(TbTradesBinance[[#This Row],[Tipo]]="SELL",IF(ISNUMBER(FIND(MID(BH$1,10,5),TbTradesBinance[[#This Row],[Par]])),IF(FIND(MID(BH$1,10,5),TbTradesBinance[[#This Row],[Par]])=1, -(BG23-BG24)/BG23*BH23,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Row],[Par]])),(-(BG23-BG24)/BG23*BH23)+IF(TbTradesBinance[[#This Row],[Resultado]]&gt;0,0,TbTradesBinance[[#This Row],[Taxa]]),0),0))</f>
        <v>0</v>
      </c>
      <c r="BI24" s="145">
        <f t="shared" si="16"/>
        <v>0</v>
      </c>
      <c r="BJ2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Row],[Tipo]]="DROP"),BJ23+TbTradesBinance[[#This Row],[Qtt]],BJ23-TbTradesBinance[[#This Row],[Qtt]]),IF(TbTradesBinance[[#This Row],[Tipo]]="BUY",BJ23-TbTradesBinance[[#This Row],[Qtt]]*TbTradesBinance[[#This Row],[Preço]],BJ23+TbTradesBinance[[#This Row],[Qtt]]*TbTradesBinance[[#This Row],[Preço]])),BJ23)-IF(TbTradesBinance[[#This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Row],[Tipo]]="DROP"),BJ23+TbTradesBinance[[#This Row],[Qtt]],BJ23-TbTradesBinance[[#This Row],[Qtt]]),IF(TbTradesBinance[[#This Row],[Tipo]]="BUY",BJ23-TbTradesBinance[[#This Row],[Qtt]]*TbTradesBinance[[#This Row],[Preço]],BJ23+TbTradesBinance[[#This Row],[Qtt]]*TbTradesBinance[[#This Row],[Preço]])),BJ23)-IF(TbTradesBinance[[#This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Row],[Tipo]]="DROP"),BJ23+TbTradesBinance[[#This Row],[Qtt]],BJ23-TbTradesBinance[[#This Row],[Qtt]]),IF(TbTradesBinance[[#This Row],[Tipo]]="BUY",BJ23-TbTradesBinance[[#This Row],[Qtt]]*TbTradesBinance[[#This Row],[Preço]],BJ23+TbTradesBinance[[#This Row],[Qtt]]*TbTradesBinance[[#This Row],[Preço]])),BJ23)-IF(TbTradesBinance[[#This Row],[Moeda da Taxa]]=MID(BJ$1,9,5),TbTradesBinance[[#This Row],[Taxa]],0),8)))</f>
        <v>0</v>
      </c>
      <c r="BK24" s="145" cm="1">
        <f t="array" ref="BK24">IF(TbTradesBinance[[#This Row],[Tipo]]="EMPTY",0,BK23+IF(TbTradesBinance[[#This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Row],[Par]]))),$1:$1,0)),-(BJ23-BJ24)/BJ23*BK23),0),0)+IF(TbTradesBinance[[#This Row],[Tipo]]="SELL",IF(ISNUMBER(FIND(MID(BK$1,10,5),TbTradesBinance[[#This Row],[Par]])),IF(FIND(MID(BK$1,10,5),TbTradesBinance[[#This Row],[Par]])=1, -(BJ23-BJ24)/BJ23*BK23,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Row],[Par]])),(-(BJ23-BJ24)/BJ23*BK23)+IF(TbTradesBinance[[#This Row],[Resultado]]&gt;0,0,TbTradesBinance[[#This Row],[Taxa]]),0),0))</f>
        <v>0</v>
      </c>
      <c r="BL24" s="145">
        <f t="shared" si="17"/>
        <v>0</v>
      </c>
      <c r="BM2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Row],[Tipo]]="DROP"),BM23+TbTradesBinance[[#This Row],[Qtt]],BM23-TbTradesBinance[[#This Row],[Qtt]]),IF(TbTradesBinance[[#This Row],[Tipo]]="BUY",BM23-TbTradesBinance[[#This Row],[Qtt]]*TbTradesBinance[[#This Row],[Preço]],BM23+TbTradesBinance[[#This Row],[Qtt]]*TbTradesBinance[[#This Row],[Preço]])),BM23)-IF(TbTradesBinance[[#This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Row],[Tipo]]="DROP"),BM23+TbTradesBinance[[#This Row],[Qtt]],BM23-TbTradesBinance[[#This Row],[Qtt]]),IF(TbTradesBinance[[#This Row],[Tipo]]="BUY",BM23-TbTradesBinance[[#This Row],[Qtt]]*TbTradesBinance[[#This Row],[Preço]],BM23+TbTradesBinance[[#This Row],[Qtt]]*TbTradesBinance[[#This Row],[Preço]])),BM23)-IF(TbTradesBinance[[#This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Row],[Tipo]]="DROP"),BM23+TbTradesBinance[[#This Row],[Qtt]],BM23-TbTradesBinance[[#This Row],[Qtt]]),IF(TbTradesBinance[[#This Row],[Tipo]]="BUY",BM23-TbTradesBinance[[#This Row],[Qtt]]*TbTradesBinance[[#This Row],[Preço]],BM23+TbTradesBinance[[#This Row],[Qtt]]*TbTradesBinance[[#This Row],[Preço]])),BM23)-IF(TbTradesBinance[[#This Row],[Moeda da Taxa]]=MID(BM$1,9,5),TbTradesBinance[[#This Row],[Taxa]],0),8)))</f>
        <v>0</v>
      </c>
      <c r="BN24" s="145" cm="1">
        <f t="array" ref="BN24">IF(TbTradesBinance[[#This Row],[Tipo]]="EMPTY",0,BN23+IF(TbTradesBinance[[#This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Row],[Par]]))),$1:$1,0)),-(BM23-BM24)/BM23*BN23),0),0)+IF(TbTradesBinance[[#This Row],[Tipo]]="SELL",IF(ISNUMBER(FIND(MID(BN$1,10,5),TbTradesBinance[[#This Row],[Par]])),IF(FIND(MID(BN$1,10,5),TbTradesBinance[[#This Row],[Par]])=1, -(BM23-BM24)/BM23*BN23,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Row],[Par]])),(-(BM23-BM24)/BM23*BN23)+IF(TbTradesBinance[[#This Row],[Resultado]]&gt;0,0,TbTradesBinance[[#This Row],[Taxa]]),0),0))</f>
        <v>0</v>
      </c>
      <c r="BO24" s="145">
        <f t="shared" si="18"/>
        <v>0</v>
      </c>
    </row>
    <row r="25" spans="2:67" x14ac:dyDescent="0.3">
      <c r="B25" s="51"/>
      <c r="C25" s="40">
        <f>TRUNC(IF(AND(TbTradesBinance[[#This Row],[Tipo]]="SEND",TbTradesBinance[[#This Row],[Par]]="BRL"),TbTradesBinance[[#This Row],[Qtt]]*(1-P23)-IF(TbTradesBinance[[#This Row],[Moeda da Taxa]]="BRL",TbTradesBinance[[#This Row],[Taxa]],0),0)+IF(AND(TbTradesBinance[[#This Row],[Tipo]]="BURN",TbTradesBinance[[#This Row],[Par]]="BRL"),-TbTradesBinance[[#This Row],[Qtt]]*P23,0),2)</f>
        <v>0</v>
      </c>
      <c r="D25" s="53">
        <v>44252.798761574071</v>
      </c>
      <c r="E25" s="37" t="s">
        <v>237</v>
      </c>
      <c r="F25" s="47" t="s">
        <v>139</v>
      </c>
      <c r="G25" s="38">
        <v>5.601</v>
      </c>
      <c r="H25" s="38">
        <v>2.7</v>
      </c>
      <c r="I25" s="38">
        <v>2.7000000000000001E-3</v>
      </c>
      <c r="J25" s="37" t="s">
        <v>42</v>
      </c>
      <c r="K25" s="52">
        <v>1</v>
      </c>
      <c r="L25" s="40">
        <f t="shared" si="0"/>
        <v>5.6</v>
      </c>
      <c r="M25" s="40">
        <f>IF(OR(TbTradesBinance[[#This Row],[Tipo]]="BUY",TbTradesBinance[[#This Row],[Tipo]]="RECEIVE",TbTradesBinance[[#This Row],[Tipo]]="DROP"),L25*H25,-L25*H25)</f>
        <v>15.12</v>
      </c>
      <c r="N2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Row],[Tipo]]="DROP"),N24+TbTradesBinance[[#This Row],[Qtt]],N24-TbTradesBinance[[#This Row],[Qtt]]),IF(TbTradesBinance[[#This Row],[Tipo]]="BUY",N24-TbTradesBinance[[#This Row],[Qtt]]*TbTradesBinance[[#This Row],[Preço]],N24+TbTradesBinance[[#This Row],[Qtt]]*TbTradesBinance[[#This Row],[Preço]])),N24)-IF(TbTradesBinance[[#This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Row],[Tipo]]="DROP"),N24+TbTradesBinance[[#This Row],[Qtt]],N24-TbTradesBinance[[#This Row],[Qtt]]),IF(TbTradesBinance[[#This Row],[Tipo]]="BUY",N24-TbTradesBinance[[#This Row],[Qtt]]*TbTradesBinance[[#This Row],[Preço]],N24+TbTradesBinance[[#This Row],[Qtt]]*TbTradesBinance[[#This Row],[Preço]])),N24)-IF(TbTradesBinance[[#This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Row],[Tipo]]="DROP"),N24+TbTradesBinance[[#This Row],[Qtt]],N24-TbTradesBinance[[#This Row],[Qtt]]),IF(TbTradesBinance[[#This Row],[Tipo]]="BUY",N24-TbTradesBinance[[#This Row],[Qtt]]*TbTradesBinance[[#This Row],[Preço]],N24+TbTradesBinance[[#This Row],[Qtt]]*TbTradesBinance[[#This Row],[Preço]])),N24)-IF(TbTradesBinance[[#This Row],[Moeda da Taxa]]=MID(N$1,9,5),TbTradesBinance[[#This Row],[Taxa]],0),8)))</f>
        <v>19993.127406889998</v>
      </c>
      <c r="O25" s="145" cm="1">
        <f t="array" ref="O25">IF(TbTradesBinance[[#This Row],[Tipo]]="EMPTY",0,O24+IF(TbTradesBinance[[#This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Row],[Par]]))),$1:$1,0)),-(N24-N25)/N24*O24),0),0)+IF(TbTradesBinance[[#This Row],[Tipo]]="SELL",IF(ISNUMBER(FIND(MID(O$1,10,5),TbTradesBinance[[#This Row],[Par]])),IF(FIND(MID(O$1,10,5),TbTradesBinance[[#This Row],[Par]])=1, -(N24-N25)/N24*O24,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Row],[Par]])),(-(N24-N25)/N24*O24)+IF(TbTradesBinance[[#This Row],[Resultado]]&gt;0,0,TbTradesBinance[[#This Row],[Taxa]]),0),0))</f>
        <v>19944.708766667434</v>
      </c>
      <c r="P25" s="145">
        <f t="shared" si="1"/>
        <v>0.99757823579887361</v>
      </c>
      <c r="Q2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Row],[Tipo]]="DROP"),Q24+TbTradesBinance[[#This Row],[Qtt]],Q24-TbTradesBinance[[#This Row],[Qtt]]),IF(TbTradesBinance[[#This Row],[Tipo]]="BUY",Q24-TbTradesBinance[[#This Row],[Qtt]]*TbTradesBinance[[#This Row],[Preço]],Q24+TbTradesBinance[[#This Row],[Qtt]]*TbTradesBinance[[#This Row],[Preço]])),Q24)-IF(TbTradesBinance[[#This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Row],[Tipo]]="DROP"),Q24+TbTradesBinance[[#This Row],[Qtt]],Q24-TbTradesBinance[[#This Row],[Qtt]]),IF(TbTradesBinance[[#This Row],[Tipo]]="BUY",Q24-TbTradesBinance[[#This Row],[Qtt]]*TbTradesBinance[[#This Row],[Preço]],Q24+TbTradesBinance[[#This Row],[Qtt]]*TbTradesBinance[[#This Row],[Preço]])),Q24)-IF(TbTradesBinance[[#This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Row],[Tipo]]="DROP"),Q24+TbTradesBinance[[#This Row],[Qtt]],Q24-TbTradesBinance[[#This Row],[Qtt]]),IF(TbTradesBinance[[#This Row],[Tipo]]="BUY",Q24-TbTradesBinance[[#This Row],[Qtt]]*TbTradesBinance[[#This Row],[Preço]],Q24+TbTradesBinance[[#This Row],[Qtt]]*TbTradesBinance[[#This Row],[Preço]])),Q24)-IF(TbTradesBinance[[#This Row],[Moeda da Taxa]]=MID(Q$1,9,5),TbTradesBinance[[#This Row],[Taxa]],0),8)))</f>
        <v>9.8401499999999995</v>
      </c>
      <c r="R25" s="145" cm="1">
        <f t="array" ref="R25">IF(TbTradesBinance[[#This Row],[Tipo]]="EMPTY",0,R24+IF(TbTradesBinance[[#This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Row],[Par]]))),$1:$1,0)),-(Q24-Q25)/Q24*R24),0),0)+IF(TbTradesBinance[[#This Row],[Tipo]]="SELL",IF(ISNUMBER(FIND(MID(R$1,10,5),TbTradesBinance[[#This Row],[Par]])),IF(FIND(MID(R$1,10,5),TbTradesBinance[[#This Row],[Par]])=1, -(Q24-Q25)/Q24*R24,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Row],[Par]])),(-(Q24-Q25)/Q24*R24)+IF(TbTradesBinance[[#This Row],[Resultado]]&gt;0,0,TbTradesBinance[[#This Row],[Taxa]]),0),0))</f>
        <v>55.029108957879885</v>
      </c>
      <c r="S25" s="145">
        <f t="shared" si="2"/>
        <v>5.5923038732011081</v>
      </c>
      <c r="T2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Row],[Tipo]]="DROP"),T24+TbTradesBinance[[#This Row],[Qtt]],T24-TbTradesBinance[[#This Row],[Qtt]]),IF(TbTradesBinance[[#This Row],[Tipo]]="BUY",T24-TbTradesBinance[[#This Row],[Qtt]]*TbTradesBinance[[#This Row],[Preço]],T24+TbTradesBinance[[#This Row],[Qtt]]*TbTradesBinance[[#This Row],[Preço]])),T24)-IF(TbTradesBinance[[#This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Row],[Tipo]]="DROP"),T24+TbTradesBinance[[#This Row],[Qtt]],T24-TbTradesBinance[[#This Row],[Qtt]]),IF(TbTradesBinance[[#This Row],[Tipo]]="BUY",T24-TbTradesBinance[[#This Row],[Qtt]]*TbTradesBinance[[#This Row],[Preço]],T24+TbTradesBinance[[#This Row],[Qtt]]*TbTradesBinance[[#This Row],[Preço]])),T24)-IF(TbTradesBinance[[#This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Row],[Tipo]]="DROP"),T24+TbTradesBinance[[#This Row],[Qtt]],T24-TbTradesBinance[[#This Row],[Qtt]]),IF(TbTradesBinance[[#This Row],[Tipo]]="BUY",T24-TbTradesBinance[[#This Row],[Qtt]]*TbTradesBinance[[#This Row],[Preço]],T24+TbTradesBinance[[#This Row],[Qtt]]*TbTradesBinance[[#This Row],[Preço]])),T24)-IF(TbTradesBinance[[#This Row],[Moeda da Taxa]]=MID(T$1,9,5),TbTradesBinance[[#This Row],[Taxa]],0),8)))</f>
        <v>2.867312E-2</v>
      </c>
      <c r="U25" s="145" cm="1">
        <f t="array" ref="U25">IF(TbTradesBinance[[#This Row],[Tipo]]="EMPTY",0,U24+IF(TbTradesBinance[[#This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Row],[Par]]))),$1:$1,0)),-(T24-T25)/T24*U24),0),0)+IF(TbTradesBinance[[#This Row],[Tipo]]="SELL",IF(ISNUMBER(FIND(MID(U$1,10,5),TbTradesBinance[[#This Row],[Par]])),IF(FIND(MID(U$1,10,5),TbTradesBinance[[#This Row],[Par]])=1, -(T24-T25)/T24*U24,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Row],[Par]])),(-(T24-T25)/T24*U24)+IF(TbTradesBinance[[#This Row],[Resultado]]&gt;0,0,TbTradesBinance[[#This Row],[Taxa]]),0),0))</f>
        <v>0.19365209596473676</v>
      </c>
      <c r="V25" s="145">
        <f t="shared" si="3"/>
        <v>6.7537852861752317</v>
      </c>
      <c r="W2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Row],[Tipo]]="DROP"),W24+TbTradesBinance[[#This Row],[Qtt]],W24-TbTradesBinance[[#This Row],[Qtt]]),IF(TbTradesBinance[[#This Row],[Tipo]]="BUY",W24-TbTradesBinance[[#This Row],[Qtt]]*TbTradesBinance[[#This Row],[Preço]],W24+TbTradesBinance[[#This Row],[Qtt]]*TbTradesBinance[[#This Row],[Preço]])),W24)-IF(TbTradesBinance[[#This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Row],[Tipo]]="DROP"),W24+TbTradesBinance[[#This Row],[Qtt]],W24-TbTradesBinance[[#This Row],[Qtt]]),IF(TbTradesBinance[[#This Row],[Tipo]]="BUY",W24-TbTradesBinance[[#This Row],[Qtt]]*TbTradesBinance[[#This Row],[Preço]],W24+TbTradesBinance[[#This Row],[Qtt]]*TbTradesBinance[[#This Row],[Preço]])),W24)-IF(TbTradesBinance[[#This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Row],[Tipo]]="DROP"),W24+TbTradesBinance[[#This Row],[Qtt]],W24-TbTradesBinance[[#This Row],[Qtt]]),IF(TbTradesBinance[[#This Row],[Tipo]]="BUY",W24-TbTradesBinance[[#This Row],[Qtt]]*TbTradesBinance[[#This Row],[Preço]],W24+TbTradesBinance[[#This Row],[Qtt]]*TbTradesBinance[[#This Row],[Preço]])),W24)-IF(TbTradesBinance[[#This Row],[Moeda da Taxa]]=MID(W$1,9,5),TbTradesBinance[[#This Row],[Taxa]],0),8)))</f>
        <v>2.6E-7</v>
      </c>
      <c r="X25" s="145" cm="1">
        <f t="array" ref="X25">IF(TbTradesBinance[[#This Row],[Tipo]]="EMPTY",0,X24+IF(TbTradesBinance[[#This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Row],[Par]]))),$1:$1,0)),-(W24-W25)/W24*X24),0),0)+IF(TbTradesBinance[[#This Row],[Tipo]]="SELL",IF(ISNUMBER(FIND(MID(X$1,10,5),TbTradesBinance[[#This Row],[Par]])),IF(FIND(MID(X$1,10,5),TbTradesBinance[[#This Row],[Par]])=1, -(W24-W25)/W24*X24,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Row],[Par]])),(-(W24-W25)/W24*X24)+IF(TbTradesBinance[[#This Row],[Resultado]]&gt;0,0,TbTradesBinance[[#This Row],[Taxa]]),0),0))</f>
        <v>6.8472278720637547E-2</v>
      </c>
      <c r="Y25" s="145">
        <f t="shared" si="4"/>
        <v>263354.91815629828</v>
      </c>
      <c r="Z2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Row],[Tipo]]="DROP"),Z24+TbTradesBinance[[#This Row],[Qtt]],Z24-TbTradesBinance[[#This Row],[Qtt]]),IF(TbTradesBinance[[#This Row],[Tipo]]="BUY",Z24-TbTradesBinance[[#This Row],[Qtt]]*TbTradesBinance[[#This Row],[Preço]],Z24+TbTradesBinance[[#This Row],[Qtt]]*TbTradesBinance[[#This Row],[Preço]])),Z24)-IF(TbTradesBinance[[#This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Row],[Tipo]]="DROP"),Z24+TbTradesBinance[[#This Row],[Qtt]],Z24-TbTradesBinance[[#This Row],[Qtt]]),IF(TbTradesBinance[[#This Row],[Tipo]]="BUY",Z24-TbTradesBinance[[#This Row],[Qtt]]*TbTradesBinance[[#This Row],[Preço]],Z24+TbTradesBinance[[#This Row],[Qtt]]*TbTradesBinance[[#This Row],[Preço]])),Z24)-IF(TbTradesBinance[[#This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Row],[Tipo]]="DROP"),Z24+TbTradesBinance[[#This Row],[Qtt]],Z24-TbTradesBinance[[#This Row],[Qtt]]),IF(TbTradesBinance[[#This Row],[Tipo]]="BUY",Z24-TbTradesBinance[[#This Row],[Qtt]]*TbTradesBinance[[#This Row],[Preço]],Z24+TbTradesBinance[[#This Row],[Qtt]]*TbTradesBinance[[#This Row],[Preço]])),Z24)-IF(TbTradesBinance[[#This Row],[Moeda da Taxa]]=MID(Z$1,9,5),TbTradesBinance[[#This Row],[Taxa]],0),8)))</f>
        <v>0</v>
      </c>
      <c r="AA25" s="145" cm="1">
        <f t="array" ref="AA25">IF(TbTradesBinance[[#This Row],[Tipo]]="EMPTY",0,AA24+IF(TbTradesBinance[[#This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Row],[Par]]))),$1:$1,0)),-(Z24-Z25)/Z24*AA24),0),0)+IF(TbTradesBinance[[#This Row],[Tipo]]="SELL",IF(ISNUMBER(FIND(MID(AA$1,10,5),TbTradesBinance[[#This Row],[Par]])),IF(FIND(MID(AA$1,10,5),TbTradesBinance[[#This Row],[Par]])=1, -(Z24-Z25)/Z24*AA24,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Row],[Par]])),(-(Z24-Z25)/Z24*AA24)+IF(TbTradesBinance[[#This Row],[Resultado]]&gt;0,0,TbTradesBinance[[#This Row],[Taxa]]),0),0))</f>
        <v>0</v>
      </c>
      <c r="AB25" s="145">
        <f t="shared" si="5"/>
        <v>0</v>
      </c>
      <c r="AC2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Row],[Tipo]]="DROP"),AC24+TbTradesBinance[[#This Row],[Qtt]],AC24-TbTradesBinance[[#This Row],[Qtt]]),IF(TbTradesBinance[[#This Row],[Tipo]]="BUY",AC24-TbTradesBinance[[#This Row],[Qtt]]*TbTradesBinance[[#This Row],[Preço]],AC24+TbTradesBinance[[#This Row],[Qtt]]*TbTradesBinance[[#This Row],[Preço]])),AC24)-IF(TbTradesBinance[[#This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Row],[Tipo]]="DROP"),AC24+TbTradesBinance[[#This Row],[Qtt]],AC24-TbTradesBinance[[#This Row],[Qtt]]),IF(TbTradesBinance[[#This Row],[Tipo]]="BUY",AC24-TbTradesBinance[[#This Row],[Qtt]]*TbTradesBinance[[#This Row],[Preço]],AC24+TbTradesBinance[[#This Row],[Qtt]]*TbTradesBinance[[#This Row],[Preço]])),AC24)-IF(TbTradesBinance[[#This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Row],[Tipo]]="DROP"),AC24+TbTradesBinance[[#This Row],[Qtt]],AC24-TbTradesBinance[[#This Row],[Qtt]]),IF(TbTradesBinance[[#This Row],[Tipo]]="BUY",AC24-TbTradesBinance[[#This Row],[Qtt]]*TbTradesBinance[[#This Row],[Preço]],AC24+TbTradesBinance[[#This Row],[Qtt]]*TbTradesBinance[[#This Row],[Preço]])),AC24)-IF(TbTradesBinance[[#This Row],[Moeda da Taxa]]=MID(AC$1,9,5),TbTradesBinance[[#This Row],[Taxa]],0),8)))</f>
        <v>0</v>
      </c>
      <c r="AD25" s="145" cm="1">
        <f t="array" ref="AD25">IF(TbTradesBinance[[#This Row],[Tipo]]="EMPTY",0,AD24+IF(TbTradesBinance[[#This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Row],[Par]]))),$1:$1,0)),-(AC24-AC25)/AC24*AD24),0),0)+IF(TbTradesBinance[[#This Row],[Tipo]]="SELL",IF(ISNUMBER(FIND(MID(AD$1,10,5),TbTradesBinance[[#This Row],[Par]])),IF(FIND(MID(AD$1,10,5),TbTradesBinance[[#This Row],[Par]])=1, -(AC24-AC25)/AC24*AD24,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Row],[Par]])),(-(AC24-AC25)/AC24*AD24)+IF(TbTradesBinance[[#This Row],[Resultado]]&gt;0,0,TbTradesBinance[[#This Row],[Taxa]]),0),0))</f>
        <v>0</v>
      </c>
      <c r="AE25" s="145">
        <f t="shared" si="6"/>
        <v>0</v>
      </c>
      <c r="AF2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Row],[Tipo]]="DROP"),AF24+TbTradesBinance[[#This Row],[Qtt]],AF24-TbTradesBinance[[#This Row],[Qtt]]),IF(TbTradesBinance[[#This Row],[Tipo]]="BUY",AF24-TbTradesBinance[[#This Row],[Qtt]]*TbTradesBinance[[#This Row],[Preço]],AF24+TbTradesBinance[[#This Row],[Qtt]]*TbTradesBinance[[#This Row],[Preço]])),AF24)-IF(TbTradesBinance[[#This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Row],[Tipo]]="DROP"),AF24+TbTradesBinance[[#This Row],[Qtt]],AF24-TbTradesBinance[[#This Row],[Qtt]]),IF(TbTradesBinance[[#This Row],[Tipo]]="BUY",AF24-TbTradesBinance[[#This Row],[Qtt]]*TbTradesBinance[[#This Row],[Preço]],AF24+TbTradesBinance[[#This Row],[Qtt]]*TbTradesBinance[[#This Row],[Preço]])),AF24)-IF(TbTradesBinance[[#This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Row],[Tipo]]="DROP"),AF24+TbTradesBinance[[#This Row],[Qtt]],AF24-TbTradesBinance[[#This Row],[Qtt]]),IF(TbTradesBinance[[#This Row],[Tipo]]="BUY",AF24-TbTradesBinance[[#This Row],[Qtt]]*TbTradesBinance[[#This Row],[Preço]],AF24+TbTradesBinance[[#This Row],[Qtt]]*TbTradesBinance[[#This Row],[Preço]])),AF24)-IF(TbTradesBinance[[#This Row],[Moeda da Taxa]]=MID(AF$1,9,5),TbTradesBinance[[#This Row],[Taxa]],0),8)))</f>
        <v>0</v>
      </c>
      <c r="AG25" s="145" cm="1">
        <f t="array" ref="AG25">IF(TbTradesBinance[[#This Row],[Tipo]]="EMPTY",0,AG24+IF(TbTradesBinance[[#This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Row],[Par]]))),$1:$1,0)),-(AF24-AF25)/AF24*AG24),0),0)+IF(TbTradesBinance[[#This Row],[Tipo]]="SELL",IF(ISNUMBER(FIND(MID(AG$1,10,5),TbTradesBinance[[#This Row],[Par]])),IF(FIND(MID(AG$1,10,5),TbTradesBinance[[#This Row],[Par]])=1, -(AF24-AF25)/AF24*AG24,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Row],[Par]])),(-(AF24-AF25)/AF24*AG24)+IF(TbTradesBinance[[#This Row],[Resultado]]&gt;0,0,TbTradesBinance[[#This Row],[Taxa]]),0),0))</f>
        <v>0</v>
      </c>
      <c r="AH25" s="145">
        <f t="shared" si="7"/>
        <v>0</v>
      </c>
      <c r="AI2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Row],[Tipo]]="DROP"),AI24+TbTradesBinance[[#This Row],[Qtt]],AI24-TbTradesBinance[[#This Row],[Qtt]]),IF(TbTradesBinance[[#This Row],[Tipo]]="BUY",AI24-TbTradesBinance[[#This Row],[Qtt]]*TbTradesBinance[[#This Row],[Preço]],AI24+TbTradesBinance[[#This Row],[Qtt]]*TbTradesBinance[[#This Row],[Preço]])),AI24)-IF(TbTradesBinance[[#This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Row],[Tipo]]="DROP"),AI24+TbTradesBinance[[#This Row],[Qtt]],AI24-TbTradesBinance[[#This Row],[Qtt]]),IF(TbTradesBinance[[#This Row],[Tipo]]="BUY",AI24-TbTradesBinance[[#This Row],[Qtt]]*TbTradesBinance[[#This Row],[Preço]],AI24+TbTradesBinance[[#This Row],[Qtt]]*TbTradesBinance[[#This Row],[Preço]])),AI24)-IF(TbTradesBinance[[#This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Row],[Tipo]]="DROP"),AI24+TbTradesBinance[[#This Row],[Qtt]],AI24-TbTradesBinance[[#This Row],[Qtt]]),IF(TbTradesBinance[[#This Row],[Tipo]]="BUY",AI24-TbTradesBinance[[#This Row],[Qtt]]*TbTradesBinance[[#This Row],[Preço]],AI24+TbTradesBinance[[#This Row],[Qtt]]*TbTradesBinance[[#This Row],[Preço]])),AI24)-IF(TbTradesBinance[[#This Row],[Moeda da Taxa]]=MID(AI$1,9,5),TbTradesBinance[[#This Row],[Taxa]],0),8)))</f>
        <v>0</v>
      </c>
      <c r="AJ25" s="145" cm="1">
        <f t="array" ref="AJ25">IF(TbTradesBinance[[#This Row],[Tipo]]="EMPTY",0,AJ24+IF(TbTradesBinance[[#This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Row],[Par]]))),$1:$1,0)),-(AI24-AI25)/AI24*AJ24),0),0)+IF(TbTradesBinance[[#This Row],[Tipo]]="SELL",IF(ISNUMBER(FIND(MID(AJ$1,10,5),TbTradesBinance[[#This Row],[Par]])),IF(FIND(MID(AJ$1,10,5),TbTradesBinance[[#This Row],[Par]])=1, -(AI24-AI25)/AI24*AJ24,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Row],[Par]])),(-(AI24-AI25)/AI24*AJ24)+IF(TbTradesBinance[[#This Row],[Resultado]]&gt;0,0,TbTradesBinance[[#This Row],[Taxa]]),0),0))</f>
        <v>0</v>
      </c>
      <c r="AK25" s="145">
        <f t="shared" si="8"/>
        <v>0</v>
      </c>
      <c r="AL2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Row],[Tipo]]="DROP"),AL24+TbTradesBinance[[#This Row],[Qtt]],AL24-TbTradesBinance[[#This Row],[Qtt]]),IF(TbTradesBinance[[#This Row],[Tipo]]="BUY",AL24-TbTradesBinance[[#This Row],[Qtt]]*TbTradesBinance[[#This Row],[Preço]],AL24+TbTradesBinance[[#This Row],[Qtt]]*TbTradesBinance[[#This Row],[Preço]])),AL24)-IF(TbTradesBinance[[#This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Row],[Tipo]]="DROP"),AL24+TbTradesBinance[[#This Row],[Qtt]],AL24-TbTradesBinance[[#This Row],[Qtt]]),IF(TbTradesBinance[[#This Row],[Tipo]]="BUY",AL24-TbTradesBinance[[#This Row],[Qtt]]*TbTradesBinance[[#This Row],[Preço]],AL24+TbTradesBinance[[#This Row],[Qtt]]*TbTradesBinance[[#This Row],[Preço]])),AL24)-IF(TbTradesBinance[[#This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Row],[Tipo]]="DROP"),AL24+TbTradesBinance[[#This Row],[Qtt]],AL24-TbTradesBinance[[#This Row],[Qtt]]),IF(TbTradesBinance[[#This Row],[Tipo]]="BUY",AL24-TbTradesBinance[[#This Row],[Qtt]]*TbTradesBinance[[#This Row],[Preço]],AL24+TbTradesBinance[[#This Row],[Qtt]]*TbTradesBinance[[#This Row],[Preço]])),AL24)-IF(TbTradesBinance[[#This Row],[Moeda da Taxa]]=MID(AL$1,9,5),TbTradesBinance[[#This Row],[Taxa]],0),8)))</f>
        <v>0</v>
      </c>
      <c r="AM25" s="145" cm="1">
        <f t="array" ref="AM25">IF(TbTradesBinance[[#This Row],[Tipo]]="EMPTY",0,AM24+IF(TbTradesBinance[[#This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Row],[Par]]))),$1:$1,0)),-(AL24-AL25)/AL24*AM24),0),0)+IF(TbTradesBinance[[#This Row],[Tipo]]="SELL",IF(ISNUMBER(FIND(MID(AM$1,10,5),TbTradesBinance[[#This Row],[Par]])),IF(FIND(MID(AM$1,10,5),TbTradesBinance[[#This Row],[Par]])=1, -(AL24-AL25)/AL24*AM24,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Row],[Par]])),(-(AL24-AL25)/AL24*AM24)+IF(TbTradesBinance[[#This Row],[Resultado]]&gt;0,0,TbTradesBinance[[#This Row],[Taxa]]),0),0))</f>
        <v>0</v>
      </c>
      <c r="AN25" s="145">
        <f t="shared" si="9"/>
        <v>0</v>
      </c>
      <c r="AO2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Row],[Tipo]]="DROP"),AO24+TbTradesBinance[[#This Row],[Qtt]],AO24-TbTradesBinance[[#This Row],[Qtt]]),IF(TbTradesBinance[[#This Row],[Tipo]]="BUY",AO24-TbTradesBinance[[#This Row],[Qtt]]*TbTradesBinance[[#This Row],[Preço]],AO24+TbTradesBinance[[#This Row],[Qtt]]*TbTradesBinance[[#This Row],[Preço]])),AO24)-IF(TbTradesBinance[[#This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Row],[Tipo]]="DROP"),AO24+TbTradesBinance[[#This Row],[Qtt]],AO24-TbTradesBinance[[#This Row],[Qtt]]),IF(TbTradesBinance[[#This Row],[Tipo]]="BUY",AO24-TbTradesBinance[[#This Row],[Qtt]]*TbTradesBinance[[#This Row],[Preço]],AO24+TbTradesBinance[[#This Row],[Qtt]]*TbTradesBinance[[#This Row],[Preço]])),AO24)-IF(TbTradesBinance[[#This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Row],[Tipo]]="DROP"),AO24+TbTradesBinance[[#This Row],[Qtt]],AO24-TbTradesBinance[[#This Row],[Qtt]]),IF(TbTradesBinance[[#This Row],[Tipo]]="BUY",AO24-TbTradesBinance[[#This Row],[Qtt]]*TbTradesBinance[[#This Row],[Preço]],AO24+TbTradesBinance[[#This Row],[Qtt]]*TbTradesBinance[[#This Row],[Preço]])),AO24)-IF(TbTradesBinance[[#This Row],[Moeda da Taxa]]=MID(AO$1,9,5),TbTradesBinance[[#This Row],[Taxa]],0),8)))</f>
        <v>0</v>
      </c>
      <c r="AP25" s="145" cm="1">
        <f t="array" ref="AP25">IF(TbTradesBinance[[#This Row],[Tipo]]="EMPTY",0,AP24+IF(TbTradesBinance[[#This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Row],[Par]]))),$1:$1,0)),-(AO24-AO25)/AO24*AP24),0),0)+IF(TbTradesBinance[[#This Row],[Tipo]]="SELL",IF(ISNUMBER(FIND(MID(AP$1,10,5),TbTradesBinance[[#This Row],[Par]])),IF(FIND(MID(AP$1,10,5),TbTradesBinance[[#This Row],[Par]])=1, -(AO24-AO25)/AO24*AP24,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Row],[Par]])),(-(AO24-AO25)/AO24*AP24)+IF(TbTradesBinance[[#This Row],[Resultado]]&gt;0,0,TbTradesBinance[[#This Row],[Taxa]]),0),0))</f>
        <v>0</v>
      </c>
      <c r="AQ25" s="145">
        <f t="shared" si="10"/>
        <v>0</v>
      </c>
      <c r="AR2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Row],[Tipo]]="DROP"),AR24+TbTradesBinance[[#This Row],[Qtt]],AR24-TbTradesBinance[[#This Row],[Qtt]]),IF(TbTradesBinance[[#This Row],[Tipo]]="BUY",AR24-TbTradesBinance[[#This Row],[Qtt]]*TbTradesBinance[[#This Row],[Preço]],AR24+TbTradesBinance[[#This Row],[Qtt]]*TbTradesBinance[[#This Row],[Preço]])),AR24)-IF(TbTradesBinance[[#This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Row],[Tipo]]="DROP"),AR24+TbTradesBinance[[#This Row],[Qtt]],AR24-TbTradesBinance[[#This Row],[Qtt]]),IF(TbTradesBinance[[#This Row],[Tipo]]="BUY",AR24-TbTradesBinance[[#This Row],[Qtt]]*TbTradesBinance[[#This Row],[Preço]],AR24+TbTradesBinance[[#This Row],[Qtt]]*TbTradesBinance[[#This Row],[Preço]])),AR24)-IF(TbTradesBinance[[#This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Row],[Tipo]]="DROP"),AR24+TbTradesBinance[[#This Row],[Qtt]],AR24-TbTradesBinance[[#This Row],[Qtt]]),IF(TbTradesBinance[[#This Row],[Tipo]]="BUY",AR24-TbTradesBinance[[#This Row],[Qtt]]*TbTradesBinance[[#This Row],[Preço]],AR24+TbTradesBinance[[#This Row],[Qtt]]*TbTradesBinance[[#This Row],[Preço]])),AR24)-IF(TbTradesBinance[[#This Row],[Moeda da Taxa]]=MID(AR$1,9,5),TbTradesBinance[[#This Row],[Taxa]],0),8)))</f>
        <v>0</v>
      </c>
      <c r="AS25" s="145" cm="1">
        <f t="array" ref="AS25">IF(TbTradesBinance[[#This Row],[Tipo]]="EMPTY",0,AS24+IF(TbTradesBinance[[#This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Row],[Par]]))),$1:$1,0)),-(AR24-AR25)/AR24*AS24),0),0)+IF(TbTradesBinance[[#This Row],[Tipo]]="SELL",IF(ISNUMBER(FIND(MID(AS$1,10,5),TbTradesBinance[[#This Row],[Par]])),IF(FIND(MID(AS$1,10,5),TbTradesBinance[[#This Row],[Par]])=1, -(AR24-AR25)/AR24*AS24,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Row],[Par]])),(-(AR24-AR25)/AR24*AS24)+IF(TbTradesBinance[[#This Row],[Resultado]]&gt;0,0,TbTradesBinance[[#This Row],[Taxa]]),0),0))</f>
        <v>0</v>
      </c>
      <c r="AT25" s="145">
        <f t="shared" si="11"/>
        <v>0</v>
      </c>
      <c r="AU2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Row],[Tipo]]="DROP"),AU24+TbTradesBinance[[#This Row],[Qtt]],AU24-TbTradesBinance[[#This Row],[Qtt]]),IF(TbTradesBinance[[#This Row],[Tipo]]="BUY",AU24-TbTradesBinance[[#This Row],[Qtt]]*TbTradesBinance[[#This Row],[Preço]],AU24+TbTradesBinance[[#This Row],[Qtt]]*TbTradesBinance[[#This Row],[Preço]])),AU24)-IF(TbTradesBinance[[#This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Row],[Tipo]]="DROP"),AU24+TbTradesBinance[[#This Row],[Qtt]],AU24-TbTradesBinance[[#This Row],[Qtt]]),IF(TbTradesBinance[[#This Row],[Tipo]]="BUY",AU24-TbTradesBinance[[#This Row],[Qtt]]*TbTradesBinance[[#This Row],[Preço]],AU24+TbTradesBinance[[#This Row],[Qtt]]*TbTradesBinance[[#This Row],[Preço]])),AU24)-IF(TbTradesBinance[[#This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Row],[Tipo]]="DROP"),AU24+TbTradesBinance[[#This Row],[Qtt]],AU24-TbTradesBinance[[#This Row],[Qtt]]),IF(TbTradesBinance[[#This Row],[Tipo]]="BUY",AU24-TbTradesBinance[[#This Row],[Qtt]]*TbTradesBinance[[#This Row],[Preço]],AU24+TbTradesBinance[[#This Row],[Qtt]]*TbTradesBinance[[#This Row],[Preço]])),AU24)-IF(TbTradesBinance[[#This Row],[Moeda da Taxa]]=MID(AU$1,9,5),TbTradesBinance[[#This Row],[Taxa]],0),8)))</f>
        <v>0</v>
      </c>
      <c r="AV25" s="145" cm="1">
        <f t="array" ref="AV25">IF(TbTradesBinance[[#This Row],[Tipo]]="EMPTY",0,AV24+IF(TbTradesBinance[[#This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Row],[Par]]))),$1:$1,0)),-(AU24-AU25)/AU24*AV24),0),0)+IF(TbTradesBinance[[#This Row],[Tipo]]="SELL",IF(ISNUMBER(FIND(MID(AV$1,10,5),TbTradesBinance[[#This Row],[Par]])),IF(FIND(MID(AV$1,10,5),TbTradesBinance[[#This Row],[Par]])=1, -(AU24-AU25)/AU24*AV24,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Row],[Par]])),(-(AU24-AU25)/AU24*AV24)+IF(TbTradesBinance[[#This Row],[Resultado]]&gt;0,0,TbTradesBinance[[#This Row],[Taxa]]),0),0))</f>
        <v>0</v>
      </c>
      <c r="AW25" s="145">
        <f t="shared" si="12"/>
        <v>0</v>
      </c>
      <c r="AX2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Row],[Tipo]]="DROP"),AX24+TbTradesBinance[[#This Row],[Qtt]],AX24-TbTradesBinance[[#This Row],[Qtt]]),IF(TbTradesBinance[[#This Row],[Tipo]]="BUY",AX24-TbTradesBinance[[#This Row],[Qtt]]*TbTradesBinance[[#This Row],[Preço]],AX24+TbTradesBinance[[#This Row],[Qtt]]*TbTradesBinance[[#This Row],[Preço]])),AX24)-IF(TbTradesBinance[[#This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Row],[Tipo]]="DROP"),AX24+TbTradesBinance[[#This Row],[Qtt]],AX24-TbTradesBinance[[#This Row],[Qtt]]),IF(TbTradesBinance[[#This Row],[Tipo]]="BUY",AX24-TbTradesBinance[[#This Row],[Qtt]]*TbTradesBinance[[#This Row],[Preço]],AX24+TbTradesBinance[[#This Row],[Qtt]]*TbTradesBinance[[#This Row],[Preço]])),AX24)-IF(TbTradesBinance[[#This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Row],[Tipo]]="DROP"),AX24+TbTradesBinance[[#This Row],[Qtt]],AX24-TbTradesBinance[[#This Row],[Qtt]]),IF(TbTradesBinance[[#This Row],[Tipo]]="BUY",AX24-TbTradesBinance[[#This Row],[Qtt]]*TbTradesBinance[[#This Row],[Preço]],AX24+TbTradesBinance[[#This Row],[Qtt]]*TbTradesBinance[[#This Row],[Preço]])),AX24)-IF(TbTradesBinance[[#This Row],[Moeda da Taxa]]=MID(AX$1,9,5),TbTradesBinance[[#This Row],[Taxa]],0),8)))</f>
        <v>0</v>
      </c>
      <c r="AY25" s="145" cm="1">
        <f t="array" ref="AY25">IF(TbTradesBinance[[#This Row],[Tipo]]="EMPTY",0,AY24+IF(TbTradesBinance[[#This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Row],[Par]]))),$1:$1,0)),-(AX24-AX25)/AX24*AY24),0),0)+IF(TbTradesBinance[[#This Row],[Tipo]]="SELL",IF(ISNUMBER(FIND(MID(AY$1,10,5),TbTradesBinance[[#This Row],[Par]])),IF(FIND(MID(AY$1,10,5),TbTradesBinance[[#This Row],[Par]])=1, -(AX24-AX25)/AX24*AY24,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Row],[Par]])),(-(AX24-AX25)/AX24*AY24)+IF(TbTradesBinance[[#This Row],[Resultado]]&gt;0,0,TbTradesBinance[[#This Row],[Taxa]]),0),0))</f>
        <v>0</v>
      </c>
      <c r="AZ25" s="145">
        <f t="shared" si="13"/>
        <v>0</v>
      </c>
      <c r="BA2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Row],[Tipo]]="DROP"),BA24+TbTradesBinance[[#This Row],[Qtt]],BA24-TbTradesBinance[[#This Row],[Qtt]]),IF(TbTradesBinance[[#This Row],[Tipo]]="BUY",BA24-TbTradesBinance[[#This Row],[Qtt]]*TbTradesBinance[[#This Row],[Preço]],BA24+TbTradesBinance[[#This Row],[Qtt]]*TbTradesBinance[[#This Row],[Preço]])),BA24)-IF(TbTradesBinance[[#This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Row],[Tipo]]="DROP"),BA24+TbTradesBinance[[#This Row],[Qtt]],BA24-TbTradesBinance[[#This Row],[Qtt]]),IF(TbTradesBinance[[#This Row],[Tipo]]="BUY",BA24-TbTradesBinance[[#This Row],[Qtt]]*TbTradesBinance[[#This Row],[Preço]],BA24+TbTradesBinance[[#This Row],[Qtt]]*TbTradesBinance[[#This Row],[Preço]])),BA24)-IF(TbTradesBinance[[#This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Row],[Tipo]]="DROP"),BA24+TbTradesBinance[[#This Row],[Qtt]],BA24-TbTradesBinance[[#This Row],[Qtt]]),IF(TbTradesBinance[[#This Row],[Tipo]]="BUY",BA24-TbTradesBinance[[#This Row],[Qtt]]*TbTradesBinance[[#This Row],[Preço]],BA24+TbTradesBinance[[#This Row],[Qtt]]*TbTradesBinance[[#This Row],[Preço]])),BA24)-IF(TbTradesBinance[[#This Row],[Moeda da Taxa]]=MID(BA$1,9,5),TbTradesBinance[[#This Row],[Taxa]],0),8)))</f>
        <v>0</v>
      </c>
      <c r="BB25" s="145" cm="1">
        <f t="array" ref="BB25">IF(TbTradesBinance[[#This Row],[Tipo]]="EMPTY",0,BB24+IF(TbTradesBinance[[#This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Row],[Par]]))),$1:$1,0)),-(BA24-BA25)/BA24*BB24),0),0)+IF(TbTradesBinance[[#This Row],[Tipo]]="SELL",IF(ISNUMBER(FIND(MID(BB$1,10,5),TbTradesBinance[[#This Row],[Par]])),IF(FIND(MID(BB$1,10,5),TbTradesBinance[[#This Row],[Par]])=1, -(BA24-BA25)/BA24*BB24,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Row],[Par]])),(-(BA24-BA25)/BA24*BB24)+IF(TbTradesBinance[[#This Row],[Resultado]]&gt;0,0,TbTradesBinance[[#This Row],[Taxa]]),0),0))</f>
        <v>0</v>
      </c>
      <c r="BC25" s="145">
        <f t="shared" si="14"/>
        <v>0</v>
      </c>
      <c r="BD2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Row],[Tipo]]="DROP"),BD24+TbTradesBinance[[#This Row],[Qtt]],BD24-TbTradesBinance[[#This Row],[Qtt]]),IF(TbTradesBinance[[#This Row],[Tipo]]="BUY",BD24-TbTradesBinance[[#This Row],[Qtt]]*TbTradesBinance[[#This Row],[Preço]],BD24+TbTradesBinance[[#This Row],[Qtt]]*TbTradesBinance[[#This Row],[Preço]])),BD24)-IF(TbTradesBinance[[#This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Row],[Tipo]]="DROP"),BD24+TbTradesBinance[[#This Row],[Qtt]],BD24-TbTradesBinance[[#This Row],[Qtt]]),IF(TbTradesBinance[[#This Row],[Tipo]]="BUY",BD24-TbTradesBinance[[#This Row],[Qtt]]*TbTradesBinance[[#This Row],[Preço]],BD24+TbTradesBinance[[#This Row],[Qtt]]*TbTradesBinance[[#This Row],[Preço]])),BD24)-IF(TbTradesBinance[[#This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Row],[Tipo]]="DROP"),BD24+TbTradesBinance[[#This Row],[Qtt]],BD24-TbTradesBinance[[#This Row],[Qtt]]),IF(TbTradesBinance[[#This Row],[Tipo]]="BUY",BD24-TbTradesBinance[[#This Row],[Qtt]]*TbTradesBinance[[#This Row],[Preço]],BD24+TbTradesBinance[[#This Row],[Qtt]]*TbTradesBinance[[#This Row],[Preço]])),BD24)-IF(TbTradesBinance[[#This Row],[Moeda da Taxa]]=MID(BD$1,9,5),TbTradesBinance[[#This Row],[Taxa]],0),8)))</f>
        <v>0</v>
      </c>
      <c r="BE25" s="145" cm="1">
        <f t="array" ref="BE25">IF(TbTradesBinance[[#This Row],[Tipo]]="EMPTY",0,BE24+IF(TbTradesBinance[[#This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Row],[Par]]))),$1:$1,0)),-(BD24-BD25)/BD24*BE24),0),0)+IF(TbTradesBinance[[#This Row],[Tipo]]="SELL",IF(ISNUMBER(FIND(MID(BE$1,10,5),TbTradesBinance[[#This Row],[Par]])),IF(FIND(MID(BE$1,10,5),TbTradesBinance[[#This Row],[Par]])=1, -(BD24-BD25)/BD24*BE24,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Row],[Par]])),(-(BD24-BD25)/BD24*BE24)+IF(TbTradesBinance[[#This Row],[Resultado]]&gt;0,0,TbTradesBinance[[#This Row],[Taxa]]),0),0))</f>
        <v>0</v>
      </c>
      <c r="BF25" s="145">
        <f t="shared" si="15"/>
        <v>0</v>
      </c>
      <c r="BG2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Row],[Tipo]]="DROP"),BG24+TbTradesBinance[[#This Row],[Qtt]],BG24-TbTradesBinance[[#This Row],[Qtt]]),IF(TbTradesBinance[[#This Row],[Tipo]]="BUY",BG24-TbTradesBinance[[#This Row],[Qtt]]*TbTradesBinance[[#This Row],[Preço]],BG24+TbTradesBinance[[#This Row],[Qtt]]*TbTradesBinance[[#This Row],[Preço]])),BG24)-IF(TbTradesBinance[[#This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Row],[Tipo]]="DROP"),BG24+TbTradesBinance[[#This Row],[Qtt]],BG24-TbTradesBinance[[#This Row],[Qtt]]),IF(TbTradesBinance[[#This Row],[Tipo]]="BUY",BG24-TbTradesBinance[[#This Row],[Qtt]]*TbTradesBinance[[#This Row],[Preço]],BG24+TbTradesBinance[[#This Row],[Qtt]]*TbTradesBinance[[#This Row],[Preço]])),BG24)-IF(TbTradesBinance[[#This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Row],[Tipo]]="DROP"),BG24+TbTradesBinance[[#This Row],[Qtt]],BG24-TbTradesBinance[[#This Row],[Qtt]]),IF(TbTradesBinance[[#This Row],[Tipo]]="BUY",BG24-TbTradesBinance[[#This Row],[Qtt]]*TbTradesBinance[[#This Row],[Preço]],BG24+TbTradesBinance[[#This Row],[Qtt]]*TbTradesBinance[[#This Row],[Preço]])),BG24)-IF(TbTradesBinance[[#This Row],[Moeda da Taxa]]=MID(BG$1,9,5),TbTradesBinance[[#This Row],[Taxa]],0),8)))</f>
        <v>0</v>
      </c>
      <c r="BH25" s="145" cm="1">
        <f t="array" ref="BH25">IF(TbTradesBinance[[#This Row],[Tipo]]="EMPTY",0,BH24+IF(TbTradesBinance[[#This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Row],[Par]]))),$1:$1,0)),-(BG24-BG25)/BG24*BH24),0),0)+IF(TbTradesBinance[[#This Row],[Tipo]]="SELL",IF(ISNUMBER(FIND(MID(BH$1,10,5),TbTradesBinance[[#This Row],[Par]])),IF(FIND(MID(BH$1,10,5),TbTradesBinance[[#This Row],[Par]])=1, -(BG24-BG25)/BG24*BH24,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Row],[Par]])),(-(BG24-BG25)/BG24*BH24)+IF(TbTradesBinance[[#This Row],[Resultado]]&gt;0,0,TbTradesBinance[[#This Row],[Taxa]]),0),0))</f>
        <v>0</v>
      </c>
      <c r="BI25" s="145">
        <f t="shared" si="16"/>
        <v>0</v>
      </c>
      <c r="BJ2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Row],[Tipo]]="DROP"),BJ24+TbTradesBinance[[#This Row],[Qtt]],BJ24-TbTradesBinance[[#This Row],[Qtt]]),IF(TbTradesBinance[[#This Row],[Tipo]]="BUY",BJ24-TbTradesBinance[[#This Row],[Qtt]]*TbTradesBinance[[#This Row],[Preço]],BJ24+TbTradesBinance[[#This Row],[Qtt]]*TbTradesBinance[[#This Row],[Preço]])),BJ24)-IF(TbTradesBinance[[#This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Row],[Tipo]]="DROP"),BJ24+TbTradesBinance[[#This Row],[Qtt]],BJ24-TbTradesBinance[[#This Row],[Qtt]]),IF(TbTradesBinance[[#This Row],[Tipo]]="BUY",BJ24-TbTradesBinance[[#This Row],[Qtt]]*TbTradesBinance[[#This Row],[Preço]],BJ24+TbTradesBinance[[#This Row],[Qtt]]*TbTradesBinance[[#This Row],[Preço]])),BJ24)-IF(TbTradesBinance[[#This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Row],[Tipo]]="DROP"),BJ24+TbTradesBinance[[#This Row],[Qtt]],BJ24-TbTradesBinance[[#This Row],[Qtt]]),IF(TbTradesBinance[[#This Row],[Tipo]]="BUY",BJ24-TbTradesBinance[[#This Row],[Qtt]]*TbTradesBinance[[#This Row],[Preço]],BJ24+TbTradesBinance[[#This Row],[Qtt]]*TbTradesBinance[[#This Row],[Preço]])),BJ24)-IF(TbTradesBinance[[#This Row],[Moeda da Taxa]]=MID(BJ$1,9,5),TbTradesBinance[[#This Row],[Taxa]],0),8)))</f>
        <v>0</v>
      </c>
      <c r="BK25" s="145" cm="1">
        <f t="array" ref="BK25">IF(TbTradesBinance[[#This Row],[Tipo]]="EMPTY",0,BK24+IF(TbTradesBinance[[#This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Row],[Par]]))),$1:$1,0)),-(BJ24-BJ25)/BJ24*BK24),0),0)+IF(TbTradesBinance[[#This Row],[Tipo]]="SELL",IF(ISNUMBER(FIND(MID(BK$1,10,5),TbTradesBinance[[#This Row],[Par]])),IF(FIND(MID(BK$1,10,5),TbTradesBinance[[#This Row],[Par]])=1, -(BJ24-BJ25)/BJ24*BK24,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Row],[Par]])),(-(BJ24-BJ25)/BJ24*BK24)+IF(TbTradesBinance[[#This Row],[Resultado]]&gt;0,0,TbTradesBinance[[#This Row],[Taxa]]),0),0))</f>
        <v>0</v>
      </c>
      <c r="BL25" s="145">
        <f t="shared" si="17"/>
        <v>0</v>
      </c>
      <c r="BM2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Row],[Tipo]]="DROP"),BM24+TbTradesBinance[[#This Row],[Qtt]],BM24-TbTradesBinance[[#This Row],[Qtt]]),IF(TbTradesBinance[[#This Row],[Tipo]]="BUY",BM24-TbTradesBinance[[#This Row],[Qtt]]*TbTradesBinance[[#This Row],[Preço]],BM24+TbTradesBinance[[#This Row],[Qtt]]*TbTradesBinance[[#This Row],[Preço]])),BM24)-IF(TbTradesBinance[[#This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Row],[Tipo]]="DROP"),BM24+TbTradesBinance[[#This Row],[Qtt]],BM24-TbTradesBinance[[#This Row],[Qtt]]),IF(TbTradesBinance[[#This Row],[Tipo]]="BUY",BM24-TbTradesBinance[[#This Row],[Qtt]]*TbTradesBinance[[#This Row],[Preço]],BM24+TbTradesBinance[[#This Row],[Qtt]]*TbTradesBinance[[#This Row],[Preço]])),BM24)-IF(TbTradesBinance[[#This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Row],[Tipo]]="DROP"),BM24+TbTradesBinance[[#This Row],[Qtt]],BM24-TbTradesBinance[[#This Row],[Qtt]]),IF(TbTradesBinance[[#This Row],[Tipo]]="BUY",BM24-TbTradesBinance[[#This Row],[Qtt]]*TbTradesBinance[[#This Row],[Preço]],BM24+TbTradesBinance[[#This Row],[Qtt]]*TbTradesBinance[[#This Row],[Preço]])),BM24)-IF(TbTradesBinance[[#This Row],[Moeda da Taxa]]=MID(BM$1,9,5),TbTradesBinance[[#This Row],[Taxa]],0),8)))</f>
        <v>0</v>
      </c>
      <c r="BN25" s="145" cm="1">
        <f t="array" ref="BN25">IF(TbTradesBinance[[#This Row],[Tipo]]="EMPTY",0,BN24+IF(TbTradesBinance[[#This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Row],[Par]]))),$1:$1,0)),-(BM24-BM25)/BM24*BN24),0),0)+IF(TbTradesBinance[[#This Row],[Tipo]]="SELL",IF(ISNUMBER(FIND(MID(BN$1,10,5),TbTradesBinance[[#This Row],[Par]])),IF(FIND(MID(BN$1,10,5),TbTradesBinance[[#This Row],[Par]])=1, -(BM24-BM25)/BM24*BN24,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Row],[Par]])),(-(BM24-BM25)/BM24*BN24)+IF(TbTradesBinance[[#This Row],[Resultado]]&gt;0,0,TbTradesBinance[[#This Row],[Taxa]]),0),0))</f>
        <v>0</v>
      </c>
      <c r="BO25" s="145">
        <f t="shared" si="18"/>
        <v>0</v>
      </c>
    </row>
    <row r="26" spans="2:67" x14ac:dyDescent="0.3">
      <c r="B26" s="51"/>
      <c r="C26" s="40">
        <f>TRUNC(IF(AND(TbTradesBinance[[#This Row],[Tipo]]="SEND",TbTradesBinance[[#This Row],[Par]]="BRL"),TbTradesBinance[[#This Row],[Qtt]]*(1-P24)-IF(TbTradesBinance[[#This Row],[Moeda da Taxa]]="BRL",TbTradesBinance[[#This Row],[Taxa]],0),0)+IF(AND(TbTradesBinance[[#This Row],[Tipo]]="BURN",TbTradesBinance[[#This Row],[Par]]="BRL"),-TbTradesBinance[[#This Row],[Qtt]]*P24,0),2)</f>
        <v>0</v>
      </c>
      <c r="D26" s="53">
        <v>44252.79892361111</v>
      </c>
      <c r="E26" s="37" t="s">
        <v>237</v>
      </c>
      <c r="F26" s="47" t="s">
        <v>139</v>
      </c>
      <c r="G26" s="38">
        <v>5.601</v>
      </c>
      <c r="H26" s="38">
        <v>1.82</v>
      </c>
      <c r="I26" s="38">
        <v>1.82E-3</v>
      </c>
      <c r="J26" s="37" t="s">
        <v>42</v>
      </c>
      <c r="K26" s="52">
        <v>1</v>
      </c>
      <c r="L26" s="40">
        <f t="shared" si="0"/>
        <v>5.6</v>
      </c>
      <c r="M26" s="40">
        <f>IF(OR(TbTradesBinance[[#This Row],[Tipo]]="BUY",TbTradesBinance[[#This Row],[Tipo]]="RECEIVE",TbTradesBinance[[#This Row],[Tipo]]="DROP"),L26*H26,-L26*H26)</f>
        <v>10.192</v>
      </c>
      <c r="N2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Row],[Tipo]]="DROP"),N25+TbTradesBinance[[#This Row],[Qtt]],N25-TbTradesBinance[[#This Row],[Qtt]]),IF(TbTradesBinance[[#This Row],[Tipo]]="BUY",N25-TbTradesBinance[[#This Row],[Qtt]]*TbTradesBinance[[#This Row],[Preço]],N25+TbTradesBinance[[#This Row],[Qtt]]*TbTradesBinance[[#This Row],[Preço]])),N25)-IF(TbTradesBinance[[#This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Row],[Tipo]]="DROP"),N25+TbTradesBinance[[#This Row],[Qtt]],N25-TbTradesBinance[[#This Row],[Qtt]]),IF(TbTradesBinance[[#This Row],[Tipo]]="BUY",N25-TbTradesBinance[[#This Row],[Qtt]]*TbTradesBinance[[#This Row],[Preço]],N25+TbTradesBinance[[#This Row],[Qtt]]*TbTradesBinance[[#This Row],[Preço]])),N25)-IF(TbTradesBinance[[#This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Row],[Tipo]]="DROP"),N25+TbTradesBinance[[#This Row],[Qtt]],N25-TbTradesBinance[[#This Row],[Qtt]]),IF(TbTradesBinance[[#This Row],[Tipo]]="BUY",N25-TbTradesBinance[[#This Row],[Qtt]]*TbTradesBinance[[#This Row],[Preço]],N25+TbTradesBinance[[#This Row],[Qtt]]*TbTradesBinance[[#This Row],[Preço]])),N25)-IF(TbTradesBinance[[#This Row],[Moeda da Taxa]]=MID(N$1,9,5),TbTradesBinance[[#This Row],[Taxa]],0),8)))</f>
        <v>19982.933586890002</v>
      </c>
      <c r="O26" s="145" cm="1">
        <f t="array" ref="O26">IF(TbTradesBinance[[#This Row],[Tipo]]="EMPTY",0,O25+IF(TbTradesBinance[[#This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Row],[Par]]))),$1:$1,0)),-(N25-N26)/N25*O25),0),0)+IF(TbTradesBinance[[#This Row],[Tipo]]="SELL",IF(ISNUMBER(FIND(MID(O$1,10,5),TbTradesBinance[[#This Row],[Par]])),IF(FIND(MID(O$1,10,5),TbTradesBinance[[#This Row],[Par]])=1, -(N25-N26)/N25*O25,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Row],[Par]])),(-(N25-N26)/N25*O25)+IF(TbTradesBinance[[#This Row],[Resultado]]&gt;0,0,TbTradesBinance[[#This Row],[Taxa]]),0),0))</f>
        <v>19934.539633695786</v>
      </c>
      <c r="P26" s="145">
        <f t="shared" si="1"/>
        <v>0.99757823579887361</v>
      </c>
      <c r="Q2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Row],[Tipo]]="DROP"),Q25+TbTradesBinance[[#This Row],[Qtt]],Q25-TbTradesBinance[[#This Row],[Qtt]]),IF(TbTradesBinance[[#This Row],[Tipo]]="BUY",Q25-TbTradesBinance[[#This Row],[Qtt]]*TbTradesBinance[[#This Row],[Preço]],Q25+TbTradesBinance[[#This Row],[Qtt]]*TbTradesBinance[[#This Row],[Preço]])),Q25)-IF(TbTradesBinance[[#This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Row],[Tipo]]="DROP"),Q25+TbTradesBinance[[#This Row],[Qtt]],Q25-TbTradesBinance[[#This Row],[Qtt]]),IF(TbTradesBinance[[#This Row],[Tipo]]="BUY",Q25-TbTradesBinance[[#This Row],[Qtt]]*TbTradesBinance[[#This Row],[Preço]],Q25+TbTradesBinance[[#This Row],[Qtt]]*TbTradesBinance[[#This Row],[Preço]])),Q25)-IF(TbTradesBinance[[#This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Row],[Tipo]]="DROP"),Q25+TbTradesBinance[[#This Row],[Qtt]],Q25-TbTradesBinance[[#This Row],[Qtt]]),IF(TbTradesBinance[[#This Row],[Tipo]]="BUY",Q25-TbTradesBinance[[#This Row],[Qtt]]*TbTradesBinance[[#This Row],[Preço]],Q25+TbTradesBinance[[#This Row],[Qtt]]*TbTradesBinance[[#This Row],[Preço]])),Q25)-IF(TbTradesBinance[[#This Row],[Moeda da Taxa]]=MID(Q$1,9,5),TbTradesBinance[[#This Row],[Taxa]],0),8)))</f>
        <v>11.658329999999999</v>
      </c>
      <c r="R26" s="145" cm="1">
        <f t="array" ref="R26">IF(TbTradesBinance[[#This Row],[Tipo]]="EMPTY",0,R25+IF(TbTradesBinance[[#This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Row],[Par]]))),$1:$1,0)),-(Q25-Q26)/Q25*R25),0),0)+IF(TbTradesBinance[[#This Row],[Tipo]]="SELL",IF(ISNUMBER(FIND(MID(R$1,10,5),TbTradesBinance[[#This Row],[Par]])),IF(FIND(MID(R$1,10,5),TbTradesBinance[[#This Row],[Par]])=1, -(Q25-Q26)/Q25*R25,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Row],[Par]])),(-(Q25-Q26)/Q25*R25)+IF(TbTradesBinance[[#This Row],[Resultado]]&gt;0,0,TbTradesBinance[[#This Row],[Taxa]]),0),0))</f>
        <v>65.198241929527939</v>
      </c>
      <c r="S26" s="145">
        <f t="shared" si="2"/>
        <v>5.5924169181630594</v>
      </c>
      <c r="T2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Row],[Tipo]]="DROP"),T25+TbTradesBinance[[#This Row],[Qtt]],T25-TbTradesBinance[[#This Row],[Qtt]]),IF(TbTradesBinance[[#This Row],[Tipo]]="BUY",T25-TbTradesBinance[[#This Row],[Qtt]]*TbTradesBinance[[#This Row],[Preço]],T25+TbTradesBinance[[#This Row],[Qtt]]*TbTradesBinance[[#This Row],[Preço]])),T25)-IF(TbTradesBinance[[#This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Row],[Tipo]]="DROP"),T25+TbTradesBinance[[#This Row],[Qtt]],T25-TbTradesBinance[[#This Row],[Qtt]]),IF(TbTradesBinance[[#This Row],[Tipo]]="BUY",T25-TbTradesBinance[[#This Row],[Qtt]]*TbTradesBinance[[#This Row],[Preço]],T25+TbTradesBinance[[#This Row],[Qtt]]*TbTradesBinance[[#This Row],[Preço]])),T25)-IF(TbTradesBinance[[#This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Row],[Tipo]]="DROP"),T25+TbTradesBinance[[#This Row],[Qtt]],T25-TbTradesBinance[[#This Row],[Qtt]]),IF(TbTradesBinance[[#This Row],[Tipo]]="BUY",T25-TbTradesBinance[[#This Row],[Qtt]]*TbTradesBinance[[#This Row],[Preço]],T25+TbTradesBinance[[#This Row],[Qtt]]*TbTradesBinance[[#This Row],[Preço]])),T25)-IF(TbTradesBinance[[#This Row],[Moeda da Taxa]]=MID(T$1,9,5),TbTradesBinance[[#This Row],[Taxa]],0),8)))</f>
        <v>2.867312E-2</v>
      </c>
      <c r="U26" s="145" cm="1">
        <f t="array" ref="U26">IF(TbTradesBinance[[#This Row],[Tipo]]="EMPTY",0,U25+IF(TbTradesBinance[[#This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Row],[Par]]))),$1:$1,0)),-(T25-T26)/T25*U25),0),0)+IF(TbTradesBinance[[#This Row],[Tipo]]="SELL",IF(ISNUMBER(FIND(MID(U$1,10,5),TbTradesBinance[[#This Row],[Par]])),IF(FIND(MID(U$1,10,5),TbTradesBinance[[#This Row],[Par]])=1, -(T25-T26)/T25*U25,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Row],[Par]])),(-(T25-T26)/T25*U25)+IF(TbTradesBinance[[#This Row],[Resultado]]&gt;0,0,TbTradesBinance[[#This Row],[Taxa]]),0),0))</f>
        <v>0.19365209596473676</v>
      </c>
      <c r="V26" s="145">
        <f t="shared" si="3"/>
        <v>6.7537852861752317</v>
      </c>
      <c r="W2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Row],[Tipo]]="DROP"),W25+TbTradesBinance[[#This Row],[Qtt]],W25-TbTradesBinance[[#This Row],[Qtt]]),IF(TbTradesBinance[[#This Row],[Tipo]]="BUY",W25-TbTradesBinance[[#This Row],[Qtt]]*TbTradesBinance[[#This Row],[Preço]],W25+TbTradesBinance[[#This Row],[Qtt]]*TbTradesBinance[[#This Row],[Preço]])),W25)-IF(TbTradesBinance[[#This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Row],[Tipo]]="DROP"),W25+TbTradesBinance[[#This Row],[Qtt]],W25-TbTradesBinance[[#This Row],[Qtt]]),IF(TbTradesBinance[[#This Row],[Tipo]]="BUY",W25-TbTradesBinance[[#This Row],[Qtt]]*TbTradesBinance[[#This Row],[Preço]],W25+TbTradesBinance[[#This Row],[Qtt]]*TbTradesBinance[[#This Row],[Preço]])),W25)-IF(TbTradesBinance[[#This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Row],[Tipo]]="DROP"),W25+TbTradesBinance[[#This Row],[Qtt]],W25-TbTradesBinance[[#This Row],[Qtt]]),IF(TbTradesBinance[[#This Row],[Tipo]]="BUY",W25-TbTradesBinance[[#This Row],[Qtt]]*TbTradesBinance[[#This Row],[Preço]],W25+TbTradesBinance[[#This Row],[Qtt]]*TbTradesBinance[[#This Row],[Preço]])),W25)-IF(TbTradesBinance[[#This Row],[Moeda da Taxa]]=MID(W$1,9,5),TbTradesBinance[[#This Row],[Taxa]],0),8)))</f>
        <v>2.6E-7</v>
      </c>
      <c r="X26" s="145" cm="1">
        <f t="array" ref="X26">IF(TbTradesBinance[[#This Row],[Tipo]]="EMPTY",0,X25+IF(TbTradesBinance[[#This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Row],[Par]]))),$1:$1,0)),-(W25-W26)/W25*X25),0),0)+IF(TbTradesBinance[[#This Row],[Tipo]]="SELL",IF(ISNUMBER(FIND(MID(X$1,10,5),TbTradesBinance[[#This Row],[Par]])),IF(FIND(MID(X$1,10,5),TbTradesBinance[[#This Row],[Par]])=1, -(W25-W26)/W25*X25,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Row],[Par]])),(-(W25-W26)/W25*X25)+IF(TbTradesBinance[[#This Row],[Resultado]]&gt;0,0,TbTradesBinance[[#This Row],[Taxa]]),0),0))</f>
        <v>6.8472278720637547E-2</v>
      </c>
      <c r="Y26" s="145">
        <f t="shared" si="4"/>
        <v>263354.91815629828</v>
      </c>
      <c r="Z2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Row],[Tipo]]="DROP"),Z25+TbTradesBinance[[#This Row],[Qtt]],Z25-TbTradesBinance[[#This Row],[Qtt]]),IF(TbTradesBinance[[#This Row],[Tipo]]="BUY",Z25-TbTradesBinance[[#This Row],[Qtt]]*TbTradesBinance[[#This Row],[Preço]],Z25+TbTradesBinance[[#This Row],[Qtt]]*TbTradesBinance[[#This Row],[Preço]])),Z25)-IF(TbTradesBinance[[#This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Row],[Tipo]]="DROP"),Z25+TbTradesBinance[[#This Row],[Qtt]],Z25-TbTradesBinance[[#This Row],[Qtt]]),IF(TbTradesBinance[[#This Row],[Tipo]]="BUY",Z25-TbTradesBinance[[#This Row],[Qtt]]*TbTradesBinance[[#This Row],[Preço]],Z25+TbTradesBinance[[#This Row],[Qtt]]*TbTradesBinance[[#This Row],[Preço]])),Z25)-IF(TbTradesBinance[[#This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Row],[Tipo]]="DROP"),Z25+TbTradesBinance[[#This Row],[Qtt]],Z25-TbTradesBinance[[#This Row],[Qtt]]),IF(TbTradesBinance[[#This Row],[Tipo]]="BUY",Z25-TbTradesBinance[[#This Row],[Qtt]]*TbTradesBinance[[#This Row],[Preço]],Z25+TbTradesBinance[[#This Row],[Qtt]]*TbTradesBinance[[#This Row],[Preço]])),Z25)-IF(TbTradesBinance[[#This Row],[Moeda da Taxa]]=MID(Z$1,9,5),TbTradesBinance[[#This Row],[Taxa]],0),8)))</f>
        <v>0</v>
      </c>
      <c r="AA26" s="145" cm="1">
        <f t="array" ref="AA26">IF(TbTradesBinance[[#This Row],[Tipo]]="EMPTY",0,AA25+IF(TbTradesBinance[[#This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Row],[Par]]))),$1:$1,0)),-(Z25-Z26)/Z25*AA25),0),0)+IF(TbTradesBinance[[#This Row],[Tipo]]="SELL",IF(ISNUMBER(FIND(MID(AA$1,10,5),TbTradesBinance[[#This Row],[Par]])),IF(FIND(MID(AA$1,10,5),TbTradesBinance[[#This Row],[Par]])=1, -(Z25-Z26)/Z25*AA25,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Row],[Par]])),(-(Z25-Z26)/Z25*AA25)+IF(TbTradesBinance[[#This Row],[Resultado]]&gt;0,0,TbTradesBinance[[#This Row],[Taxa]]),0),0))</f>
        <v>0</v>
      </c>
      <c r="AB26" s="145">
        <f t="shared" si="5"/>
        <v>0</v>
      </c>
      <c r="AC2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Row],[Tipo]]="DROP"),AC25+TbTradesBinance[[#This Row],[Qtt]],AC25-TbTradesBinance[[#This Row],[Qtt]]),IF(TbTradesBinance[[#This Row],[Tipo]]="BUY",AC25-TbTradesBinance[[#This Row],[Qtt]]*TbTradesBinance[[#This Row],[Preço]],AC25+TbTradesBinance[[#This Row],[Qtt]]*TbTradesBinance[[#This Row],[Preço]])),AC25)-IF(TbTradesBinance[[#This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Row],[Tipo]]="DROP"),AC25+TbTradesBinance[[#This Row],[Qtt]],AC25-TbTradesBinance[[#This Row],[Qtt]]),IF(TbTradesBinance[[#This Row],[Tipo]]="BUY",AC25-TbTradesBinance[[#This Row],[Qtt]]*TbTradesBinance[[#This Row],[Preço]],AC25+TbTradesBinance[[#This Row],[Qtt]]*TbTradesBinance[[#This Row],[Preço]])),AC25)-IF(TbTradesBinance[[#This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Row],[Tipo]]="DROP"),AC25+TbTradesBinance[[#This Row],[Qtt]],AC25-TbTradesBinance[[#This Row],[Qtt]]),IF(TbTradesBinance[[#This Row],[Tipo]]="BUY",AC25-TbTradesBinance[[#This Row],[Qtt]]*TbTradesBinance[[#This Row],[Preço]],AC25+TbTradesBinance[[#This Row],[Qtt]]*TbTradesBinance[[#This Row],[Preço]])),AC25)-IF(TbTradesBinance[[#This Row],[Moeda da Taxa]]=MID(AC$1,9,5),TbTradesBinance[[#This Row],[Taxa]],0),8)))</f>
        <v>0</v>
      </c>
      <c r="AD26" s="145" cm="1">
        <f t="array" ref="AD26">IF(TbTradesBinance[[#This Row],[Tipo]]="EMPTY",0,AD25+IF(TbTradesBinance[[#This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Row],[Par]]))),$1:$1,0)),-(AC25-AC26)/AC25*AD25),0),0)+IF(TbTradesBinance[[#This Row],[Tipo]]="SELL",IF(ISNUMBER(FIND(MID(AD$1,10,5),TbTradesBinance[[#This Row],[Par]])),IF(FIND(MID(AD$1,10,5),TbTradesBinance[[#This Row],[Par]])=1, -(AC25-AC26)/AC25*AD25,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Row],[Par]])),(-(AC25-AC26)/AC25*AD25)+IF(TbTradesBinance[[#This Row],[Resultado]]&gt;0,0,TbTradesBinance[[#This Row],[Taxa]]),0),0))</f>
        <v>0</v>
      </c>
      <c r="AE26" s="145">
        <f t="shared" si="6"/>
        <v>0</v>
      </c>
      <c r="AF2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Row],[Tipo]]="DROP"),AF25+TbTradesBinance[[#This Row],[Qtt]],AF25-TbTradesBinance[[#This Row],[Qtt]]),IF(TbTradesBinance[[#This Row],[Tipo]]="BUY",AF25-TbTradesBinance[[#This Row],[Qtt]]*TbTradesBinance[[#This Row],[Preço]],AF25+TbTradesBinance[[#This Row],[Qtt]]*TbTradesBinance[[#This Row],[Preço]])),AF25)-IF(TbTradesBinance[[#This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Row],[Tipo]]="DROP"),AF25+TbTradesBinance[[#This Row],[Qtt]],AF25-TbTradesBinance[[#This Row],[Qtt]]),IF(TbTradesBinance[[#This Row],[Tipo]]="BUY",AF25-TbTradesBinance[[#This Row],[Qtt]]*TbTradesBinance[[#This Row],[Preço]],AF25+TbTradesBinance[[#This Row],[Qtt]]*TbTradesBinance[[#This Row],[Preço]])),AF25)-IF(TbTradesBinance[[#This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Row],[Tipo]]="DROP"),AF25+TbTradesBinance[[#This Row],[Qtt]],AF25-TbTradesBinance[[#This Row],[Qtt]]),IF(TbTradesBinance[[#This Row],[Tipo]]="BUY",AF25-TbTradesBinance[[#This Row],[Qtt]]*TbTradesBinance[[#This Row],[Preço]],AF25+TbTradesBinance[[#This Row],[Qtt]]*TbTradesBinance[[#This Row],[Preço]])),AF25)-IF(TbTradesBinance[[#This Row],[Moeda da Taxa]]=MID(AF$1,9,5),TbTradesBinance[[#This Row],[Taxa]],0),8)))</f>
        <v>0</v>
      </c>
      <c r="AG26" s="145" cm="1">
        <f t="array" ref="AG26">IF(TbTradesBinance[[#This Row],[Tipo]]="EMPTY",0,AG25+IF(TbTradesBinance[[#This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Row],[Par]]))),$1:$1,0)),-(AF25-AF26)/AF25*AG25),0),0)+IF(TbTradesBinance[[#This Row],[Tipo]]="SELL",IF(ISNUMBER(FIND(MID(AG$1,10,5),TbTradesBinance[[#This Row],[Par]])),IF(FIND(MID(AG$1,10,5),TbTradesBinance[[#This Row],[Par]])=1, -(AF25-AF26)/AF25*AG25,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Row],[Par]])),(-(AF25-AF26)/AF25*AG25)+IF(TbTradesBinance[[#This Row],[Resultado]]&gt;0,0,TbTradesBinance[[#This Row],[Taxa]]),0),0))</f>
        <v>0</v>
      </c>
      <c r="AH26" s="145">
        <f t="shared" si="7"/>
        <v>0</v>
      </c>
      <c r="AI2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Row],[Tipo]]="DROP"),AI25+TbTradesBinance[[#This Row],[Qtt]],AI25-TbTradesBinance[[#This Row],[Qtt]]),IF(TbTradesBinance[[#This Row],[Tipo]]="BUY",AI25-TbTradesBinance[[#This Row],[Qtt]]*TbTradesBinance[[#This Row],[Preço]],AI25+TbTradesBinance[[#This Row],[Qtt]]*TbTradesBinance[[#This Row],[Preço]])),AI25)-IF(TbTradesBinance[[#This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Row],[Tipo]]="DROP"),AI25+TbTradesBinance[[#This Row],[Qtt]],AI25-TbTradesBinance[[#This Row],[Qtt]]),IF(TbTradesBinance[[#This Row],[Tipo]]="BUY",AI25-TbTradesBinance[[#This Row],[Qtt]]*TbTradesBinance[[#This Row],[Preço]],AI25+TbTradesBinance[[#This Row],[Qtt]]*TbTradesBinance[[#This Row],[Preço]])),AI25)-IF(TbTradesBinance[[#This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Row],[Tipo]]="DROP"),AI25+TbTradesBinance[[#This Row],[Qtt]],AI25-TbTradesBinance[[#This Row],[Qtt]]),IF(TbTradesBinance[[#This Row],[Tipo]]="BUY",AI25-TbTradesBinance[[#This Row],[Qtt]]*TbTradesBinance[[#This Row],[Preço]],AI25+TbTradesBinance[[#This Row],[Qtt]]*TbTradesBinance[[#This Row],[Preço]])),AI25)-IF(TbTradesBinance[[#This Row],[Moeda da Taxa]]=MID(AI$1,9,5),TbTradesBinance[[#This Row],[Taxa]],0),8)))</f>
        <v>0</v>
      </c>
      <c r="AJ26" s="145" cm="1">
        <f t="array" ref="AJ26">IF(TbTradesBinance[[#This Row],[Tipo]]="EMPTY",0,AJ25+IF(TbTradesBinance[[#This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Row],[Par]]))),$1:$1,0)),-(AI25-AI26)/AI25*AJ25),0),0)+IF(TbTradesBinance[[#This Row],[Tipo]]="SELL",IF(ISNUMBER(FIND(MID(AJ$1,10,5),TbTradesBinance[[#This Row],[Par]])),IF(FIND(MID(AJ$1,10,5),TbTradesBinance[[#This Row],[Par]])=1, -(AI25-AI26)/AI25*AJ25,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Row],[Par]])),(-(AI25-AI26)/AI25*AJ25)+IF(TbTradesBinance[[#This Row],[Resultado]]&gt;0,0,TbTradesBinance[[#This Row],[Taxa]]),0),0))</f>
        <v>0</v>
      </c>
      <c r="AK26" s="145">
        <f t="shared" si="8"/>
        <v>0</v>
      </c>
      <c r="AL2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Row],[Tipo]]="DROP"),AL25+TbTradesBinance[[#This Row],[Qtt]],AL25-TbTradesBinance[[#This Row],[Qtt]]),IF(TbTradesBinance[[#This Row],[Tipo]]="BUY",AL25-TbTradesBinance[[#This Row],[Qtt]]*TbTradesBinance[[#This Row],[Preço]],AL25+TbTradesBinance[[#This Row],[Qtt]]*TbTradesBinance[[#This Row],[Preço]])),AL25)-IF(TbTradesBinance[[#This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Row],[Tipo]]="DROP"),AL25+TbTradesBinance[[#This Row],[Qtt]],AL25-TbTradesBinance[[#This Row],[Qtt]]),IF(TbTradesBinance[[#This Row],[Tipo]]="BUY",AL25-TbTradesBinance[[#This Row],[Qtt]]*TbTradesBinance[[#This Row],[Preço]],AL25+TbTradesBinance[[#This Row],[Qtt]]*TbTradesBinance[[#This Row],[Preço]])),AL25)-IF(TbTradesBinance[[#This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Row],[Tipo]]="DROP"),AL25+TbTradesBinance[[#This Row],[Qtt]],AL25-TbTradesBinance[[#This Row],[Qtt]]),IF(TbTradesBinance[[#This Row],[Tipo]]="BUY",AL25-TbTradesBinance[[#This Row],[Qtt]]*TbTradesBinance[[#This Row],[Preço]],AL25+TbTradesBinance[[#This Row],[Qtt]]*TbTradesBinance[[#This Row],[Preço]])),AL25)-IF(TbTradesBinance[[#This Row],[Moeda da Taxa]]=MID(AL$1,9,5),TbTradesBinance[[#This Row],[Taxa]],0),8)))</f>
        <v>0</v>
      </c>
      <c r="AM26" s="145" cm="1">
        <f t="array" ref="AM26">IF(TbTradesBinance[[#This Row],[Tipo]]="EMPTY",0,AM25+IF(TbTradesBinance[[#This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Row],[Par]]))),$1:$1,0)),-(AL25-AL26)/AL25*AM25),0),0)+IF(TbTradesBinance[[#This Row],[Tipo]]="SELL",IF(ISNUMBER(FIND(MID(AM$1,10,5),TbTradesBinance[[#This Row],[Par]])),IF(FIND(MID(AM$1,10,5),TbTradesBinance[[#This Row],[Par]])=1, -(AL25-AL26)/AL25*AM25,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Row],[Par]])),(-(AL25-AL26)/AL25*AM25)+IF(TbTradesBinance[[#This Row],[Resultado]]&gt;0,0,TbTradesBinance[[#This Row],[Taxa]]),0),0))</f>
        <v>0</v>
      </c>
      <c r="AN26" s="145">
        <f t="shared" si="9"/>
        <v>0</v>
      </c>
      <c r="AO2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Row],[Tipo]]="DROP"),AO25+TbTradesBinance[[#This Row],[Qtt]],AO25-TbTradesBinance[[#This Row],[Qtt]]),IF(TbTradesBinance[[#This Row],[Tipo]]="BUY",AO25-TbTradesBinance[[#This Row],[Qtt]]*TbTradesBinance[[#This Row],[Preço]],AO25+TbTradesBinance[[#This Row],[Qtt]]*TbTradesBinance[[#This Row],[Preço]])),AO25)-IF(TbTradesBinance[[#This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Row],[Tipo]]="DROP"),AO25+TbTradesBinance[[#This Row],[Qtt]],AO25-TbTradesBinance[[#This Row],[Qtt]]),IF(TbTradesBinance[[#This Row],[Tipo]]="BUY",AO25-TbTradesBinance[[#This Row],[Qtt]]*TbTradesBinance[[#This Row],[Preço]],AO25+TbTradesBinance[[#This Row],[Qtt]]*TbTradesBinance[[#This Row],[Preço]])),AO25)-IF(TbTradesBinance[[#This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Row],[Tipo]]="DROP"),AO25+TbTradesBinance[[#This Row],[Qtt]],AO25-TbTradesBinance[[#This Row],[Qtt]]),IF(TbTradesBinance[[#This Row],[Tipo]]="BUY",AO25-TbTradesBinance[[#This Row],[Qtt]]*TbTradesBinance[[#This Row],[Preço]],AO25+TbTradesBinance[[#This Row],[Qtt]]*TbTradesBinance[[#This Row],[Preço]])),AO25)-IF(TbTradesBinance[[#This Row],[Moeda da Taxa]]=MID(AO$1,9,5),TbTradesBinance[[#This Row],[Taxa]],0),8)))</f>
        <v>0</v>
      </c>
      <c r="AP26" s="145" cm="1">
        <f t="array" ref="AP26">IF(TbTradesBinance[[#This Row],[Tipo]]="EMPTY",0,AP25+IF(TbTradesBinance[[#This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Row],[Par]]))),$1:$1,0)),-(AO25-AO26)/AO25*AP25),0),0)+IF(TbTradesBinance[[#This Row],[Tipo]]="SELL",IF(ISNUMBER(FIND(MID(AP$1,10,5),TbTradesBinance[[#This Row],[Par]])),IF(FIND(MID(AP$1,10,5),TbTradesBinance[[#This Row],[Par]])=1, -(AO25-AO26)/AO25*AP25,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Row],[Par]])),(-(AO25-AO26)/AO25*AP25)+IF(TbTradesBinance[[#This Row],[Resultado]]&gt;0,0,TbTradesBinance[[#This Row],[Taxa]]),0),0))</f>
        <v>0</v>
      </c>
      <c r="AQ26" s="145">
        <f t="shared" si="10"/>
        <v>0</v>
      </c>
      <c r="AR2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Row],[Tipo]]="DROP"),AR25+TbTradesBinance[[#This Row],[Qtt]],AR25-TbTradesBinance[[#This Row],[Qtt]]),IF(TbTradesBinance[[#This Row],[Tipo]]="BUY",AR25-TbTradesBinance[[#This Row],[Qtt]]*TbTradesBinance[[#This Row],[Preço]],AR25+TbTradesBinance[[#This Row],[Qtt]]*TbTradesBinance[[#This Row],[Preço]])),AR25)-IF(TbTradesBinance[[#This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Row],[Tipo]]="DROP"),AR25+TbTradesBinance[[#This Row],[Qtt]],AR25-TbTradesBinance[[#This Row],[Qtt]]),IF(TbTradesBinance[[#This Row],[Tipo]]="BUY",AR25-TbTradesBinance[[#This Row],[Qtt]]*TbTradesBinance[[#This Row],[Preço]],AR25+TbTradesBinance[[#This Row],[Qtt]]*TbTradesBinance[[#This Row],[Preço]])),AR25)-IF(TbTradesBinance[[#This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Row],[Tipo]]="DROP"),AR25+TbTradesBinance[[#This Row],[Qtt]],AR25-TbTradesBinance[[#This Row],[Qtt]]),IF(TbTradesBinance[[#This Row],[Tipo]]="BUY",AR25-TbTradesBinance[[#This Row],[Qtt]]*TbTradesBinance[[#This Row],[Preço]],AR25+TbTradesBinance[[#This Row],[Qtt]]*TbTradesBinance[[#This Row],[Preço]])),AR25)-IF(TbTradesBinance[[#This Row],[Moeda da Taxa]]=MID(AR$1,9,5),TbTradesBinance[[#This Row],[Taxa]],0),8)))</f>
        <v>0</v>
      </c>
      <c r="AS26" s="145" cm="1">
        <f t="array" ref="AS26">IF(TbTradesBinance[[#This Row],[Tipo]]="EMPTY",0,AS25+IF(TbTradesBinance[[#This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Row],[Par]]))),$1:$1,0)),-(AR25-AR26)/AR25*AS25),0),0)+IF(TbTradesBinance[[#This Row],[Tipo]]="SELL",IF(ISNUMBER(FIND(MID(AS$1,10,5),TbTradesBinance[[#This Row],[Par]])),IF(FIND(MID(AS$1,10,5),TbTradesBinance[[#This Row],[Par]])=1, -(AR25-AR26)/AR25*AS25,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Row],[Par]])),(-(AR25-AR26)/AR25*AS25)+IF(TbTradesBinance[[#This Row],[Resultado]]&gt;0,0,TbTradesBinance[[#This Row],[Taxa]]),0),0))</f>
        <v>0</v>
      </c>
      <c r="AT26" s="145">
        <f t="shared" si="11"/>
        <v>0</v>
      </c>
      <c r="AU2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Row],[Tipo]]="DROP"),AU25+TbTradesBinance[[#This Row],[Qtt]],AU25-TbTradesBinance[[#This Row],[Qtt]]),IF(TbTradesBinance[[#This Row],[Tipo]]="BUY",AU25-TbTradesBinance[[#This Row],[Qtt]]*TbTradesBinance[[#This Row],[Preço]],AU25+TbTradesBinance[[#This Row],[Qtt]]*TbTradesBinance[[#This Row],[Preço]])),AU25)-IF(TbTradesBinance[[#This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Row],[Tipo]]="DROP"),AU25+TbTradesBinance[[#This Row],[Qtt]],AU25-TbTradesBinance[[#This Row],[Qtt]]),IF(TbTradesBinance[[#This Row],[Tipo]]="BUY",AU25-TbTradesBinance[[#This Row],[Qtt]]*TbTradesBinance[[#This Row],[Preço]],AU25+TbTradesBinance[[#This Row],[Qtt]]*TbTradesBinance[[#This Row],[Preço]])),AU25)-IF(TbTradesBinance[[#This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Row],[Tipo]]="DROP"),AU25+TbTradesBinance[[#This Row],[Qtt]],AU25-TbTradesBinance[[#This Row],[Qtt]]),IF(TbTradesBinance[[#This Row],[Tipo]]="BUY",AU25-TbTradesBinance[[#This Row],[Qtt]]*TbTradesBinance[[#This Row],[Preço]],AU25+TbTradesBinance[[#This Row],[Qtt]]*TbTradesBinance[[#This Row],[Preço]])),AU25)-IF(TbTradesBinance[[#This Row],[Moeda da Taxa]]=MID(AU$1,9,5),TbTradesBinance[[#This Row],[Taxa]],0),8)))</f>
        <v>0</v>
      </c>
      <c r="AV26" s="145" cm="1">
        <f t="array" ref="AV26">IF(TbTradesBinance[[#This Row],[Tipo]]="EMPTY",0,AV25+IF(TbTradesBinance[[#This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Row],[Par]]))),$1:$1,0)),-(AU25-AU26)/AU25*AV25),0),0)+IF(TbTradesBinance[[#This Row],[Tipo]]="SELL",IF(ISNUMBER(FIND(MID(AV$1,10,5),TbTradesBinance[[#This Row],[Par]])),IF(FIND(MID(AV$1,10,5),TbTradesBinance[[#This Row],[Par]])=1, -(AU25-AU26)/AU25*AV25,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Row],[Par]])),(-(AU25-AU26)/AU25*AV25)+IF(TbTradesBinance[[#This Row],[Resultado]]&gt;0,0,TbTradesBinance[[#This Row],[Taxa]]),0),0))</f>
        <v>0</v>
      </c>
      <c r="AW26" s="145">
        <f t="shared" si="12"/>
        <v>0</v>
      </c>
      <c r="AX2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Row],[Tipo]]="DROP"),AX25+TbTradesBinance[[#This Row],[Qtt]],AX25-TbTradesBinance[[#This Row],[Qtt]]),IF(TbTradesBinance[[#This Row],[Tipo]]="BUY",AX25-TbTradesBinance[[#This Row],[Qtt]]*TbTradesBinance[[#This Row],[Preço]],AX25+TbTradesBinance[[#This Row],[Qtt]]*TbTradesBinance[[#This Row],[Preço]])),AX25)-IF(TbTradesBinance[[#This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Row],[Tipo]]="DROP"),AX25+TbTradesBinance[[#This Row],[Qtt]],AX25-TbTradesBinance[[#This Row],[Qtt]]),IF(TbTradesBinance[[#This Row],[Tipo]]="BUY",AX25-TbTradesBinance[[#This Row],[Qtt]]*TbTradesBinance[[#This Row],[Preço]],AX25+TbTradesBinance[[#This Row],[Qtt]]*TbTradesBinance[[#This Row],[Preço]])),AX25)-IF(TbTradesBinance[[#This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Row],[Tipo]]="DROP"),AX25+TbTradesBinance[[#This Row],[Qtt]],AX25-TbTradesBinance[[#This Row],[Qtt]]),IF(TbTradesBinance[[#This Row],[Tipo]]="BUY",AX25-TbTradesBinance[[#This Row],[Qtt]]*TbTradesBinance[[#This Row],[Preço]],AX25+TbTradesBinance[[#This Row],[Qtt]]*TbTradesBinance[[#This Row],[Preço]])),AX25)-IF(TbTradesBinance[[#This Row],[Moeda da Taxa]]=MID(AX$1,9,5),TbTradesBinance[[#This Row],[Taxa]],0),8)))</f>
        <v>0</v>
      </c>
      <c r="AY26" s="145" cm="1">
        <f t="array" ref="AY26">IF(TbTradesBinance[[#This Row],[Tipo]]="EMPTY",0,AY25+IF(TbTradesBinance[[#This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Row],[Par]]))),$1:$1,0)),-(AX25-AX26)/AX25*AY25),0),0)+IF(TbTradesBinance[[#This Row],[Tipo]]="SELL",IF(ISNUMBER(FIND(MID(AY$1,10,5),TbTradesBinance[[#This Row],[Par]])),IF(FIND(MID(AY$1,10,5),TbTradesBinance[[#This Row],[Par]])=1, -(AX25-AX26)/AX25*AY25,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Row],[Par]])),(-(AX25-AX26)/AX25*AY25)+IF(TbTradesBinance[[#This Row],[Resultado]]&gt;0,0,TbTradesBinance[[#This Row],[Taxa]]),0),0))</f>
        <v>0</v>
      </c>
      <c r="AZ26" s="145">
        <f t="shared" si="13"/>
        <v>0</v>
      </c>
      <c r="BA2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Row],[Tipo]]="DROP"),BA25+TbTradesBinance[[#This Row],[Qtt]],BA25-TbTradesBinance[[#This Row],[Qtt]]),IF(TbTradesBinance[[#This Row],[Tipo]]="BUY",BA25-TbTradesBinance[[#This Row],[Qtt]]*TbTradesBinance[[#This Row],[Preço]],BA25+TbTradesBinance[[#This Row],[Qtt]]*TbTradesBinance[[#This Row],[Preço]])),BA25)-IF(TbTradesBinance[[#This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Row],[Tipo]]="DROP"),BA25+TbTradesBinance[[#This Row],[Qtt]],BA25-TbTradesBinance[[#This Row],[Qtt]]),IF(TbTradesBinance[[#This Row],[Tipo]]="BUY",BA25-TbTradesBinance[[#This Row],[Qtt]]*TbTradesBinance[[#This Row],[Preço]],BA25+TbTradesBinance[[#This Row],[Qtt]]*TbTradesBinance[[#This Row],[Preço]])),BA25)-IF(TbTradesBinance[[#This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Row],[Tipo]]="DROP"),BA25+TbTradesBinance[[#This Row],[Qtt]],BA25-TbTradesBinance[[#This Row],[Qtt]]),IF(TbTradesBinance[[#This Row],[Tipo]]="BUY",BA25-TbTradesBinance[[#This Row],[Qtt]]*TbTradesBinance[[#This Row],[Preço]],BA25+TbTradesBinance[[#This Row],[Qtt]]*TbTradesBinance[[#This Row],[Preço]])),BA25)-IF(TbTradesBinance[[#This Row],[Moeda da Taxa]]=MID(BA$1,9,5),TbTradesBinance[[#This Row],[Taxa]],0),8)))</f>
        <v>0</v>
      </c>
      <c r="BB26" s="145" cm="1">
        <f t="array" ref="BB26">IF(TbTradesBinance[[#This Row],[Tipo]]="EMPTY",0,BB25+IF(TbTradesBinance[[#This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Row],[Par]]))),$1:$1,0)),-(BA25-BA26)/BA25*BB25),0),0)+IF(TbTradesBinance[[#This Row],[Tipo]]="SELL",IF(ISNUMBER(FIND(MID(BB$1,10,5),TbTradesBinance[[#This Row],[Par]])),IF(FIND(MID(BB$1,10,5),TbTradesBinance[[#This Row],[Par]])=1, -(BA25-BA26)/BA25*BB25,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Row],[Par]])),(-(BA25-BA26)/BA25*BB25)+IF(TbTradesBinance[[#This Row],[Resultado]]&gt;0,0,TbTradesBinance[[#This Row],[Taxa]]),0),0))</f>
        <v>0</v>
      </c>
      <c r="BC26" s="145">
        <f t="shared" si="14"/>
        <v>0</v>
      </c>
      <c r="BD2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Row],[Tipo]]="DROP"),BD25+TbTradesBinance[[#This Row],[Qtt]],BD25-TbTradesBinance[[#This Row],[Qtt]]),IF(TbTradesBinance[[#This Row],[Tipo]]="BUY",BD25-TbTradesBinance[[#This Row],[Qtt]]*TbTradesBinance[[#This Row],[Preço]],BD25+TbTradesBinance[[#This Row],[Qtt]]*TbTradesBinance[[#This Row],[Preço]])),BD25)-IF(TbTradesBinance[[#This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Row],[Tipo]]="DROP"),BD25+TbTradesBinance[[#This Row],[Qtt]],BD25-TbTradesBinance[[#This Row],[Qtt]]),IF(TbTradesBinance[[#This Row],[Tipo]]="BUY",BD25-TbTradesBinance[[#This Row],[Qtt]]*TbTradesBinance[[#This Row],[Preço]],BD25+TbTradesBinance[[#This Row],[Qtt]]*TbTradesBinance[[#This Row],[Preço]])),BD25)-IF(TbTradesBinance[[#This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Row],[Tipo]]="DROP"),BD25+TbTradesBinance[[#This Row],[Qtt]],BD25-TbTradesBinance[[#This Row],[Qtt]]),IF(TbTradesBinance[[#This Row],[Tipo]]="BUY",BD25-TbTradesBinance[[#This Row],[Qtt]]*TbTradesBinance[[#This Row],[Preço]],BD25+TbTradesBinance[[#This Row],[Qtt]]*TbTradesBinance[[#This Row],[Preço]])),BD25)-IF(TbTradesBinance[[#This Row],[Moeda da Taxa]]=MID(BD$1,9,5),TbTradesBinance[[#This Row],[Taxa]],0),8)))</f>
        <v>0</v>
      </c>
      <c r="BE26" s="145" cm="1">
        <f t="array" ref="BE26">IF(TbTradesBinance[[#This Row],[Tipo]]="EMPTY",0,BE25+IF(TbTradesBinance[[#This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Row],[Par]]))),$1:$1,0)),-(BD25-BD26)/BD25*BE25),0),0)+IF(TbTradesBinance[[#This Row],[Tipo]]="SELL",IF(ISNUMBER(FIND(MID(BE$1,10,5),TbTradesBinance[[#This Row],[Par]])),IF(FIND(MID(BE$1,10,5),TbTradesBinance[[#This Row],[Par]])=1, -(BD25-BD26)/BD25*BE25,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Row],[Par]])),(-(BD25-BD26)/BD25*BE25)+IF(TbTradesBinance[[#This Row],[Resultado]]&gt;0,0,TbTradesBinance[[#This Row],[Taxa]]),0),0))</f>
        <v>0</v>
      </c>
      <c r="BF26" s="145">
        <f t="shared" si="15"/>
        <v>0</v>
      </c>
      <c r="BG2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Row],[Tipo]]="DROP"),BG25+TbTradesBinance[[#This Row],[Qtt]],BG25-TbTradesBinance[[#This Row],[Qtt]]),IF(TbTradesBinance[[#This Row],[Tipo]]="BUY",BG25-TbTradesBinance[[#This Row],[Qtt]]*TbTradesBinance[[#This Row],[Preço]],BG25+TbTradesBinance[[#This Row],[Qtt]]*TbTradesBinance[[#This Row],[Preço]])),BG25)-IF(TbTradesBinance[[#This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Row],[Tipo]]="DROP"),BG25+TbTradesBinance[[#This Row],[Qtt]],BG25-TbTradesBinance[[#This Row],[Qtt]]),IF(TbTradesBinance[[#This Row],[Tipo]]="BUY",BG25-TbTradesBinance[[#This Row],[Qtt]]*TbTradesBinance[[#This Row],[Preço]],BG25+TbTradesBinance[[#This Row],[Qtt]]*TbTradesBinance[[#This Row],[Preço]])),BG25)-IF(TbTradesBinance[[#This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Row],[Tipo]]="DROP"),BG25+TbTradesBinance[[#This Row],[Qtt]],BG25-TbTradesBinance[[#This Row],[Qtt]]),IF(TbTradesBinance[[#This Row],[Tipo]]="BUY",BG25-TbTradesBinance[[#This Row],[Qtt]]*TbTradesBinance[[#This Row],[Preço]],BG25+TbTradesBinance[[#This Row],[Qtt]]*TbTradesBinance[[#This Row],[Preço]])),BG25)-IF(TbTradesBinance[[#This Row],[Moeda da Taxa]]=MID(BG$1,9,5),TbTradesBinance[[#This Row],[Taxa]],0),8)))</f>
        <v>0</v>
      </c>
      <c r="BH26" s="145" cm="1">
        <f t="array" ref="BH26">IF(TbTradesBinance[[#This Row],[Tipo]]="EMPTY",0,BH25+IF(TbTradesBinance[[#This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Row],[Par]]))),$1:$1,0)),-(BG25-BG26)/BG25*BH25),0),0)+IF(TbTradesBinance[[#This Row],[Tipo]]="SELL",IF(ISNUMBER(FIND(MID(BH$1,10,5),TbTradesBinance[[#This Row],[Par]])),IF(FIND(MID(BH$1,10,5),TbTradesBinance[[#This Row],[Par]])=1, -(BG25-BG26)/BG25*BH25,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Row],[Par]])),(-(BG25-BG26)/BG25*BH25)+IF(TbTradesBinance[[#This Row],[Resultado]]&gt;0,0,TbTradesBinance[[#This Row],[Taxa]]),0),0))</f>
        <v>0</v>
      </c>
      <c r="BI26" s="145">
        <f t="shared" si="16"/>
        <v>0</v>
      </c>
      <c r="BJ2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Row],[Tipo]]="DROP"),BJ25+TbTradesBinance[[#This Row],[Qtt]],BJ25-TbTradesBinance[[#This Row],[Qtt]]),IF(TbTradesBinance[[#This Row],[Tipo]]="BUY",BJ25-TbTradesBinance[[#This Row],[Qtt]]*TbTradesBinance[[#This Row],[Preço]],BJ25+TbTradesBinance[[#This Row],[Qtt]]*TbTradesBinance[[#This Row],[Preço]])),BJ25)-IF(TbTradesBinance[[#This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Row],[Tipo]]="DROP"),BJ25+TbTradesBinance[[#This Row],[Qtt]],BJ25-TbTradesBinance[[#This Row],[Qtt]]),IF(TbTradesBinance[[#This Row],[Tipo]]="BUY",BJ25-TbTradesBinance[[#This Row],[Qtt]]*TbTradesBinance[[#This Row],[Preço]],BJ25+TbTradesBinance[[#This Row],[Qtt]]*TbTradesBinance[[#This Row],[Preço]])),BJ25)-IF(TbTradesBinance[[#This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Row],[Tipo]]="DROP"),BJ25+TbTradesBinance[[#This Row],[Qtt]],BJ25-TbTradesBinance[[#This Row],[Qtt]]),IF(TbTradesBinance[[#This Row],[Tipo]]="BUY",BJ25-TbTradesBinance[[#This Row],[Qtt]]*TbTradesBinance[[#This Row],[Preço]],BJ25+TbTradesBinance[[#This Row],[Qtt]]*TbTradesBinance[[#This Row],[Preço]])),BJ25)-IF(TbTradesBinance[[#This Row],[Moeda da Taxa]]=MID(BJ$1,9,5),TbTradesBinance[[#This Row],[Taxa]],0),8)))</f>
        <v>0</v>
      </c>
      <c r="BK26" s="145" cm="1">
        <f t="array" ref="BK26">IF(TbTradesBinance[[#This Row],[Tipo]]="EMPTY",0,BK25+IF(TbTradesBinance[[#This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Row],[Par]]))),$1:$1,0)),-(BJ25-BJ26)/BJ25*BK25),0),0)+IF(TbTradesBinance[[#This Row],[Tipo]]="SELL",IF(ISNUMBER(FIND(MID(BK$1,10,5),TbTradesBinance[[#This Row],[Par]])),IF(FIND(MID(BK$1,10,5),TbTradesBinance[[#This Row],[Par]])=1, -(BJ25-BJ26)/BJ25*BK25,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Row],[Par]])),(-(BJ25-BJ26)/BJ25*BK25)+IF(TbTradesBinance[[#This Row],[Resultado]]&gt;0,0,TbTradesBinance[[#This Row],[Taxa]]),0),0))</f>
        <v>0</v>
      </c>
      <c r="BL26" s="145">
        <f t="shared" si="17"/>
        <v>0</v>
      </c>
      <c r="BM2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Row],[Tipo]]="DROP"),BM25+TbTradesBinance[[#This Row],[Qtt]],BM25-TbTradesBinance[[#This Row],[Qtt]]),IF(TbTradesBinance[[#This Row],[Tipo]]="BUY",BM25-TbTradesBinance[[#This Row],[Qtt]]*TbTradesBinance[[#This Row],[Preço]],BM25+TbTradesBinance[[#This Row],[Qtt]]*TbTradesBinance[[#This Row],[Preço]])),BM25)-IF(TbTradesBinance[[#This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Row],[Tipo]]="DROP"),BM25+TbTradesBinance[[#This Row],[Qtt]],BM25-TbTradesBinance[[#This Row],[Qtt]]),IF(TbTradesBinance[[#This Row],[Tipo]]="BUY",BM25-TbTradesBinance[[#This Row],[Qtt]]*TbTradesBinance[[#This Row],[Preço]],BM25+TbTradesBinance[[#This Row],[Qtt]]*TbTradesBinance[[#This Row],[Preço]])),BM25)-IF(TbTradesBinance[[#This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Row],[Tipo]]="DROP"),BM25+TbTradesBinance[[#This Row],[Qtt]],BM25-TbTradesBinance[[#This Row],[Qtt]]),IF(TbTradesBinance[[#This Row],[Tipo]]="BUY",BM25-TbTradesBinance[[#This Row],[Qtt]]*TbTradesBinance[[#This Row],[Preço]],BM25+TbTradesBinance[[#This Row],[Qtt]]*TbTradesBinance[[#This Row],[Preço]])),BM25)-IF(TbTradesBinance[[#This Row],[Moeda da Taxa]]=MID(BM$1,9,5),TbTradesBinance[[#This Row],[Taxa]],0),8)))</f>
        <v>0</v>
      </c>
      <c r="BN26" s="145" cm="1">
        <f t="array" ref="BN26">IF(TbTradesBinance[[#This Row],[Tipo]]="EMPTY",0,BN25+IF(TbTradesBinance[[#This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Row],[Par]]))),$1:$1,0)),-(BM25-BM26)/BM25*BN25),0),0)+IF(TbTradesBinance[[#This Row],[Tipo]]="SELL",IF(ISNUMBER(FIND(MID(BN$1,10,5),TbTradesBinance[[#This Row],[Par]])),IF(FIND(MID(BN$1,10,5),TbTradesBinance[[#This Row],[Par]])=1, -(BM25-BM26)/BM25*BN25,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Row],[Par]])),(-(BM25-BM26)/BM25*BN25)+IF(TbTradesBinance[[#This Row],[Resultado]]&gt;0,0,TbTradesBinance[[#This Row],[Taxa]]),0),0))</f>
        <v>0</v>
      </c>
      <c r="BO26" s="145">
        <f t="shared" si="18"/>
        <v>0</v>
      </c>
    </row>
    <row r="27" spans="2:67" x14ac:dyDescent="0.3">
      <c r="B27" s="51"/>
      <c r="C27" s="40">
        <f>TRUNC(IF(AND(TbTradesBinance[[#This Row],[Tipo]]="SEND",TbTradesBinance[[#This Row],[Par]]="BRL"),TbTradesBinance[[#This Row],[Qtt]]*(1-P25)-IF(TbTradesBinance[[#This Row],[Moeda da Taxa]]="BRL",TbTradesBinance[[#This Row],[Taxa]],0),0)+IF(AND(TbTradesBinance[[#This Row],[Tipo]]="BURN",TbTradesBinance[[#This Row],[Par]]="BRL"),-TbTradesBinance[[#This Row],[Qtt]]*P25,0),2)</f>
        <v>0</v>
      </c>
      <c r="D27" s="53">
        <v>44252.799039351848</v>
      </c>
      <c r="E27" s="37" t="s">
        <v>238</v>
      </c>
      <c r="F27" s="47" t="s">
        <v>139</v>
      </c>
      <c r="G27" s="38">
        <v>29.95</v>
      </c>
      <c r="H27" s="38">
        <v>0.38</v>
      </c>
      <c r="I27" s="38">
        <v>3.8000000000000002E-4</v>
      </c>
      <c r="J27" s="37" t="s">
        <v>61</v>
      </c>
      <c r="K27" s="52">
        <v>5.55</v>
      </c>
      <c r="L27" s="40">
        <f t="shared" si="0"/>
        <v>166.22</v>
      </c>
      <c r="M27" s="40">
        <f>IF(OR(TbTradesBinance[[#This Row],[Tipo]]="BUY",TbTradesBinance[[#This Row],[Tipo]]="RECEIVE",TbTradesBinance[[#This Row],[Tipo]]="DROP"),L27*H27,-L27*H27)</f>
        <v>63.163600000000002</v>
      </c>
      <c r="N2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Row],[Tipo]]="DROP"),N26+TbTradesBinance[[#This Row],[Qtt]],N26-TbTradesBinance[[#This Row],[Qtt]]),IF(TbTradesBinance[[#This Row],[Tipo]]="BUY",N26-TbTradesBinance[[#This Row],[Qtt]]*TbTradesBinance[[#This Row],[Preço]],N26+TbTradesBinance[[#This Row],[Qtt]]*TbTradesBinance[[#This Row],[Preço]])),N26)-IF(TbTradesBinance[[#This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Row],[Tipo]]="DROP"),N26+TbTradesBinance[[#This Row],[Qtt]],N26-TbTradesBinance[[#This Row],[Qtt]]),IF(TbTradesBinance[[#This Row],[Tipo]]="BUY",N26-TbTradesBinance[[#This Row],[Qtt]]*TbTradesBinance[[#This Row],[Preço]],N26+TbTradesBinance[[#This Row],[Qtt]]*TbTradesBinance[[#This Row],[Preço]])),N26)-IF(TbTradesBinance[[#This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Row],[Tipo]]="DROP"),N26+TbTradesBinance[[#This Row],[Qtt]],N26-TbTradesBinance[[#This Row],[Qtt]]),IF(TbTradesBinance[[#This Row],[Tipo]]="BUY",N26-TbTradesBinance[[#This Row],[Qtt]]*TbTradesBinance[[#This Row],[Preço]],N26+TbTradesBinance[[#This Row],[Qtt]]*TbTradesBinance[[#This Row],[Preço]])),N26)-IF(TbTradesBinance[[#This Row],[Moeda da Taxa]]=MID(N$1,9,5),TbTradesBinance[[#This Row],[Taxa]],0),8)))</f>
        <v>19982.933586890002</v>
      </c>
      <c r="O27" s="145" cm="1">
        <f t="array" ref="O27">IF(TbTradesBinance[[#This Row],[Tipo]]="EMPTY",0,O26+IF(TbTradesBinance[[#This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Row],[Par]]))),$1:$1,0)),-(N26-N27)/N26*O26),0),0)+IF(TbTradesBinance[[#This Row],[Tipo]]="SELL",IF(ISNUMBER(FIND(MID(O$1,10,5),TbTradesBinance[[#This Row],[Par]])),IF(FIND(MID(O$1,10,5),TbTradesBinance[[#This Row],[Par]])=1, -(N26-N27)/N26*O26,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Row],[Par]])),(-(N26-N27)/N26*O26)+IF(TbTradesBinance[[#This Row],[Resultado]]&gt;0,0,TbTradesBinance[[#This Row],[Taxa]]),0),0))</f>
        <v>19934.539633695786</v>
      </c>
      <c r="P27" s="145">
        <f t="shared" si="1"/>
        <v>0.99757823579887361</v>
      </c>
      <c r="Q2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Row],[Tipo]]="DROP"),Q26+TbTradesBinance[[#This Row],[Qtt]],Q26-TbTradesBinance[[#This Row],[Qtt]]),IF(TbTradesBinance[[#This Row],[Tipo]]="BUY",Q26-TbTradesBinance[[#This Row],[Qtt]]*TbTradesBinance[[#This Row],[Preço]],Q26+TbTradesBinance[[#This Row],[Qtt]]*TbTradesBinance[[#This Row],[Preço]])),Q26)-IF(TbTradesBinance[[#This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Row],[Tipo]]="DROP"),Q26+TbTradesBinance[[#This Row],[Qtt]],Q26-TbTradesBinance[[#This Row],[Qtt]]),IF(TbTradesBinance[[#This Row],[Tipo]]="BUY",Q26-TbTradesBinance[[#This Row],[Qtt]]*TbTradesBinance[[#This Row],[Preço]],Q26+TbTradesBinance[[#This Row],[Qtt]]*TbTradesBinance[[#This Row],[Preço]])),Q26)-IF(TbTradesBinance[[#This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Row],[Tipo]]="DROP"),Q26+TbTradesBinance[[#This Row],[Qtt]],Q26-TbTradesBinance[[#This Row],[Qtt]]),IF(TbTradesBinance[[#This Row],[Tipo]]="BUY",Q26-TbTradesBinance[[#This Row],[Qtt]]*TbTradesBinance[[#This Row],[Preço]],Q26+TbTradesBinance[[#This Row],[Qtt]]*TbTradesBinance[[#This Row],[Preço]])),Q26)-IF(TbTradesBinance[[#This Row],[Moeda da Taxa]]=MID(Q$1,9,5),TbTradesBinance[[#This Row],[Taxa]],0),8)))</f>
        <v>0.27732999000000003</v>
      </c>
      <c r="R27" s="145" cm="1">
        <f t="array" ref="R27">IF(TbTradesBinance[[#This Row],[Tipo]]="EMPTY",0,R26+IF(TbTradesBinance[[#This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Row],[Par]]))),$1:$1,0)),-(Q26-Q27)/Q26*R26),0),0)+IF(TbTradesBinance[[#This Row],[Tipo]]="SELL",IF(ISNUMBER(FIND(MID(R$1,10,5),TbTradesBinance[[#This Row],[Par]])),IF(FIND(MID(R$1,10,5),TbTradesBinance[[#This Row],[Par]])=1, -(Q26-Q27)/Q26*R26,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Row],[Par]])),(-(Q26-Q27)/Q26*R26)+IF(TbTradesBinance[[#This Row],[Resultado]]&gt;0,0,TbTradesBinance[[#This Row],[Taxa]]),0),0))</f>
        <v>1.5509449279899954</v>
      </c>
      <c r="S27" s="145">
        <f t="shared" si="2"/>
        <v>5.592416918163071</v>
      </c>
      <c r="T2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Row],[Tipo]]="DROP"),T26+TbTradesBinance[[#This Row],[Qtt]],T26-TbTradesBinance[[#This Row],[Qtt]]),IF(TbTradesBinance[[#This Row],[Tipo]]="BUY",T26-TbTradesBinance[[#This Row],[Qtt]]*TbTradesBinance[[#This Row],[Preço]],T26+TbTradesBinance[[#This Row],[Qtt]]*TbTradesBinance[[#This Row],[Preço]])),T26)-IF(TbTradesBinance[[#This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Row],[Tipo]]="DROP"),T26+TbTradesBinance[[#This Row],[Qtt]],T26-TbTradesBinance[[#This Row],[Qtt]]),IF(TbTradesBinance[[#This Row],[Tipo]]="BUY",T26-TbTradesBinance[[#This Row],[Qtt]]*TbTradesBinance[[#This Row],[Preço]],T26+TbTradesBinance[[#This Row],[Qtt]]*TbTradesBinance[[#This Row],[Preço]])),T26)-IF(TbTradesBinance[[#This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Row],[Tipo]]="DROP"),T26+TbTradesBinance[[#This Row],[Qtt]],T26-TbTradesBinance[[#This Row],[Qtt]]),IF(TbTradesBinance[[#This Row],[Tipo]]="BUY",T26-TbTradesBinance[[#This Row],[Qtt]]*TbTradesBinance[[#This Row],[Preço]],T26+TbTradesBinance[[#This Row],[Qtt]]*TbTradesBinance[[#This Row],[Preço]])),T26)-IF(TbTradesBinance[[#This Row],[Moeda da Taxa]]=MID(T$1,9,5),TbTradesBinance[[#This Row],[Taxa]],0),8)))</f>
        <v>2.867312E-2</v>
      </c>
      <c r="U27" s="145" cm="1">
        <f t="array" ref="U27">IF(TbTradesBinance[[#This Row],[Tipo]]="EMPTY",0,U26+IF(TbTradesBinance[[#This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Row],[Par]]))),$1:$1,0)),-(T26-T27)/T26*U26),0),0)+IF(TbTradesBinance[[#This Row],[Tipo]]="SELL",IF(ISNUMBER(FIND(MID(U$1,10,5),TbTradesBinance[[#This Row],[Par]])),IF(FIND(MID(U$1,10,5),TbTradesBinance[[#This Row],[Par]])=1, -(T26-T27)/T26*U26,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Row],[Par]])),(-(T26-T27)/T26*U26)+IF(TbTradesBinance[[#This Row],[Resultado]]&gt;0,0,TbTradesBinance[[#This Row],[Taxa]]),0),0))</f>
        <v>0.19365209596473676</v>
      </c>
      <c r="V27" s="145">
        <f t="shared" si="3"/>
        <v>6.7537852861752317</v>
      </c>
      <c r="W2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Row],[Tipo]]="DROP"),W26+TbTradesBinance[[#This Row],[Qtt]],W26-TbTradesBinance[[#This Row],[Qtt]]),IF(TbTradesBinance[[#This Row],[Tipo]]="BUY",W26-TbTradesBinance[[#This Row],[Qtt]]*TbTradesBinance[[#This Row],[Preço]],W26+TbTradesBinance[[#This Row],[Qtt]]*TbTradesBinance[[#This Row],[Preço]])),W26)-IF(TbTradesBinance[[#This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Row],[Tipo]]="DROP"),W26+TbTradesBinance[[#This Row],[Qtt]],W26-TbTradesBinance[[#This Row],[Qtt]]),IF(TbTradesBinance[[#This Row],[Tipo]]="BUY",W26-TbTradesBinance[[#This Row],[Qtt]]*TbTradesBinance[[#This Row],[Preço]],W26+TbTradesBinance[[#This Row],[Qtt]]*TbTradesBinance[[#This Row],[Preço]])),W26)-IF(TbTradesBinance[[#This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Row],[Tipo]]="DROP"),W26+TbTradesBinance[[#This Row],[Qtt]],W26-TbTradesBinance[[#This Row],[Qtt]]),IF(TbTradesBinance[[#This Row],[Tipo]]="BUY",W26-TbTradesBinance[[#This Row],[Qtt]]*TbTradesBinance[[#This Row],[Preço]],W26+TbTradesBinance[[#This Row],[Qtt]]*TbTradesBinance[[#This Row],[Preço]])),W26)-IF(TbTradesBinance[[#This Row],[Moeda da Taxa]]=MID(W$1,9,5),TbTradesBinance[[#This Row],[Taxa]],0),8)))</f>
        <v>2.6E-7</v>
      </c>
      <c r="X27" s="145" cm="1">
        <f t="array" ref="X27">IF(TbTradesBinance[[#This Row],[Tipo]]="EMPTY",0,X26+IF(TbTradesBinance[[#This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Row],[Par]]))),$1:$1,0)),-(W26-W27)/W26*X26),0),0)+IF(TbTradesBinance[[#This Row],[Tipo]]="SELL",IF(ISNUMBER(FIND(MID(X$1,10,5),TbTradesBinance[[#This Row],[Par]])),IF(FIND(MID(X$1,10,5),TbTradesBinance[[#This Row],[Par]])=1, -(W26-W27)/W26*X26,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Row],[Par]])),(-(W26-W27)/W26*X26)+IF(TbTradesBinance[[#This Row],[Resultado]]&gt;0,0,TbTradesBinance[[#This Row],[Taxa]]),0),0))</f>
        <v>6.8472278720637547E-2</v>
      </c>
      <c r="Y27" s="145">
        <f t="shared" si="4"/>
        <v>263354.91815629828</v>
      </c>
      <c r="Z2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Row],[Tipo]]="DROP"),Z26+TbTradesBinance[[#This Row],[Qtt]],Z26-TbTradesBinance[[#This Row],[Qtt]]),IF(TbTradesBinance[[#This Row],[Tipo]]="BUY",Z26-TbTradesBinance[[#This Row],[Qtt]]*TbTradesBinance[[#This Row],[Preço]],Z26+TbTradesBinance[[#This Row],[Qtt]]*TbTradesBinance[[#This Row],[Preço]])),Z26)-IF(TbTradesBinance[[#This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Row],[Tipo]]="DROP"),Z26+TbTradesBinance[[#This Row],[Qtt]],Z26-TbTradesBinance[[#This Row],[Qtt]]),IF(TbTradesBinance[[#This Row],[Tipo]]="BUY",Z26-TbTradesBinance[[#This Row],[Qtt]]*TbTradesBinance[[#This Row],[Preço]],Z26+TbTradesBinance[[#This Row],[Qtt]]*TbTradesBinance[[#This Row],[Preço]])),Z26)-IF(TbTradesBinance[[#This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Row],[Tipo]]="DROP"),Z26+TbTradesBinance[[#This Row],[Qtt]],Z26-TbTradesBinance[[#This Row],[Qtt]]),IF(TbTradesBinance[[#This Row],[Tipo]]="BUY",Z26-TbTradesBinance[[#This Row],[Qtt]]*TbTradesBinance[[#This Row],[Preço]],Z26+TbTradesBinance[[#This Row],[Qtt]]*TbTradesBinance[[#This Row],[Preço]])),Z26)-IF(TbTradesBinance[[#This Row],[Moeda da Taxa]]=MID(Z$1,9,5),TbTradesBinance[[#This Row],[Taxa]],0),8)))</f>
        <v>0</v>
      </c>
      <c r="AA27" s="145" cm="1">
        <f t="array" ref="AA27">IF(TbTradesBinance[[#This Row],[Tipo]]="EMPTY",0,AA26+IF(TbTradesBinance[[#This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Row],[Par]]))),$1:$1,0)),-(Z26-Z27)/Z26*AA26),0),0)+IF(TbTradesBinance[[#This Row],[Tipo]]="SELL",IF(ISNUMBER(FIND(MID(AA$1,10,5),TbTradesBinance[[#This Row],[Par]])),IF(FIND(MID(AA$1,10,5),TbTradesBinance[[#This Row],[Par]])=1, -(Z26-Z27)/Z26*AA26,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Row],[Par]])),(-(Z26-Z27)/Z26*AA26)+IF(TbTradesBinance[[#This Row],[Resultado]]&gt;0,0,TbTradesBinance[[#This Row],[Taxa]]),0),0))</f>
        <v>0</v>
      </c>
      <c r="AB27" s="145">
        <f t="shared" si="5"/>
        <v>0</v>
      </c>
      <c r="AC2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Row],[Tipo]]="DROP"),AC26+TbTradesBinance[[#This Row],[Qtt]],AC26-TbTradesBinance[[#This Row],[Qtt]]),IF(TbTradesBinance[[#This Row],[Tipo]]="BUY",AC26-TbTradesBinance[[#This Row],[Qtt]]*TbTradesBinance[[#This Row],[Preço]],AC26+TbTradesBinance[[#This Row],[Qtt]]*TbTradesBinance[[#This Row],[Preço]])),AC26)-IF(TbTradesBinance[[#This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Row],[Tipo]]="DROP"),AC26+TbTradesBinance[[#This Row],[Qtt]],AC26-TbTradesBinance[[#This Row],[Qtt]]),IF(TbTradesBinance[[#This Row],[Tipo]]="BUY",AC26-TbTradesBinance[[#This Row],[Qtt]]*TbTradesBinance[[#This Row],[Preço]],AC26+TbTradesBinance[[#This Row],[Qtt]]*TbTradesBinance[[#This Row],[Preço]])),AC26)-IF(TbTradesBinance[[#This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Row],[Tipo]]="DROP"),AC26+TbTradesBinance[[#This Row],[Qtt]],AC26-TbTradesBinance[[#This Row],[Qtt]]),IF(TbTradesBinance[[#This Row],[Tipo]]="BUY",AC26-TbTradesBinance[[#This Row],[Qtt]]*TbTradesBinance[[#This Row],[Preço]],AC26+TbTradesBinance[[#This Row],[Qtt]]*TbTradesBinance[[#This Row],[Preço]])),AC26)-IF(TbTradesBinance[[#This Row],[Moeda da Taxa]]=MID(AC$1,9,5),TbTradesBinance[[#This Row],[Taxa]],0),8)))</f>
        <v>0</v>
      </c>
      <c r="AD27" s="145" cm="1">
        <f t="array" ref="AD27">IF(TbTradesBinance[[#This Row],[Tipo]]="EMPTY",0,AD26+IF(TbTradesBinance[[#This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Row],[Par]]))),$1:$1,0)),-(AC26-AC27)/AC26*AD26),0),0)+IF(TbTradesBinance[[#This Row],[Tipo]]="SELL",IF(ISNUMBER(FIND(MID(AD$1,10,5),TbTradesBinance[[#This Row],[Par]])),IF(FIND(MID(AD$1,10,5),TbTradesBinance[[#This Row],[Par]])=1, -(AC26-AC27)/AC26*AD26,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Row],[Par]])),(-(AC26-AC27)/AC26*AD26)+IF(TbTradesBinance[[#This Row],[Resultado]]&gt;0,0,TbTradesBinance[[#This Row],[Taxa]]),0),0))</f>
        <v>0</v>
      </c>
      <c r="AE27" s="145">
        <f t="shared" si="6"/>
        <v>0</v>
      </c>
      <c r="AF2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Row],[Tipo]]="DROP"),AF26+TbTradesBinance[[#This Row],[Qtt]],AF26-TbTradesBinance[[#This Row],[Qtt]]),IF(TbTradesBinance[[#This Row],[Tipo]]="BUY",AF26-TbTradesBinance[[#This Row],[Qtt]]*TbTradesBinance[[#This Row],[Preço]],AF26+TbTradesBinance[[#This Row],[Qtt]]*TbTradesBinance[[#This Row],[Preço]])),AF26)-IF(TbTradesBinance[[#This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Row],[Tipo]]="DROP"),AF26+TbTradesBinance[[#This Row],[Qtt]],AF26-TbTradesBinance[[#This Row],[Qtt]]),IF(TbTradesBinance[[#This Row],[Tipo]]="BUY",AF26-TbTradesBinance[[#This Row],[Qtt]]*TbTradesBinance[[#This Row],[Preço]],AF26+TbTradesBinance[[#This Row],[Qtt]]*TbTradesBinance[[#This Row],[Preço]])),AF26)-IF(TbTradesBinance[[#This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Row],[Tipo]]="DROP"),AF26+TbTradesBinance[[#This Row],[Qtt]],AF26-TbTradesBinance[[#This Row],[Qtt]]),IF(TbTradesBinance[[#This Row],[Tipo]]="BUY",AF26-TbTradesBinance[[#This Row],[Qtt]]*TbTradesBinance[[#This Row],[Preço]],AF26+TbTradesBinance[[#This Row],[Qtt]]*TbTradesBinance[[#This Row],[Preço]])),AF26)-IF(TbTradesBinance[[#This Row],[Moeda da Taxa]]=MID(AF$1,9,5),TbTradesBinance[[#This Row],[Taxa]],0),8)))</f>
        <v>0</v>
      </c>
      <c r="AG27" s="145" cm="1">
        <f t="array" ref="AG27">IF(TbTradesBinance[[#This Row],[Tipo]]="EMPTY",0,AG26+IF(TbTradesBinance[[#This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Row],[Par]]))),$1:$1,0)),-(AF26-AF27)/AF26*AG26),0),0)+IF(TbTradesBinance[[#This Row],[Tipo]]="SELL",IF(ISNUMBER(FIND(MID(AG$1,10,5),TbTradesBinance[[#This Row],[Par]])),IF(FIND(MID(AG$1,10,5),TbTradesBinance[[#This Row],[Par]])=1, -(AF26-AF27)/AF26*AG26,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Row],[Par]])),(-(AF26-AF27)/AF26*AG26)+IF(TbTradesBinance[[#This Row],[Resultado]]&gt;0,0,TbTradesBinance[[#This Row],[Taxa]]),0),0))</f>
        <v>0</v>
      </c>
      <c r="AH27" s="145">
        <f t="shared" si="7"/>
        <v>0</v>
      </c>
      <c r="AI2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Row],[Tipo]]="DROP"),AI26+TbTradesBinance[[#This Row],[Qtt]],AI26-TbTradesBinance[[#This Row],[Qtt]]),IF(TbTradesBinance[[#This Row],[Tipo]]="BUY",AI26-TbTradesBinance[[#This Row],[Qtt]]*TbTradesBinance[[#This Row],[Preço]],AI26+TbTradesBinance[[#This Row],[Qtt]]*TbTradesBinance[[#This Row],[Preço]])),AI26)-IF(TbTradesBinance[[#This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Row],[Tipo]]="DROP"),AI26+TbTradesBinance[[#This Row],[Qtt]],AI26-TbTradesBinance[[#This Row],[Qtt]]),IF(TbTradesBinance[[#This Row],[Tipo]]="BUY",AI26-TbTradesBinance[[#This Row],[Qtt]]*TbTradesBinance[[#This Row],[Preço]],AI26+TbTradesBinance[[#This Row],[Qtt]]*TbTradesBinance[[#This Row],[Preço]])),AI26)-IF(TbTradesBinance[[#This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Row],[Tipo]]="DROP"),AI26+TbTradesBinance[[#This Row],[Qtt]],AI26-TbTradesBinance[[#This Row],[Qtt]]),IF(TbTradesBinance[[#This Row],[Tipo]]="BUY",AI26-TbTradesBinance[[#This Row],[Qtt]]*TbTradesBinance[[#This Row],[Preço]],AI26+TbTradesBinance[[#This Row],[Qtt]]*TbTradesBinance[[#This Row],[Preço]])),AI26)-IF(TbTradesBinance[[#This Row],[Moeda da Taxa]]=MID(AI$1,9,5),TbTradesBinance[[#This Row],[Taxa]],0),8)))</f>
        <v>0</v>
      </c>
      <c r="AJ27" s="145" cm="1">
        <f t="array" ref="AJ27">IF(TbTradesBinance[[#This Row],[Tipo]]="EMPTY",0,AJ26+IF(TbTradesBinance[[#This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Row],[Par]]))),$1:$1,0)),-(AI26-AI27)/AI26*AJ26),0),0)+IF(TbTradesBinance[[#This Row],[Tipo]]="SELL",IF(ISNUMBER(FIND(MID(AJ$1,10,5),TbTradesBinance[[#This Row],[Par]])),IF(FIND(MID(AJ$1,10,5),TbTradesBinance[[#This Row],[Par]])=1, -(AI26-AI27)/AI26*AJ26,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Row],[Par]])),(-(AI26-AI27)/AI26*AJ26)+IF(TbTradesBinance[[#This Row],[Resultado]]&gt;0,0,TbTradesBinance[[#This Row],[Taxa]]),0),0))</f>
        <v>0</v>
      </c>
      <c r="AK27" s="145">
        <f t="shared" si="8"/>
        <v>0</v>
      </c>
      <c r="AL2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Row],[Tipo]]="DROP"),AL26+TbTradesBinance[[#This Row],[Qtt]],AL26-TbTradesBinance[[#This Row],[Qtt]]),IF(TbTradesBinance[[#This Row],[Tipo]]="BUY",AL26-TbTradesBinance[[#This Row],[Qtt]]*TbTradesBinance[[#This Row],[Preço]],AL26+TbTradesBinance[[#This Row],[Qtt]]*TbTradesBinance[[#This Row],[Preço]])),AL26)-IF(TbTradesBinance[[#This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Row],[Tipo]]="DROP"),AL26+TbTradesBinance[[#This Row],[Qtt]],AL26-TbTradesBinance[[#This Row],[Qtt]]),IF(TbTradesBinance[[#This Row],[Tipo]]="BUY",AL26-TbTradesBinance[[#This Row],[Qtt]]*TbTradesBinance[[#This Row],[Preço]],AL26+TbTradesBinance[[#This Row],[Qtt]]*TbTradesBinance[[#This Row],[Preço]])),AL26)-IF(TbTradesBinance[[#This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Row],[Tipo]]="DROP"),AL26+TbTradesBinance[[#This Row],[Qtt]],AL26-TbTradesBinance[[#This Row],[Qtt]]),IF(TbTradesBinance[[#This Row],[Tipo]]="BUY",AL26-TbTradesBinance[[#This Row],[Qtt]]*TbTradesBinance[[#This Row],[Preço]],AL26+TbTradesBinance[[#This Row],[Qtt]]*TbTradesBinance[[#This Row],[Preço]])),AL26)-IF(TbTradesBinance[[#This Row],[Moeda da Taxa]]=MID(AL$1,9,5),TbTradesBinance[[#This Row],[Taxa]],0),8)))</f>
        <v>0</v>
      </c>
      <c r="AM27" s="145" cm="1">
        <f t="array" ref="AM27">IF(TbTradesBinance[[#This Row],[Tipo]]="EMPTY",0,AM26+IF(TbTradesBinance[[#This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Row],[Par]]))),$1:$1,0)),-(AL26-AL27)/AL26*AM26),0),0)+IF(TbTradesBinance[[#This Row],[Tipo]]="SELL",IF(ISNUMBER(FIND(MID(AM$1,10,5),TbTradesBinance[[#This Row],[Par]])),IF(FIND(MID(AM$1,10,5),TbTradesBinance[[#This Row],[Par]])=1, -(AL26-AL27)/AL26*AM26,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Row],[Par]])),(-(AL26-AL27)/AL26*AM26)+IF(TbTradesBinance[[#This Row],[Resultado]]&gt;0,0,TbTradesBinance[[#This Row],[Taxa]]),0),0))</f>
        <v>0</v>
      </c>
      <c r="AN27" s="145">
        <f t="shared" si="9"/>
        <v>0</v>
      </c>
      <c r="AO2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Row],[Tipo]]="DROP"),AO26+TbTradesBinance[[#This Row],[Qtt]],AO26-TbTradesBinance[[#This Row],[Qtt]]),IF(TbTradesBinance[[#This Row],[Tipo]]="BUY",AO26-TbTradesBinance[[#This Row],[Qtt]]*TbTradesBinance[[#This Row],[Preço]],AO26+TbTradesBinance[[#This Row],[Qtt]]*TbTradesBinance[[#This Row],[Preço]])),AO26)-IF(TbTradesBinance[[#This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Row],[Tipo]]="DROP"),AO26+TbTradesBinance[[#This Row],[Qtt]],AO26-TbTradesBinance[[#This Row],[Qtt]]),IF(TbTradesBinance[[#This Row],[Tipo]]="BUY",AO26-TbTradesBinance[[#This Row],[Qtt]]*TbTradesBinance[[#This Row],[Preço]],AO26+TbTradesBinance[[#This Row],[Qtt]]*TbTradesBinance[[#This Row],[Preço]])),AO26)-IF(TbTradesBinance[[#This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Row],[Tipo]]="DROP"),AO26+TbTradesBinance[[#This Row],[Qtt]],AO26-TbTradesBinance[[#This Row],[Qtt]]),IF(TbTradesBinance[[#This Row],[Tipo]]="BUY",AO26-TbTradesBinance[[#This Row],[Qtt]]*TbTradesBinance[[#This Row],[Preço]],AO26+TbTradesBinance[[#This Row],[Qtt]]*TbTradesBinance[[#This Row],[Preço]])),AO26)-IF(TbTradesBinance[[#This Row],[Moeda da Taxa]]=MID(AO$1,9,5),TbTradesBinance[[#This Row],[Taxa]],0),8)))</f>
        <v>0</v>
      </c>
      <c r="AP27" s="145" cm="1">
        <f t="array" ref="AP27">IF(TbTradesBinance[[#This Row],[Tipo]]="EMPTY",0,AP26+IF(TbTradesBinance[[#This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Row],[Par]]))),$1:$1,0)),-(AO26-AO27)/AO26*AP26),0),0)+IF(TbTradesBinance[[#This Row],[Tipo]]="SELL",IF(ISNUMBER(FIND(MID(AP$1,10,5),TbTradesBinance[[#This Row],[Par]])),IF(FIND(MID(AP$1,10,5),TbTradesBinance[[#This Row],[Par]])=1, -(AO26-AO27)/AO26*AP26,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Row],[Par]])),(-(AO26-AO27)/AO26*AP26)+IF(TbTradesBinance[[#This Row],[Resultado]]&gt;0,0,TbTradesBinance[[#This Row],[Taxa]]),0),0))</f>
        <v>0</v>
      </c>
      <c r="AQ27" s="145">
        <f t="shared" si="10"/>
        <v>0</v>
      </c>
      <c r="AR2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Row],[Tipo]]="DROP"),AR26+TbTradesBinance[[#This Row],[Qtt]],AR26-TbTradesBinance[[#This Row],[Qtt]]),IF(TbTradesBinance[[#This Row],[Tipo]]="BUY",AR26-TbTradesBinance[[#This Row],[Qtt]]*TbTradesBinance[[#This Row],[Preço]],AR26+TbTradesBinance[[#This Row],[Qtt]]*TbTradesBinance[[#This Row],[Preço]])),AR26)-IF(TbTradesBinance[[#This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Row],[Tipo]]="DROP"),AR26+TbTradesBinance[[#This Row],[Qtt]],AR26-TbTradesBinance[[#This Row],[Qtt]]),IF(TbTradesBinance[[#This Row],[Tipo]]="BUY",AR26-TbTradesBinance[[#This Row],[Qtt]]*TbTradesBinance[[#This Row],[Preço]],AR26+TbTradesBinance[[#This Row],[Qtt]]*TbTradesBinance[[#This Row],[Preço]])),AR26)-IF(TbTradesBinance[[#This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Row],[Tipo]]="DROP"),AR26+TbTradesBinance[[#This Row],[Qtt]],AR26-TbTradesBinance[[#This Row],[Qtt]]),IF(TbTradesBinance[[#This Row],[Tipo]]="BUY",AR26-TbTradesBinance[[#This Row],[Qtt]]*TbTradesBinance[[#This Row],[Preço]],AR26+TbTradesBinance[[#This Row],[Qtt]]*TbTradesBinance[[#This Row],[Preço]])),AR26)-IF(TbTradesBinance[[#This Row],[Moeda da Taxa]]=MID(AR$1,9,5),TbTradesBinance[[#This Row],[Taxa]],0),8)))</f>
        <v>0</v>
      </c>
      <c r="AS27" s="145" cm="1">
        <f t="array" ref="AS27">IF(TbTradesBinance[[#This Row],[Tipo]]="EMPTY",0,AS26+IF(TbTradesBinance[[#This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Row],[Par]]))),$1:$1,0)),-(AR26-AR27)/AR26*AS26),0),0)+IF(TbTradesBinance[[#This Row],[Tipo]]="SELL",IF(ISNUMBER(FIND(MID(AS$1,10,5),TbTradesBinance[[#This Row],[Par]])),IF(FIND(MID(AS$1,10,5),TbTradesBinance[[#This Row],[Par]])=1, -(AR26-AR27)/AR26*AS26,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Row],[Par]])),(-(AR26-AR27)/AR26*AS26)+IF(TbTradesBinance[[#This Row],[Resultado]]&gt;0,0,TbTradesBinance[[#This Row],[Taxa]]),0),0))</f>
        <v>0</v>
      </c>
      <c r="AT27" s="145">
        <f t="shared" si="11"/>
        <v>0</v>
      </c>
      <c r="AU2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Row],[Tipo]]="DROP"),AU26+TbTradesBinance[[#This Row],[Qtt]],AU26-TbTradesBinance[[#This Row],[Qtt]]),IF(TbTradesBinance[[#This Row],[Tipo]]="BUY",AU26-TbTradesBinance[[#This Row],[Qtt]]*TbTradesBinance[[#This Row],[Preço]],AU26+TbTradesBinance[[#This Row],[Qtt]]*TbTradesBinance[[#This Row],[Preço]])),AU26)-IF(TbTradesBinance[[#This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Row],[Tipo]]="DROP"),AU26+TbTradesBinance[[#This Row],[Qtt]],AU26-TbTradesBinance[[#This Row],[Qtt]]),IF(TbTradesBinance[[#This Row],[Tipo]]="BUY",AU26-TbTradesBinance[[#This Row],[Qtt]]*TbTradesBinance[[#This Row],[Preço]],AU26+TbTradesBinance[[#This Row],[Qtt]]*TbTradesBinance[[#This Row],[Preço]])),AU26)-IF(TbTradesBinance[[#This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Row],[Tipo]]="DROP"),AU26+TbTradesBinance[[#This Row],[Qtt]],AU26-TbTradesBinance[[#This Row],[Qtt]]),IF(TbTradesBinance[[#This Row],[Tipo]]="BUY",AU26-TbTradesBinance[[#This Row],[Qtt]]*TbTradesBinance[[#This Row],[Preço]],AU26+TbTradesBinance[[#This Row],[Qtt]]*TbTradesBinance[[#This Row],[Preço]])),AU26)-IF(TbTradesBinance[[#This Row],[Moeda da Taxa]]=MID(AU$1,9,5),TbTradesBinance[[#This Row],[Taxa]],0),8)))</f>
        <v>0</v>
      </c>
      <c r="AV27" s="145" cm="1">
        <f t="array" ref="AV27">IF(TbTradesBinance[[#This Row],[Tipo]]="EMPTY",0,AV26+IF(TbTradesBinance[[#This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Row],[Par]]))),$1:$1,0)),-(AU26-AU27)/AU26*AV26),0),0)+IF(TbTradesBinance[[#This Row],[Tipo]]="SELL",IF(ISNUMBER(FIND(MID(AV$1,10,5),TbTradesBinance[[#This Row],[Par]])),IF(FIND(MID(AV$1,10,5),TbTradesBinance[[#This Row],[Par]])=1, -(AU26-AU27)/AU26*AV26,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Row],[Par]])),(-(AU26-AU27)/AU26*AV26)+IF(TbTradesBinance[[#This Row],[Resultado]]&gt;0,0,TbTradesBinance[[#This Row],[Taxa]]),0),0))</f>
        <v>0</v>
      </c>
      <c r="AW27" s="145">
        <f t="shared" si="12"/>
        <v>0</v>
      </c>
      <c r="AX2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Row],[Tipo]]="DROP"),AX26+TbTradesBinance[[#This Row],[Qtt]],AX26-TbTradesBinance[[#This Row],[Qtt]]),IF(TbTradesBinance[[#This Row],[Tipo]]="BUY",AX26-TbTradesBinance[[#This Row],[Qtt]]*TbTradesBinance[[#This Row],[Preço]],AX26+TbTradesBinance[[#This Row],[Qtt]]*TbTradesBinance[[#This Row],[Preço]])),AX26)-IF(TbTradesBinance[[#This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Row],[Tipo]]="DROP"),AX26+TbTradesBinance[[#This Row],[Qtt]],AX26-TbTradesBinance[[#This Row],[Qtt]]),IF(TbTradesBinance[[#This Row],[Tipo]]="BUY",AX26-TbTradesBinance[[#This Row],[Qtt]]*TbTradesBinance[[#This Row],[Preço]],AX26+TbTradesBinance[[#This Row],[Qtt]]*TbTradesBinance[[#This Row],[Preço]])),AX26)-IF(TbTradesBinance[[#This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Row],[Tipo]]="DROP"),AX26+TbTradesBinance[[#This Row],[Qtt]],AX26-TbTradesBinance[[#This Row],[Qtt]]),IF(TbTradesBinance[[#This Row],[Tipo]]="BUY",AX26-TbTradesBinance[[#This Row],[Qtt]]*TbTradesBinance[[#This Row],[Preço]],AX26+TbTradesBinance[[#This Row],[Qtt]]*TbTradesBinance[[#This Row],[Preço]])),AX26)-IF(TbTradesBinance[[#This Row],[Moeda da Taxa]]=MID(AX$1,9,5),TbTradesBinance[[#This Row],[Taxa]],0),8)))</f>
        <v>0</v>
      </c>
      <c r="AY27" s="145" cm="1">
        <f t="array" ref="AY27">IF(TbTradesBinance[[#This Row],[Tipo]]="EMPTY",0,AY26+IF(TbTradesBinance[[#This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Row],[Par]]))),$1:$1,0)),-(AX26-AX27)/AX26*AY26),0),0)+IF(TbTradesBinance[[#This Row],[Tipo]]="SELL",IF(ISNUMBER(FIND(MID(AY$1,10,5),TbTradesBinance[[#This Row],[Par]])),IF(FIND(MID(AY$1,10,5),TbTradesBinance[[#This Row],[Par]])=1, -(AX26-AX27)/AX26*AY26,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Row],[Par]])),(-(AX26-AX27)/AX26*AY26)+IF(TbTradesBinance[[#This Row],[Resultado]]&gt;0,0,TbTradesBinance[[#This Row],[Taxa]]),0),0))</f>
        <v>0</v>
      </c>
      <c r="AZ27" s="145">
        <f t="shared" si="13"/>
        <v>0</v>
      </c>
      <c r="BA2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Row],[Tipo]]="DROP"),BA26+TbTradesBinance[[#This Row],[Qtt]],BA26-TbTradesBinance[[#This Row],[Qtt]]),IF(TbTradesBinance[[#This Row],[Tipo]]="BUY",BA26-TbTradesBinance[[#This Row],[Qtt]]*TbTradesBinance[[#This Row],[Preço]],BA26+TbTradesBinance[[#This Row],[Qtt]]*TbTradesBinance[[#This Row],[Preço]])),BA26)-IF(TbTradesBinance[[#This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Row],[Tipo]]="DROP"),BA26+TbTradesBinance[[#This Row],[Qtt]],BA26-TbTradesBinance[[#This Row],[Qtt]]),IF(TbTradesBinance[[#This Row],[Tipo]]="BUY",BA26-TbTradesBinance[[#This Row],[Qtt]]*TbTradesBinance[[#This Row],[Preço]],BA26+TbTradesBinance[[#This Row],[Qtt]]*TbTradesBinance[[#This Row],[Preço]])),BA26)-IF(TbTradesBinance[[#This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Row],[Tipo]]="DROP"),BA26+TbTradesBinance[[#This Row],[Qtt]],BA26-TbTradesBinance[[#This Row],[Qtt]]),IF(TbTradesBinance[[#This Row],[Tipo]]="BUY",BA26-TbTradesBinance[[#This Row],[Qtt]]*TbTradesBinance[[#This Row],[Preço]],BA26+TbTradesBinance[[#This Row],[Qtt]]*TbTradesBinance[[#This Row],[Preço]])),BA26)-IF(TbTradesBinance[[#This Row],[Moeda da Taxa]]=MID(BA$1,9,5),TbTradesBinance[[#This Row],[Taxa]],0),8)))</f>
        <v>0</v>
      </c>
      <c r="BB27" s="145" cm="1">
        <f t="array" ref="BB27">IF(TbTradesBinance[[#This Row],[Tipo]]="EMPTY",0,BB26+IF(TbTradesBinance[[#This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Row],[Par]]))),$1:$1,0)),-(BA26-BA27)/BA26*BB26),0),0)+IF(TbTradesBinance[[#This Row],[Tipo]]="SELL",IF(ISNUMBER(FIND(MID(BB$1,10,5),TbTradesBinance[[#This Row],[Par]])),IF(FIND(MID(BB$1,10,5),TbTradesBinance[[#This Row],[Par]])=1, -(BA26-BA27)/BA26*BB26,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Row],[Par]])),(-(BA26-BA27)/BA26*BB26)+IF(TbTradesBinance[[#This Row],[Resultado]]&gt;0,0,TbTradesBinance[[#This Row],[Taxa]]),0),0))</f>
        <v>0</v>
      </c>
      <c r="BC27" s="145">
        <f t="shared" si="14"/>
        <v>0</v>
      </c>
      <c r="BD2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Row],[Tipo]]="DROP"),BD26+TbTradesBinance[[#This Row],[Qtt]],BD26-TbTradesBinance[[#This Row],[Qtt]]),IF(TbTradesBinance[[#This Row],[Tipo]]="BUY",BD26-TbTradesBinance[[#This Row],[Qtt]]*TbTradesBinance[[#This Row],[Preço]],BD26+TbTradesBinance[[#This Row],[Qtt]]*TbTradesBinance[[#This Row],[Preço]])),BD26)-IF(TbTradesBinance[[#This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Row],[Tipo]]="DROP"),BD26+TbTradesBinance[[#This Row],[Qtt]],BD26-TbTradesBinance[[#This Row],[Qtt]]),IF(TbTradesBinance[[#This Row],[Tipo]]="BUY",BD26-TbTradesBinance[[#This Row],[Qtt]]*TbTradesBinance[[#This Row],[Preço]],BD26+TbTradesBinance[[#This Row],[Qtt]]*TbTradesBinance[[#This Row],[Preço]])),BD26)-IF(TbTradesBinance[[#This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Row],[Tipo]]="DROP"),BD26+TbTradesBinance[[#This Row],[Qtt]],BD26-TbTradesBinance[[#This Row],[Qtt]]),IF(TbTradesBinance[[#This Row],[Tipo]]="BUY",BD26-TbTradesBinance[[#This Row],[Qtt]]*TbTradesBinance[[#This Row],[Preço]],BD26+TbTradesBinance[[#This Row],[Qtt]]*TbTradesBinance[[#This Row],[Preço]])),BD26)-IF(TbTradesBinance[[#This Row],[Moeda da Taxa]]=MID(BD$1,9,5),TbTradesBinance[[#This Row],[Taxa]],0),8)))</f>
        <v>0.37962000000000001</v>
      </c>
      <c r="BE27" s="145" cm="1">
        <f t="array" ref="BE27">IF(TbTradesBinance[[#This Row],[Tipo]]="EMPTY",0,BE26+IF(TbTradesBinance[[#This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Row],[Par]]))),$1:$1,0)),-(BD26-BD27)/BD26*BE26),0),0)+IF(TbTradesBinance[[#This Row],[Tipo]]="SELL",IF(ISNUMBER(FIND(MID(BE$1,10,5),TbTradesBinance[[#This Row],[Par]])),IF(FIND(MID(BE$1,10,5),TbTradesBinance[[#This Row],[Par]])=1, -(BD26-BD27)/BD26*BE26,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Row],[Par]])),(-(BD26-BD27)/BD26*BE26)+IF(TbTradesBinance[[#This Row],[Resultado]]&gt;0,0,TbTradesBinance[[#This Row],[Taxa]]),0),0))</f>
        <v>63.647297001537943</v>
      </c>
      <c r="BF27" s="145">
        <f t="shared" si="15"/>
        <v>167.66054739354601</v>
      </c>
      <c r="BG2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Row],[Tipo]]="DROP"),BG26+TbTradesBinance[[#This Row],[Qtt]],BG26-TbTradesBinance[[#This Row],[Qtt]]),IF(TbTradesBinance[[#This Row],[Tipo]]="BUY",BG26-TbTradesBinance[[#This Row],[Qtt]]*TbTradesBinance[[#This Row],[Preço]],BG26+TbTradesBinance[[#This Row],[Qtt]]*TbTradesBinance[[#This Row],[Preço]])),BG26)-IF(TbTradesBinance[[#This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Row],[Tipo]]="DROP"),BG26+TbTradesBinance[[#This Row],[Qtt]],BG26-TbTradesBinance[[#This Row],[Qtt]]),IF(TbTradesBinance[[#This Row],[Tipo]]="BUY",BG26-TbTradesBinance[[#This Row],[Qtt]]*TbTradesBinance[[#This Row],[Preço]],BG26+TbTradesBinance[[#This Row],[Qtt]]*TbTradesBinance[[#This Row],[Preço]])),BG26)-IF(TbTradesBinance[[#This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Row],[Tipo]]="DROP"),BG26+TbTradesBinance[[#This Row],[Qtt]],BG26-TbTradesBinance[[#This Row],[Qtt]]),IF(TbTradesBinance[[#This Row],[Tipo]]="BUY",BG26-TbTradesBinance[[#This Row],[Qtt]]*TbTradesBinance[[#This Row],[Preço]],BG26+TbTradesBinance[[#This Row],[Qtt]]*TbTradesBinance[[#This Row],[Preço]])),BG26)-IF(TbTradesBinance[[#This Row],[Moeda da Taxa]]=MID(BG$1,9,5),TbTradesBinance[[#This Row],[Taxa]],0),8)))</f>
        <v>0</v>
      </c>
      <c r="BH27" s="145" cm="1">
        <f t="array" ref="BH27">IF(TbTradesBinance[[#This Row],[Tipo]]="EMPTY",0,BH26+IF(TbTradesBinance[[#This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Row],[Par]]))),$1:$1,0)),-(BG26-BG27)/BG26*BH26),0),0)+IF(TbTradesBinance[[#This Row],[Tipo]]="SELL",IF(ISNUMBER(FIND(MID(BH$1,10,5),TbTradesBinance[[#This Row],[Par]])),IF(FIND(MID(BH$1,10,5),TbTradesBinance[[#This Row],[Par]])=1, -(BG26-BG27)/BG26*BH26,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Row],[Par]])),(-(BG26-BG27)/BG26*BH26)+IF(TbTradesBinance[[#This Row],[Resultado]]&gt;0,0,TbTradesBinance[[#This Row],[Taxa]]),0),0))</f>
        <v>0</v>
      </c>
      <c r="BI27" s="145">
        <f t="shared" si="16"/>
        <v>0</v>
      </c>
      <c r="BJ2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Row],[Tipo]]="DROP"),BJ26+TbTradesBinance[[#This Row],[Qtt]],BJ26-TbTradesBinance[[#This Row],[Qtt]]),IF(TbTradesBinance[[#This Row],[Tipo]]="BUY",BJ26-TbTradesBinance[[#This Row],[Qtt]]*TbTradesBinance[[#This Row],[Preço]],BJ26+TbTradesBinance[[#This Row],[Qtt]]*TbTradesBinance[[#This Row],[Preço]])),BJ26)-IF(TbTradesBinance[[#This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Row],[Tipo]]="DROP"),BJ26+TbTradesBinance[[#This Row],[Qtt]],BJ26-TbTradesBinance[[#This Row],[Qtt]]),IF(TbTradesBinance[[#This Row],[Tipo]]="BUY",BJ26-TbTradesBinance[[#This Row],[Qtt]]*TbTradesBinance[[#This Row],[Preço]],BJ26+TbTradesBinance[[#This Row],[Qtt]]*TbTradesBinance[[#This Row],[Preço]])),BJ26)-IF(TbTradesBinance[[#This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Row],[Tipo]]="DROP"),BJ26+TbTradesBinance[[#This Row],[Qtt]],BJ26-TbTradesBinance[[#This Row],[Qtt]]),IF(TbTradesBinance[[#This Row],[Tipo]]="BUY",BJ26-TbTradesBinance[[#This Row],[Qtt]]*TbTradesBinance[[#This Row],[Preço]],BJ26+TbTradesBinance[[#This Row],[Qtt]]*TbTradesBinance[[#This Row],[Preço]])),BJ26)-IF(TbTradesBinance[[#This Row],[Moeda da Taxa]]=MID(BJ$1,9,5),TbTradesBinance[[#This Row],[Taxa]],0),8)))</f>
        <v>0</v>
      </c>
      <c r="BK27" s="145" cm="1">
        <f t="array" ref="BK27">IF(TbTradesBinance[[#This Row],[Tipo]]="EMPTY",0,BK26+IF(TbTradesBinance[[#This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Row],[Par]]))),$1:$1,0)),-(BJ26-BJ27)/BJ26*BK26),0),0)+IF(TbTradesBinance[[#This Row],[Tipo]]="SELL",IF(ISNUMBER(FIND(MID(BK$1,10,5),TbTradesBinance[[#This Row],[Par]])),IF(FIND(MID(BK$1,10,5),TbTradesBinance[[#This Row],[Par]])=1, -(BJ26-BJ27)/BJ26*BK26,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Row],[Par]])),(-(BJ26-BJ27)/BJ26*BK26)+IF(TbTradesBinance[[#This Row],[Resultado]]&gt;0,0,TbTradesBinance[[#This Row],[Taxa]]),0),0))</f>
        <v>0</v>
      </c>
      <c r="BL27" s="145">
        <f t="shared" si="17"/>
        <v>0</v>
      </c>
      <c r="BM2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Row],[Tipo]]="DROP"),BM26+TbTradesBinance[[#This Row],[Qtt]],BM26-TbTradesBinance[[#This Row],[Qtt]]),IF(TbTradesBinance[[#This Row],[Tipo]]="BUY",BM26-TbTradesBinance[[#This Row],[Qtt]]*TbTradesBinance[[#This Row],[Preço]],BM26+TbTradesBinance[[#This Row],[Qtt]]*TbTradesBinance[[#This Row],[Preço]])),BM26)-IF(TbTradesBinance[[#This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Row],[Tipo]]="DROP"),BM26+TbTradesBinance[[#This Row],[Qtt]],BM26-TbTradesBinance[[#This Row],[Qtt]]),IF(TbTradesBinance[[#This Row],[Tipo]]="BUY",BM26-TbTradesBinance[[#This Row],[Qtt]]*TbTradesBinance[[#This Row],[Preço]],BM26+TbTradesBinance[[#This Row],[Qtt]]*TbTradesBinance[[#This Row],[Preço]])),BM26)-IF(TbTradesBinance[[#This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Row],[Tipo]]="DROP"),BM26+TbTradesBinance[[#This Row],[Qtt]],BM26-TbTradesBinance[[#This Row],[Qtt]]),IF(TbTradesBinance[[#This Row],[Tipo]]="BUY",BM26-TbTradesBinance[[#This Row],[Qtt]]*TbTradesBinance[[#This Row],[Preço]],BM26+TbTradesBinance[[#This Row],[Qtt]]*TbTradesBinance[[#This Row],[Preço]])),BM26)-IF(TbTradesBinance[[#This Row],[Moeda da Taxa]]=MID(BM$1,9,5),TbTradesBinance[[#This Row],[Taxa]],0),8)))</f>
        <v>0</v>
      </c>
      <c r="BN27" s="145" cm="1">
        <f t="array" ref="BN27">IF(TbTradesBinance[[#This Row],[Tipo]]="EMPTY",0,BN26+IF(TbTradesBinance[[#This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Row],[Par]]))),$1:$1,0)),-(BM26-BM27)/BM26*BN26),0),0)+IF(TbTradesBinance[[#This Row],[Tipo]]="SELL",IF(ISNUMBER(FIND(MID(BN$1,10,5),TbTradesBinance[[#This Row],[Par]])),IF(FIND(MID(BN$1,10,5),TbTradesBinance[[#This Row],[Par]])=1, -(BM26-BM27)/BM26*BN26,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Row],[Par]])),(-(BM26-BM27)/BM26*BN26)+IF(TbTradesBinance[[#This Row],[Resultado]]&gt;0,0,TbTradesBinance[[#This Row],[Taxa]]),0),0))</f>
        <v>0</v>
      </c>
      <c r="BO27" s="145">
        <f t="shared" si="18"/>
        <v>0</v>
      </c>
    </row>
    <row r="28" spans="2:67" x14ac:dyDescent="0.3">
      <c r="B28" s="51"/>
      <c r="C28" s="40">
        <f>TRUNC(IF(AND(TbTradesBinance[[#This Row],[Tipo]]="SEND",TbTradesBinance[[#This Row],[Par]]="BRL"),TbTradesBinance[[#This Row],[Qtt]]*(1-P26)-IF(TbTradesBinance[[#This Row],[Moeda da Taxa]]="BRL",TbTradesBinance[[#This Row],[Taxa]],0),0)+IF(AND(TbTradesBinance[[#This Row],[Tipo]]="BURN",TbTradesBinance[[#This Row],[Par]]="BRL"),-TbTradesBinance[[#This Row],[Qtt]]*P26,0),2)</f>
        <v>0</v>
      </c>
      <c r="D28" s="53">
        <v>44255.54247685185</v>
      </c>
      <c r="E28" s="37" t="s">
        <v>138</v>
      </c>
      <c r="F28" s="47" t="s">
        <v>139</v>
      </c>
      <c r="G28" s="38">
        <v>248000</v>
      </c>
      <c r="H28" s="38">
        <v>1.6699999999999999E-4</v>
      </c>
      <c r="I28" s="38">
        <v>0</v>
      </c>
      <c r="J28" s="37" t="s">
        <v>6</v>
      </c>
      <c r="K28" s="52">
        <v>1</v>
      </c>
      <c r="L28" s="40">
        <f t="shared" si="0"/>
        <v>248000</v>
      </c>
      <c r="M28" s="40">
        <f>IF(OR(TbTradesBinance[[#This Row],[Tipo]]="BUY",TbTradesBinance[[#This Row],[Tipo]]="RECEIVE",TbTradesBinance[[#This Row],[Tipo]]="DROP"),L28*H28,-L28*H28)</f>
        <v>41.415999999999997</v>
      </c>
      <c r="N2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Row],[Tipo]]="DROP"),N27+TbTradesBinance[[#This Row],[Qtt]],N27-TbTradesBinance[[#This Row],[Qtt]]),IF(TbTradesBinance[[#This Row],[Tipo]]="BUY",N27-TbTradesBinance[[#This Row],[Qtt]]*TbTradesBinance[[#This Row],[Preço]],N27+TbTradesBinance[[#This Row],[Qtt]]*TbTradesBinance[[#This Row],[Preço]])),N27)-IF(TbTradesBinance[[#This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Row],[Tipo]]="DROP"),N27+TbTradesBinance[[#This Row],[Qtt]],N27-TbTradesBinance[[#This Row],[Qtt]]),IF(TbTradesBinance[[#This Row],[Tipo]]="BUY",N27-TbTradesBinance[[#This Row],[Qtt]]*TbTradesBinance[[#This Row],[Preço]],N27+TbTradesBinance[[#This Row],[Qtt]]*TbTradesBinance[[#This Row],[Preço]])),N27)-IF(TbTradesBinance[[#This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Row],[Tipo]]="DROP"),N27+TbTradesBinance[[#This Row],[Qtt]],N27-TbTradesBinance[[#This Row],[Qtt]]),IF(TbTradesBinance[[#This Row],[Tipo]]="BUY",N27-TbTradesBinance[[#This Row],[Qtt]]*TbTradesBinance[[#This Row],[Preço]],N27+TbTradesBinance[[#This Row],[Qtt]]*TbTradesBinance[[#This Row],[Preço]])),N27)-IF(TbTradesBinance[[#This Row],[Moeda da Taxa]]=MID(N$1,9,5),TbTradesBinance[[#This Row],[Taxa]],0),8)))</f>
        <v>19941.517586890001</v>
      </c>
      <c r="O28" s="145" cm="1">
        <f t="array" ref="O28">IF(TbTradesBinance[[#This Row],[Tipo]]="EMPTY",0,O27+IF(TbTradesBinance[[#This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Row],[Par]]))),$1:$1,0)),-(N27-N28)/N27*O27),0),0)+IF(TbTradesBinance[[#This Row],[Tipo]]="SELL",IF(ISNUMBER(FIND(MID(O$1,10,5),TbTradesBinance[[#This Row],[Par]])),IF(FIND(MID(O$1,10,5),TbTradesBinance[[#This Row],[Par]])=1, -(N27-N28)/N27*O27,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Row],[Par]])),(-(N27-N28)/N27*O27)+IF(TbTradesBinance[[#This Row],[Resultado]]&gt;0,0,TbTradesBinance[[#This Row],[Taxa]]),0),0))</f>
        <v>19893.223933481939</v>
      </c>
      <c r="P28" s="145">
        <f t="shared" si="1"/>
        <v>0.99757823579887361</v>
      </c>
      <c r="Q2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Row],[Tipo]]="DROP"),Q27+TbTradesBinance[[#This Row],[Qtt]],Q27-TbTradesBinance[[#This Row],[Qtt]]),IF(TbTradesBinance[[#This Row],[Tipo]]="BUY",Q27-TbTradesBinance[[#This Row],[Qtt]]*TbTradesBinance[[#This Row],[Preço]],Q27+TbTradesBinance[[#This Row],[Qtt]]*TbTradesBinance[[#This Row],[Preço]])),Q27)-IF(TbTradesBinance[[#This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Row],[Tipo]]="DROP"),Q27+TbTradesBinance[[#This Row],[Qtt]],Q27-TbTradesBinance[[#This Row],[Qtt]]),IF(TbTradesBinance[[#This Row],[Tipo]]="BUY",Q27-TbTradesBinance[[#This Row],[Qtt]]*TbTradesBinance[[#This Row],[Preço]],Q27+TbTradesBinance[[#This Row],[Qtt]]*TbTradesBinance[[#This Row],[Preço]])),Q27)-IF(TbTradesBinance[[#This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Row],[Tipo]]="DROP"),Q27+TbTradesBinance[[#This Row],[Qtt]],Q27-TbTradesBinance[[#This Row],[Qtt]]),IF(TbTradesBinance[[#This Row],[Tipo]]="BUY",Q27-TbTradesBinance[[#This Row],[Qtt]]*TbTradesBinance[[#This Row],[Preço]],Q27+TbTradesBinance[[#This Row],[Qtt]]*TbTradesBinance[[#This Row],[Preço]])),Q27)-IF(TbTradesBinance[[#This Row],[Moeda da Taxa]]=MID(Q$1,9,5),TbTradesBinance[[#This Row],[Taxa]],0),8)))</f>
        <v>0.27732999000000003</v>
      </c>
      <c r="R28" s="145" cm="1">
        <f t="array" ref="R28">IF(TbTradesBinance[[#This Row],[Tipo]]="EMPTY",0,R27+IF(TbTradesBinance[[#This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Row],[Par]]))),$1:$1,0)),-(Q27-Q28)/Q27*R27),0),0)+IF(TbTradesBinance[[#This Row],[Tipo]]="SELL",IF(ISNUMBER(FIND(MID(R$1,10,5),TbTradesBinance[[#This Row],[Par]])),IF(FIND(MID(R$1,10,5),TbTradesBinance[[#This Row],[Par]])=1, -(Q27-Q28)/Q27*R27,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Row],[Par]])),(-(Q27-Q28)/Q27*R27)+IF(TbTradesBinance[[#This Row],[Resultado]]&gt;0,0,TbTradesBinance[[#This Row],[Taxa]]),0),0))</f>
        <v>1.5509449279899954</v>
      </c>
      <c r="S28" s="145">
        <f t="shared" si="2"/>
        <v>5.592416918163071</v>
      </c>
      <c r="T2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Row],[Tipo]]="DROP"),T27+TbTradesBinance[[#This Row],[Qtt]],T27-TbTradesBinance[[#This Row],[Qtt]]),IF(TbTradesBinance[[#This Row],[Tipo]]="BUY",T27-TbTradesBinance[[#This Row],[Qtt]]*TbTradesBinance[[#This Row],[Preço]],T27+TbTradesBinance[[#This Row],[Qtt]]*TbTradesBinance[[#This Row],[Preço]])),T27)-IF(TbTradesBinance[[#This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Row],[Tipo]]="DROP"),T27+TbTradesBinance[[#This Row],[Qtt]],T27-TbTradesBinance[[#This Row],[Qtt]]),IF(TbTradesBinance[[#This Row],[Tipo]]="BUY",T27-TbTradesBinance[[#This Row],[Qtt]]*TbTradesBinance[[#This Row],[Preço]],T27+TbTradesBinance[[#This Row],[Qtt]]*TbTradesBinance[[#This Row],[Preço]])),T27)-IF(TbTradesBinance[[#This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Row],[Tipo]]="DROP"),T27+TbTradesBinance[[#This Row],[Qtt]],T27-TbTradesBinance[[#This Row],[Qtt]]),IF(TbTradesBinance[[#This Row],[Tipo]]="BUY",T27-TbTradesBinance[[#This Row],[Qtt]]*TbTradesBinance[[#This Row],[Preço]],T27+TbTradesBinance[[#This Row],[Qtt]]*TbTradesBinance[[#This Row],[Preço]])),T27)-IF(TbTradesBinance[[#This Row],[Moeda da Taxa]]=MID(T$1,9,5),TbTradesBinance[[#This Row],[Taxa]],0),8)))</f>
        <v>2.867312E-2</v>
      </c>
      <c r="U28" s="145" cm="1">
        <f t="array" ref="U28">IF(TbTradesBinance[[#This Row],[Tipo]]="EMPTY",0,U27+IF(TbTradesBinance[[#This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Row],[Par]]))),$1:$1,0)),-(T27-T28)/T27*U27),0),0)+IF(TbTradesBinance[[#This Row],[Tipo]]="SELL",IF(ISNUMBER(FIND(MID(U$1,10,5),TbTradesBinance[[#This Row],[Par]])),IF(FIND(MID(U$1,10,5),TbTradesBinance[[#This Row],[Par]])=1, -(T27-T28)/T27*U27,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Row],[Par]])),(-(T27-T28)/T27*U27)+IF(TbTradesBinance[[#This Row],[Resultado]]&gt;0,0,TbTradesBinance[[#This Row],[Taxa]]),0),0))</f>
        <v>0.19365209596473676</v>
      </c>
      <c r="V28" s="145">
        <f t="shared" si="3"/>
        <v>6.7537852861752317</v>
      </c>
      <c r="W2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Row],[Tipo]]="DROP"),W27+TbTradesBinance[[#This Row],[Qtt]],W27-TbTradesBinance[[#This Row],[Qtt]]),IF(TbTradesBinance[[#This Row],[Tipo]]="BUY",W27-TbTradesBinance[[#This Row],[Qtt]]*TbTradesBinance[[#This Row],[Preço]],W27+TbTradesBinance[[#This Row],[Qtt]]*TbTradesBinance[[#This Row],[Preço]])),W27)-IF(TbTradesBinance[[#This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Row],[Tipo]]="DROP"),W27+TbTradesBinance[[#This Row],[Qtt]],W27-TbTradesBinance[[#This Row],[Qtt]]),IF(TbTradesBinance[[#This Row],[Tipo]]="BUY",W27-TbTradesBinance[[#This Row],[Qtt]]*TbTradesBinance[[#This Row],[Preço]],W27+TbTradesBinance[[#This Row],[Qtt]]*TbTradesBinance[[#This Row],[Preço]])),W27)-IF(TbTradesBinance[[#This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Row],[Tipo]]="DROP"),W27+TbTradesBinance[[#This Row],[Qtt]],W27-TbTradesBinance[[#This Row],[Qtt]]),IF(TbTradesBinance[[#This Row],[Tipo]]="BUY",W27-TbTradesBinance[[#This Row],[Qtt]]*TbTradesBinance[[#This Row],[Preço]],W27+TbTradesBinance[[#This Row],[Qtt]]*TbTradesBinance[[#This Row],[Preço]])),W27)-IF(TbTradesBinance[[#This Row],[Moeda da Taxa]]=MID(W$1,9,5),TbTradesBinance[[#This Row],[Taxa]],0),8)))</f>
        <v>1.6725999999999999E-4</v>
      </c>
      <c r="X28" s="145" cm="1">
        <f t="array" ref="X28">IF(TbTradesBinance[[#This Row],[Tipo]]="EMPTY",0,X27+IF(TbTradesBinance[[#This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Row],[Par]]))),$1:$1,0)),-(W27-W28)/W27*X27),0),0)+IF(TbTradesBinance[[#This Row],[Tipo]]="SELL",IF(ISNUMBER(FIND(MID(X$1,10,5),TbTradesBinance[[#This Row],[Par]])),IF(FIND(MID(X$1,10,5),TbTradesBinance[[#This Row],[Par]])=1, -(W27-W28)/W27*X27,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Row],[Par]])),(-(W27-W28)/W27*X27)+IF(TbTradesBinance[[#This Row],[Resultado]]&gt;0,0,TbTradesBinance[[#This Row],[Taxa]]),0),0))</f>
        <v>41.384172492567856</v>
      </c>
      <c r="Y28" s="145">
        <f t="shared" si="4"/>
        <v>247424.20478636769</v>
      </c>
      <c r="Z2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Row],[Tipo]]="DROP"),Z27+TbTradesBinance[[#This Row],[Qtt]],Z27-TbTradesBinance[[#This Row],[Qtt]]),IF(TbTradesBinance[[#This Row],[Tipo]]="BUY",Z27-TbTradesBinance[[#This Row],[Qtt]]*TbTradesBinance[[#This Row],[Preço]],Z27+TbTradesBinance[[#This Row],[Qtt]]*TbTradesBinance[[#This Row],[Preço]])),Z27)-IF(TbTradesBinance[[#This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Row],[Tipo]]="DROP"),Z27+TbTradesBinance[[#This Row],[Qtt]],Z27-TbTradesBinance[[#This Row],[Qtt]]),IF(TbTradesBinance[[#This Row],[Tipo]]="BUY",Z27-TbTradesBinance[[#This Row],[Qtt]]*TbTradesBinance[[#This Row],[Preço]],Z27+TbTradesBinance[[#This Row],[Qtt]]*TbTradesBinance[[#This Row],[Preço]])),Z27)-IF(TbTradesBinance[[#This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Row],[Tipo]]="DROP"),Z27+TbTradesBinance[[#This Row],[Qtt]],Z27-TbTradesBinance[[#This Row],[Qtt]]),IF(TbTradesBinance[[#This Row],[Tipo]]="BUY",Z27-TbTradesBinance[[#This Row],[Qtt]]*TbTradesBinance[[#This Row],[Preço]],Z27+TbTradesBinance[[#This Row],[Qtt]]*TbTradesBinance[[#This Row],[Preço]])),Z27)-IF(TbTradesBinance[[#This Row],[Moeda da Taxa]]=MID(Z$1,9,5),TbTradesBinance[[#This Row],[Taxa]],0),8)))</f>
        <v>0</v>
      </c>
      <c r="AA28" s="145" cm="1">
        <f t="array" ref="AA28">IF(TbTradesBinance[[#This Row],[Tipo]]="EMPTY",0,AA27+IF(TbTradesBinance[[#This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Row],[Par]]))),$1:$1,0)),-(Z27-Z28)/Z27*AA27),0),0)+IF(TbTradesBinance[[#This Row],[Tipo]]="SELL",IF(ISNUMBER(FIND(MID(AA$1,10,5),TbTradesBinance[[#This Row],[Par]])),IF(FIND(MID(AA$1,10,5),TbTradesBinance[[#This Row],[Par]])=1, -(Z27-Z28)/Z27*AA27,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Row],[Par]])),(-(Z27-Z28)/Z27*AA27)+IF(TbTradesBinance[[#This Row],[Resultado]]&gt;0,0,TbTradesBinance[[#This Row],[Taxa]]),0),0))</f>
        <v>0</v>
      </c>
      <c r="AB28" s="145">
        <f t="shared" si="5"/>
        <v>0</v>
      </c>
      <c r="AC2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Row],[Tipo]]="DROP"),AC27+TbTradesBinance[[#This Row],[Qtt]],AC27-TbTradesBinance[[#This Row],[Qtt]]),IF(TbTradesBinance[[#This Row],[Tipo]]="BUY",AC27-TbTradesBinance[[#This Row],[Qtt]]*TbTradesBinance[[#This Row],[Preço]],AC27+TbTradesBinance[[#This Row],[Qtt]]*TbTradesBinance[[#This Row],[Preço]])),AC27)-IF(TbTradesBinance[[#This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Row],[Tipo]]="DROP"),AC27+TbTradesBinance[[#This Row],[Qtt]],AC27-TbTradesBinance[[#This Row],[Qtt]]),IF(TbTradesBinance[[#This Row],[Tipo]]="BUY",AC27-TbTradesBinance[[#This Row],[Qtt]]*TbTradesBinance[[#This Row],[Preço]],AC27+TbTradesBinance[[#This Row],[Qtt]]*TbTradesBinance[[#This Row],[Preço]])),AC27)-IF(TbTradesBinance[[#This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Row],[Tipo]]="DROP"),AC27+TbTradesBinance[[#This Row],[Qtt]],AC27-TbTradesBinance[[#This Row],[Qtt]]),IF(TbTradesBinance[[#This Row],[Tipo]]="BUY",AC27-TbTradesBinance[[#This Row],[Qtt]]*TbTradesBinance[[#This Row],[Preço]],AC27+TbTradesBinance[[#This Row],[Qtt]]*TbTradesBinance[[#This Row],[Preço]])),AC27)-IF(TbTradesBinance[[#This Row],[Moeda da Taxa]]=MID(AC$1,9,5),TbTradesBinance[[#This Row],[Taxa]],0),8)))</f>
        <v>0</v>
      </c>
      <c r="AD28" s="145" cm="1">
        <f t="array" ref="AD28">IF(TbTradesBinance[[#This Row],[Tipo]]="EMPTY",0,AD27+IF(TbTradesBinance[[#This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Row],[Par]]))),$1:$1,0)),-(AC27-AC28)/AC27*AD27),0),0)+IF(TbTradesBinance[[#This Row],[Tipo]]="SELL",IF(ISNUMBER(FIND(MID(AD$1,10,5),TbTradesBinance[[#This Row],[Par]])),IF(FIND(MID(AD$1,10,5),TbTradesBinance[[#This Row],[Par]])=1, -(AC27-AC28)/AC27*AD27,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Row],[Par]])),(-(AC27-AC28)/AC27*AD27)+IF(TbTradesBinance[[#This Row],[Resultado]]&gt;0,0,TbTradesBinance[[#This Row],[Taxa]]),0),0))</f>
        <v>0</v>
      </c>
      <c r="AE28" s="145">
        <f t="shared" si="6"/>
        <v>0</v>
      </c>
      <c r="AF2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Row],[Tipo]]="DROP"),AF27+TbTradesBinance[[#This Row],[Qtt]],AF27-TbTradesBinance[[#This Row],[Qtt]]),IF(TbTradesBinance[[#This Row],[Tipo]]="BUY",AF27-TbTradesBinance[[#This Row],[Qtt]]*TbTradesBinance[[#This Row],[Preço]],AF27+TbTradesBinance[[#This Row],[Qtt]]*TbTradesBinance[[#This Row],[Preço]])),AF27)-IF(TbTradesBinance[[#This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Row],[Tipo]]="DROP"),AF27+TbTradesBinance[[#This Row],[Qtt]],AF27-TbTradesBinance[[#This Row],[Qtt]]),IF(TbTradesBinance[[#This Row],[Tipo]]="BUY",AF27-TbTradesBinance[[#This Row],[Qtt]]*TbTradesBinance[[#This Row],[Preço]],AF27+TbTradesBinance[[#This Row],[Qtt]]*TbTradesBinance[[#This Row],[Preço]])),AF27)-IF(TbTradesBinance[[#This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Row],[Tipo]]="DROP"),AF27+TbTradesBinance[[#This Row],[Qtt]],AF27-TbTradesBinance[[#This Row],[Qtt]]),IF(TbTradesBinance[[#This Row],[Tipo]]="BUY",AF27-TbTradesBinance[[#This Row],[Qtt]]*TbTradesBinance[[#This Row],[Preço]],AF27+TbTradesBinance[[#This Row],[Qtt]]*TbTradesBinance[[#This Row],[Preço]])),AF27)-IF(TbTradesBinance[[#This Row],[Moeda da Taxa]]=MID(AF$1,9,5),TbTradesBinance[[#This Row],[Taxa]],0),8)))</f>
        <v>0</v>
      </c>
      <c r="AG28" s="145" cm="1">
        <f t="array" ref="AG28">IF(TbTradesBinance[[#This Row],[Tipo]]="EMPTY",0,AG27+IF(TbTradesBinance[[#This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Row],[Par]]))),$1:$1,0)),-(AF27-AF28)/AF27*AG27),0),0)+IF(TbTradesBinance[[#This Row],[Tipo]]="SELL",IF(ISNUMBER(FIND(MID(AG$1,10,5),TbTradesBinance[[#This Row],[Par]])),IF(FIND(MID(AG$1,10,5),TbTradesBinance[[#This Row],[Par]])=1, -(AF27-AF28)/AF27*AG27,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Row],[Par]])),(-(AF27-AF28)/AF27*AG27)+IF(TbTradesBinance[[#This Row],[Resultado]]&gt;0,0,TbTradesBinance[[#This Row],[Taxa]]),0),0))</f>
        <v>0</v>
      </c>
      <c r="AH28" s="145">
        <f t="shared" si="7"/>
        <v>0</v>
      </c>
      <c r="AI2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Row],[Tipo]]="DROP"),AI27+TbTradesBinance[[#This Row],[Qtt]],AI27-TbTradesBinance[[#This Row],[Qtt]]),IF(TbTradesBinance[[#This Row],[Tipo]]="BUY",AI27-TbTradesBinance[[#This Row],[Qtt]]*TbTradesBinance[[#This Row],[Preço]],AI27+TbTradesBinance[[#This Row],[Qtt]]*TbTradesBinance[[#This Row],[Preço]])),AI27)-IF(TbTradesBinance[[#This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Row],[Tipo]]="DROP"),AI27+TbTradesBinance[[#This Row],[Qtt]],AI27-TbTradesBinance[[#This Row],[Qtt]]),IF(TbTradesBinance[[#This Row],[Tipo]]="BUY",AI27-TbTradesBinance[[#This Row],[Qtt]]*TbTradesBinance[[#This Row],[Preço]],AI27+TbTradesBinance[[#This Row],[Qtt]]*TbTradesBinance[[#This Row],[Preço]])),AI27)-IF(TbTradesBinance[[#This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Row],[Tipo]]="DROP"),AI27+TbTradesBinance[[#This Row],[Qtt]],AI27-TbTradesBinance[[#This Row],[Qtt]]),IF(TbTradesBinance[[#This Row],[Tipo]]="BUY",AI27-TbTradesBinance[[#This Row],[Qtt]]*TbTradesBinance[[#This Row],[Preço]],AI27+TbTradesBinance[[#This Row],[Qtt]]*TbTradesBinance[[#This Row],[Preço]])),AI27)-IF(TbTradesBinance[[#This Row],[Moeda da Taxa]]=MID(AI$1,9,5),TbTradesBinance[[#This Row],[Taxa]],0),8)))</f>
        <v>0</v>
      </c>
      <c r="AJ28" s="145" cm="1">
        <f t="array" ref="AJ28">IF(TbTradesBinance[[#This Row],[Tipo]]="EMPTY",0,AJ27+IF(TbTradesBinance[[#This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Row],[Par]]))),$1:$1,0)),-(AI27-AI28)/AI27*AJ27),0),0)+IF(TbTradesBinance[[#This Row],[Tipo]]="SELL",IF(ISNUMBER(FIND(MID(AJ$1,10,5),TbTradesBinance[[#This Row],[Par]])),IF(FIND(MID(AJ$1,10,5),TbTradesBinance[[#This Row],[Par]])=1, -(AI27-AI28)/AI27*AJ27,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Row],[Par]])),(-(AI27-AI28)/AI27*AJ27)+IF(TbTradesBinance[[#This Row],[Resultado]]&gt;0,0,TbTradesBinance[[#This Row],[Taxa]]),0),0))</f>
        <v>0</v>
      </c>
      <c r="AK28" s="145">
        <f t="shared" si="8"/>
        <v>0</v>
      </c>
      <c r="AL2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Row],[Tipo]]="DROP"),AL27+TbTradesBinance[[#This Row],[Qtt]],AL27-TbTradesBinance[[#This Row],[Qtt]]),IF(TbTradesBinance[[#This Row],[Tipo]]="BUY",AL27-TbTradesBinance[[#This Row],[Qtt]]*TbTradesBinance[[#This Row],[Preço]],AL27+TbTradesBinance[[#This Row],[Qtt]]*TbTradesBinance[[#This Row],[Preço]])),AL27)-IF(TbTradesBinance[[#This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Row],[Tipo]]="DROP"),AL27+TbTradesBinance[[#This Row],[Qtt]],AL27-TbTradesBinance[[#This Row],[Qtt]]),IF(TbTradesBinance[[#This Row],[Tipo]]="BUY",AL27-TbTradesBinance[[#This Row],[Qtt]]*TbTradesBinance[[#This Row],[Preço]],AL27+TbTradesBinance[[#This Row],[Qtt]]*TbTradesBinance[[#This Row],[Preço]])),AL27)-IF(TbTradesBinance[[#This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Row],[Tipo]]="DROP"),AL27+TbTradesBinance[[#This Row],[Qtt]],AL27-TbTradesBinance[[#This Row],[Qtt]]),IF(TbTradesBinance[[#This Row],[Tipo]]="BUY",AL27-TbTradesBinance[[#This Row],[Qtt]]*TbTradesBinance[[#This Row],[Preço]],AL27+TbTradesBinance[[#This Row],[Qtt]]*TbTradesBinance[[#This Row],[Preço]])),AL27)-IF(TbTradesBinance[[#This Row],[Moeda da Taxa]]=MID(AL$1,9,5),TbTradesBinance[[#This Row],[Taxa]],0),8)))</f>
        <v>0</v>
      </c>
      <c r="AM28" s="145" cm="1">
        <f t="array" ref="AM28">IF(TbTradesBinance[[#This Row],[Tipo]]="EMPTY",0,AM27+IF(TbTradesBinance[[#This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Row],[Par]]))),$1:$1,0)),-(AL27-AL28)/AL27*AM27),0),0)+IF(TbTradesBinance[[#This Row],[Tipo]]="SELL",IF(ISNUMBER(FIND(MID(AM$1,10,5),TbTradesBinance[[#This Row],[Par]])),IF(FIND(MID(AM$1,10,5),TbTradesBinance[[#This Row],[Par]])=1, -(AL27-AL28)/AL27*AM27,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Row],[Par]])),(-(AL27-AL28)/AL27*AM27)+IF(TbTradesBinance[[#This Row],[Resultado]]&gt;0,0,TbTradesBinance[[#This Row],[Taxa]]),0),0))</f>
        <v>0</v>
      </c>
      <c r="AN28" s="145">
        <f t="shared" si="9"/>
        <v>0</v>
      </c>
      <c r="AO2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Row],[Tipo]]="DROP"),AO27+TbTradesBinance[[#This Row],[Qtt]],AO27-TbTradesBinance[[#This Row],[Qtt]]),IF(TbTradesBinance[[#This Row],[Tipo]]="BUY",AO27-TbTradesBinance[[#This Row],[Qtt]]*TbTradesBinance[[#This Row],[Preço]],AO27+TbTradesBinance[[#This Row],[Qtt]]*TbTradesBinance[[#This Row],[Preço]])),AO27)-IF(TbTradesBinance[[#This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Row],[Tipo]]="DROP"),AO27+TbTradesBinance[[#This Row],[Qtt]],AO27-TbTradesBinance[[#This Row],[Qtt]]),IF(TbTradesBinance[[#This Row],[Tipo]]="BUY",AO27-TbTradesBinance[[#This Row],[Qtt]]*TbTradesBinance[[#This Row],[Preço]],AO27+TbTradesBinance[[#This Row],[Qtt]]*TbTradesBinance[[#This Row],[Preço]])),AO27)-IF(TbTradesBinance[[#This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Row],[Tipo]]="DROP"),AO27+TbTradesBinance[[#This Row],[Qtt]],AO27-TbTradesBinance[[#This Row],[Qtt]]),IF(TbTradesBinance[[#This Row],[Tipo]]="BUY",AO27-TbTradesBinance[[#This Row],[Qtt]]*TbTradesBinance[[#This Row],[Preço]],AO27+TbTradesBinance[[#This Row],[Qtt]]*TbTradesBinance[[#This Row],[Preço]])),AO27)-IF(TbTradesBinance[[#This Row],[Moeda da Taxa]]=MID(AO$1,9,5),TbTradesBinance[[#This Row],[Taxa]],0),8)))</f>
        <v>0</v>
      </c>
      <c r="AP28" s="145" cm="1">
        <f t="array" ref="AP28">IF(TbTradesBinance[[#This Row],[Tipo]]="EMPTY",0,AP27+IF(TbTradesBinance[[#This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Row],[Par]]))),$1:$1,0)),-(AO27-AO28)/AO27*AP27),0),0)+IF(TbTradesBinance[[#This Row],[Tipo]]="SELL",IF(ISNUMBER(FIND(MID(AP$1,10,5),TbTradesBinance[[#This Row],[Par]])),IF(FIND(MID(AP$1,10,5),TbTradesBinance[[#This Row],[Par]])=1, -(AO27-AO28)/AO27*AP27,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Row],[Par]])),(-(AO27-AO28)/AO27*AP27)+IF(TbTradesBinance[[#This Row],[Resultado]]&gt;0,0,TbTradesBinance[[#This Row],[Taxa]]),0),0))</f>
        <v>0</v>
      </c>
      <c r="AQ28" s="145">
        <f t="shared" si="10"/>
        <v>0</v>
      </c>
      <c r="AR2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Row],[Tipo]]="DROP"),AR27+TbTradesBinance[[#This Row],[Qtt]],AR27-TbTradesBinance[[#This Row],[Qtt]]),IF(TbTradesBinance[[#This Row],[Tipo]]="BUY",AR27-TbTradesBinance[[#This Row],[Qtt]]*TbTradesBinance[[#This Row],[Preço]],AR27+TbTradesBinance[[#This Row],[Qtt]]*TbTradesBinance[[#This Row],[Preço]])),AR27)-IF(TbTradesBinance[[#This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Row],[Tipo]]="DROP"),AR27+TbTradesBinance[[#This Row],[Qtt]],AR27-TbTradesBinance[[#This Row],[Qtt]]),IF(TbTradesBinance[[#This Row],[Tipo]]="BUY",AR27-TbTradesBinance[[#This Row],[Qtt]]*TbTradesBinance[[#This Row],[Preço]],AR27+TbTradesBinance[[#This Row],[Qtt]]*TbTradesBinance[[#This Row],[Preço]])),AR27)-IF(TbTradesBinance[[#This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Row],[Tipo]]="DROP"),AR27+TbTradesBinance[[#This Row],[Qtt]],AR27-TbTradesBinance[[#This Row],[Qtt]]),IF(TbTradesBinance[[#This Row],[Tipo]]="BUY",AR27-TbTradesBinance[[#This Row],[Qtt]]*TbTradesBinance[[#This Row],[Preço]],AR27+TbTradesBinance[[#This Row],[Qtt]]*TbTradesBinance[[#This Row],[Preço]])),AR27)-IF(TbTradesBinance[[#This Row],[Moeda da Taxa]]=MID(AR$1,9,5),TbTradesBinance[[#This Row],[Taxa]],0),8)))</f>
        <v>0</v>
      </c>
      <c r="AS28" s="145" cm="1">
        <f t="array" ref="AS28">IF(TbTradesBinance[[#This Row],[Tipo]]="EMPTY",0,AS27+IF(TbTradesBinance[[#This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Row],[Par]]))),$1:$1,0)),-(AR27-AR28)/AR27*AS27),0),0)+IF(TbTradesBinance[[#This Row],[Tipo]]="SELL",IF(ISNUMBER(FIND(MID(AS$1,10,5),TbTradesBinance[[#This Row],[Par]])),IF(FIND(MID(AS$1,10,5),TbTradesBinance[[#This Row],[Par]])=1, -(AR27-AR28)/AR27*AS27,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Row],[Par]])),(-(AR27-AR28)/AR27*AS27)+IF(TbTradesBinance[[#This Row],[Resultado]]&gt;0,0,TbTradesBinance[[#This Row],[Taxa]]),0),0))</f>
        <v>0</v>
      </c>
      <c r="AT28" s="145">
        <f t="shared" si="11"/>
        <v>0</v>
      </c>
      <c r="AU2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Row],[Tipo]]="DROP"),AU27+TbTradesBinance[[#This Row],[Qtt]],AU27-TbTradesBinance[[#This Row],[Qtt]]),IF(TbTradesBinance[[#This Row],[Tipo]]="BUY",AU27-TbTradesBinance[[#This Row],[Qtt]]*TbTradesBinance[[#This Row],[Preço]],AU27+TbTradesBinance[[#This Row],[Qtt]]*TbTradesBinance[[#This Row],[Preço]])),AU27)-IF(TbTradesBinance[[#This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Row],[Tipo]]="DROP"),AU27+TbTradesBinance[[#This Row],[Qtt]],AU27-TbTradesBinance[[#This Row],[Qtt]]),IF(TbTradesBinance[[#This Row],[Tipo]]="BUY",AU27-TbTradesBinance[[#This Row],[Qtt]]*TbTradesBinance[[#This Row],[Preço]],AU27+TbTradesBinance[[#This Row],[Qtt]]*TbTradesBinance[[#This Row],[Preço]])),AU27)-IF(TbTradesBinance[[#This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Row],[Tipo]]="DROP"),AU27+TbTradesBinance[[#This Row],[Qtt]],AU27-TbTradesBinance[[#This Row],[Qtt]]),IF(TbTradesBinance[[#This Row],[Tipo]]="BUY",AU27-TbTradesBinance[[#This Row],[Qtt]]*TbTradesBinance[[#This Row],[Preço]],AU27+TbTradesBinance[[#This Row],[Qtt]]*TbTradesBinance[[#This Row],[Preço]])),AU27)-IF(TbTradesBinance[[#This Row],[Moeda da Taxa]]=MID(AU$1,9,5),TbTradesBinance[[#This Row],[Taxa]],0),8)))</f>
        <v>0</v>
      </c>
      <c r="AV28" s="145" cm="1">
        <f t="array" ref="AV28">IF(TbTradesBinance[[#This Row],[Tipo]]="EMPTY",0,AV27+IF(TbTradesBinance[[#This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Row],[Par]]))),$1:$1,0)),-(AU27-AU28)/AU27*AV27),0),0)+IF(TbTradesBinance[[#This Row],[Tipo]]="SELL",IF(ISNUMBER(FIND(MID(AV$1,10,5),TbTradesBinance[[#This Row],[Par]])),IF(FIND(MID(AV$1,10,5),TbTradesBinance[[#This Row],[Par]])=1, -(AU27-AU28)/AU27*AV27,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Row],[Par]])),(-(AU27-AU28)/AU27*AV27)+IF(TbTradesBinance[[#This Row],[Resultado]]&gt;0,0,TbTradesBinance[[#This Row],[Taxa]]),0),0))</f>
        <v>0</v>
      </c>
      <c r="AW28" s="145">
        <f t="shared" si="12"/>
        <v>0</v>
      </c>
      <c r="AX2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Row],[Tipo]]="DROP"),AX27+TbTradesBinance[[#This Row],[Qtt]],AX27-TbTradesBinance[[#This Row],[Qtt]]),IF(TbTradesBinance[[#This Row],[Tipo]]="BUY",AX27-TbTradesBinance[[#This Row],[Qtt]]*TbTradesBinance[[#This Row],[Preço]],AX27+TbTradesBinance[[#This Row],[Qtt]]*TbTradesBinance[[#This Row],[Preço]])),AX27)-IF(TbTradesBinance[[#This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Row],[Tipo]]="DROP"),AX27+TbTradesBinance[[#This Row],[Qtt]],AX27-TbTradesBinance[[#This Row],[Qtt]]),IF(TbTradesBinance[[#This Row],[Tipo]]="BUY",AX27-TbTradesBinance[[#This Row],[Qtt]]*TbTradesBinance[[#This Row],[Preço]],AX27+TbTradesBinance[[#This Row],[Qtt]]*TbTradesBinance[[#This Row],[Preço]])),AX27)-IF(TbTradesBinance[[#This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Row],[Tipo]]="DROP"),AX27+TbTradesBinance[[#This Row],[Qtt]],AX27-TbTradesBinance[[#This Row],[Qtt]]),IF(TbTradesBinance[[#This Row],[Tipo]]="BUY",AX27-TbTradesBinance[[#This Row],[Qtt]]*TbTradesBinance[[#This Row],[Preço]],AX27+TbTradesBinance[[#This Row],[Qtt]]*TbTradesBinance[[#This Row],[Preço]])),AX27)-IF(TbTradesBinance[[#This Row],[Moeda da Taxa]]=MID(AX$1,9,5),TbTradesBinance[[#This Row],[Taxa]],0),8)))</f>
        <v>0</v>
      </c>
      <c r="AY28" s="145" cm="1">
        <f t="array" ref="AY28">IF(TbTradesBinance[[#This Row],[Tipo]]="EMPTY",0,AY27+IF(TbTradesBinance[[#This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Row],[Par]]))),$1:$1,0)),-(AX27-AX28)/AX27*AY27),0),0)+IF(TbTradesBinance[[#This Row],[Tipo]]="SELL",IF(ISNUMBER(FIND(MID(AY$1,10,5),TbTradesBinance[[#This Row],[Par]])),IF(FIND(MID(AY$1,10,5),TbTradesBinance[[#This Row],[Par]])=1, -(AX27-AX28)/AX27*AY27,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Row],[Par]])),(-(AX27-AX28)/AX27*AY27)+IF(TbTradesBinance[[#This Row],[Resultado]]&gt;0,0,TbTradesBinance[[#This Row],[Taxa]]),0),0))</f>
        <v>0</v>
      </c>
      <c r="AZ28" s="145">
        <f t="shared" si="13"/>
        <v>0</v>
      </c>
      <c r="BA2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Row],[Tipo]]="DROP"),BA27+TbTradesBinance[[#This Row],[Qtt]],BA27-TbTradesBinance[[#This Row],[Qtt]]),IF(TbTradesBinance[[#This Row],[Tipo]]="BUY",BA27-TbTradesBinance[[#This Row],[Qtt]]*TbTradesBinance[[#This Row],[Preço]],BA27+TbTradesBinance[[#This Row],[Qtt]]*TbTradesBinance[[#This Row],[Preço]])),BA27)-IF(TbTradesBinance[[#This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Row],[Tipo]]="DROP"),BA27+TbTradesBinance[[#This Row],[Qtt]],BA27-TbTradesBinance[[#This Row],[Qtt]]),IF(TbTradesBinance[[#This Row],[Tipo]]="BUY",BA27-TbTradesBinance[[#This Row],[Qtt]]*TbTradesBinance[[#This Row],[Preço]],BA27+TbTradesBinance[[#This Row],[Qtt]]*TbTradesBinance[[#This Row],[Preço]])),BA27)-IF(TbTradesBinance[[#This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Row],[Tipo]]="DROP"),BA27+TbTradesBinance[[#This Row],[Qtt]],BA27-TbTradesBinance[[#This Row],[Qtt]]),IF(TbTradesBinance[[#This Row],[Tipo]]="BUY",BA27-TbTradesBinance[[#This Row],[Qtt]]*TbTradesBinance[[#This Row],[Preço]],BA27+TbTradesBinance[[#This Row],[Qtt]]*TbTradesBinance[[#This Row],[Preço]])),BA27)-IF(TbTradesBinance[[#This Row],[Moeda da Taxa]]=MID(BA$1,9,5),TbTradesBinance[[#This Row],[Taxa]],0),8)))</f>
        <v>0</v>
      </c>
      <c r="BB28" s="145" cm="1">
        <f t="array" ref="BB28">IF(TbTradesBinance[[#This Row],[Tipo]]="EMPTY",0,BB27+IF(TbTradesBinance[[#This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Row],[Par]]))),$1:$1,0)),-(BA27-BA28)/BA27*BB27),0),0)+IF(TbTradesBinance[[#This Row],[Tipo]]="SELL",IF(ISNUMBER(FIND(MID(BB$1,10,5),TbTradesBinance[[#This Row],[Par]])),IF(FIND(MID(BB$1,10,5),TbTradesBinance[[#This Row],[Par]])=1, -(BA27-BA28)/BA27*BB27,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Row],[Par]])),(-(BA27-BA28)/BA27*BB27)+IF(TbTradesBinance[[#This Row],[Resultado]]&gt;0,0,TbTradesBinance[[#This Row],[Taxa]]),0),0))</f>
        <v>0</v>
      </c>
      <c r="BC28" s="145">
        <f t="shared" si="14"/>
        <v>0</v>
      </c>
      <c r="BD2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Row],[Tipo]]="DROP"),BD27+TbTradesBinance[[#This Row],[Qtt]],BD27-TbTradesBinance[[#This Row],[Qtt]]),IF(TbTradesBinance[[#This Row],[Tipo]]="BUY",BD27-TbTradesBinance[[#This Row],[Qtt]]*TbTradesBinance[[#This Row],[Preço]],BD27+TbTradesBinance[[#This Row],[Qtt]]*TbTradesBinance[[#This Row],[Preço]])),BD27)-IF(TbTradesBinance[[#This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Row],[Tipo]]="DROP"),BD27+TbTradesBinance[[#This Row],[Qtt]],BD27-TbTradesBinance[[#This Row],[Qtt]]),IF(TbTradesBinance[[#This Row],[Tipo]]="BUY",BD27-TbTradesBinance[[#This Row],[Qtt]]*TbTradesBinance[[#This Row],[Preço]],BD27+TbTradesBinance[[#This Row],[Qtt]]*TbTradesBinance[[#This Row],[Preço]])),BD27)-IF(TbTradesBinance[[#This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Row],[Tipo]]="DROP"),BD27+TbTradesBinance[[#This Row],[Qtt]],BD27-TbTradesBinance[[#This Row],[Qtt]]),IF(TbTradesBinance[[#This Row],[Tipo]]="BUY",BD27-TbTradesBinance[[#This Row],[Qtt]]*TbTradesBinance[[#This Row],[Preço]],BD27+TbTradesBinance[[#This Row],[Qtt]]*TbTradesBinance[[#This Row],[Preço]])),BD27)-IF(TbTradesBinance[[#This Row],[Moeda da Taxa]]=MID(BD$1,9,5),TbTradesBinance[[#This Row],[Taxa]],0),8)))</f>
        <v>0.37962000000000001</v>
      </c>
      <c r="BE28" s="145" cm="1">
        <f t="array" ref="BE28">IF(TbTradesBinance[[#This Row],[Tipo]]="EMPTY",0,BE27+IF(TbTradesBinance[[#This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Row],[Par]]))),$1:$1,0)),-(BD27-BD28)/BD27*BE27),0),0)+IF(TbTradesBinance[[#This Row],[Tipo]]="SELL",IF(ISNUMBER(FIND(MID(BE$1,10,5),TbTradesBinance[[#This Row],[Par]])),IF(FIND(MID(BE$1,10,5),TbTradesBinance[[#This Row],[Par]])=1, -(BD27-BD28)/BD27*BE27,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Row],[Par]])),(-(BD27-BD28)/BD27*BE27)+IF(TbTradesBinance[[#This Row],[Resultado]]&gt;0,0,TbTradesBinance[[#This Row],[Taxa]]),0),0))</f>
        <v>63.647297001537943</v>
      </c>
      <c r="BF28" s="145">
        <f t="shared" si="15"/>
        <v>167.66054739354601</v>
      </c>
      <c r="BG2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Row],[Tipo]]="DROP"),BG27+TbTradesBinance[[#This Row],[Qtt]],BG27-TbTradesBinance[[#This Row],[Qtt]]),IF(TbTradesBinance[[#This Row],[Tipo]]="BUY",BG27-TbTradesBinance[[#This Row],[Qtt]]*TbTradesBinance[[#This Row],[Preço]],BG27+TbTradesBinance[[#This Row],[Qtt]]*TbTradesBinance[[#This Row],[Preço]])),BG27)-IF(TbTradesBinance[[#This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Row],[Tipo]]="DROP"),BG27+TbTradesBinance[[#This Row],[Qtt]],BG27-TbTradesBinance[[#This Row],[Qtt]]),IF(TbTradesBinance[[#This Row],[Tipo]]="BUY",BG27-TbTradesBinance[[#This Row],[Qtt]]*TbTradesBinance[[#This Row],[Preço]],BG27+TbTradesBinance[[#This Row],[Qtt]]*TbTradesBinance[[#This Row],[Preço]])),BG27)-IF(TbTradesBinance[[#This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Row],[Tipo]]="DROP"),BG27+TbTradesBinance[[#This Row],[Qtt]],BG27-TbTradesBinance[[#This Row],[Qtt]]),IF(TbTradesBinance[[#This Row],[Tipo]]="BUY",BG27-TbTradesBinance[[#This Row],[Qtt]]*TbTradesBinance[[#This Row],[Preço]],BG27+TbTradesBinance[[#This Row],[Qtt]]*TbTradesBinance[[#This Row],[Preço]])),BG27)-IF(TbTradesBinance[[#This Row],[Moeda da Taxa]]=MID(BG$1,9,5),TbTradesBinance[[#This Row],[Taxa]],0),8)))</f>
        <v>0</v>
      </c>
      <c r="BH28" s="145" cm="1">
        <f t="array" ref="BH28">IF(TbTradesBinance[[#This Row],[Tipo]]="EMPTY",0,BH27+IF(TbTradesBinance[[#This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Row],[Par]]))),$1:$1,0)),-(BG27-BG28)/BG27*BH27),0),0)+IF(TbTradesBinance[[#This Row],[Tipo]]="SELL",IF(ISNUMBER(FIND(MID(BH$1,10,5),TbTradesBinance[[#This Row],[Par]])),IF(FIND(MID(BH$1,10,5),TbTradesBinance[[#This Row],[Par]])=1, -(BG27-BG28)/BG27*BH27,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Row],[Par]])),(-(BG27-BG28)/BG27*BH27)+IF(TbTradesBinance[[#This Row],[Resultado]]&gt;0,0,TbTradesBinance[[#This Row],[Taxa]]),0),0))</f>
        <v>0</v>
      </c>
      <c r="BI28" s="145">
        <f t="shared" si="16"/>
        <v>0</v>
      </c>
      <c r="BJ2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Row],[Tipo]]="DROP"),BJ27+TbTradesBinance[[#This Row],[Qtt]],BJ27-TbTradesBinance[[#This Row],[Qtt]]),IF(TbTradesBinance[[#This Row],[Tipo]]="BUY",BJ27-TbTradesBinance[[#This Row],[Qtt]]*TbTradesBinance[[#This Row],[Preço]],BJ27+TbTradesBinance[[#This Row],[Qtt]]*TbTradesBinance[[#This Row],[Preço]])),BJ27)-IF(TbTradesBinance[[#This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Row],[Tipo]]="DROP"),BJ27+TbTradesBinance[[#This Row],[Qtt]],BJ27-TbTradesBinance[[#This Row],[Qtt]]),IF(TbTradesBinance[[#This Row],[Tipo]]="BUY",BJ27-TbTradesBinance[[#This Row],[Qtt]]*TbTradesBinance[[#This Row],[Preço]],BJ27+TbTradesBinance[[#This Row],[Qtt]]*TbTradesBinance[[#This Row],[Preço]])),BJ27)-IF(TbTradesBinance[[#This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Row],[Tipo]]="DROP"),BJ27+TbTradesBinance[[#This Row],[Qtt]],BJ27-TbTradesBinance[[#This Row],[Qtt]]),IF(TbTradesBinance[[#This Row],[Tipo]]="BUY",BJ27-TbTradesBinance[[#This Row],[Qtt]]*TbTradesBinance[[#This Row],[Preço]],BJ27+TbTradesBinance[[#This Row],[Qtt]]*TbTradesBinance[[#This Row],[Preço]])),BJ27)-IF(TbTradesBinance[[#This Row],[Moeda da Taxa]]=MID(BJ$1,9,5),TbTradesBinance[[#This Row],[Taxa]],0),8)))</f>
        <v>0</v>
      </c>
      <c r="BK28" s="145" cm="1">
        <f t="array" ref="BK28">IF(TbTradesBinance[[#This Row],[Tipo]]="EMPTY",0,BK27+IF(TbTradesBinance[[#This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Row],[Par]]))),$1:$1,0)),-(BJ27-BJ28)/BJ27*BK27),0),0)+IF(TbTradesBinance[[#This Row],[Tipo]]="SELL",IF(ISNUMBER(FIND(MID(BK$1,10,5),TbTradesBinance[[#This Row],[Par]])),IF(FIND(MID(BK$1,10,5),TbTradesBinance[[#This Row],[Par]])=1, -(BJ27-BJ28)/BJ27*BK27,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Row],[Par]])),(-(BJ27-BJ28)/BJ27*BK27)+IF(TbTradesBinance[[#This Row],[Resultado]]&gt;0,0,TbTradesBinance[[#This Row],[Taxa]]),0),0))</f>
        <v>0</v>
      </c>
      <c r="BL28" s="145">
        <f t="shared" si="17"/>
        <v>0</v>
      </c>
      <c r="BM2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Row],[Tipo]]="DROP"),BM27+TbTradesBinance[[#This Row],[Qtt]],BM27-TbTradesBinance[[#This Row],[Qtt]]),IF(TbTradesBinance[[#This Row],[Tipo]]="BUY",BM27-TbTradesBinance[[#This Row],[Qtt]]*TbTradesBinance[[#This Row],[Preço]],BM27+TbTradesBinance[[#This Row],[Qtt]]*TbTradesBinance[[#This Row],[Preço]])),BM27)-IF(TbTradesBinance[[#This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Row],[Tipo]]="DROP"),BM27+TbTradesBinance[[#This Row],[Qtt]],BM27-TbTradesBinance[[#This Row],[Qtt]]),IF(TbTradesBinance[[#This Row],[Tipo]]="BUY",BM27-TbTradesBinance[[#This Row],[Qtt]]*TbTradesBinance[[#This Row],[Preço]],BM27+TbTradesBinance[[#This Row],[Qtt]]*TbTradesBinance[[#This Row],[Preço]])),BM27)-IF(TbTradesBinance[[#This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Row],[Tipo]]="DROP"),BM27+TbTradesBinance[[#This Row],[Qtt]],BM27-TbTradesBinance[[#This Row],[Qtt]]),IF(TbTradesBinance[[#This Row],[Tipo]]="BUY",BM27-TbTradesBinance[[#This Row],[Qtt]]*TbTradesBinance[[#This Row],[Preço]],BM27+TbTradesBinance[[#This Row],[Qtt]]*TbTradesBinance[[#This Row],[Preço]])),BM27)-IF(TbTradesBinance[[#This Row],[Moeda da Taxa]]=MID(BM$1,9,5),TbTradesBinance[[#This Row],[Taxa]],0),8)))</f>
        <v>0</v>
      </c>
      <c r="BN28" s="145" cm="1">
        <f t="array" ref="BN28">IF(TbTradesBinance[[#This Row],[Tipo]]="EMPTY",0,BN27+IF(TbTradesBinance[[#This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Row],[Par]]))),$1:$1,0)),-(BM27-BM28)/BM27*BN27),0),0)+IF(TbTradesBinance[[#This Row],[Tipo]]="SELL",IF(ISNUMBER(FIND(MID(BN$1,10,5),TbTradesBinance[[#This Row],[Par]])),IF(FIND(MID(BN$1,10,5),TbTradesBinance[[#This Row],[Par]])=1, -(BM27-BM28)/BM27*BN27,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Row],[Par]])),(-(BM27-BM28)/BM27*BN27)+IF(TbTradesBinance[[#This Row],[Resultado]]&gt;0,0,TbTradesBinance[[#This Row],[Taxa]]),0),0))</f>
        <v>0</v>
      </c>
      <c r="BO28" s="145">
        <f t="shared" si="18"/>
        <v>0</v>
      </c>
    </row>
    <row r="29" spans="2:67" x14ac:dyDescent="0.3">
      <c r="B29" s="51" t="s">
        <v>136</v>
      </c>
      <c r="C29" s="40">
        <f>TRUNC(IF(AND(TbTradesBinance[[#This Row],[Tipo]]="SEND",TbTradesBinance[[#This Row],[Par]]="BRL"),TbTradesBinance[[#This Row],[Qtt]]*(1-P27)-IF(TbTradesBinance[[#This Row],[Moeda da Taxa]]="BRL",TbTradesBinance[[#This Row],[Taxa]],0),0)+IF(AND(TbTradesBinance[[#This Row],[Tipo]]="BURN",TbTradesBinance[[#This Row],[Par]]="BRL"),-TbTradesBinance[[#This Row],[Qtt]]*P27,0),2)</f>
        <v>0</v>
      </c>
      <c r="D29" s="53">
        <v>44256.472025462965</v>
      </c>
      <c r="E29" s="37" t="s">
        <v>50</v>
      </c>
      <c r="F29" s="47" t="s">
        <v>137</v>
      </c>
      <c r="G29" s="38">
        <v>1</v>
      </c>
      <c r="H29" s="38">
        <v>100000</v>
      </c>
      <c r="I29" s="38">
        <v>0</v>
      </c>
      <c r="J29" s="37" t="s">
        <v>50</v>
      </c>
      <c r="K29" s="52">
        <v>1</v>
      </c>
      <c r="L29" s="40">
        <f t="shared" si="0"/>
        <v>1</v>
      </c>
      <c r="M29" s="40">
        <f>IF(OR(TbTradesBinance[[#This Row],[Tipo]]="BUY",TbTradesBinance[[#This Row],[Tipo]]="RECEIVE",TbTradesBinance[[#This Row],[Tipo]]="DROP"),L29*H29,-L29*H29)</f>
        <v>100000</v>
      </c>
      <c r="N2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Row],[Tipo]]="DROP"),N28+TbTradesBinance[[#This Row],[Qtt]],N28-TbTradesBinance[[#This Row],[Qtt]]),IF(TbTradesBinance[[#This Row],[Tipo]]="BUY",N28-TbTradesBinance[[#This Row],[Qtt]]*TbTradesBinance[[#This Row],[Preço]],N28+TbTradesBinance[[#This Row],[Qtt]]*TbTradesBinance[[#This Row],[Preço]])),N28)-IF(TbTradesBinance[[#This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Row],[Tipo]]="DROP"),N28+TbTradesBinance[[#This Row],[Qtt]],N28-TbTradesBinance[[#This Row],[Qtt]]),IF(TbTradesBinance[[#This Row],[Tipo]]="BUY",N28-TbTradesBinance[[#This Row],[Qtt]]*TbTradesBinance[[#This Row],[Preço]],N28+TbTradesBinance[[#This Row],[Qtt]]*TbTradesBinance[[#This Row],[Preço]])),N28)-IF(TbTradesBinance[[#This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Row],[Tipo]]="DROP"),N28+TbTradesBinance[[#This Row],[Qtt]],N28-TbTradesBinance[[#This Row],[Qtt]]),IF(TbTradesBinance[[#This Row],[Tipo]]="BUY",N28-TbTradesBinance[[#This Row],[Qtt]]*TbTradesBinance[[#This Row],[Preço]],N28+TbTradesBinance[[#This Row],[Qtt]]*TbTradesBinance[[#This Row],[Preço]])),N28)-IF(TbTradesBinance[[#This Row],[Moeda da Taxa]]=MID(N$1,9,5),TbTradesBinance[[#This Row],[Taxa]],0),8)))</f>
        <v>119941.51758689</v>
      </c>
      <c r="O29" s="145" cm="1">
        <f t="array" ref="O29">IF(TbTradesBinance[[#This Row],[Tipo]]="EMPTY",0,O28+IF(TbTradesBinance[[#This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Row],[Par]]))),$1:$1,0)),-(N28-N29)/N28*O28),0),0)+IF(TbTradesBinance[[#This Row],[Tipo]]="SELL",IF(ISNUMBER(FIND(MID(O$1,10,5),TbTradesBinance[[#This Row],[Par]])),IF(FIND(MID(O$1,10,5),TbTradesBinance[[#This Row],[Par]])=1, -(N28-N29)/N28*O28,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Row],[Par]])),(-(N28-N29)/N28*O28)+IF(TbTradesBinance[[#This Row],[Resultado]]&gt;0,0,TbTradesBinance[[#This Row],[Taxa]]),0),0))</f>
        <v>119893.22393348193</v>
      </c>
      <c r="P29" s="145">
        <f t="shared" si="1"/>
        <v>0.99959735665864757</v>
      </c>
      <c r="Q2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Row],[Tipo]]="DROP"),Q28+TbTradesBinance[[#This Row],[Qtt]],Q28-TbTradesBinance[[#This Row],[Qtt]]),IF(TbTradesBinance[[#This Row],[Tipo]]="BUY",Q28-TbTradesBinance[[#This Row],[Qtt]]*TbTradesBinance[[#This Row],[Preço]],Q28+TbTradesBinance[[#This Row],[Qtt]]*TbTradesBinance[[#This Row],[Preço]])),Q28)-IF(TbTradesBinance[[#This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Row],[Tipo]]="DROP"),Q28+TbTradesBinance[[#This Row],[Qtt]],Q28-TbTradesBinance[[#This Row],[Qtt]]),IF(TbTradesBinance[[#This Row],[Tipo]]="BUY",Q28-TbTradesBinance[[#This Row],[Qtt]]*TbTradesBinance[[#This Row],[Preço]],Q28+TbTradesBinance[[#This Row],[Qtt]]*TbTradesBinance[[#This Row],[Preço]])),Q28)-IF(TbTradesBinance[[#This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Row],[Tipo]]="DROP"),Q28+TbTradesBinance[[#This Row],[Qtt]],Q28-TbTradesBinance[[#This Row],[Qtt]]),IF(TbTradesBinance[[#This Row],[Tipo]]="BUY",Q28-TbTradesBinance[[#This Row],[Qtt]]*TbTradesBinance[[#This Row],[Preço]],Q28+TbTradesBinance[[#This Row],[Qtt]]*TbTradesBinance[[#This Row],[Preço]])),Q28)-IF(TbTradesBinance[[#This Row],[Moeda da Taxa]]=MID(Q$1,9,5),TbTradesBinance[[#This Row],[Taxa]],0),8)))</f>
        <v>0.27732999000000003</v>
      </c>
      <c r="R29" s="145" cm="1">
        <f t="array" ref="R29">IF(TbTradesBinance[[#This Row],[Tipo]]="EMPTY",0,R28+IF(TbTradesBinance[[#This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Row],[Par]]))),$1:$1,0)),-(Q28-Q29)/Q28*R28),0),0)+IF(TbTradesBinance[[#This Row],[Tipo]]="SELL",IF(ISNUMBER(FIND(MID(R$1,10,5),TbTradesBinance[[#This Row],[Par]])),IF(FIND(MID(R$1,10,5),TbTradesBinance[[#This Row],[Par]])=1, -(Q28-Q29)/Q28*R28,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Row],[Par]])),(-(Q28-Q29)/Q28*R28)+IF(TbTradesBinance[[#This Row],[Resultado]]&gt;0,0,TbTradesBinance[[#This Row],[Taxa]]),0),0))</f>
        <v>1.5509449279899954</v>
      </c>
      <c r="S29" s="145">
        <f t="shared" si="2"/>
        <v>5.592416918163071</v>
      </c>
      <c r="T2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Row],[Tipo]]="DROP"),T28+TbTradesBinance[[#This Row],[Qtt]],T28-TbTradesBinance[[#This Row],[Qtt]]),IF(TbTradesBinance[[#This Row],[Tipo]]="BUY",T28-TbTradesBinance[[#This Row],[Qtt]]*TbTradesBinance[[#This Row],[Preço]],T28+TbTradesBinance[[#This Row],[Qtt]]*TbTradesBinance[[#This Row],[Preço]])),T28)-IF(TbTradesBinance[[#This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Row],[Tipo]]="DROP"),T28+TbTradesBinance[[#This Row],[Qtt]],T28-TbTradesBinance[[#This Row],[Qtt]]),IF(TbTradesBinance[[#This Row],[Tipo]]="BUY",T28-TbTradesBinance[[#This Row],[Qtt]]*TbTradesBinance[[#This Row],[Preço]],T28+TbTradesBinance[[#This Row],[Qtt]]*TbTradesBinance[[#This Row],[Preço]])),T28)-IF(TbTradesBinance[[#This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Row],[Tipo]]="DROP"),T28+TbTradesBinance[[#This Row],[Qtt]],T28-TbTradesBinance[[#This Row],[Qtt]]),IF(TbTradesBinance[[#This Row],[Tipo]]="BUY",T28-TbTradesBinance[[#This Row],[Qtt]]*TbTradesBinance[[#This Row],[Preço]],T28+TbTradesBinance[[#This Row],[Qtt]]*TbTradesBinance[[#This Row],[Preço]])),T28)-IF(TbTradesBinance[[#This Row],[Moeda da Taxa]]=MID(T$1,9,5),TbTradesBinance[[#This Row],[Taxa]],0),8)))</f>
        <v>2.867312E-2</v>
      </c>
      <c r="U29" s="145" cm="1">
        <f t="array" ref="U29">IF(TbTradesBinance[[#This Row],[Tipo]]="EMPTY",0,U28+IF(TbTradesBinance[[#This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Row],[Par]]))),$1:$1,0)),-(T28-T29)/T28*U28),0),0)+IF(TbTradesBinance[[#This Row],[Tipo]]="SELL",IF(ISNUMBER(FIND(MID(U$1,10,5),TbTradesBinance[[#This Row],[Par]])),IF(FIND(MID(U$1,10,5),TbTradesBinance[[#This Row],[Par]])=1, -(T28-T29)/T28*U28,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Row],[Par]])),(-(T28-T29)/T28*U28)+IF(TbTradesBinance[[#This Row],[Resultado]]&gt;0,0,TbTradesBinance[[#This Row],[Taxa]]),0),0))</f>
        <v>0.19365209596473676</v>
      </c>
      <c r="V29" s="145">
        <f t="shared" si="3"/>
        <v>6.7537852861752317</v>
      </c>
      <c r="W2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Row],[Tipo]]="DROP"),W28+TbTradesBinance[[#This Row],[Qtt]],W28-TbTradesBinance[[#This Row],[Qtt]]),IF(TbTradesBinance[[#This Row],[Tipo]]="BUY",W28-TbTradesBinance[[#This Row],[Qtt]]*TbTradesBinance[[#This Row],[Preço]],W28+TbTradesBinance[[#This Row],[Qtt]]*TbTradesBinance[[#This Row],[Preço]])),W28)-IF(TbTradesBinance[[#This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Row],[Tipo]]="DROP"),W28+TbTradesBinance[[#This Row],[Qtt]],W28-TbTradesBinance[[#This Row],[Qtt]]),IF(TbTradesBinance[[#This Row],[Tipo]]="BUY",W28-TbTradesBinance[[#This Row],[Qtt]]*TbTradesBinance[[#This Row],[Preço]],W28+TbTradesBinance[[#This Row],[Qtt]]*TbTradesBinance[[#This Row],[Preço]])),W28)-IF(TbTradesBinance[[#This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Row],[Tipo]]="DROP"),W28+TbTradesBinance[[#This Row],[Qtt]],W28-TbTradesBinance[[#This Row],[Qtt]]),IF(TbTradesBinance[[#This Row],[Tipo]]="BUY",W28-TbTradesBinance[[#This Row],[Qtt]]*TbTradesBinance[[#This Row],[Preço]],W28+TbTradesBinance[[#This Row],[Qtt]]*TbTradesBinance[[#This Row],[Preço]])),W28)-IF(TbTradesBinance[[#This Row],[Moeda da Taxa]]=MID(W$1,9,5),TbTradesBinance[[#This Row],[Taxa]],0),8)))</f>
        <v>1.6725999999999999E-4</v>
      </c>
      <c r="X29" s="145" cm="1">
        <f t="array" ref="X29">IF(TbTradesBinance[[#This Row],[Tipo]]="EMPTY",0,X28+IF(TbTradesBinance[[#This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Row],[Par]]))),$1:$1,0)),-(W28-W29)/W28*X28),0),0)+IF(TbTradesBinance[[#This Row],[Tipo]]="SELL",IF(ISNUMBER(FIND(MID(X$1,10,5),TbTradesBinance[[#This Row],[Par]])),IF(FIND(MID(X$1,10,5),TbTradesBinance[[#This Row],[Par]])=1, -(W28-W29)/W28*X28,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Row],[Par]])),(-(W28-W29)/W28*X28)+IF(TbTradesBinance[[#This Row],[Resultado]]&gt;0,0,TbTradesBinance[[#This Row],[Taxa]]),0),0))</f>
        <v>41.384172492567856</v>
      </c>
      <c r="Y29" s="145">
        <f t="shared" si="4"/>
        <v>247424.20478636769</v>
      </c>
      <c r="Z2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Row],[Tipo]]="DROP"),Z28+TbTradesBinance[[#This Row],[Qtt]],Z28-TbTradesBinance[[#This Row],[Qtt]]),IF(TbTradesBinance[[#This Row],[Tipo]]="BUY",Z28-TbTradesBinance[[#This Row],[Qtt]]*TbTradesBinance[[#This Row],[Preço]],Z28+TbTradesBinance[[#This Row],[Qtt]]*TbTradesBinance[[#This Row],[Preço]])),Z28)-IF(TbTradesBinance[[#This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Row],[Tipo]]="DROP"),Z28+TbTradesBinance[[#This Row],[Qtt]],Z28-TbTradesBinance[[#This Row],[Qtt]]),IF(TbTradesBinance[[#This Row],[Tipo]]="BUY",Z28-TbTradesBinance[[#This Row],[Qtt]]*TbTradesBinance[[#This Row],[Preço]],Z28+TbTradesBinance[[#This Row],[Qtt]]*TbTradesBinance[[#This Row],[Preço]])),Z28)-IF(TbTradesBinance[[#This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Row],[Tipo]]="DROP"),Z28+TbTradesBinance[[#This Row],[Qtt]],Z28-TbTradesBinance[[#This Row],[Qtt]]),IF(TbTradesBinance[[#This Row],[Tipo]]="BUY",Z28-TbTradesBinance[[#This Row],[Qtt]]*TbTradesBinance[[#This Row],[Preço]],Z28+TbTradesBinance[[#This Row],[Qtt]]*TbTradesBinance[[#This Row],[Preço]])),Z28)-IF(TbTradesBinance[[#This Row],[Moeda da Taxa]]=MID(Z$1,9,5),TbTradesBinance[[#This Row],[Taxa]],0),8)))</f>
        <v>0</v>
      </c>
      <c r="AA29" s="145" cm="1">
        <f t="array" ref="AA29">IF(TbTradesBinance[[#This Row],[Tipo]]="EMPTY",0,AA28+IF(TbTradesBinance[[#This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Row],[Par]]))),$1:$1,0)),-(Z28-Z29)/Z28*AA28),0),0)+IF(TbTradesBinance[[#This Row],[Tipo]]="SELL",IF(ISNUMBER(FIND(MID(AA$1,10,5),TbTradesBinance[[#This Row],[Par]])),IF(FIND(MID(AA$1,10,5),TbTradesBinance[[#This Row],[Par]])=1, -(Z28-Z29)/Z28*AA28,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Row],[Par]])),(-(Z28-Z29)/Z28*AA28)+IF(TbTradesBinance[[#This Row],[Resultado]]&gt;0,0,TbTradesBinance[[#This Row],[Taxa]]),0),0))</f>
        <v>0</v>
      </c>
      <c r="AB29" s="145">
        <f t="shared" si="5"/>
        <v>0</v>
      </c>
      <c r="AC2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Row],[Tipo]]="DROP"),AC28+TbTradesBinance[[#This Row],[Qtt]],AC28-TbTradesBinance[[#This Row],[Qtt]]),IF(TbTradesBinance[[#This Row],[Tipo]]="BUY",AC28-TbTradesBinance[[#This Row],[Qtt]]*TbTradesBinance[[#This Row],[Preço]],AC28+TbTradesBinance[[#This Row],[Qtt]]*TbTradesBinance[[#This Row],[Preço]])),AC28)-IF(TbTradesBinance[[#This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Row],[Tipo]]="DROP"),AC28+TbTradesBinance[[#This Row],[Qtt]],AC28-TbTradesBinance[[#This Row],[Qtt]]),IF(TbTradesBinance[[#This Row],[Tipo]]="BUY",AC28-TbTradesBinance[[#This Row],[Qtt]]*TbTradesBinance[[#This Row],[Preço]],AC28+TbTradesBinance[[#This Row],[Qtt]]*TbTradesBinance[[#This Row],[Preço]])),AC28)-IF(TbTradesBinance[[#This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Row],[Tipo]]="DROP"),AC28+TbTradesBinance[[#This Row],[Qtt]],AC28-TbTradesBinance[[#This Row],[Qtt]]),IF(TbTradesBinance[[#This Row],[Tipo]]="BUY",AC28-TbTradesBinance[[#This Row],[Qtt]]*TbTradesBinance[[#This Row],[Preço]],AC28+TbTradesBinance[[#This Row],[Qtt]]*TbTradesBinance[[#This Row],[Preço]])),AC28)-IF(TbTradesBinance[[#This Row],[Moeda da Taxa]]=MID(AC$1,9,5),TbTradesBinance[[#This Row],[Taxa]],0),8)))</f>
        <v>0</v>
      </c>
      <c r="AD29" s="145" cm="1">
        <f t="array" ref="AD29">IF(TbTradesBinance[[#This Row],[Tipo]]="EMPTY",0,AD28+IF(TbTradesBinance[[#This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Row],[Par]]))),$1:$1,0)),-(AC28-AC29)/AC28*AD28),0),0)+IF(TbTradesBinance[[#This Row],[Tipo]]="SELL",IF(ISNUMBER(FIND(MID(AD$1,10,5),TbTradesBinance[[#This Row],[Par]])),IF(FIND(MID(AD$1,10,5),TbTradesBinance[[#This Row],[Par]])=1, -(AC28-AC29)/AC28*AD28,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Row],[Par]])),(-(AC28-AC29)/AC28*AD28)+IF(TbTradesBinance[[#This Row],[Resultado]]&gt;0,0,TbTradesBinance[[#This Row],[Taxa]]),0),0))</f>
        <v>0</v>
      </c>
      <c r="AE29" s="145">
        <f t="shared" si="6"/>
        <v>0</v>
      </c>
      <c r="AF2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Row],[Tipo]]="DROP"),AF28+TbTradesBinance[[#This Row],[Qtt]],AF28-TbTradesBinance[[#This Row],[Qtt]]),IF(TbTradesBinance[[#This Row],[Tipo]]="BUY",AF28-TbTradesBinance[[#This Row],[Qtt]]*TbTradesBinance[[#This Row],[Preço]],AF28+TbTradesBinance[[#This Row],[Qtt]]*TbTradesBinance[[#This Row],[Preço]])),AF28)-IF(TbTradesBinance[[#This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Row],[Tipo]]="DROP"),AF28+TbTradesBinance[[#This Row],[Qtt]],AF28-TbTradesBinance[[#This Row],[Qtt]]),IF(TbTradesBinance[[#This Row],[Tipo]]="BUY",AF28-TbTradesBinance[[#This Row],[Qtt]]*TbTradesBinance[[#This Row],[Preço]],AF28+TbTradesBinance[[#This Row],[Qtt]]*TbTradesBinance[[#This Row],[Preço]])),AF28)-IF(TbTradesBinance[[#This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Row],[Tipo]]="DROP"),AF28+TbTradesBinance[[#This Row],[Qtt]],AF28-TbTradesBinance[[#This Row],[Qtt]]),IF(TbTradesBinance[[#This Row],[Tipo]]="BUY",AF28-TbTradesBinance[[#This Row],[Qtt]]*TbTradesBinance[[#This Row],[Preço]],AF28+TbTradesBinance[[#This Row],[Qtt]]*TbTradesBinance[[#This Row],[Preço]])),AF28)-IF(TbTradesBinance[[#This Row],[Moeda da Taxa]]=MID(AF$1,9,5),TbTradesBinance[[#This Row],[Taxa]],0),8)))</f>
        <v>0</v>
      </c>
      <c r="AG29" s="145" cm="1">
        <f t="array" ref="AG29">IF(TbTradesBinance[[#This Row],[Tipo]]="EMPTY",0,AG28+IF(TbTradesBinance[[#This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Row],[Par]]))),$1:$1,0)),-(AF28-AF29)/AF28*AG28),0),0)+IF(TbTradesBinance[[#This Row],[Tipo]]="SELL",IF(ISNUMBER(FIND(MID(AG$1,10,5),TbTradesBinance[[#This Row],[Par]])),IF(FIND(MID(AG$1,10,5),TbTradesBinance[[#This Row],[Par]])=1, -(AF28-AF29)/AF28*AG28,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Row],[Par]])),(-(AF28-AF29)/AF28*AG28)+IF(TbTradesBinance[[#This Row],[Resultado]]&gt;0,0,TbTradesBinance[[#This Row],[Taxa]]),0),0))</f>
        <v>0</v>
      </c>
      <c r="AH29" s="145">
        <f t="shared" si="7"/>
        <v>0</v>
      </c>
      <c r="AI2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Row],[Tipo]]="DROP"),AI28+TbTradesBinance[[#This Row],[Qtt]],AI28-TbTradesBinance[[#This Row],[Qtt]]),IF(TbTradesBinance[[#This Row],[Tipo]]="BUY",AI28-TbTradesBinance[[#This Row],[Qtt]]*TbTradesBinance[[#This Row],[Preço]],AI28+TbTradesBinance[[#This Row],[Qtt]]*TbTradesBinance[[#This Row],[Preço]])),AI28)-IF(TbTradesBinance[[#This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Row],[Tipo]]="DROP"),AI28+TbTradesBinance[[#This Row],[Qtt]],AI28-TbTradesBinance[[#This Row],[Qtt]]),IF(TbTradesBinance[[#This Row],[Tipo]]="BUY",AI28-TbTradesBinance[[#This Row],[Qtt]]*TbTradesBinance[[#This Row],[Preço]],AI28+TbTradesBinance[[#This Row],[Qtt]]*TbTradesBinance[[#This Row],[Preço]])),AI28)-IF(TbTradesBinance[[#This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Row],[Tipo]]="DROP"),AI28+TbTradesBinance[[#This Row],[Qtt]],AI28-TbTradesBinance[[#This Row],[Qtt]]),IF(TbTradesBinance[[#This Row],[Tipo]]="BUY",AI28-TbTradesBinance[[#This Row],[Qtt]]*TbTradesBinance[[#This Row],[Preço]],AI28+TbTradesBinance[[#This Row],[Qtt]]*TbTradesBinance[[#This Row],[Preço]])),AI28)-IF(TbTradesBinance[[#This Row],[Moeda da Taxa]]=MID(AI$1,9,5),TbTradesBinance[[#This Row],[Taxa]],0),8)))</f>
        <v>0</v>
      </c>
      <c r="AJ29" s="145" cm="1">
        <f t="array" ref="AJ29">IF(TbTradesBinance[[#This Row],[Tipo]]="EMPTY",0,AJ28+IF(TbTradesBinance[[#This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Row],[Par]]))),$1:$1,0)),-(AI28-AI29)/AI28*AJ28),0),0)+IF(TbTradesBinance[[#This Row],[Tipo]]="SELL",IF(ISNUMBER(FIND(MID(AJ$1,10,5),TbTradesBinance[[#This Row],[Par]])),IF(FIND(MID(AJ$1,10,5),TbTradesBinance[[#This Row],[Par]])=1, -(AI28-AI29)/AI28*AJ28,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Row],[Par]])),(-(AI28-AI29)/AI28*AJ28)+IF(TbTradesBinance[[#This Row],[Resultado]]&gt;0,0,TbTradesBinance[[#This Row],[Taxa]]),0),0))</f>
        <v>0</v>
      </c>
      <c r="AK29" s="145">
        <f t="shared" si="8"/>
        <v>0</v>
      </c>
      <c r="AL2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Row],[Tipo]]="DROP"),AL28+TbTradesBinance[[#This Row],[Qtt]],AL28-TbTradesBinance[[#This Row],[Qtt]]),IF(TbTradesBinance[[#This Row],[Tipo]]="BUY",AL28-TbTradesBinance[[#This Row],[Qtt]]*TbTradesBinance[[#This Row],[Preço]],AL28+TbTradesBinance[[#This Row],[Qtt]]*TbTradesBinance[[#This Row],[Preço]])),AL28)-IF(TbTradesBinance[[#This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Row],[Tipo]]="DROP"),AL28+TbTradesBinance[[#This Row],[Qtt]],AL28-TbTradesBinance[[#This Row],[Qtt]]),IF(TbTradesBinance[[#This Row],[Tipo]]="BUY",AL28-TbTradesBinance[[#This Row],[Qtt]]*TbTradesBinance[[#This Row],[Preço]],AL28+TbTradesBinance[[#This Row],[Qtt]]*TbTradesBinance[[#This Row],[Preço]])),AL28)-IF(TbTradesBinance[[#This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Row],[Tipo]]="DROP"),AL28+TbTradesBinance[[#This Row],[Qtt]],AL28-TbTradesBinance[[#This Row],[Qtt]]),IF(TbTradesBinance[[#This Row],[Tipo]]="BUY",AL28-TbTradesBinance[[#This Row],[Qtt]]*TbTradesBinance[[#This Row],[Preço]],AL28+TbTradesBinance[[#This Row],[Qtt]]*TbTradesBinance[[#This Row],[Preço]])),AL28)-IF(TbTradesBinance[[#This Row],[Moeda da Taxa]]=MID(AL$1,9,5),TbTradesBinance[[#This Row],[Taxa]],0),8)))</f>
        <v>0</v>
      </c>
      <c r="AM29" s="145" cm="1">
        <f t="array" ref="AM29">IF(TbTradesBinance[[#This Row],[Tipo]]="EMPTY",0,AM28+IF(TbTradesBinance[[#This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Row],[Par]]))),$1:$1,0)),-(AL28-AL29)/AL28*AM28),0),0)+IF(TbTradesBinance[[#This Row],[Tipo]]="SELL",IF(ISNUMBER(FIND(MID(AM$1,10,5),TbTradesBinance[[#This Row],[Par]])),IF(FIND(MID(AM$1,10,5),TbTradesBinance[[#This Row],[Par]])=1, -(AL28-AL29)/AL28*AM28,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Row],[Par]])),(-(AL28-AL29)/AL28*AM28)+IF(TbTradesBinance[[#This Row],[Resultado]]&gt;0,0,TbTradesBinance[[#This Row],[Taxa]]),0),0))</f>
        <v>0</v>
      </c>
      <c r="AN29" s="145">
        <f t="shared" si="9"/>
        <v>0</v>
      </c>
      <c r="AO2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Row],[Tipo]]="DROP"),AO28+TbTradesBinance[[#This Row],[Qtt]],AO28-TbTradesBinance[[#This Row],[Qtt]]),IF(TbTradesBinance[[#This Row],[Tipo]]="BUY",AO28-TbTradesBinance[[#This Row],[Qtt]]*TbTradesBinance[[#This Row],[Preço]],AO28+TbTradesBinance[[#This Row],[Qtt]]*TbTradesBinance[[#This Row],[Preço]])),AO28)-IF(TbTradesBinance[[#This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Row],[Tipo]]="DROP"),AO28+TbTradesBinance[[#This Row],[Qtt]],AO28-TbTradesBinance[[#This Row],[Qtt]]),IF(TbTradesBinance[[#This Row],[Tipo]]="BUY",AO28-TbTradesBinance[[#This Row],[Qtt]]*TbTradesBinance[[#This Row],[Preço]],AO28+TbTradesBinance[[#This Row],[Qtt]]*TbTradesBinance[[#This Row],[Preço]])),AO28)-IF(TbTradesBinance[[#This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Row],[Tipo]]="DROP"),AO28+TbTradesBinance[[#This Row],[Qtt]],AO28-TbTradesBinance[[#This Row],[Qtt]]),IF(TbTradesBinance[[#This Row],[Tipo]]="BUY",AO28-TbTradesBinance[[#This Row],[Qtt]]*TbTradesBinance[[#This Row],[Preço]],AO28+TbTradesBinance[[#This Row],[Qtt]]*TbTradesBinance[[#This Row],[Preço]])),AO28)-IF(TbTradesBinance[[#This Row],[Moeda da Taxa]]=MID(AO$1,9,5),TbTradesBinance[[#This Row],[Taxa]],0),8)))</f>
        <v>0</v>
      </c>
      <c r="AP29" s="145" cm="1">
        <f t="array" ref="AP29">IF(TbTradesBinance[[#This Row],[Tipo]]="EMPTY",0,AP28+IF(TbTradesBinance[[#This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Row],[Par]]))),$1:$1,0)),-(AO28-AO29)/AO28*AP28),0),0)+IF(TbTradesBinance[[#This Row],[Tipo]]="SELL",IF(ISNUMBER(FIND(MID(AP$1,10,5),TbTradesBinance[[#This Row],[Par]])),IF(FIND(MID(AP$1,10,5),TbTradesBinance[[#This Row],[Par]])=1, -(AO28-AO29)/AO28*AP28,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Row],[Par]])),(-(AO28-AO29)/AO28*AP28)+IF(TbTradesBinance[[#This Row],[Resultado]]&gt;0,0,TbTradesBinance[[#This Row],[Taxa]]),0),0))</f>
        <v>0</v>
      </c>
      <c r="AQ29" s="145">
        <f t="shared" si="10"/>
        <v>0</v>
      </c>
      <c r="AR2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Row],[Tipo]]="DROP"),AR28+TbTradesBinance[[#This Row],[Qtt]],AR28-TbTradesBinance[[#This Row],[Qtt]]),IF(TbTradesBinance[[#This Row],[Tipo]]="BUY",AR28-TbTradesBinance[[#This Row],[Qtt]]*TbTradesBinance[[#This Row],[Preço]],AR28+TbTradesBinance[[#This Row],[Qtt]]*TbTradesBinance[[#This Row],[Preço]])),AR28)-IF(TbTradesBinance[[#This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Row],[Tipo]]="DROP"),AR28+TbTradesBinance[[#This Row],[Qtt]],AR28-TbTradesBinance[[#This Row],[Qtt]]),IF(TbTradesBinance[[#This Row],[Tipo]]="BUY",AR28-TbTradesBinance[[#This Row],[Qtt]]*TbTradesBinance[[#This Row],[Preço]],AR28+TbTradesBinance[[#This Row],[Qtt]]*TbTradesBinance[[#This Row],[Preço]])),AR28)-IF(TbTradesBinance[[#This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Row],[Tipo]]="DROP"),AR28+TbTradesBinance[[#This Row],[Qtt]],AR28-TbTradesBinance[[#This Row],[Qtt]]),IF(TbTradesBinance[[#This Row],[Tipo]]="BUY",AR28-TbTradesBinance[[#This Row],[Qtt]]*TbTradesBinance[[#This Row],[Preço]],AR28+TbTradesBinance[[#This Row],[Qtt]]*TbTradesBinance[[#This Row],[Preço]])),AR28)-IF(TbTradesBinance[[#This Row],[Moeda da Taxa]]=MID(AR$1,9,5),TbTradesBinance[[#This Row],[Taxa]],0),8)))</f>
        <v>0</v>
      </c>
      <c r="AS29" s="145" cm="1">
        <f t="array" ref="AS29">IF(TbTradesBinance[[#This Row],[Tipo]]="EMPTY",0,AS28+IF(TbTradesBinance[[#This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Row],[Par]]))),$1:$1,0)),-(AR28-AR29)/AR28*AS28),0),0)+IF(TbTradesBinance[[#This Row],[Tipo]]="SELL",IF(ISNUMBER(FIND(MID(AS$1,10,5),TbTradesBinance[[#This Row],[Par]])),IF(FIND(MID(AS$1,10,5),TbTradesBinance[[#This Row],[Par]])=1, -(AR28-AR29)/AR28*AS28,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Row],[Par]])),(-(AR28-AR29)/AR28*AS28)+IF(TbTradesBinance[[#This Row],[Resultado]]&gt;0,0,TbTradesBinance[[#This Row],[Taxa]]),0),0))</f>
        <v>0</v>
      </c>
      <c r="AT29" s="145">
        <f t="shared" si="11"/>
        <v>0</v>
      </c>
      <c r="AU2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Row],[Tipo]]="DROP"),AU28+TbTradesBinance[[#This Row],[Qtt]],AU28-TbTradesBinance[[#This Row],[Qtt]]),IF(TbTradesBinance[[#This Row],[Tipo]]="BUY",AU28-TbTradesBinance[[#This Row],[Qtt]]*TbTradesBinance[[#This Row],[Preço]],AU28+TbTradesBinance[[#This Row],[Qtt]]*TbTradesBinance[[#This Row],[Preço]])),AU28)-IF(TbTradesBinance[[#This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Row],[Tipo]]="DROP"),AU28+TbTradesBinance[[#This Row],[Qtt]],AU28-TbTradesBinance[[#This Row],[Qtt]]),IF(TbTradesBinance[[#This Row],[Tipo]]="BUY",AU28-TbTradesBinance[[#This Row],[Qtt]]*TbTradesBinance[[#This Row],[Preço]],AU28+TbTradesBinance[[#This Row],[Qtt]]*TbTradesBinance[[#This Row],[Preço]])),AU28)-IF(TbTradesBinance[[#This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Row],[Tipo]]="DROP"),AU28+TbTradesBinance[[#This Row],[Qtt]],AU28-TbTradesBinance[[#This Row],[Qtt]]),IF(TbTradesBinance[[#This Row],[Tipo]]="BUY",AU28-TbTradesBinance[[#This Row],[Qtt]]*TbTradesBinance[[#This Row],[Preço]],AU28+TbTradesBinance[[#This Row],[Qtt]]*TbTradesBinance[[#This Row],[Preço]])),AU28)-IF(TbTradesBinance[[#This Row],[Moeda da Taxa]]=MID(AU$1,9,5),TbTradesBinance[[#This Row],[Taxa]],0),8)))</f>
        <v>0</v>
      </c>
      <c r="AV29" s="145" cm="1">
        <f t="array" ref="AV29">IF(TbTradesBinance[[#This Row],[Tipo]]="EMPTY",0,AV28+IF(TbTradesBinance[[#This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Row],[Par]]))),$1:$1,0)),-(AU28-AU29)/AU28*AV28),0),0)+IF(TbTradesBinance[[#This Row],[Tipo]]="SELL",IF(ISNUMBER(FIND(MID(AV$1,10,5),TbTradesBinance[[#This Row],[Par]])),IF(FIND(MID(AV$1,10,5),TbTradesBinance[[#This Row],[Par]])=1, -(AU28-AU29)/AU28*AV28,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Row],[Par]])),(-(AU28-AU29)/AU28*AV28)+IF(TbTradesBinance[[#This Row],[Resultado]]&gt;0,0,TbTradesBinance[[#This Row],[Taxa]]),0),0))</f>
        <v>0</v>
      </c>
      <c r="AW29" s="145">
        <f t="shared" si="12"/>
        <v>0</v>
      </c>
      <c r="AX2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Row],[Tipo]]="DROP"),AX28+TbTradesBinance[[#This Row],[Qtt]],AX28-TbTradesBinance[[#This Row],[Qtt]]),IF(TbTradesBinance[[#This Row],[Tipo]]="BUY",AX28-TbTradesBinance[[#This Row],[Qtt]]*TbTradesBinance[[#This Row],[Preço]],AX28+TbTradesBinance[[#This Row],[Qtt]]*TbTradesBinance[[#This Row],[Preço]])),AX28)-IF(TbTradesBinance[[#This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Row],[Tipo]]="DROP"),AX28+TbTradesBinance[[#This Row],[Qtt]],AX28-TbTradesBinance[[#This Row],[Qtt]]),IF(TbTradesBinance[[#This Row],[Tipo]]="BUY",AX28-TbTradesBinance[[#This Row],[Qtt]]*TbTradesBinance[[#This Row],[Preço]],AX28+TbTradesBinance[[#This Row],[Qtt]]*TbTradesBinance[[#This Row],[Preço]])),AX28)-IF(TbTradesBinance[[#This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Row],[Tipo]]="DROP"),AX28+TbTradesBinance[[#This Row],[Qtt]],AX28-TbTradesBinance[[#This Row],[Qtt]]),IF(TbTradesBinance[[#This Row],[Tipo]]="BUY",AX28-TbTradesBinance[[#This Row],[Qtt]]*TbTradesBinance[[#This Row],[Preço]],AX28+TbTradesBinance[[#This Row],[Qtt]]*TbTradesBinance[[#This Row],[Preço]])),AX28)-IF(TbTradesBinance[[#This Row],[Moeda da Taxa]]=MID(AX$1,9,5),TbTradesBinance[[#This Row],[Taxa]],0),8)))</f>
        <v>0</v>
      </c>
      <c r="AY29" s="145" cm="1">
        <f t="array" ref="AY29">IF(TbTradesBinance[[#This Row],[Tipo]]="EMPTY",0,AY28+IF(TbTradesBinance[[#This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Row],[Par]]))),$1:$1,0)),-(AX28-AX29)/AX28*AY28),0),0)+IF(TbTradesBinance[[#This Row],[Tipo]]="SELL",IF(ISNUMBER(FIND(MID(AY$1,10,5),TbTradesBinance[[#This Row],[Par]])),IF(FIND(MID(AY$1,10,5),TbTradesBinance[[#This Row],[Par]])=1, -(AX28-AX29)/AX28*AY28,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Row],[Par]])),(-(AX28-AX29)/AX28*AY28)+IF(TbTradesBinance[[#This Row],[Resultado]]&gt;0,0,TbTradesBinance[[#This Row],[Taxa]]),0),0))</f>
        <v>0</v>
      </c>
      <c r="AZ29" s="145">
        <f t="shared" si="13"/>
        <v>0</v>
      </c>
      <c r="BA2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Row],[Tipo]]="DROP"),BA28+TbTradesBinance[[#This Row],[Qtt]],BA28-TbTradesBinance[[#This Row],[Qtt]]),IF(TbTradesBinance[[#This Row],[Tipo]]="BUY",BA28-TbTradesBinance[[#This Row],[Qtt]]*TbTradesBinance[[#This Row],[Preço]],BA28+TbTradesBinance[[#This Row],[Qtt]]*TbTradesBinance[[#This Row],[Preço]])),BA28)-IF(TbTradesBinance[[#This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Row],[Tipo]]="DROP"),BA28+TbTradesBinance[[#This Row],[Qtt]],BA28-TbTradesBinance[[#This Row],[Qtt]]),IF(TbTradesBinance[[#This Row],[Tipo]]="BUY",BA28-TbTradesBinance[[#This Row],[Qtt]]*TbTradesBinance[[#This Row],[Preço]],BA28+TbTradesBinance[[#This Row],[Qtt]]*TbTradesBinance[[#This Row],[Preço]])),BA28)-IF(TbTradesBinance[[#This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Row],[Tipo]]="DROP"),BA28+TbTradesBinance[[#This Row],[Qtt]],BA28-TbTradesBinance[[#This Row],[Qtt]]),IF(TbTradesBinance[[#This Row],[Tipo]]="BUY",BA28-TbTradesBinance[[#This Row],[Qtt]]*TbTradesBinance[[#This Row],[Preço]],BA28+TbTradesBinance[[#This Row],[Qtt]]*TbTradesBinance[[#This Row],[Preço]])),BA28)-IF(TbTradesBinance[[#This Row],[Moeda da Taxa]]=MID(BA$1,9,5),TbTradesBinance[[#This Row],[Taxa]],0),8)))</f>
        <v>0</v>
      </c>
      <c r="BB29" s="145" cm="1">
        <f t="array" ref="BB29">IF(TbTradesBinance[[#This Row],[Tipo]]="EMPTY",0,BB28+IF(TbTradesBinance[[#This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Row],[Par]]))),$1:$1,0)),-(BA28-BA29)/BA28*BB28),0),0)+IF(TbTradesBinance[[#This Row],[Tipo]]="SELL",IF(ISNUMBER(FIND(MID(BB$1,10,5),TbTradesBinance[[#This Row],[Par]])),IF(FIND(MID(BB$1,10,5),TbTradesBinance[[#This Row],[Par]])=1, -(BA28-BA29)/BA28*BB28,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Row],[Par]])),(-(BA28-BA29)/BA28*BB28)+IF(TbTradesBinance[[#This Row],[Resultado]]&gt;0,0,TbTradesBinance[[#This Row],[Taxa]]),0),0))</f>
        <v>0</v>
      </c>
      <c r="BC29" s="145">
        <f t="shared" si="14"/>
        <v>0</v>
      </c>
      <c r="BD2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Row],[Tipo]]="DROP"),BD28+TbTradesBinance[[#This Row],[Qtt]],BD28-TbTradesBinance[[#This Row],[Qtt]]),IF(TbTradesBinance[[#This Row],[Tipo]]="BUY",BD28-TbTradesBinance[[#This Row],[Qtt]]*TbTradesBinance[[#This Row],[Preço]],BD28+TbTradesBinance[[#This Row],[Qtt]]*TbTradesBinance[[#This Row],[Preço]])),BD28)-IF(TbTradesBinance[[#This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Row],[Tipo]]="DROP"),BD28+TbTradesBinance[[#This Row],[Qtt]],BD28-TbTradesBinance[[#This Row],[Qtt]]),IF(TbTradesBinance[[#This Row],[Tipo]]="BUY",BD28-TbTradesBinance[[#This Row],[Qtt]]*TbTradesBinance[[#This Row],[Preço]],BD28+TbTradesBinance[[#This Row],[Qtt]]*TbTradesBinance[[#This Row],[Preço]])),BD28)-IF(TbTradesBinance[[#This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Row],[Tipo]]="DROP"),BD28+TbTradesBinance[[#This Row],[Qtt]],BD28-TbTradesBinance[[#This Row],[Qtt]]),IF(TbTradesBinance[[#This Row],[Tipo]]="BUY",BD28-TbTradesBinance[[#This Row],[Qtt]]*TbTradesBinance[[#This Row],[Preço]],BD28+TbTradesBinance[[#This Row],[Qtt]]*TbTradesBinance[[#This Row],[Preço]])),BD28)-IF(TbTradesBinance[[#This Row],[Moeda da Taxa]]=MID(BD$1,9,5),TbTradesBinance[[#This Row],[Taxa]],0),8)))</f>
        <v>0.37962000000000001</v>
      </c>
      <c r="BE29" s="145" cm="1">
        <f t="array" ref="BE29">IF(TbTradesBinance[[#This Row],[Tipo]]="EMPTY",0,BE28+IF(TbTradesBinance[[#This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Row],[Par]]))),$1:$1,0)),-(BD28-BD29)/BD28*BE28),0),0)+IF(TbTradesBinance[[#This Row],[Tipo]]="SELL",IF(ISNUMBER(FIND(MID(BE$1,10,5),TbTradesBinance[[#This Row],[Par]])),IF(FIND(MID(BE$1,10,5),TbTradesBinance[[#This Row],[Par]])=1, -(BD28-BD29)/BD28*BE28,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Row],[Par]])),(-(BD28-BD29)/BD28*BE28)+IF(TbTradesBinance[[#This Row],[Resultado]]&gt;0,0,TbTradesBinance[[#This Row],[Taxa]]),0),0))</f>
        <v>63.647297001537943</v>
      </c>
      <c r="BF29" s="145">
        <f t="shared" si="15"/>
        <v>167.66054739354601</v>
      </c>
      <c r="BG2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Row],[Tipo]]="DROP"),BG28+TbTradesBinance[[#This Row],[Qtt]],BG28-TbTradesBinance[[#This Row],[Qtt]]),IF(TbTradesBinance[[#This Row],[Tipo]]="BUY",BG28-TbTradesBinance[[#This Row],[Qtt]]*TbTradesBinance[[#This Row],[Preço]],BG28+TbTradesBinance[[#This Row],[Qtt]]*TbTradesBinance[[#This Row],[Preço]])),BG28)-IF(TbTradesBinance[[#This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Row],[Tipo]]="DROP"),BG28+TbTradesBinance[[#This Row],[Qtt]],BG28-TbTradesBinance[[#This Row],[Qtt]]),IF(TbTradesBinance[[#This Row],[Tipo]]="BUY",BG28-TbTradesBinance[[#This Row],[Qtt]]*TbTradesBinance[[#This Row],[Preço]],BG28+TbTradesBinance[[#This Row],[Qtt]]*TbTradesBinance[[#This Row],[Preço]])),BG28)-IF(TbTradesBinance[[#This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Row],[Tipo]]="DROP"),BG28+TbTradesBinance[[#This Row],[Qtt]],BG28-TbTradesBinance[[#This Row],[Qtt]]),IF(TbTradesBinance[[#This Row],[Tipo]]="BUY",BG28-TbTradesBinance[[#This Row],[Qtt]]*TbTradesBinance[[#This Row],[Preço]],BG28+TbTradesBinance[[#This Row],[Qtt]]*TbTradesBinance[[#This Row],[Preço]])),BG28)-IF(TbTradesBinance[[#This Row],[Moeda da Taxa]]=MID(BG$1,9,5),TbTradesBinance[[#This Row],[Taxa]],0),8)))</f>
        <v>0</v>
      </c>
      <c r="BH29" s="145" cm="1">
        <f t="array" ref="BH29">IF(TbTradesBinance[[#This Row],[Tipo]]="EMPTY",0,BH28+IF(TbTradesBinance[[#This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Row],[Par]]))),$1:$1,0)),-(BG28-BG29)/BG28*BH28),0),0)+IF(TbTradesBinance[[#This Row],[Tipo]]="SELL",IF(ISNUMBER(FIND(MID(BH$1,10,5),TbTradesBinance[[#This Row],[Par]])),IF(FIND(MID(BH$1,10,5),TbTradesBinance[[#This Row],[Par]])=1, -(BG28-BG29)/BG28*BH28,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Row],[Par]])),(-(BG28-BG29)/BG28*BH28)+IF(TbTradesBinance[[#This Row],[Resultado]]&gt;0,0,TbTradesBinance[[#This Row],[Taxa]]),0),0))</f>
        <v>0</v>
      </c>
      <c r="BI29" s="145">
        <f t="shared" si="16"/>
        <v>0</v>
      </c>
      <c r="BJ2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Row],[Tipo]]="DROP"),BJ28+TbTradesBinance[[#This Row],[Qtt]],BJ28-TbTradesBinance[[#This Row],[Qtt]]),IF(TbTradesBinance[[#This Row],[Tipo]]="BUY",BJ28-TbTradesBinance[[#This Row],[Qtt]]*TbTradesBinance[[#This Row],[Preço]],BJ28+TbTradesBinance[[#This Row],[Qtt]]*TbTradesBinance[[#This Row],[Preço]])),BJ28)-IF(TbTradesBinance[[#This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Row],[Tipo]]="DROP"),BJ28+TbTradesBinance[[#This Row],[Qtt]],BJ28-TbTradesBinance[[#This Row],[Qtt]]),IF(TbTradesBinance[[#This Row],[Tipo]]="BUY",BJ28-TbTradesBinance[[#This Row],[Qtt]]*TbTradesBinance[[#This Row],[Preço]],BJ28+TbTradesBinance[[#This Row],[Qtt]]*TbTradesBinance[[#This Row],[Preço]])),BJ28)-IF(TbTradesBinance[[#This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Row],[Tipo]]="DROP"),BJ28+TbTradesBinance[[#This Row],[Qtt]],BJ28-TbTradesBinance[[#This Row],[Qtt]]),IF(TbTradesBinance[[#This Row],[Tipo]]="BUY",BJ28-TbTradesBinance[[#This Row],[Qtt]]*TbTradesBinance[[#This Row],[Preço]],BJ28+TbTradesBinance[[#This Row],[Qtt]]*TbTradesBinance[[#This Row],[Preço]])),BJ28)-IF(TbTradesBinance[[#This Row],[Moeda da Taxa]]=MID(BJ$1,9,5),TbTradesBinance[[#This Row],[Taxa]],0),8)))</f>
        <v>0</v>
      </c>
      <c r="BK29" s="145" cm="1">
        <f t="array" ref="BK29">IF(TbTradesBinance[[#This Row],[Tipo]]="EMPTY",0,BK28+IF(TbTradesBinance[[#This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Row],[Par]]))),$1:$1,0)),-(BJ28-BJ29)/BJ28*BK28),0),0)+IF(TbTradesBinance[[#This Row],[Tipo]]="SELL",IF(ISNUMBER(FIND(MID(BK$1,10,5),TbTradesBinance[[#This Row],[Par]])),IF(FIND(MID(BK$1,10,5),TbTradesBinance[[#This Row],[Par]])=1, -(BJ28-BJ29)/BJ28*BK28,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Row],[Par]])),(-(BJ28-BJ29)/BJ28*BK28)+IF(TbTradesBinance[[#This Row],[Resultado]]&gt;0,0,TbTradesBinance[[#This Row],[Taxa]]),0),0))</f>
        <v>0</v>
      </c>
      <c r="BL29" s="145">
        <f t="shared" si="17"/>
        <v>0</v>
      </c>
      <c r="BM2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Row],[Tipo]]="DROP"),BM28+TbTradesBinance[[#This Row],[Qtt]],BM28-TbTradesBinance[[#This Row],[Qtt]]),IF(TbTradesBinance[[#This Row],[Tipo]]="BUY",BM28-TbTradesBinance[[#This Row],[Qtt]]*TbTradesBinance[[#This Row],[Preço]],BM28+TbTradesBinance[[#This Row],[Qtt]]*TbTradesBinance[[#This Row],[Preço]])),BM28)-IF(TbTradesBinance[[#This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Row],[Tipo]]="DROP"),BM28+TbTradesBinance[[#This Row],[Qtt]],BM28-TbTradesBinance[[#This Row],[Qtt]]),IF(TbTradesBinance[[#This Row],[Tipo]]="BUY",BM28-TbTradesBinance[[#This Row],[Qtt]]*TbTradesBinance[[#This Row],[Preço]],BM28+TbTradesBinance[[#This Row],[Qtt]]*TbTradesBinance[[#This Row],[Preço]])),BM28)-IF(TbTradesBinance[[#This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Row],[Tipo]]="DROP"),BM28+TbTradesBinance[[#This Row],[Qtt]],BM28-TbTradesBinance[[#This Row],[Qtt]]),IF(TbTradesBinance[[#This Row],[Tipo]]="BUY",BM28-TbTradesBinance[[#This Row],[Qtt]]*TbTradesBinance[[#This Row],[Preço]],BM28+TbTradesBinance[[#This Row],[Qtt]]*TbTradesBinance[[#This Row],[Preço]])),BM28)-IF(TbTradesBinance[[#This Row],[Moeda da Taxa]]=MID(BM$1,9,5),TbTradesBinance[[#This Row],[Taxa]],0),8)))</f>
        <v>0</v>
      </c>
      <c r="BN29" s="145" cm="1">
        <f t="array" ref="BN29">IF(TbTradesBinance[[#This Row],[Tipo]]="EMPTY",0,BN28+IF(TbTradesBinance[[#This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Row],[Par]]))),$1:$1,0)),-(BM28-BM29)/BM28*BN28),0),0)+IF(TbTradesBinance[[#This Row],[Tipo]]="SELL",IF(ISNUMBER(FIND(MID(BN$1,10,5),TbTradesBinance[[#This Row],[Par]])),IF(FIND(MID(BN$1,10,5),TbTradesBinance[[#This Row],[Par]])=1, -(BM28-BM29)/BM28*BN28,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Row],[Par]])),(-(BM28-BM29)/BM28*BN28)+IF(TbTradesBinance[[#This Row],[Resultado]]&gt;0,0,TbTradesBinance[[#This Row],[Taxa]]),0),0))</f>
        <v>0</v>
      </c>
      <c r="BO29" s="145">
        <f t="shared" si="18"/>
        <v>0</v>
      </c>
    </row>
    <row r="30" spans="2:67" x14ac:dyDescent="0.3">
      <c r="B30" s="51"/>
      <c r="C30" s="40">
        <f>TRUNC(IF(AND(TbTradesBinance[[#This Row],[Tipo]]="SEND",TbTradesBinance[[#This Row],[Par]]="BRL"),TbTradesBinance[[#This Row],[Qtt]]*(1-P28)-IF(TbTradesBinance[[#This Row],[Moeda da Taxa]]="BRL",TbTradesBinance[[#This Row],[Taxa]],0),0)+IF(AND(TbTradesBinance[[#This Row],[Tipo]]="BURN",TbTradesBinance[[#This Row],[Par]]="BRL"),-TbTradesBinance[[#This Row],[Qtt]]*P28,0),2)</f>
        <v>0</v>
      </c>
      <c r="D30" s="53">
        <v>44256.623611111114</v>
      </c>
      <c r="E30" s="37" t="s">
        <v>138</v>
      </c>
      <c r="F30" s="47" t="s">
        <v>139</v>
      </c>
      <c r="G30" s="38">
        <v>273000</v>
      </c>
      <c r="H30" s="38">
        <v>3.21E-4</v>
      </c>
      <c r="I30" s="38">
        <v>0</v>
      </c>
      <c r="J30" s="37" t="s">
        <v>6</v>
      </c>
      <c r="K30" s="52">
        <v>1</v>
      </c>
      <c r="L30" s="40">
        <f t="shared" si="0"/>
        <v>273000</v>
      </c>
      <c r="M30" s="40">
        <f>IF(OR(TbTradesBinance[[#This Row],[Tipo]]="BUY",TbTradesBinance[[#This Row],[Tipo]]="RECEIVE",TbTradesBinance[[#This Row],[Tipo]]="DROP"),L30*H30,-L30*H30)</f>
        <v>87.632999999999996</v>
      </c>
      <c r="N3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Row],[Tipo]]="DROP"),N29+TbTradesBinance[[#This Row],[Qtt]],N29-TbTradesBinance[[#This Row],[Qtt]]),IF(TbTradesBinance[[#This Row],[Tipo]]="BUY",N29-TbTradesBinance[[#This Row],[Qtt]]*TbTradesBinance[[#This Row],[Preço]],N29+TbTradesBinance[[#This Row],[Qtt]]*TbTradesBinance[[#This Row],[Preço]])),N29)-IF(TbTradesBinance[[#This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Row],[Tipo]]="DROP"),N29+TbTradesBinance[[#This Row],[Qtt]],N29-TbTradesBinance[[#This Row],[Qtt]]),IF(TbTradesBinance[[#This Row],[Tipo]]="BUY",N29-TbTradesBinance[[#This Row],[Qtt]]*TbTradesBinance[[#This Row],[Preço]],N29+TbTradesBinance[[#This Row],[Qtt]]*TbTradesBinance[[#This Row],[Preço]])),N29)-IF(TbTradesBinance[[#This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Row],[Tipo]]="DROP"),N29+TbTradesBinance[[#This Row],[Qtt]],N29-TbTradesBinance[[#This Row],[Qtt]]),IF(TbTradesBinance[[#This Row],[Tipo]]="BUY",N29-TbTradesBinance[[#This Row],[Qtt]]*TbTradesBinance[[#This Row],[Preço]],N29+TbTradesBinance[[#This Row],[Qtt]]*TbTradesBinance[[#This Row],[Preço]])),N29)-IF(TbTradesBinance[[#This Row],[Moeda da Taxa]]=MID(N$1,9,5),TbTradesBinance[[#This Row],[Taxa]],0),8)))</f>
        <v>119853.88458689</v>
      </c>
      <c r="O30" s="145" cm="1">
        <f t="array" ref="O30">IF(TbTradesBinance[[#This Row],[Tipo]]="EMPTY",0,O29+IF(TbTradesBinance[[#This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Row],[Par]]))),$1:$1,0)),-(N29-N30)/N29*O29),0),0)+IF(TbTradesBinance[[#This Row],[Tipo]]="SELL",IF(ISNUMBER(FIND(MID(O$1,10,5),TbTradesBinance[[#This Row],[Par]])),IF(FIND(MID(O$1,10,5),TbTradesBinance[[#This Row],[Par]])=1, -(N29-N30)/N29*O29,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Row],[Par]])),(-(N29-N30)/N29*O29)+IF(TbTradesBinance[[#This Row],[Resultado]]&gt;0,0,TbTradesBinance[[#This Row],[Taxa]]),0),0))</f>
        <v>119805.62621832587</v>
      </c>
      <c r="P30" s="145">
        <f t="shared" si="1"/>
        <v>0.99959735665864757</v>
      </c>
      <c r="Q3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Row],[Tipo]]="DROP"),Q29+TbTradesBinance[[#This Row],[Qtt]],Q29-TbTradesBinance[[#This Row],[Qtt]]),IF(TbTradesBinance[[#This Row],[Tipo]]="BUY",Q29-TbTradesBinance[[#This Row],[Qtt]]*TbTradesBinance[[#This Row],[Preço]],Q29+TbTradesBinance[[#This Row],[Qtt]]*TbTradesBinance[[#This Row],[Preço]])),Q29)-IF(TbTradesBinance[[#This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Row],[Tipo]]="DROP"),Q29+TbTradesBinance[[#This Row],[Qtt]],Q29-TbTradesBinance[[#This Row],[Qtt]]),IF(TbTradesBinance[[#This Row],[Tipo]]="BUY",Q29-TbTradesBinance[[#This Row],[Qtt]]*TbTradesBinance[[#This Row],[Preço]],Q29+TbTradesBinance[[#This Row],[Qtt]]*TbTradesBinance[[#This Row],[Preço]])),Q29)-IF(TbTradesBinance[[#This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Row],[Tipo]]="DROP"),Q29+TbTradesBinance[[#This Row],[Qtt]],Q29-TbTradesBinance[[#This Row],[Qtt]]),IF(TbTradesBinance[[#This Row],[Tipo]]="BUY",Q29-TbTradesBinance[[#This Row],[Qtt]]*TbTradesBinance[[#This Row],[Preço]],Q29+TbTradesBinance[[#This Row],[Qtt]]*TbTradesBinance[[#This Row],[Preço]])),Q29)-IF(TbTradesBinance[[#This Row],[Moeda da Taxa]]=MID(Q$1,9,5),TbTradesBinance[[#This Row],[Taxa]],0),8)))</f>
        <v>0.27732999000000003</v>
      </c>
      <c r="R30" s="145" cm="1">
        <f t="array" ref="R30">IF(TbTradesBinance[[#This Row],[Tipo]]="EMPTY",0,R29+IF(TbTradesBinance[[#This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Row],[Par]]))),$1:$1,0)),-(Q29-Q30)/Q29*R29),0),0)+IF(TbTradesBinance[[#This Row],[Tipo]]="SELL",IF(ISNUMBER(FIND(MID(R$1,10,5),TbTradesBinance[[#This Row],[Par]])),IF(FIND(MID(R$1,10,5),TbTradesBinance[[#This Row],[Par]])=1, -(Q29-Q30)/Q29*R29,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Row],[Par]])),(-(Q29-Q30)/Q29*R29)+IF(TbTradesBinance[[#This Row],[Resultado]]&gt;0,0,TbTradesBinance[[#This Row],[Taxa]]),0),0))</f>
        <v>1.5509449279899954</v>
      </c>
      <c r="S30" s="145">
        <f t="shared" si="2"/>
        <v>5.592416918163071</v>
      </c>
      <c r="T3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Row],[Tipo]]="DROP"),T29+TbTradesBinance[[#This Row],[Qtt]],T29-TbTradesBinance[[#This Row],[Qtt]]),IF(TbTradesBinance[[#This Row],[Tipo]]="BUY",T29-TbTradesBinance[[#This Row],[Qtt]]*TbTradesBinance[[#This Row],[Preço]],T29+TbTradesBinance[[#This Row],[Qtt]]*TbTradesBinance[[#This Row],[Preço]])),T29)-IF(TbTradesBinance[[#This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Row],[Tipo]]="DROP"),T29+TbTradesBinance[[#This Row],[Qtt]],T29-TbTradesBinance[[#This Row],[Qtt]]),IF(TbTradesBinance[[#This Row],[Tipo]]="BUY",T29-TbTradesBinance[[#This Row],[Qtt]]*TbTradesBinance[[#This Row],[Preço]],T29+TbTradesBinance[[#This Row],[Qtt]]*TbTradesBinance[[#This Row],[Preço]])),T29)-IF(TbTradesBinance[[#This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Row],[Tipo]]="DROP"),T29+TbTradesBinance[[#This Row],[Qtt]],T29-TbTradesBinance[[#This Row],[Qtt]]),IF(TbTradesBinance[[#This Row],[Tipo]]="BUY",T29-TbTradesBinance[[#This Row],[Qtt]]*TbTradesBinance[[#This Row],[Preço]],T29+TbTradesBinance[[#This Row],[Qtt]]*TbTradesBinance[[#This Row],[Preço]])),T29)-IF(TbTradesBinance[[#This Row],[Moeda da Taxa]]=MID(T$1,9,5),TbTradesBinance[[#This Row],[Taxa]],0),8)))</f>
        <v>2.867312E-2</v>
      </c>
      <c r="U30" s="145" cm="1">
        <f t="array" ref="U30">IF(TbTradesBinance[[#This Row],[Tipo]]="EMPTY",0,U29+IF(TbTradesBinance[[#This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Row],[Par]]))),$1:$1,0)),-(T29-T30)/T29*U29),0),0)+IF(TbTradesBinance[[#This Row],[Tipo]]="SELL",IF(ISNUMBER(FIND(MID(U$1,10,5),TbTradesBinance[[#This Row],[Par]])),IF(FIND(MID(U$1,10,5),TbTradesBinance[[#This Row],[Par]])=1, -(T29-T30)/T29*U29,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Row],[Par]])),(-(T29-T30)/T29*U29)+IF(TbTradesBinance[[#This Row],[Resultado]]&gt;0,0,TbTradesBinance[[#This Row],[Taxa]]),0),0))</f>
        <v>0.19365209596473676</v>
      </c>
      <c r="V30" s="145">
        <f t="shared" si="3"/>
        <v>6.7537852861752317</v>
      </c>
      <c r="W3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Row],[Tipo]]="DROP"),W29+TbTradesBinance[[#This Row],[Qtt]],W29-TbTradesBinance[[#This Row],[Qtt]]),IF(TbTradesBinance[[#This Row],[Tipo]]="BUY",W29-TbTradesBinance[[#This Row],[Qtt]]*TbTradesBinance[[#This Row],[Preço]],W29+TbTradesBinance[[#This Row],[Qtt]]*TbTradesBinance[[#This Row],[Preço]])),W29)-IF(TbTradesBinance[[#This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Row],[Tipo]]="DROP"),W29+TbTradesBinance[[#This Row],[Qtt]],W29-TbTradesBinance[[#This Row],[Qtt]]),IF(TbTradesBinance[[#This Row],[Tipo]]="BUY",W29-TbTradesBinance[[#This Row],[Qtt]]*TbTradesBinance[[#This Row],[Preço]],W29+TbTradesBinance[[#This Row],[Qtt]]*TbTradesBinance[[#This Row],[Preço]])),W29)-IF(TbTradesBinance[[#This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Row],[Tipo]]="DROP"),W29+TbTradesBinance[[#This Row],[Qtt]],W29-TbTradesBinance[[#This Row],[Qtt]]),IF(TbTradesBinance[[#This Row],[Tipo]]="BUY",W29-TbTradesBinance[[#This Row],[Qtt]]*TbTradesBinance[[#This Row],[Preço]],W29+TbTradesBinance[[#This Row],[Qtt]]*TbTradesBinance[[#This Row],[Preço]])),W29)-IF(TbTradesBinance[[#This Row],[Moeda da Taxa]]=MID(W$1,9,5),TbTradesBinance[[#This Row],[Taxa]],0),8)))</f>
        <v>4.8826000000000002E-4</v>
      </c>
      <c r="X30" s="145" cm="1">
        <f t="array" ref="X30">IF(TbTradesBinance[[#This Row],[Tipo]]="EMPTY",0,X29+IF(TbTradesBinance[[#This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Row],[Par]]))),$1:$1,0)),-(W29-W30)/W29*X29),0),0)+IF(TbTradesBinance[[#This Row],[Tipo]]="SELL",IF(ISNUMBER(FIND(MID(X$1,10,5),TbTradesBinance[[#This Row],[Par]])),IF(FIND(MID(X$1,10,5),TbTradesBinance[[#This Row],[Par]])=1, -(W29-W30)/W29*X29,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Row],[Par]])),(-(W29-W30)/W29*X29)+IF(TbTradesBinance[[#This Row],[Resultado]]&gt;0,0,TbTradesBinance[[#This Row],[Taxa]]),0),0))</f>
        <v>128.98188764863676</v>
      </c>
      <c r="Y30" s="145">
        <f t="shared" si="4"/>
        <v>264166.40242624166</v>
      </c>
      <c r="Z3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Row],[Tipo]]="DROP"),Z29+TbTradesBinance[[#This Row],[Qtt]],Z29-TbTradesBinance[[#This Row],[Qtt]]),IF(TbTradesBinance[[#This Row],[Tipo]]="BUY",Z29-TbTradesBinance[[#This Row],[Qtt]]*TbTradesBinance[[#This Row],[Preço]],Z29+TbTradesBinance[[#This Row],[Qtt]]*TbTradesBinance[[#This Row],[Preço]])),Z29)-IF(TbTradesBinance[[#This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Row],[Tipo]]="DROP"),Z29+TbTradesBinance[[#This Row],[Qtt]],Z29-TbTradesBinance[[#This Row],[Qtt]]),IF(TbTradesBinance[[#This Row],[Tipo]]="BUY",Z29-TbTradesBinance[[#This Row],[Qtt]]*TbTradesBinance[[#This Row],[Preço]],Z29+TbTradesBinance[[#This Row],[Qtt]]*TbTradesBinance[[#This Row],[Preço]])),Z29)-IF(TbTradesBinance[[#This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Row],[Tipo]]="DROP"),Z29+TbTradesBinance[[#This Row],[Qtt]],Z29-TbTradesBinance[[#This Row],[Qtt]]),IF(TbTradesBinance[[#This Row],[Tipo]]="BUY",Z29-TbTradesBinance[[#This Row],[Qtt]]*TbTradesBinance[[#This Row],[Preço]],Z29+TbTradesBinance[[#This Row],[Qtt]]*TbTradesBinance[[#This Row],[Preço]])),Z29)-IF(TbTradesBinance[[#This Row],[Moeda da Taxa]]=MID(Z$1,9,5),TbTradesBinance[[#This Row],[Taxa]],0),8)))</f>
        <v>0</v>
      </c>
      <c r="AA30" s="145" cm="1">
        <f t="array" ref="AA30">IF(TbTradesBinance[[#This Row],[Tipo]]="EMPTY",0,AA29+IF(TbTradesBinance[[#This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Row],[Par]]))),$1:$1,0)),-(Z29-Z30)/Z29*AA29),0),0)+IF(TbTradesBinance[[#This Row],[Tipo]]="SELL",IF(ISNUMBER(FIND(MID(AA$1,10,5),TbTradesBinance[[#This Row],[Par]])),IF(FIND(MID(AA$1,10,5),TbTradesBinance[[#This Row],[Par]])=1, -(Z29-Z30)/Z29*AA29,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Row],[Par]])),(-(Z29-Z30)/Z29*AA29)+IF(TbTradesBinance[[#This Row],[Resultado]]&gt;0,0,TbTradesBinance[[#This Row],[Taxa]]),0),0))</f>
        <v>0</v>
      </c>
      <c r="AB30" s="145">
        <f t="shared" si="5"/>
        <v>0</v>
      </c>
      <c r="AC3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Row],[Tipo]]="DROP"),AC29+TbTradesBinance[[#This Row],[Qtt]],AC29-TbTradesBinance[[#This Row],[Qtt]]),IF(TbTradesBinance[[#This Row],[Tipo]]="BUY",AC29-TbTradesBinance[[#This Row],[Qtt]]*TbTradesBinance[[#This Row],[Preço]],AC29+TbTradesBinance[[#This Row],[Qtt]]*TbTradesBinance[[#This Row],[Preço]])),AC29)-IF(TbTradesBinance[[#This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Row],[Tipo]]="DROP"),AC29+TbTradesBinance[[#This Row],[Qtt]],AC29-TbTradesBinance[[#This Row],[Qtt]]),IF(TbTradesBinance[[#This Row],[Tipo]]="BUY",AC29-TbTradesBinance[[#This Row],[Qtt]]*TbTradesBinance[[#This Row],[Preço]],AC29+TbTradesBinance[[#This Row],[Qtt]]*TbTradesBinance[[#This Row],[Preço]])),AC29)-IF(TbTradesBinance[[#This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Row],[Tipo]]="DROP"),AC29+TbTradesBinance[[#This Row],[Qtt]],AC29-TbTradesBinance[[#This Row],[Qtt]]),IF(TbTradesBinance[[#This Row],[Tipo]]="BUY",AC29-TbTradesBinance[[#This Row],[Qtt]]*TbTradesBinance[[#This Row],[Preço]],AC29+TbTradesBinance[[#This Row],[Qtt]]*TbTradesBinance[[#This Row],[Preço]])),AC29)-IF(TbTradesBinance[[#This Row],[Moeda da Taxa]]=MID(AC$1,9,5),TbTradesBinance[[#This Row],[Taxa]],0),8)))</f>
        <v>0</v>
      </c>
      <c r="AD30" s="145" cm="1">
        <f t="array" ref="AD30">IF(TbTradesBinance[[#This Row],[Tipo]]="EMPTY",0,AD29+IF(TbTradesBinance[[#This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Row],[Par]]))),$1:$1,0)),-(AC29-AC30)/AC29*AD29),0),0)+IF(TbTradesBinance[[#This Row],[Tipo]]="SELL",IF(ISNUMBER(FIND(MID(AD$1,10,5),TbTradesBinance[[#This Row],[Par]])),IF(FIND(MID(AD$1,10,5),TbTradesBinance[[#This Row],[Par]])=1, -(AC29-AC30)/AC29*AD29,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Row],[Par]])),(-(AC29-AC30)/AC29*AD29)+IF(TbTradesBinance[[#This Row],[Resultado]]&gt;0,0,TbTradesBinance[[#This Row],[Taxa]]),0),0))</f>
        <v>0</v>
      </c>
      <c r="AE30" s="145">
        <f t="shared" si="6"/>
        <v>0</v>
      </c>
      <c r="AF3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Row],[Tipo]]="DROP"),AF29+TbTradesBinance[[#This Row],[Qtt]],AF29-TbTradesBinance[[#This Row],[Qtt]]),IF(TbTradesBinance[[#This Row],[Tipo]]="BUY",AF29-TbTradesBinance[[#This Row],[Qtt]]*TbTradesBinance[[#This Row],[Preço]],AF29+TbTradesBinance[[#This Row],[Qtt]]*TbTradesBinance[[#This Row],[Preço]])),AF29)-IF(TbTradesBinance[[#This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Row],[Tipo]]="DROP"),AF29+TbTradesBinance[[#This Row],[Qtt]],AF29-TbTradesBinance[[#This Row],[Qtt]]),IF(TbTradesBinance[[#This Row],[Tipo]]="BUY",AF29-TbTradesBinance[[#This Row],[Qtt]]*TbTradesBinance[[#This Row],[Preço]],AF29+TbTradesBinance[[#This Row],[Qtt]]*TbTradesBinance[[#This Row],[Preço]])),AF29)-IF(TbTradesBinance[[#This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Row],[Tipo]]="DROP"),AF29+TbTradesBinance[[#This Row],[Qtt]],AF29-TbTradesBinance[[#This Row],[Qtt]]),IF(TbTradesBinance[[#This Row],[Tipo]]="BUY",AF29-TbTradesBinance[[#This Row],[Qtt]]*TbTradesBinance[[#This Row],[Preço]],AF29+TbTradesBinance[[#This Row],[Qtt]]*TbTradesBinance[[#This Row],[Preço]])),AF29)-IF(TbTradesBinance[[#This Row],[Moeda da Taxa]]=MID(AF$1,9,5),TbTradesBinance[[#This Row],[Taxa]],0),8)))</f>
        <v>0</v>
      </c>
      <c r="AG30" s="145" cm="1">
        <f t="array" ref="AG30">IF(TbTradesBinance[[#This Row],[Tipo]]="EMPTY",0,AG29+IF(TbTradesBinance[[#This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Row],[Par]]))),$1:$1,0)),-(AF29-AF30)/AF29*AG29),0),0)+IF(TbTradesBinance[[#This Row],[Tipo]]="SELL",IF(ISNUMBER(FIND(MID(AG$1,10,5),TbTradesBinance[[#This Row],[Par]])),IF(FIND(MID(AG$1,10,5),TbTradesBinance[[#This Row],[Par]])=1, -(AF29-AF30)/AF29*AG29,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Row],[Par]])),(-(AF29-AF30)/AF29*AG29)+IF(TbTradesBinance[[#This Row],[Resultado]]&gt;0,0,TbTradesBinance[[#This Row],[Taxa]]),0),0))</f>
        <v>0</v>
      </c>
      <c r="AH30" s="145">
        <f t="shared" si="7"/>
        <v>0</v>
      </c>
      <c r="AI3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Row],[Tipo]]="DROP"),AI29+TbTradesBinance[[#This Row],[Qtt]],AI29-TbTradesBinance[[#This Row],[Qtt]]),IF(TbTradesBinance[[#This Row],[Tipo]]="BUY",AI29-TbTradesBinance[[#This Row],[Qtt]]*TbTradesBinance[[#This Row],[Preço]],AI29+TbTradesBinance[[#This Row],[Qtt]]*TbTradesBinance[[#This Row],[Preço]])),AI29)-IF(TbTradesBinance[[#This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Row],[Tipo]]="DROP"),AI29+TbTradesBinance[[#This Row],[Qtt]],AI29-TbTradesBinance[[#This Row],[Qtt]]),IF(TbTradesBinance[[#This Row],[Tipo]]="BUY",AI29-TbTradesBinance[[#This Row],[Qtt]]*TbTradesBinance[[#This Row],[Preço]],AI29+TbTradesBinance[[#This Row],[Qtt]]*TbTradesBinance[[#This Row],[Preço]])),AI29)-IF(TbTradesBinance[[#This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Row],[Tipo]]="DROP"),AI29+TbTradesBinance[[#This Row],[Qtt]],AI29-TbTradesBinance[[#This Row],[Qtt]]),IF(TbTradesBinance[[#This Row],[Tipo]]="BUY",AI29-TbTradesBinance[[#This Row],[Qtt]]*TbTradesBinance[[#This Row],[Preço]],AI29+TbTradesBinance[[#This Row],[Qtt]]*TbTradesBinance[[#This Row],[Preço]])),AI29)-IF(TbTradesBinance[[#This Row],[Moeda da Taxa]]=MID(AI$1,9,5),TbTradesBinance[[#This Row],[Taxa]],0),8)))</f>
        <v>0</v>
      </c>
      <c r="AJ30" s="145" cm="1">
        <f t="array" ref="AJ30">IF(TbTradesBinance[[#This Row],[Tipo]]="EMPTY",0,AJ29+IF(TbTradesBinance[[#This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Row],[Par]]))),$1:$1,0)),-(AI29-AI30)/AI29*AJ29),0),0)+IF(TbTradesBinance[[#This Row],[Tipo]]="SELL",IF(ISNUMBER(FIND(MID(AJ$1,10,5),TbTradesBinance[[#This Row],[Par]])),IF(FIND(MID(AJ$1,10,5),TbTradesBinance[[#This Row],[Par]])=1, -(AI29-AI30)/AI29*AJ29,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Row],[Par]])),(-(AI29-AI30)/AI29*AJ29)+IF(TbTradesBinance[[#This Row],[Resultado]]&gt;0,0,TbTradesBinance[[#This Row],[Taxa]]),0),0))</f>
        <v>0</v>
      </c>
      <c r="AK30" s="145">
        <f t="shared" si="8"/>
        <v>0</v>
      </c>
      <c r="AL3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Row],[Tipo]]="DROP"),AL29+TbTradesBinance[[#This Row],[Qtt]],AL29-TbTradesBinance[[#This Row],[Qtt]]),IF(TbTradesBinance[[#This Row],[Tipo]]="BUY",AL29-TbTradesBinance[[#This Row],[Qtt]]*TbTradesBinance[[#This Row],[Preço]],AL29+TbTradesBinance[[#This Row],[Qtt]]*TbTradesBinance[[#This Row],[Preço]])),AL29)-IF(TbTradesBinance[[#This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Row],[Tipo]]="DROP"),AL29+TbTradesBinance[[#This Row],[Qtt]],AL29-TbTradesBinance[[#This Row],[Qtt]]),IF(TbTradesBinance[[#This Row],[Tipo]]="BUY",AL29-TbTradesBinance[[#This Row],[Qtt]]*TbTradesBinance[[#This Row],[Preço]],AL29+TbTradesBinance[[#This Row],[Qtt]]*TbTradesBinance[[#This Row],[Preço]])),AL29)-IF(TbTradesBinance[[#This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Row],[Tipo]]="DROP"),AL29+TbTradesBinance[[#This Row],[Qtt]],AL29-TbTradesBinance[[#This Row],[Qtt]]),IF(TbTradesBinance[[#This Row],[Tipo]]="BUY",AL29-TbTradesBinance[[#This Row],[Qtt]]*TbTradesBinance[[#This Row],[Preço]],AL29+TbTradesBinance[[#This Row],[Qtt]]*TbTradesBinance[[#This Row],[Preço]])),AL29)-IF(TbTradesBinance[[#This Row],[Moeda da Taxa]]=MID(AL$1,9,5),TbTradesBinance[[#This Row],[Taxa]],0),8)))</f>
        <v>0</v>
      </c>
      <c r="AM30" s="145" cm="1">
        <f t="array" ref="AM30">IF(TbTradesBinance[[#This Row],[Tipo]]="EMPTY",0,AM29+IF(TbTradesBinance[[#This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Row],[Par]]))),$1:$1,0)),-(AL29-AL30)/AL29*AM29),0),0)+IF(TbTradesBinance[[#This Row],[Tipo]]="SELL",IF(ISNUMBER(FIND(MID(AM$1,10,5),TbTradesBinance[[#This Row],[Par]])),IF(FIND(MID(AM$1,10,5),TbTradesBinance[[#This Row],[Par]])=1, -(AL29-AL30)/AL29*AM29,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Row],[Par]])),(-(AL29-AL30)/AL29*AM29)+IF(TbTradesBinance[[#This Row],[Resultado]]&gt;0,0,TbTradesBinance[[#This Row],[Taxa]]),0),0))</f>
        <v>0</v>
      </c>
      <c r="AN30" s="145">
        <f t="shared" si="9"/>
        <v>0</v>
      </c>
      <c r="AO3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Row],[Tipo]]="DROP"),AO29+TbTradesBinance[[#This Row],[Qtt]],AO29-TbTradesBinance[[#This Row],[Qtt]]),IF(TbTradesBinance[[#This Row],[Tipo]]="BUY",AO29-TbTradesBinance[[#This Row],[Qtt]]*TbTradesBinance[[#This Row],[Preço]],AO29+TbTradesBinance[[#This Row],[Qtt]]*TbTradesBinance[[#This Row],[Preço]])),AO29)-IF(TbTradesBinance[[#This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Row],[Tipo]]="DROP"),AO29+TbTradesBinance[[#This Row],[Qtt]],AO29-TbTradesBinance[[#This Row],[Qtt]]),IF(TbTradesBinance[[#This Row],[Tipo]]="BUY",AO29-TbTradesBinance[[#This Row],[Qtt]]*TbTradesBinance[[#This Row],[Preço]],AO29+TbTradesBinance[[#This Row],[Qtt]]*TbTradesBinance[[#This Row],[Preço]])),AO29)-IF(TbTradesBinance[[#This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Row],[Tipo]]="DROP"),AO29+TbTradesBinance[[#This Row],[Qtt]],AO29-TbTradesBinance[[#This Row],[Qtt]]),IF(TbTradesBinance[[#This Row],[Tipo]]="BUY",AO29-TbTradesBinance[[#This Row],[Qtt]]*TbTradesBinance[[#This Row],[Preço]],AO29+TbTradesBinance[[#This Row],[Qtt]]*TbTradesBinance[[#This Row],[Preço]])),AO29)-IF(TbTradesBinance[[#This Row],[Moeda da Taxa]]=MID(AO$1,9,5),TbTradesBinance[[#This Row],[Taxa]],0),8)))</f>
        <v>0</v>
      </c>
      <c r="AP30" s="145" cm="1">
        <f t="array" ref="AP30">IF(TbTradesBinance[[#This Row],[Tipo]]="EMPTY",0,AP29+IF(TbTradesBinance[[#This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Row],[Par]]))),$1:$1,0)),-(AO29-AO30)/AO29*AP29),0),0)+IF(TbTradesBinance[[#This Row],[Tipo]]="SELL",IF(ISNUMBER(FIND(MID(AP$1,10,5),TbTradesBinance[[#This Row],[Par]])),IF(FIND(MID(AP$1,10,5),TbTradesBinance[[#This Row],[Par]])=1, -(AO29-AO30)/AO29*AP29,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Row],[Par]])),(-(AO29-AO30)/AO29*AP29)+IF(TbTradesBinance[[#This Row],[Resultado]]&gt;0,0,TbTradesBinance[[#This Row],[Taxa]]),0),0))</f>
        <v>0</v>
      </c>
      <c r="AQ30" s="145">
        <f t="shared" si="10"/>
        <v>0</v>
      </c>
      <c r="AR3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Row],[Tipo]]="DROP"),AR29+TbTradesBinance[[#This Row],[Qtt]],AR29-TbTradesBinance[[#This Row],[Qtt]]),IF(TbTradesBinance[[#This Row],[Tipo]]="BUY",AR29-TbTradesBinance[[#This Row],[Qtt]]*TbTradesBinance[[#This Row],[Preço]],AR29+TbTradesBinance[[#This Row],[Qtt]]*TbTradesBinance[[#This Row],[Preço]])),AR29)-IF(TbTradesBinance[[#This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Row],[Tipo]]="DROP"),AR29+TbTradesBinance[[#This Row],[Qtt]],AR29-TbTradesBinance[[#This Row],[Qtt]]),IF(TbTradesBinance[[#This Row],[Tipo]]="BUY",AR29-TbTradesBinance[[#This Row],[Qtt]]*TbTradesBinance[[#This Row],[Preço]],AR29+TbTradesBinance[[#This Row],[Qtt]]*TbTradesBinance[[#This Row],[Preço]])),AR29)-IF(TbTradesBinance[[#This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Row],[Tipo]]="DROP"),AR29+TbTradesBinance[[#This Row],[Qtt]],AR29-TbTradesBinance[[#This Row],[Qtt]]),IF(TbTradesBinance[[#This Row],[Tipo]]="BUY",AR29-TbTradesBinance[[#This Row],[Qtt]]*TbTradesBinance[[#This Row],[Preço]],AR29+TbTradesBinance[[#This Row],[Qtt]]*TbTradesBinance[[#This Row],[Preço]])),AR29)-IF(TbTradesBinance[[#This Row],[Moeda da Taxa]]=MID(AR$1,9,5),TbTradesBinance[[#This Row],[Taxa]],0),8)))</f>
        <v>0</v>
      </c>
      <c r="AS30" s="145" cm="1">
        <f t="array" ref="AS30">IF(TbTradesBinance[[#This Row],[Tipo]]="EMPTY",0,AS29+IF(TbTradesBinance[[#This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Row],[Par]]))),$1:$1,0)),-(AR29-AR30)/AR29*AS29),0),0)+IF(TbTradesBinance[[#This Row],[Tipo]]="SELL",IF(ISNUMBER(FIND(MID(AS$1,10,5),TbTradesBinance[[#This Row],[Par]])),IF(FIND(MID(AS$1,10,5),TbTradesBinance[[#This Row],[Par]])=1, -(AR29-AR30)/AR29*AS29,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Row],[Par]])),(-(AR29-AR30)/AR29*AS29)+IF(TbTradesBinance[[#This Row],[Resultado]]&gt;0,0,TbTradesBinance[[#This Row],[Taxa]]),0),0))</f>
        <v>0</v>
      </c>
      <c r="AT30" s="145">
        <f t="shared" si="11"/>
        <v>0</v>
      </c>
      <c r="AU3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Row],[Tipo]]="DROP"),AU29+TbTradesBinance[[#This Row],[Qtt]],AU29-TbTradesBinance[[#This Row],[Qtt]]),IF(TbTradesBinance[[#This Row],[Tipo]]="BUY",AU29-TbTradesBinance[[#This Row],[Qtt]]*TbTradesBinance[[#This Row],[Preço]],AU29+TbTradesBinance[[#This Row],[Qtt]]*TbTradesBinance[[#This Row],[Preço]])),AU29)-IF(TbTradesBinance[[#This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Row],[Tipo]]="DROP"),AU29+TbTradesBinance[[#This Row],[Qtt]],AU29-TbTradesBinance[[#This Row],[Qtt]]),IF(TbTradesBinance[[#This Row],[Tipo]]="BUY",AU29-TbTradesBinance[[#This Row],[Qtt]]*TbTradesBinance[[#This Row],[Preço]],AU29+TbTradesBinance[[#This Row],[Qtt]]*TbTradesBinance[[#This Row],[Preço]])),AU29)-IF(TbTradesBinance[[#This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Row],[Tipo]]="DROP"),AU29+TbTradesBinance[[#This Row],[Qtt]],AU29-TbTradesBinance[[#This Row],[Qtt]]),IF(TbTradesBinance[[#This Row],[Tipo]]="BUY",AU29-TbTradesBinance[[#This Row],[Qtt]]*TbTradesBinance[[#This Row],[Preço]],AU29+TbTradesBinance[[#This Row],[Qtt]]*TbTradesBinance[[#This Row],[Preço]])),AU29)-IF(TbTradesBinance[[#This Row],[Moeda da Taxa]]=MID(AU$1,9,5),TbTradesBinance[[#This Row],[Taxa]],0),8)))</f>
        <v>0</v>
      </c>
      <c r="AV30" s="145" cm="1">
        <f t="array" ref="AV30">IF(TbTradesBinance[[#This Row],[Tipo]]="EMPTY",0,AV29+IF(TbTradesBinance[[#This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Row],[Par]]))),$1:$1,0)),-(AU29-AU30)/AU29*AV29),0),0)+IF(TbTradesBinance[[#This Row],[Tipo]]="SELL",IF(ISNUMBER(FIND(MID(AV$1,10,5),TbTradesBinance[[#This Row],[Par]])),IF(FIND(MID(AV$1,10,5),TbTradesBinance[[#This Row],[Par]])=1, -(AU29-AU30)/AU29*AV29,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Row],[Par]])),(-(AU29-AU30)/AU29*AV29)+IF(TbTradesBinance[[#This Row],[Resultado]]&gt;0,0,TbTradesBinance[[#This Row],[Taxa]]),0),0))</f>
        <v>0</v>
      </c>
      <c r="AW30" s="145">
        <f t="shared" si="12"/>
        <v>0</v>
      </c>
      <c r="AX3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Row],[Tipo]]="DROP"),AX29+TbTradesBinance[[#This Row],[Qtt]],AX29-TbTradesBinance[[#This Row],[Qtt]]),IF(TbTradesBinance[[#This Row],[Tipo]]="BUY",AX29-TbTradesBinance[[#This Row],[Qtt]]*TbTradesBinance[[#This Row],[Preço]],AX29+TbTradesBinance[[#This Row],[Qtt]]*TbTradesBinance[[#This Row],[Preço]])),AX29)-IF(TbTradesBinance[[#This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Row],[Tipo]]="DROP"),AX29+TbTradesBinance[[#This Row],[Qtt]],AX29-TbTradesBinance[[#This Row],[Qtt]]),IF(TbTradesBinance[[#This Row],[Tipo]]="BUY",AX29-TbTradesBinance[[#This Row],[Qtt]]*TbTradesBinance[[#This Row],[Preço]],AX29+TbTradesBinance[[#This Row],[Qtt]]*TbTradesBinance[[#This Row],[Preço]])),AX29)-IF(TbTradesBinance[[#This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Row],[Tipo]]="DROP"),AX29+TbTradesBinance[[#This Row],[Qtt]],AX29-TbTradesBinance[[#This Row],[Qtt]]),IF(TbTradesBinance[[#This Row],[Tipo]]="BUY",AX29-TbTradesBinance[[#This Row],[Qtt]]*TbTradesBinance[[#This Row],[Preço]],AX29+TbTradesBinance[[#This Row],[Qtt]]*TbTradesBinance[[#This Row],[Preço]])),AX29)-IF(TbTradesBinance[[#This Row],[Moeda da Taxa]]=MID(AX$1,9,5),TbTradesBinance[[#This Row],[Taxa]],0),8)))</f>
        <v>0</v>
      </c>
      <c r="AY30" s="145" cm="1">
        <f t="array" ref="AY30">IF(TbTradesBinance[[#This Row],[Tipo]]="EMPTY",0,AY29+IF(TbTradesBinance[[#This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Row],[Par]]))),$1:$1,0)),-(AX29-AX30)/AX29*AY29),0),0)+IF(TbTradesBinance[[#This Row],[Tipo]]="SELL",IF(ISNUMBER(FIND(MID(AY$1,10,5),TbTradesBinance[[#This Row],[Par]])),IF(FIND(MID(AY$1,10,5),TbTradesBinance[[#This Row],[Par]])=1, -(AX29-AX30)/AX29*AY29,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Row],[Par]])),(-(AX29-AX30)/AX29*AY29)+IF(TbTradesBinance[[#This Row],[Resultado]]&gt;0,0,TbTradesBinance[[#This Row],[Taxa]]),0),0))</f>
        <v>0</v>
      </c>
      <c r="AZ30" s="145">
        <f t="shared" si="13"/>
        <v>0</v>
      </c>
      <c r="BA3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Row],[Tipo]]="DROP"),BA29+TbTradesBinance[[#This Row],[Qtt]],BA29-TbTradesBinance[[#This Row],[Qtt]]),IF(TbTradesBinance[[#This Row],[Tipo]]="BUY",BA29-TbTradesBinance[[#This Row],[Qtt]]*TbTradesBinance[[#This Row],[Preço]],BA29+TbTradesBinance[[#This Row],[Qtt]]*TbTradesBinance[[#This Row],[Preço]])),BA29)-IF(TbTradesBinance[[#This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Row],[Tipo]]="DROP"),BA29+TbTradesBinance[[#This Row],[Qtt]],BA29-TbTradesBinance[[#This Row],[Qtt]]),IF(TbTradesBinance[[#This Row],[Tipo]]="BUY",BA29-TbTradesBinance[[#This Row],[Qtt]]*TbTradesBinance[[#This Row],[Preço]],BA29+TbTradesBinance[[#This Row],[Qtt]]*TbTradesBinance[[#This Row],[Preço]])),BA29)-IF(TbTradesBinance[[#This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Row],[Tipo]]="DROP"),BA29+TbTradesBinance[[#This Row],[Qtt]],BA29-TbTradesBinance[[#This Row],[Qtt]]),IF(TbTradesBinance[[#This Row],[Tipo]]="BUY",BA29-TbTradesBinance[[#This Row],[Qtt]]*TbTradesBinance[[#This Row],[Preço]],BA29+TbTradesBinance[[#This Row],[Qtt]]*TbTradesBinance[[#This Row],[Preço]])),BA29)-IF(TbTradesBinance[[#This Row],[Moeda da Taxa]]=MID(BA$1,9,5),TbTradesBinance[[#This Row],[Taxa]],0),8)))</f>
        <v>0</v>
      </c>
      <c r="BB30" s="145" cm="1">
        <f t="array" ref="BB30">IF(TbTradesBinance[[#This Row],[Tipo]]="EMPTY",0,BB29+IF(TbTradesBinance[[#This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Row],[Par]]))),$1:$1,0)),-(BA29-BA30)/BA29*BB29),0),0)+IF(TbTradesBinance[[#This Row],[Tipo]]="SELL",IF(ISNUMBER(FIND(MID(BB$1,10,5),TbTradesBinance[[#This Row],[Par]])),IF(FIND(MID(BB$1,10,5),TbTradesBinance[[#This Row],[Par]])=1, -(BA29-BA30)/BA29*BB29,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Row],[Par]])),(-(BA29-BA30)/BA29*BB29)+IF(TbTradesBinance[[#This Row],[Resultado]]&gt;0,0,TbTradesBinance[[#This Row],[Taxa]]),0),0))</f>
        <v>0</v>
      </c>
      <c r="BC30" s="145">
        <f t="shared" si="14"/>
        <v>0</v>
      </c>
      <c r="BD3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Row],[Tipo]]="DROP"),BD29+TbTradesBinance[[#This Row],[Qtt]],BD29-TbTradesBinance[[#This Row],[Qtt]]),IF(TbTradesBinance[[#This Row],[Tipo]]="BUY",BD29-TbTradesBinance[[#This Row],[Qtt]]*TbTradesBinance[[#This Row],[Preço]],BD29+TbTradesBinance[[#This Row],[Qtt]]*TbTradesBinance[[#This Row],[Preço]])),BD29)-IF(TbTradesBinance[[#This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Row],[Tipo]]="DROP"),BD29+TbTradesBinance[[#This Row],[Qtt]],BD29-TbTradesBinance[[#This Row],[Qtt]]),IF(TbTradesBinance[[#This Row],[Tipo]]="BUY",BD29-TbTradesBinance[[#This Row],[Qtt]]*TbTradesBinance[[#This Row],[Preço]],BD29+TbTradesBinance[[#This Row],[Qtt]]*TbTradesBinance[[#This Row],[Preço]])),BD29)-IF(TbTradesBinance[[#This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Row],[Tipo]]="DROP"),BD29+TbTradesBinance[[#This Row],[Qtt]],BD29-TbTradesBinance[[#This Row],[Qtt]]),IF(TbTradesBinance[[#This Row],[Tipo]]="BUY",BD29-TbTradesBinance[[#This Row],[Qtt]]*TbTradesBinance[[#This Row],[Preço]],BD29+TbTradesBinance[[#This Row],[Qtt]]*TbTradesBinance[[#This Row],[Preço]])),BD29)-IF(TbTradesBinance[[#This Row],[Moeda da Taxa]]=MID(BD$1,9,5),TbTradesBinance[[#This Row],[Taxa]],0),8)))</f>
        <v>0.37962000000000001</v>
      </c>
      <c r="BE30" s="145" cm="1">
        <f t="array" ref="BE30">IF(TbTradesBinance[[#This Row],[Tipo]]="EMPTY",0,BE29+IF(TbTradesBinance[[#This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Row],[Par]]))),$1:$1,0)),-(BD29-BD30)/BD29*BE29),0),0)+IF(TbTradesBinance[[#This Row],[Tipo]]="SELL",IF(ISNUMBER(FIND(MID(BE$1,10,5),TbTradesBinance[[#This Row],[Par]])),IF(FIND(MID(BE$1,10,5),TbTradesBinance[[#This Row],[Par]])=1, -(BD29-BD30)/BD29*BE29,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Row],[Par]])),(-(BD29-BD30)/BD29*BE29)+IF(TbTradesBinance[[#This Row],[Resultado]]&gt;0,0,TbTradesBinance[[#This Row],[Taxa]]),0),0))</f>
        <v>63.647297001537943</v>
      </c>
      <c r="BF30" s="145">
        <f t="shared" si="15"/>
        <v>167.66054739354601</v>
      </c>
      <c r="BG3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Row],[Tipo]]="DROP"),BG29+TbTradesBinance[[#This Row],[Qtt]],BG29-TbTradesBinance[[#This Row],[Qtt]]),IF(TbTradesBinance[[#This Row],[Tipo]]="BUY",BG29-TbTradesBinance[[#This Row],[Qtt]]*TbTradesBinance[[#This Row],[Preço]],BG29+TbTradesBinance[[#This Row],[Qtt]]*TbTradesBinance[[#This Row],[Preço]])),BG29)-IF(TbTradesBinance[[#This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Row],[Tipo]]="DROP"),BG29+TbTradesBinance[[#This Row],[Qtt]],BG29-TbTradesBinance[[#This Row],[Qtt]]),IF(TbTradesBinance[[#This Row],[Tipo]]="BUY",BG29-TbTradesBinance[[#This Row],[Qtt]]*TbTradesBinance[[#This Row],[Preço]],BG29+TbTradesBinance[[#This Row],[Qtt]]*TbTradesBinance[[#This Row],[Preço]])),BG29)-IF(TbTradesBinance[[#This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Row],[Tipo]]="DROP"),BG29+TbTradesBinance[[#This Row],[Qtt]],BG29-TbTradesBinance[[#This Row],[Qtt]]),IF(TbTradesBinance[[#This Row],[Tipo]]="BUY",BG29-TbTradesBinance[[#This Row],[Qtt]]*TbTradesBinance[[#This Row],[Preço]],BG29+TbTradesBinance[[#This Row],[Qtt]]*TbTradesBinance[[#This Row],[Preço]])),BG29)-IF(TbTradesBinance[[#This Row],[Moeda da Taxa]]=MID(BG$1,9,5),TbTradesBinance[[#This Row],[Taxa]],0),8)))</f>
        <v>0</v>
      </c>
      <c r="BH30" s="145" cm="1">
        <f t="array" ref="BH30">IF(TbTradesBinance[[#This Row],[Tipo]]="EMPTY",0,BH29+IF(TbTradesBinance[[#This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Row],[Par]]))),$1:$1,0)),-(BG29-BG30)/BG29*BH29),0),0)+IF(TbTradesBinance[[#This Row],[Tipo]]="SELL",IF(ISNUMBER(FIND(MID(BH$1,10,5),TbTradesBinance[[#This Row],[Par]])),IF(FIND(MID(BH$1,10,5),TbTradesBinance[[#This Row],[Par]])=1, -(BG29-BG30)/BG29*BH29,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Row],[Par]])),(-(BG29-BG30)/BG29*BH29)+IF(TbTradesBinance[[#This Row],[Resultado]]&gt;0,0,TbTradesBinance[[#This Row],[Taxa]]),0),0))</f>
        <v>0</v>
      </c>
      <c r="BI30" s="145">
        <f t="shared" si="16"/>
        <v>0</v>
      </c>
      <c r="BJ3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Row],[Tipo]]="DROP"),BJ29+TbTradesBinance[[#This Row],[Qtt]],BJ29-TbTradesBinance[[#This Row],[Qtt]]),IF(TbTradesBinance[[#This Row],[Tipo]]="BUY",BJ29-TbTradesBinance[[#This Row],[Qtt]]*TbTradesBinance[[#This Row],[Preço]],BJ29+TbTradesBinance[[#This Row],[Qtt]]*TbTradesBinance[[#This Row],[Preço]])),BJ29)-IF(TbTradesBinance[[#This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Row],[Tipo]]="DROP"),BJ29+TbTradesBinance[[#This Row],[Qtt]],BJ29-TbTradesBinance[[#This Row],[Qtt]]),IF(TbTradesBinance[[#This Row],[Tipo]]="BUY",BJ29-TbTradesBinance[[#This Row],[Qtt]]*TbTradesBinance[[#This Row],[Preço]],BJ29+TbTradesBinance[[#This Row],[Qtt]]*TbTradesBinance[[#This Row],[Preço]])),BJ29)-IF(TbTradesBinance[[#This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Row],[Tipo]]="DROP"),BJ29+TbTradesBinance[[#This Row],[Qtt]],BJ29-TbTradesBinance[[#This Row],[Qtt]]),IF(TbTradesBinance[[#This Row],[Tipo]]="BUY",BJ29-TbTradesBinance[[#This Row],[Qtt]]*TbTradesBinance[[#This Row],[Preço]],BJ29+TbTradesBinance[[#This Row],[Qtt]]*TbTradesBinance[[#This Row],[Preço]])),BJ29)-IF(TbTradesBinance[[#This Row],[Moeda da Taxa]]=MID(BJ$1,9,5),TbTradesBinance[[#This Row],[Taxa]],0),8)))</f>
        <v>0</v>
      </c>
      <c r="BK30" s="145" cm="1">
        <f t="array" ref="BK30">IF(TbTradesBinance[[#This Row],[Tipo]]="EMPTY",0,BK29+IF(TbTradesBinance[[#This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Row],[Par]]))),$1:$1,0)),-(BJ29-BJ30)/BJ29*BK29),0),0)+IF(TbTradesBinance[[#This Row],[Tipo]]="SELL",IF(ISNUMBER(FIND(MID(BK$1,10,5),TbTradesBinance[[#This Row],[Par]])),IF(FIND(MID(BK$1,10,5),TbTradesBinance[[#This Row],[Par]])=1, -(BJ29-BJ30)/BJ29*BK29,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Row],[Par]])),(-(BJ29-BJ30)/BJ29*BK29)+IF(TbTradesBinance[[#This Row],[Resultado]]&gt;0,0,TbTradesBinance[[#This Row],[Taxa]]),0),0))</f>
        <v>0</v>
      </c>
      <c r="BL30" s="145">
        <f t="shared" si="17"/>
        <v>0</v>
      </c>
      <c r="BM3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Row],[Tipo]]="DROP"),BM29+TbTradesBinance[[#This Row],[Qtt]],BM29-TbTradesBinance[[#This Row],[Qtt]]),IF(TbTradesBinance[[#This Row],[Tipo]]="BUY",BM29-TbTradesBinance[[#This Row],[Qtt]]*TbTradesBinance[[#This Row],[Preço]],BM29+TbTradesBinance[[#This Row],[Qtt]]*TbTradesBinance[[#This Row],[Preço]])),BM29)-IF(TbTradesBinance[[#This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Row],[Tipo]]="DROP"),BM29+TbTradesBinance[[#This Row],[Qtt]],BM29-TbTradesBinance[[#This Row],[Qtt]]),IF(TbTradesBinance[[#This Row],[Tipo]]="BUY",BM29-TbTradesBinance[[#This Row],[Qtt]]*TbTradesBinance[[#This Row],[Preço]],BM29+TbTradesBinance[[#This Row],[Qtt]]*TbTradesBinance[[#This Row],[Preço]])),BM29)-IF(TbTradesBinance[[#This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Row],[Tipo]]="DROP"),BM29+TbTradesBinance[[#This Row],[Qtt]],BM29-TbTradesBinance[[#This Row],[Qtt]]),IF(TbTradesBinance[[#This Row],[Tipo]]="BUY",BM29-TbTradesBinance[[#This Row],[Qtt]]*TbTradesBinance[[#This Row],[Preço]],BM29+TbTradesBinance[[#This Row],[Qtt]]*TbTradesBinance[[#This Row],[Preço]])),BM29)-IF(TbTradesBinance[[#This Row],[Moeda da Taxa]]=MID(BM$1,9,5),TbTradesBinance[[#This Row],[Taxa]],0),8)))</f>
        <v>0</v>
      </c>
      <c r="BN30" s="145" cm="1">
        <f t="array" ref="BN30">IF(TbTradesBinance[[#This Row],[Tipo]]="EMPTY",0,BN29+IF(TbTradesBinance[[#This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Row],[Par]]))),$1:$1,0)),-(BM29-BM30)/BM29*BN29),0),0)+IF(TbTradesBinance[[#This Row],[Tipo]]="SELL",IF(ISNUMBER(FIND(MID(BN$1,10,5),TbTradesBinance[[#This Row],[Par]])),IF(FIND(MID(BN$1,10,5),TbTradesBinance[[#This Row],[Par]])=1, -(BM29-BM30)/BM29*BN29,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Row],[Par]])),(-(BM29-BM30)/BM29*BN29)+IF(TbTradesBinance[[#This Row],[Resultado]]&gt;0,0,TbTradesBinance[[#This Row],[Taxa]]),0),0))</f>
        <v>0</v>
      </c>
      <c r="BO30" s="145">
        <f t="shared" si="18"/>
        <v>0</v>
      </c>
    </row>
    <row r="31" spans="2:67" x14ac:dyDescent="0.3">
      <c r="B31" s="51"/>
      <c r="C31" s="40">
        <f>TRUNC(IF(AND(TbTradesBinance[[#This Row],[Tipo]]="SEND",TbTradesBinance[[#This Row],[Par]]="BRL"),TbTradesBinance[[#This Row],[Qtt]]*(1-P29)-IF(TbTradesBinance[[#This Row],[Moeda da Taxa]]="BRL",TbTradesBinance[[#This Row],[Taxa]],0),0)+IF(AND(TbTradesBinance[[#This Row],[Tipo]]="BURN",TbTradesBinance[[#This Row],[Par]]="BRL"),-TbTradesBinance[[#This Row],[Qtt]]*P29,0),2)</f>
        <v>0</v>
      </c>
      <c r="D31" s="53">
        <v>44256.629942129628</v>
      </c>
      <c r="E31" s="37" t="s">
        <v>239</v>
      </c>
      <c r="F31" s="47" t="s">
        <v>139</v>
      </c>
      <c r="G31" s="38">
        <v>7.0682000000000004E-4</v>
      </c>
      <c r="H31" s="38">
        <v>0.1</v>
      </c>
      <c r="I31" s="38">
        <v>1E-4</v>
      </c>
      <c r="J31" s="37" t="s">
        <v>9</v>
      </c>
      <c r="K31" s="52">
        <v>274000</v>
      </c>
      <c r="L31" s="40">
        <f t="shared" si="0"/>
        <v>193.66</v>
      </c>
      <c r="M31" s="40">
        <f>IF(OR(TbTradesBinance[[#This Row],[Tipo]]="BUY",TbTradesBinance[[#This Row],[Tipo]]="RECEIVE",TbTradesBinance[[#This Row],[Tipo]]="DROP"),L31*H31,-L31*H31)</f>
        <v>19.366</v>
      </c>
      <c r="N3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Row],[Tipo]]="DROP"),N30+TbTradesBinance[[#This Row],[Qtt]],N30-TbTradesBinance[[#This Row],[Qtt]]),IF(TbTradesBinance[[#This Row],[Tipo]]="BUY",N30-TbTradesBinance[[#This Row],[Qtt]]*TbTradesBinance[[#This Row],[Preço]],N30+TbTradesBinance[[#This Row],[Qtt]]*TbTradesBinance[[#This Row],[Preço]])),N30)-IF(TbTradesBinance[[#This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Row],[Tipo]]="DROP"),N30+TbTradesBinance[[#This Row],[Qtt]],N30-TbTradesBinance[[#This Row],[Qtt]]),IF(TbTradesBinance[[#This Row],[Tipo]]="BUY",N30-TbTradesBinance[[#This Row],[Qtt]]*TbTradesBinance[[#This Row],[Preço]],N30+TbTradesBinance[[#This Row],[Qtt]]*TbTradesBinance[[#This Row],[Preço]])),N30)-IF(TbTradesBinance[[#This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Row],[Tipo]]="DROP"),N30+TbTradesBinance[[#This Row],[Qtt]],N30-TbTradesBinance[[#This Row],[Qtt]]),IF(TbTradesBinance[[#This Row],[Tipo]]="BUY",N30-TbTradesBinance[[#This Row],[Qtt]]*TbTradesBinance[[#This Row],[Preço]],N30+TbTradesBinance[[#This Row],[Qtt]]*TbTradesBinance[[#This Row],[Preço]])),N30)-IF(TbTradesBinance[[#This Row],[Moeda da Taxa]]=MID(N$1,9,5),TbTradesBinance[[#This Row],[Taxa]],0),8)))</f>
        <v>119853.88458689</v>
      </c>
      <c r="O31" s="145" cm="1">
        <f t="array" ref="O31">IF(TbTradesBinance[[#This Row],[Tipo]]="EMPTY",0,O30+IF(TbTradesBinance[[#This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Row],[Par]]))),$1:$1,0)),-(N30-N31)/N30*O30),0),0)+IF(TbTradesBinance[[#This Row],[Tipo]]="SELL",IF(ISNUMBER(FIND(MID(O$1,10,5),TbTradesBinance[[#This Row],[Par]])),IF(FIND(MID(O$1,10,5),TbTradesBinance[[#This Row],[Par]])=1, -(N30-N31)/N30*O30,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Row],[Par]])),(-(N30-N31)/N30*O30)+IF(TbTradesBinance[[#This Row],[Resultado]]&gt;0,0,TbTradesBinance[[#This Row],[Taxa]]),0),0))</f>
        <v>119805.62621832587</v>
      </c>
      <c r="P31" s="145">
        <f t="shared" si="1"/>
        <v>0.99959735665864757</v>
      </c>
      <c r="Q3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Row],[Tipo]]="DROP"),Q30+TbTradesBinance[[#This Row],[Qtt]],Q30-TbTradesBinance[[#This Row],[Qtt]]),IF(TbTradesBinance[[#This Row],[Tipo]]="BUY",Q30-TbTradesBinance[[#This Row],[Qtt]]*TbTradesBinance[[#This Row],[Preço]],Q30+TbTradesBinance[[#This Row],[Qtt]]*TbTradesBinance[[#This Row],[Preço]])),Q30)-IF(TbTradesBinance[[#This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Row],[Tipo]]="DROP"),Q30+TbTradesBinance[[#This Row],[Qtt]],Q30-TbTradesBinance[[#This Row],[Qtt]]),IF(TbTradesBinance[[#This Row],[Tipo]]="BUY",Q30-TbTradesBinance[[#This Row],[Qtt]]*TbTradesBinance[[#This Row],[Preço]],Q30+TbTradesBinance[[#This Row],[Qtt]]*TbTradesBinance[[#This Row],[Preço]])),Q30)-IF(TbTradesBinance[[#This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Row],[Tipo]]="DROP"),Q30+TbTradesBinance[[#This Row],[Qtt]],Q30-TbTradesBinance[[#This Row],[Qtt]]),IF(TbTradesBinance[[#This Row],[Tipo]]="BUY",Q30-TbTradesBinance[[#This Row],[Qtt]]*TbTradesBinance[[#This Row],[Preço]],Q30+TbTradesBinance[[#This Row],[Qtt]]*TbTradesBinance[[#This Row],[Preço]])),Q30)-IF(TbTradesBinance[[#This Row],[Moeda da Taxa]]=MID(Q$1,9,5),TbTradesBinance[[#This Row],[Taxa]],0),8)))</f>
        <v>0.27732999000000003</v>
      </c>
      <c r="R31" s="145" cm="1">
        <f t="array" ref="R31">IF(TbTradesBinance[[#This Row],[Tipo]]="EMPTY",0,R30+IF(TbTradesBinance[[#This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Row],[Par]]))),$1:$1,0)),-(Q30-Q31)/Q30*R30),0),0)+IF(TbTradesBinance[[#This Row],[Tipo]]="SELL",IF(ISNUMBER(FIND(MID(R$1,10,5),TbTradesBinance[[#This Row],[Par]])),IF(FIND(MID(R$1,10,5),TbTradesBinance[[#This Row],[Par]])=1, -(Q30-Q31)/Q30*R30,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Row],[Par]])),(-(Q30-Q31)/Q30*R30)+IF(TbTradesBinance[[#This Row],[Resultado]]&gt;0,0,TbTradesBinance[[#This Row],[Taxa]]),0),0))</f>
        <v>1.5509449279899954</v>
      </c>
      <c r="S31" s="145">
        <f t="shared" si="2"/>
        <v>5.592416918163071</v>
      </c>
      <c r="T3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Row],[Tipo]]="DROP"),T30+TbTradesBinance[[#This Row],[Qtt]],T30-TbTradesBinance[[#This Row],[Qtt]]),IF(TbTradesBinance[[#This Row],[Tipo]]="BUY",T30-TbTradesBinance[[#This Row],[Qtt]]*TbTradesBinance[[#This Row],[Preço]],T30+TbTradesBinance[[#This Row],[Qtt]]*TbTradesBinance[[#This Row],[Preço]])),T30)-IF(TbTradesBinance[[#This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Row],[Tipo]]="DROP"),T30+TbTradesBinance[[#This Row],[Qtt]],T30-TbTradesBinance[[#This Row],[Qtt]]),IF(TbTradesBinance[[#This Row],[Tipo]]="BUY",T30-TbTradesBinance[[#This Row],[Qtt]]*TbTradesBinance[[#This Row],[Preço]],T30+TbTradesBinance[[#This Row],[Qtt]]*TbTradesBinance[[#This Row],[Preço]])),T30)-IF(TbTradesBinance[[#This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Row],[Tipo]]="DROP"),T30+TbTradesBinance[[#This Row],[Qtt]],T30-TbTradesBinance[[#This Row],[Qtt]]),IF(TbTradesBinance[[#This Row],[Tipo]]="BUY",T30-TbTradesBinance[[#This Row],[Qtt]]*TbTradesBinance[[#This Row],[Preço]],T30+TbTradesBinance[[#This Row],[Qtt]]*TbTradesBinance[[#This Row],[Preço]])),T30)-IF(TbTradesBinance[[#This Row],[Moeda da Taxa]]=MID(T$1,9,5),TbTradesBinance[[#This Row],[Taxa]],0),8)))</f>
        <v>2.867312E-2</v>
      </c>
      <c r="U31" s="145" cm="1">
        <f t="array" ref="U31">IF(TbTradesBinance[[#This Row],[Tipo]]="EMPTY",0,U30+IF(TbTradesBinance[[#This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Row],[Par]]))),$1:$1,0)),-(T30-T31)/T30*U30),0),0)+IF(TbTradesBinance[[#This Row],[Tipo]]="SELL",IF(ISNUMBER(FIND(MID(U$1,10,5),TbTradesBinance[[#This Row],[Par]])),IF(FIND(MID(U$1,10,5),TbTradesBinance[[#This Row],[Par]])=1, -(T30-T31)/T30*U30,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Row],[Par]])),(-(T30-T31)/T30*U30)+IF(TbTradesBinance[[#This Row],[Resultado]]&gt;0,0,TbTradesBinance[[#This Row],[Taxa]]),0),0))</f>
        <v>0.19365209596473676</v>
      </c>
      <c r="V31" s="145">
        <f t="shared" si="3"/>
        <v>6.7537852861752317</v>
      </c>
      <c r="W3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Row],[Tipo]]="DROP"),W30+TbTradesBinance[[#This Row],[Qtt]],W30-TbTradesBinance[[#This Row],[Qtt]]),IF(TbTradesBinance[[#This Row],[Tipo]]="BUY",W30-TbTradesBinance[[#This Row],[Qtt]]*TbTradesBinance[[#This Row],[Preço]],W30+TbTradesBinance[[#This Row],[Qtt]]*TbTradesBinance[[#This Row],[Preço]])),W30)-IF(TbTradesBinance[[#This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Row],[Tipo]]="DROP"),W30+TbTradesBinance[[#This Row],[Qtt]],W30-TbTradesBinance[[#This Row],[Qtt]]),IF(TbTradesBinance[[#This Row],[Tipo]]="BUY",W30-TbTradesBinance[[#This Row],[Qtt]]*TbTradesBinance[[#This Row],[Preço]],W30+TbTradesBinance[[#This Row],[Qtt]]*TbTradesBinance[[#This Row],[Preço]])),W30)-IF(TbTradesBinance[[#This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Row],[Tipo]]="DROP"),W30+TbTradesBinance[[#This Row],[Qtt]],W30-TbTradesBinance[[#This Row],[Qtt]]),IF(TbTradesBinance[[#This Row],[Tipo]]="BUY",W30-TbTradesBinance[[#This Row],[Qtt]]*TbTradesBinance[[#This Row],[Preço]],W30+TbTradesBinance[[#This Row],[Qtt]]*TbTradesBinance[[#This Row],[Preço]])),W30)-IF(TbTradesBinance[[#This Row],[Moeda da Taxa]]=MID(W$1,9,5),TbTradesBinance[[#This Row],[Taxa]],0),8)))</f>
        <v>4.1756999999999997E-4</v>
      </c>
      <c r="X31" s="145" cm="1">
        <f t="array" ref="X31">IF(TbTradesBinance[[#This Row],[Tipo]]="EMPTY",0,X30+IF(TbTradesBinance[[#This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Row],[Par]]))),$1:$1,0)),-(W30-W31)/W30*X30),0),0)+IF(TbTradesBinance[[#This Row],[Tipo]]="SELL",IF(ISNUMBER(FIND(MID(X$1,10,5),TbTradesBinance[[#This Row],[Par]])),IF(FIND(MID(X$1,10,5),TbTradesBinance[[#This Row],[Par]])=1, -(W30-W31)/W30*X30,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Row],[Par]])),(-(W30-W31)/W30*X30)+IF(TbTradesBinance[[#This Row],[Resultado]]&gt;0,0,TbTradesBinance[[#This Row],[Taxa]]),0),0))</f>
        <v>110.30796466112572</v>
      </c>
      <c r="Y31" s="145">
        <f t="shared" si="4"/>
        <v>264166.40242624166</v>
      </c>
      <c r="Z3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Row],[Tipo]]="DROP"),Z30+TbTradesBinance[[#This Row],[Qtt]],Z30-TbTradesBinance[[#This Row],[Qtt]]),IF(TbTradesBinance[[#This Row],[Tipo]]="BUY",Z30-TbTradesBinance[[#This Row],[Qtt]]*TbTradesBinance[[#This Row],[Preço]],Z30+TbTradesBinance[[#This Row],[Qtt]]*TbTradesBinance[[#This Row],[Preço]])),Z30)-IF(TbTradesBinance[[#This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Row],[Tipo]]="DROP"),Z30+TbTradesBinance[[#This Row],[Qtt]],Z30-TbTradesBinance[[#This Row],[Qtt]]),IF(TbTradesBinance[[#This Row],[Tipo]]="BUY",Z30-TbTradesBinance[[#This Row],[Qtt]]*TbTradesBinance[[#This Row],[Preço]],Z30+TbTradesBinance[[#This Row],[Qtt]]*TbTradesBinance[[#This Row],[Preço]])),Z30)-IF(TbTradesBinance[[#This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Row],[Tipo]]="DROP"),Z30+TbTradesBinance[[#This Row],[Qtt]],Z30-TbTradesBinance[[#This Row],[Qtt]]),IF(TbTradesBinance[[#This Row],[Tipo]]="BUY",Z30-TbTradesBinance[[#This Row],[Qtt]]*TbTradesBinance[[#This Row],[Preço]],Z30+TbTradesBinance[[#This Row],[Qtt]]*TbTradesBinance[[#This Row],[Preço]])),Z30)-IF(TbTradesBinance[[#This Row],[Moeda da Taxa]]=MID(Z$1,9,5),TbTradesBinance[[#This Row],[Taxa]],0),8)))</f>
        <v>0</v>
      </c>
      <c r="AA31" s="145" cm="1">
        <f t="array" ref="AA31">IF(TbTradesBinance[[#This Row],[Tipo]]="EMPTY",0,AA30+IF(TbTradesBinance[[#This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Row],[Par]]))),$1:$1,0)),-(Z30-Z31)/Z30*AA30),0),0)+IF(TbTradesBinance[[#This Row],[Tipo]]="SELL",IF(ISNUMBER(FIND(MID(AA$1,10,5),TbTradesBinance[[#This Row],[Par]])),IF(FIND(MID(AA$1,10,5),TbTradesBinance[[#This Row],[Par]])=1, -(Z30-Z31)/Z30*AA30,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Row],[Par]])),(-(Z30-Z31)/Z30*AA30)+IF(TbTradesBinance[[#This Row],[Resultado]]&gt;0,0,TbTradesBinance[[#This Row],[Taxa]]),0),0))</f>
        <v>0</v>
      </c>
      <c r="AB31" s="145">
        <f t="shared" si="5"/>
        <v>0</v>
      </c>
      <c r="AC3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Row],[Tipo]]="DROP"),AC30+TbTradesBinance[[#This Row],[Qtt]],AC30-TbTradesBinance[[#This Row],[Qtt]]),IF(TbTradesBinance[[#This Row],[Tipo]]="BUY",AC30-TbTradesBinance[[#This Row],[Qtt]]*TbTradesBinance[[#This Row],[Preço]],AC30+TbTradesBinance[[#This Row],[Qtt]]*TbTradesBinance[[#This Row],[Preço]])),AC30)-IF(TbTradesBinance[[#This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Row],[Tipo]]="DROP"),AC30+TbTradesBinance[[#This Row],[Qtt]],AC30-TbTradesBinance[[#This Row],[Qtt]]),IF(TbTradesBinance[[#This Row],[Tipo]]="BUY",AC30-TbTradesBinance[[#This Row],[Qtt]]*TbTradesBinance[[#This Row],[Preço]],AC30+TbTradesBinance[[#This Row],[Qtt]]*TbTradesBinance[[#This Row],[Preço]])),AC30)-IF(TbTradesBinance[[#This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Row],[Tipo]]="DROP"),AC30+TbTradesBinance[[#This Row],[Qtt]],AC30-TbTradesBinance[[#This Row],[Qtt]]),IF(TbTradesBinance[[#This Row],[Tipo]]="BUY",AC30-TbTradesBinance[[#This Row],[Qtt]]*TbTradesBinance[[#This Row],[Preço]],AC30+TbTradesBinance[[#This Row],[Qtt]]*TbTradesBinance[[#This Row],[Preço]])),AC30)-IF(TbTradesBinance[[#This Row],[Moeda da Taxa]]=MID(AC$1,9,5),TbTradesBinance[[#This Row],[Taxa]],0),8)))</f>
        <v>0</v>
      </c>
      <c r="AD31" s="145" cm="1">
        <f t="array" ref="AD31">IF(TbTradesBinance[[#This Row],[Tipo]]="EMPTY",0,AD30+IF(TbTradesBinance[[#This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Row],[Par]]))),$1:$1,0)),-(AC30-AC31)/AC30*AD30),0),0)+IF(TbTradesBinance[[#This Row],[Tipo]]="SELL",IF(ISNUMBER(FIND(MID(AD$1,10,5),TbTradesBinance[[#This Row],[Par]])),IF(FIND(MID(AD$1,10,5),TbTradesBinance[[#This Row],[Par]])=1, -(AC30-AC31)/AC30*AD30,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Row],[Par]])),(-(AC30-AC31)/AC30*AD30)+IF(TbTradesBinance[[#This Row],[Resultado]]&gt;0,0,TbTradesBinance[[#This Row],[Taxa]]),0),0))</f>
        <v>0</v>
      </c>
      <c r="AE31" s="145">
        <f t="shared" si="6"/>
        <v>0</v>
      </c>
      <c r="AF3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Row],[Tipo]]="DROP"),AF30+TbTradesBinance[[#This Row],[Qtt]],AF30-TbTradesBinance[[#This Row],[Qtt]]),IF(TbTradesBinance[[#This Row],[Tipo]]="BUY",AF30-TbTradesBinance[[#This Row],[Qtt]]*TbTradesBinance[[#This Row],[Preço]],AF30+TbTradesBinance[[#This Row],[Qtt]]*TbTradesBinance[[#This Row],[Preço]])),AF30)-IF(TbTradesBinance[[#This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Row],[Tipo]]="DROP"),AF30+TbTradesBinance[[#This Row],[Qtt]],AF30-TbTradesBinance[[#This Row],[Qtt]]),IF(TbTradesBinance[[#This Row],[Tipo]]="BUY",AF30-TbTradesBinance[[#This Row],[Qtt]]*TbTradesBinance[[#This Row],[Preço]],AF30+TbTradesBinance[[#This Row],[Qtt]]*TbTradesBinance[[#This Row],[Preço]])),AF30)-IF(TbTradesBinance[[#This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Row],[Tipo]]="DROP"),AF30+TbTradesBinance[[#This Row],[Qtt]],AF30-TbTradesBinance[[#This Row],[Qtt]]),IF(TbTradesBinance[[#This Row],[Tipo]]="BUY",AF30-TbTradesBinance[[#This Row],[Qtt]]*TbTradesBinance[[#This Row],[Preço]],AF30+TbTradesBinance[[#This Row],[Qtt]]*TbTradesBinance[[#This Row],[Preço]])),AF30)-IF(TbTradesBinance[[#This Row],[Moeda da Taxa]]=MID(AF$1,9,5),TbTradesBinance[[#This Row],[Taxa]],0),8)))</f>
        <v>0</v>
      </c>
      <c r="AG31" s="145" cm="1">
        <f t="array" ref="AG31">IF(TbTradesBinance[[#This Row],[Tipo]]="EMPTY",0,AG30+IF(TbTradesBinance[[#This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Row],[Par]]))),$1:$1,0)),-(AF30-AF31)/AF30*AG30),0),0)+IF(TbTradesBinance[[#This Row],[Tipo]]="SELL",IF(ISNUMBER(FIND(MID(AG$1,10,5),TbTradesBinance[[#This Row],[Par]])),IF(FIND(MID(AG$1,10,5),TbTradesBinance[[#This Row],[Par]])=1, -(AF30-AF31)/AF30*AG30,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Row],[Par]])),(-(AF30-AF31)/AF30*AG30)+IF(TbTradesBinance[[#This Row],[Resultado]]&gt;0,0,TbTradesBinance[[#This Row],[Taxa]]),0),0))</f>
        <v>0</v>
      </c>
      <c r="AH31" s="145">
        <f t="shared" si="7"/>
        <v>0</v>
      </c>
      <c r="AI3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Row],[Tipo]]="DROP"),AI30+TbTradesBinance[[#This Row],[Qtt]],AI30-TbTradesBinance[[#This Row],[Qtt]]),IF(TbTradesBinance[[#This Row],[Tipo]]="BUY",AI30-TbTradesBinance[[#This Row],[Qtt]]*TbTradesBinance[[#This Row],[Preço]],AI30+TbTradesBinance[[#This Row],[Qtt]]*TbTradesBinance[[#This Row],[Preço]])),AI30)-IF(TbTradesBinance[[#This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Row],[Tipo]]="DROP"),AI30+TbTradesBinance[[#This Row],[Qtt]],AI30-TbTradesBinance[[#This Row],[Qtt]]),IF(TbTradesBinance[[#This Row],[Tipo]]="BUY",AI30-TbTradesBinance[[#This Row],[Qtt]]*TbTradesBinance[[#This Row],[Preço]],AI30+TbTradesBinance[[#This Row],[Qtt]]*TbTradesBinance[[#This Row],[Preço]])),AI30)-IF(TbTradesBinance[[#This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Row],[Tipo]]="DROP"),AI30+TbTradesBinance[[#This Row],[Qtt]],AI30-TbTradesBinance[[#This Row],[Qtt]]),IF(TbTradesBinance[[#This Row],[Tipo]]="BUY",AI30-TbTradesBinance[[#This Row],[Qtt]]*TbTradesBinance[[#This Row],[Preço]],AI30+TbTradesBinance[[#This Row],[Qtt]]*TbTradesBinance[[#This Row],[Preço]])),AI30)-IF(TbTradesBinance[[#This Row],[Moeda da Taxa]]=MID(AI$1,9,5),TbTradesBinance[[#This Row],[Taxa]],0),8)))</f>
        <v>0</v>
      </c>
      <c r="AJ31" s="145" cm="1">
        <f t="array" ref="AJ31">IF(TbTradesBinance[[#This Row],[Tipo]]="EMPTY",0,AJ30+IF(TbTradesBinance[[#This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Row],[Par]]))),$1:$1,0)),-(AI30-AI31)/AI30*AJ30),0),0)+IF(TbTradesBinance[[#This Row],[Tipo]]="SELL",IF(ISNUMBER(FIND(MID(AJ$1,10,5),TbTradesBinance[[#This Row],[Par]])),IF(FIND(MID(AJ$1,10,5),TbTradesBinance[[#This Row],[Par]])=1, -(AI30-AI31)/AI30*AJ30,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Row],[Par]])),(-(AI30-AI31)/AI30*AJ30)+IF(TbTradesBinance[[#This Row],[Resultado]]&gt;0,0,TbTradesBinance[[#This Row],[Taxa]]),0),0))</f>
        <v>0</v>
      </c>
      <c r="AK31" s="145">
        <f t="shared" si="8"/>
        <v>0</v>
      </c>
      <c r="AL3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Row],[Tipo]]="DROP"),AL30+TbTradesBinance[[#This Row],[Qtt]],AL30-TbTradesBinance[[#This Row],[Qtt]]),IF(TbTradesBinance[[#This Row],[Tipo]]="BUY",AL30-TbTradesBinance[[#This Row],[Qtt]]*TbTradesBinance[[#This Row],[Preço]],AL30+TbTradesBinance[[#This Row],[Qtt]]*TbTradesBinance[[#This Row],[Preço]])),AL30)-IF(TbTradesBinance[[#This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Row],[Tipo]]="DROP"),AL30+TbTradesBinance[[#This Row],[Qtt]],AL30-TbTradesBinance[[#This Row],[Qtt]]),IF(TbTradesBinance[[#This Row],[Tipo]]="BUY",AL30-TbTradesBinance[[#This Row],[Qtt]]*TbTradesBinance[[#This Row],[Preço]],AL30+TbTradesBinance[[#This Row],[Qtt]]*TbTradesBinance[[#This Row],[Preço]])),AL30)-IF(TbTradesBinance[[#This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Row],[Tipo]]="DROP"),AL30+TbTradesBinance[[#This Row],[Qtt]],AL30-TbTradesBinance[[#This Row],[Qtt]]),IF(TbTradesBinance[[#This Row],[Tipo]]="BUY",AL30-TbTradesBinance[[#This Row],[Qtt]]*TbTradesBinance[[#This Row],[Preço]],AL30+TbTradesBinance[[#This Row],[Qtt]]*TbTradesBinance[[#This Row],[Preço]])),AL30)-IF(TbTradesBinance[[#This Row],[Moeda da Taxa]]=MID(AL$1,9,5),TbTradesBinance[[#This Row],[Taxa]],0),8)))</f>
        <v>0</v>
      </c>
      <c r="AM31" s="145" cm="1">
        <f t="array" ref="AM31">IF(TbTradesBinance[[#This Row],[Tipo]]="EMPTY",0,AM30+IF(TbTradesBinance[[#This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Row],[Par]]))),$1:$1,0)),-(AL30-AL31)/AL30*AM30),0),0)+IF(TbTradesBinance[[#This Row],[Tipo]]="SELL",IF(ISNUMBER(FIND(MID(AM$1,10,5),TbTradesBinance[[#This Row],[Par]])),IF(FIND(MID(AM$1,10,5),TbTradesBinance[[#This Row],[Par]])=1, -(AL30-AL31)/AL30*AM30,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Row],[Par]])),(-(AL30-AL31)/AL30*AM30)+IF(TbTradesBinance[[#This Row],[Resultado]]&gt;0,0,TbTradesBinance[[#This Row],[Taxa]]),0),0))</f>
        <v>0</v>
      </c>
      <c r="AN31" s="145">
        <f t="shared" si="9"/>
        <v>0</v>
      </c>
      <c r="AO3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Row],[Tipo]]="DROP"),AO30+TbTradesBinance[[#This Row],[Qtt]],AO30-TbTradesBinance[[#This Row],[Qtt]]),IF(TbTradesBinance[[#This Row],[Tipo]]="BUY",AO30-TbTradesBinance[[#This Row],[Qtt]]*TbTradesBinance[[#This Row],[Preço]],AO30+TbTradesBinance[[#This Row],[Qtt]]*TbTradesBinance[[#This Row],[Preço]])),AO30)-IF(TbTradesBinance[[#This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Row],[Tipo]]="DROP"),AO30+TbTradesBinance[[#This Row],[Qtt]],AO30-TbTradesBinance[[#This Row],[Qtt]]),IF(TbTradesBinance[[#This Row],[Tipo]]="BUY",AO30-TbTradesBinance[[#This Row],[Qtt]]*TbTradesBinance[[#This Row],[Preço]],AO30+TbTradesBinance[[#This Row],[Qtt]]*TbTradesBinance[[#This Row],[Preço]])),AO30)-IF(TbTradesBinance[[#This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Row],[Tipo]]="DROP"),AO30+TbTradesBinance[[#This Row],[Qtt]],AO30-TbTradesBinance[[#This Row],[Qtt]]),IF(TbTradesBinance[[#This Row],[Tipo]]="BUY",AO30-TbTradesBinance[[#This Row],[Qtt]]*TbTradesBinance[[#This Row],[Preço]],AO30+TbTradesBinance[[#This Row],[Qtt]]*TbTradesBinance[[#This Row],[Preço]])),AO30)-IF(TbTradesBinance[[#This Row],[Moeda da Taxa]]=MID(AO$1,9,5),TbTradesBinance[[#This Row],[Taxa]],0),8)))</f>
        <v>0</v>
      </c>
      <c r="AP31" s="145" cm="1">
        <f t="array" ref="AP31">IF(TbTradesBinance[[#This Row],[Tipo]]="EMPTY",0,AP30+IF(TbTradesBinance[[#This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Row],[Par]]))),$1:$1,0)),-(AO30-AO31)/AO30*AP30),0),0)+IF(TbTradesBinance[[#This Row],[Tipo]]="SELL",IF(ISNUMBER(FIND(MID(AP$1,10,5),TbTradesBinance[[#This Row],[Par]])),IF(FIND(MID(AP$1,10,5),TbTradesBinance[[#This Row],[Par]])=1, -(AO30-AO31)/AO30*AP30,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Row],[Par]])),(-(AO30-AO31)/AO30*AP30)+IF(TbTradesBinance[[#This Row],[Resultado]]&gt;0,0,TbTradesBinance[[#This Row],[Taxa]]),0),0))</f>
        <v>0</v>
      </c>
      <c r="AQ31" s="145">
        <f t="shared" si="10"/>
        <v>0</v>
      </c>
      <c r="AR3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Row],[Tipo]]="DROP"),AR30+TbTradesBinance[[#This Row],[Qtt]],AR30-TbTradesBinance[[#This Row],[Qtt]]),IF(TbTradesBinance[[#This Row],[Tipo]]="BUY",AR30-TbTradesBinance[[#This Row],[Qtt]]*TbTradesBinance[[#This Row],[Preço]],AR30+TbTradesBinance[[#This Row],[Qtt]]*TbTradesBinance[[#This Row],[Preço]])),AR30)-IF(TbTradesBinance[[#This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Row],[Tipo]]="DROP"),AR30+TbTradesBinance[[#This Row],[Qtt]],AR30-TbTradesBinance[[#This Row],[Qtt]]),IF(TbTradesBinance[[#This Row],[Tipo]]="BUY",AR30-TbTradesBinance[[#This Row],[Qtt]]*TbTradesBinance[[#This Row],[Preço]],AR30+TbTradesBinance[[#This Row],[Qtt]]*TbTradesBinance[[#This Row],[Preço]])),AR30)-IF(TbTradesBinance[[#This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Row],[Tipo]]="DROP"),AR30+TbTradesBinance[[#This Row],[Qtt]],AR30-TbTradesBinance[[#This Row],[Qtt]]),IF(TbTradesBinance[[#This Row],[Tipo]]="BUY",AR30-TbTradesBinance[[#This Row],[Qtt]]*TbTradesBinance[[#This Row],[Preço]],AR30+TbTradesBinance[[#This Row],[Qtt]]*TbTradesBinance[[#This Row],[Preço]])),AR30)-IF(TbTradesBinance[[#This Row],[Moeda da Taxa]]=MID(AR$1,9,5),TbTradesBinance[[#This Row],[Taxa]],0),8)))</f>
        <v>0</v>
      </c>
      <c r="AS31" s="145" cm="1">
        <f t="array" ref="AS31">IF(TbTradesBinance[[#This Row],[Tipo]]="EMPTY",0,AS30+IF(TbTradesBinance[[#This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Row],[Par]]))),$1:$1,0)),-(AR30-AR31)/AR30*AS30),0),0)+IF(TbTradesBinance[[#This Row],[Tipo]]="SELL",IF(ISNUMBER(FIND(MID(AS$1,10,5),TbTradesBinance[[#This Row],[Par]])),IF(FIND(MID(AS$1,10,5),TbTradesBinance[[#This Row],[Par]])=1, -(AR30-AR31)/AR30*AS30,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Row],[Par]])),(-(AR30-AR31)/AR30*AS30)+IF(TbTradesBinance[[#This Row],[Resultado]]&gt;0,0,TbTradesBinance[[#This Row],[Taxa]]),0),0))</f>
        <v>0</v>
      </c>
      <c r="AT31" s="145">
        <f t="shared" si="11"/>
        <v>0</v>
      </c>
      <c r="AU3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Row],[Tipo]]="DROP"),AU30+TbTradesBinance[[#This Row],[Qtt]],AU30-TbTradesBinance[[#This Row],[Qtt]]),IF(TbTradesBinance[[#This Row],[Tipo]]="BUY",AU30-TbTradesBinance[[#This Row],[Qtt]]*TbTradesBinance[[#This Row],[Preço]],AU30+TbTradesBinance[[#This Row],[Qtt]]*TbTradesBinance[[#This Row],[Preço]])),AU30)-IF(TbTradesBinance[[#This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Row],[Tipo]]="DROP"),AU30+TbTradesBinance[[#This Row],[Qtt]],AU30-TbTradesBinance[[#This Row],[Qtt]]),IF(TbTradesBinance[[#This Row],[Tipo]]="BUY",AU30-TbTradesBinance[[#This Row],[Qtt]]*TbTradesBinance[[#This Row],[Preço]],AU30+TbTradesBinance[[#This Row],[Qtt]]*TbTradesBinance[[#This Row],[Preço]])),AU30)-IF(TbTradesBinance[[#This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Row],[Tipo]]="DROP"),AU30+TbTradesBinance[[#This Row],[Qtt]],AU30-TbTradesBinance[[#This Row],[Qtt]]),IF(TbTradesBinance[[#This Row],[Tipo]]="BUY",AU30-TbTradesBinance[[#This Row],[Qtt]]*TbTradesBinance[[#This Row],[Preço]],AU30+TbTradesBinance[[#This Row],[Qtt]]*TbTradesBinance[[#This Row],[Preço]])),AU30)-IF(TbTradesBinance[[#This Row],[Moeda da Taxa]]=MID(AU$1,9,5),TbTradesBinance[[#This Row],[Taxa]],0),8)))</f>
        <v>9.9900000000000003E-2</v>
      </c>
      <c r="AV31" s="145" cm="1">
        <f t="array" ref="AV31">IF(TbTradesBinance[[#This Row],[Tipo]]="EMPTY",0,AV30+IF(TbTradesBinance[[#This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Row],[Par]]))),$1:$1,0)),-(AU30-AU31)/AU30*AV30),0),0)+IF(TbTradesBinance[[#This Row],[Tipo]]="SELL",IF(ISNUMBER(FIND(MID(AV$1,10,5),TbTradesBinance[[#This Row],[Par]])),IF(FIND(MID(AV$1,10,5),TbTradesBinance[[#This Row],[Par]])=1, -(AU30-AU31)/AU30*AV30,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Row],[Par]])),(-(AU30-AU31)/AU30*AV30)+IF(TbTradesBinance[[#This Row],[Resultado]]&gt;0,0,TbTradesBinance[[#This Row],[Taxa]]),0),0))</f>
        <v>18.673922987511034</v>
      </c>
      <c r="AW31" s="145">
        <f t="shared" si="12"/>
        <v>186.92615603114149</v>
      </c>
      <c r="AX3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Row],[Tipo]]="DROP"),AX30+TbTradesBinance[[#This Row],[Qtt]],AX30-TbTradesBinance[[#This Row],[Qtt]]),IF(TbTradesBinance[[#This Row],[Tipo]]="BUY",AX30-TbTradesBinance[[#This Row],[Qtt]]*TbTradesBinance[[#This Row],[Preço]],AX30+TbTradesBinance[[#This Row],[Qtt]]*TbTradesBinance[[#This Row],[Preço]])),AX30)-IF(TbTradesBinance[[#This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Row],[Tipo]]="DROP"),AX30+TbTradesBinance[[#This Row],[Qtt]],AX30-TbTradesBinance[[#This Row],[Qtt]]),IF(TbTradesBinance[[#This Row],[Tipo]]="BUY",AX30-TbTradesBinance[[#This Row],[Qtt]]*TbTradesBinance[[#This Row],[Preço]],AX30+TbTradesBinance[[#This Row],[Qtt]]*TbTradesBinance[[#This Row],[Preço]])),AX30)-IF(TbTradesBinance[[#This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Row],[Tipo]]="DROP"),AX30+TbTradesBinance[[#This Row],[Qtt]],AX30-TbTradesBinance[[#This Row],[Qtt]]),IF(TbTradesBinance[[#This Row],[Tipo]]="BUY",AX30-TbTradesBinance[[#This Row],[Qtt]]*TbTradesBinance[[#This Row],[Preço]],AX30+TbTradesBinance[[#This Row],[Qtt]]*TbTradesBinance[[#This Row],[Preço]])),AX30)-IF(TbTradesBinance[[#This Row],[Moeda da Taxa]]=MID(AX$1,9,5),TbTradesBinance[[#This Row],[Taxa]],0),8)))</f>
        <v>0</v>
      </c>
      <c r="AY31" s="145" cm="1">
        <f t="array" ref="AY31">IF(TbTradesBinance[[#This Row],[Tipo]]="EMPTY",0,AY30+IF(TbTradesBinance[[#This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Row],[Par]]))),$1:$1,0)),-(AX30-AX31)/AX30*AY30),0),0)+IF(TbTradesBinance[[#This Row],[Tipo]]="SELL",IF(ISNUMBER(FIND(MID(AY$1,10,5),TbTradesBinance[[#This Row],[Par]])),IF(FIND(MID(AY$1,10,5),TbTradesBinance[[#This Row],[Par]])=1, -(AX30-AX31)/AX30*AY30,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Row],[Par]])),(-(AX30-AX31)/AX30*AY30)+IF(TbTradesBinance[[#This Row],[Resultado]]&gt;0,0,TbTradesBinance[[#This Row],[Taxa]]),0),0))</f>
        <v>0</v>
      </c>
      <c r="AZ31" s="145">
        <f t="shared" si="13"/>
        <v>0</v>
      </c>
      <c r="BA3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Row],[Tipo]]="DROP"),BA30+TbTradesBinance[[#This Row],[Qtt]],BA30-TbTradesBinance[[#This Row],[Qtt]]),IF(TbTradesBinance[[#This Row],[Tipo]]="BUY",BA30-TbTradesBinance[[#This Row],[Qtt]]*TbTradesBinance[[#This Row],[Preço]],BA30+TbTradesBinance[[#This Row],[Qtt]]*TbTradesBinance[[#This Row],[Preço]])),BA30)-IF(TbTradesBinance[[#This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Row],[Tipo]]="DROP"),BA30+TbTradesBinance[[#This Row],[Qtt]],BA30-TbTradesBinance[[#This Row],[Qtt]]),IF(TbTradesBinance[[#This Row],[Tipo]]="BUY",BA30-TbTradesBinance[[#This Row],[Qtt]]*TbTradesBinance[[#This Row],[Preço]],BA30+TbTradesBinance[[#This Row],[Qtt]]*TbTradesBinance[[#This Row],[Preço]])),BA30)-IF(TbTradesBinance[[#This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Row],[Tipo]]="DROP"),BA30+TbTradesBinance[[#This Row],[Qtt]],BA30-TbTradesBinance[[#This Row],[Qtt]]),IF(TbTradesBinance[[#This Row],[Tipo]]="BUY",BA30-TbTradesBinance[[#This Row],[Qtt]]*TbTradesBinance[[#This Row],[Preço]],BA30+TbTradesBinance[[#This Row],[Qtt]]*TbTradesBinance[[#This Row],[Preço]])),BA30)-IF(TbTradesBinance[[#This Row],[Moeda da Taxa]]=MID(BA$1,9,5),TbTradesBinance[[#This Row],[Taxa]],0),8)))</f>
        <v>0</v>
      </c>
      <c r="BB31" s="145" cm="1">
        <f t="array" ref="BB31">IF(TbTradesBinance[[#This Row],[Tipo]]="EMPTY",0,BB30+IF(TbTradesBinance[[#This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Row],[Par]]))),$1:$1,0)),-(BA30-BA31)/BA30*BB30),0),0)+IF(TbTradesBinance[[#This Row],[Tipo]]="SELL",IF(ISNUMBER(FIND(MID(BB$1,10,5),TbTradesBinance[[#This Row],[Par]])),IF(FIND(MID(BB$1,10,5),TbTradesBinance[[#This Row],[Par]])=1, -(BA30-BA31)/BA30*BB30,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Row],[Par]])),(-(BA30-BA31)/BA30*BB30)+IF(TbTradesBinance[[#This Row],[Resultado]]&gt;0,0,TbTradesBinance[[#This Row],[Taxa]]),0),0))</f>
        <v>0</v>
      </c>
      <c r="BC31" s="145">
        <f t="shared" si="14"/>
        <v>0</v>
      </c>
      <c r="BD3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Row],[Tipo]]="DROP"),BD30+TbTradesBinance[[#This Row],[Qtt]],BD30-TbTradesBinance[[#This Row],[Qtt]]),IF(TbTradesBinance[[#This Row],[Tipo]]="BUY",BD30-TbTradesBinance[[#This Row],[Qtt]]*TbTradesBinance[[#This Row],[Preço]],BD30+TbTradesBinance[[#This Row],[Qtt]]*TbTradesBinance[[#This Row],[Preço]])),BD30)-IF(TbTradesBinance[[#This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Row],[Tipo]]="DROP"),BD30+TbTradesBinance[[#This Row],[Qtt]],BD30-TbTradesBinance[[#This Row],[Qtt]]),IF(TbTradesBinance[[#This Row],[Tipo]]="BUY",BD30-TbTradesBinance[[#This Row],[Qtt]]*TbTradesBinance[[#This Row],[Preço]],BD30+TbTradesBinance[[#This Row],[Qtt]]*TbTradesBinance[[#This Row],[Preço]])),BD30)-IF(TbTradesBinance[[#This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Row],[Tipo]]="DROP"),BD30+TbTradesBinance[[#This Row],[Qtt]],BD30-TbTradesBinance[[#This Row],[Qtt]]),IF(TbTradesBinance[[#This Row],[Tipo]]="BUY",BD30-TbTradesBinance[[#This Row],[Qtt]]*TbTradesBinance[[#This Row],[Preço]],BD30+TbTradesBinance[[#This Row],[Qtt]]*TbTradesBinance[[#This Row],[Preço]])),BD30)-IF(TbTradesBinance[[#This Row],[Moeda da Taxa]]=MID(BD$1,9,5),TbTradesBinance[[#This Row],[Taxa]],0),8)))</f>
        <v>0.37962000000000001</v>
      </c>
      <c r="BE31" s="145" cm="1">
        <f t="array" ref="BE31">IF(TbTradesBinance[[#This Row],[Tipo]]="EMPTY",0,BE30+IF(TbTradesBinance[[#This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Row],[Par]]))),$1:$1,0)),-(BD30-BD31)/BD30*BE30),0),0)+IF(TbTradesBinance[[#This Row],[Tipo]]="SELL",IF(ISNUMBER(FIND(MID(BE$1,10,5),TbTradesBinance[[#This Row],[Par]])),IF(FIND(MID(BE$1,10,5),TbTradesBinance[[#This Row],[Par]])=1, -(BD30-BD31)/BD30*BE30,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Row],[Par]])),(-(BD30-BD31)/BD30*BE30)+IF(TbTradesBinance[[#This Row],[Resultado]]&gt;0,0,TbTradesBinance[[#This Row],[Taxa]]),0),0))</f>
        <v>63.647297001537943</v>
      </c>
      <c r="BF31" s="145">
        <f t="shared" si="15"/>
        <v>167.66054739354601</v>
      </c>
      <c r="BG3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Row],[Tipo]]="DROP"),BG30+TbTradesBinance[[#This Row],[Qtt]],BG30-TbTradesBinance[[#This Row],[Qtt]]),IF(TbTradesBinance[[#This Row],[Tipo]]="BUY",BG30-TbTradesBinance[[#This Row],[Qtt]]*TbTradesBinance[[#This Row],[Preço]],BG30+TbTradesBinance[[#This Row],[Qtt]]*TbTradesBinance[[#This Row],[Preço]])),BG30)-IF(TbTradesBinance[[#This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Row],[Tipo]]="DROP"),BG30+TbTradesBinance[[#This Row],[Qtt]],BG30-TbTradesBinance[[#This Row],[Qtt]]),IF(TbTradesBinance[[#This Row],[Tipo]]="BUY",BG30-TbTradesBinance[[#This Row],[Qtt]]*TbTradesBinance[[#This Row],[Preço]],BG30+TbTradesBinance[[#This Row],[Qtt]]*TbTradesBinance[[#This Row],[Preço]])),BG30)-IF(TbTradesBinance[[#This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Row],[Tipo]]="DROP"),BG30+TbTradesBinance[[#This Row],[Qtt]],BG30-TbTradesBinance[[#This Row],[Qtt]]),IF(TbTradesBinance[[#This Row],[Tipo]]="BUY",BG30-TbTradesBinance[[#This Row],[Qtt]]*TbTradesBinance[[#This Row],[Preço]],BG30+TbTradesBinance[[#This Row],[Qtt]]*TbTradesBinance[[#This Row],[Preço]])),BG30)-IF(TbTradesBinance[[#This Row],[Moeda da Taxa]]=MID(BG$1,9,5),TbTradesBinance[[#This Row],[Taxa]],0),8)))</f>
        <v>0</v>
      </c>
      <c r="BH31" s="145" cm="1">
        <f t="array" ref="BH31">IF(TbTradesBinance[[#This Row],[Tipo]]="EMPTY",0,BH30+IF(TbTradesBinance[[#This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Row],[Par]]))),$1:$1,0)),-(BG30-BG31)/BG30*BH30),0),0)+IF(TbTradesBinance[[#This Row],[Tipo]]="SELL",IF(ISNUMBER(FIND(MID(BH$1,10,5),TbTradesBinance[[#This Row],[Par]])),IF(FIND(MID(BH$1,10,5),TbTradesBinance[[#This Row],[Par]])=1, -(BG30-BG31)/BG30*BH30,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Row],[Par]])),(-(BG30-BG31)/BG30*BH30)+IF(TbTradesBinance[[#This Row],[Resultado]]&gt;0,0,TbTradesBinance[[#This Row],[Taxa]]),0),0))</f>
        <v>0</v>
      </c>
      <c r="BI31" s="145">
        <f t="shared" si="16"/>
        <v>0</v>
      </c>
      <c r="BJ3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Row],[Tipo]]="DROP"),BJ30+TbTradesBinance[[#This Row],[Qtt]],BJ30-TbTradesBinance[[#This Row],[Qtt]]),IF(TbTradesBinance[[#This Row],[Tipo]]="BUY",BJ30-TbTradesBinance[[#This Row],[Qtt]]*TbTradesBinance[[#This Row],[Preço]],BJ30+TbTradesBinance[[#This Row],[Qtt]]*TbTradesBinance[[#This Row],[Preço]])),BJ30)-IF(TbTradesBinance[[#This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Row],[Tipo]]="DROP"),BJ30+TbTradesBinance[[#This Row],[Qtt]],BJ30-TbTradesBinance[[#This Row],[Qtt]]),IF(TbTradesBinance[[#This Row],[Tipo]]="BUY",BJ30-TbTradesBinance[[#This Row],[Qtt]]*TbTradesBinance[[#This Row],[Preço]],BJ30+TbTradesBinance[[#This Row],[Qtt]]*TbTradesBinance[[#This Row],[Preço]])),BJ30)-IF(TbTradesBinance[[#This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Row],[Tipo]]="DROP"),BJ30+TbTradesBinance[[#This Row],[Qtt]],BJ30-TbTradesBinance[[#This Row],[Qtt]]),IF(TbTradesBinance[[#This Row],[Tipo]]="BUY",BJ30-TbTradesBinance[[#This Row],[Qtt]]*TbTradesBinance[[#This Row],[Preço]],BJ30+TbTradesBinance[[#This Row],[Qtt]]*TbTradesBinance[[#This Row],[Preço]])),BJ30)-IF(TbTradesBinance[[#This Row],[Moeda da Taxa]]=MID(BJ$1,9,5),TbTradesBinance[[#This Row],[Taxa]],0),8)))</f>
        <v>0</v>
      </c>
      <c r="BK31" s="145" cm="1">
        <f t="array" ref="BK31">IF(TbTradesBinance[[#This Row],[Tipo]]="EMPTY",0,BK30+IF(TbTradesBinance[[#This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Row],[Par]]))),$1:$1,0)),-(BJ30-BJ31)/BJ30*BK30),0),0)+IF(TbTradesBinance[[#This Row],[Tipo]]="SELL",IF(ISNUMBER(FIND(MID(BK$1,10,5),TbTradesBinance[[#This Row],[Par]])),IF(FIND(MID(BK$1,10,5),TbTradesBinance[[#This Row],[Par]])=1, -(BJ30-BJ31)/BJ30*BK30,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Row],[Par]])),(-(BJ30-BJ31)/BJ30*BK30)+IF(TbTradesBinance[[#This Row],[Resultado]]&gt;0,0,TbTradesBinance[[#This Row],[Taxa]]),0),0))</f>
        <v>0</v>
      </c>
      <c r="BL31" s="145">
        <f t="shared" si="17"/>
        <v>0</v>
      </c>
      <c r="BM3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Row],[Tipo]]="DROP"),BM30+TbTradesBinance[[#This Row],[Qtt]],BM30-TbTradesBinance[[#This Row],[Qtt]]),IF(TbTradesBinance[[#This Row],[Tipo]]="BUY",BM30-TbTradesBinance[[#This Row],[Qtt]]*TbTradesBinance[[#This Row],[Preço]],BM30+TbTradesBinance[[#This Row],[Qtt]]*TbTradesBinance[[#This Row],[Preço]])),BM30)-IF(TbTradesBinance[[#This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Row],[Tipo]]="DROP"),BM30+TbTradesBinance[[#This Row],[Qtt]],BM30-TbTradesBinance[[#This Row],[Qtt]]),IF(TbTradesBinance[[#This Row],[Tipo]]="BUY",BM30-TbTradesBinance[[#This Row],[Qtt]]*TbTradesBinance[[#This Row],[Preço]],BM30+TbTradesBinance[[#This Row],[Qtt]]*TbTradesBinance[[#This Row],[Preço]])),BM30)-IF(TbTradesBinance[[#This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Row],[Tipo]]="DROP"),BM30+TbTradesBinance[[#This Row],[Qtt]],BM30-TbTradesBinance[[#This Row],[Qtt]]),IF(TbTradesBinance[[#This Row],[Tipo]]="BUY",BM30-TbTradesBinance[[#This Row],[Qtt]]*TbTradesBinance[[#This Row],[Preço]],BM30+TbTradesBinance[[#This Row],[Qtt]]*TbTradesBinance[[#This Row],[Preço]])),BM30)-IF(TbTradesBinance[[#This Row],[Moeda da Taxa]]=MID(BM$1,9,5),TbTradesBinance[[#This Row],[Taxa]],0),8)))</f>
        <v>0</v>
      </c>
      <c r="BN31" s="145" cm="1">
        <f t="array" ref="BN31">IF(TbTradesBinance[[#This Row],[Tipo]]="EMPTY",0,BN30+IF(TbTradesBinance[[#This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Row],[Par]]))),$1:$1,0)),-(BM30-BM31)/BM30*BN30),0),0)+IF(TbTradesBinance[[#This Row],[Tipo]]="SELL",IF(ISNUMBER(FIND(MID(BN$1,10,5),TbTradesBinance[[#This Row],[Par]])),IF(FIND(MID(BN$1,10,5),TbTradesBinance[[#This Row],[Par]])=1, -(BM30-BM31)/BM30*BN30,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Row],[Par]])),(-(BM30-BM31)/BM30*BN30)+IF(TbTradesBinance[[#This Row],[Resultado]]&gt;0,0,TbTradesBinance[[#This Row],[Taxa]]),0),0))</f>
        <v>0</v>
      </c>
      <c r="BO31" s="145">
        <f t="shared" si="18"/>
        <v>0</v>
      </c>
    </row>
    <row r="32" spans="2:67" x14ac:dyDescent="0.3">
      <c r="B32" s="51"/>
      <c r="C32" s="40">
        <f>TRUNC(IF(AND(TbTradesBinance[[#This Row],[Tipo]]="SEND",TbTradesBinance[[#This Row],[Par]]="BRL"),TbTradesBinance[[#This Row],[Qtt]]*(1-P30)-IF(TbTradesBinance[[#This Row],[Moeda da Taxa]]="BRL",TbTradesBinance[[#This Row],[Taxa]],0),0)+IF(AND(TbTradesBinance[[#This Row],[Tipo]]="BURN",TbTradesBinance[[#This Row],[Par]]="BRL"),-TbTradesBinance[[#This Row],[Qtt]]*P30,0),2)</f>
        <v>0</v>
      </c>
      <c r="D32" s="53">
        <v>44256.63212962963</v>
      </c>
      <c r="E32" s="37" t="s">
        <v>138</v>
      </c>
      <c r="F32" s="47" t="s">
        <v>139</v>
      </c>
      <c r="G32" s="38">
        <v>274015</v>
      </c>
      <c r="H32" s="38">
        <v>1.6000000000000001E-4</v>
      </c>
      <c r="I32" s="38">
        <v>0</v>
      </c>
      <c r="J32" s="37" t="s">
        <v>6</v>
      </c>
      <c r="K32" s="52">
        <v>1</v>
      </c>
      <c r="L32" s="40">
        <f t="shared" si="0"/>
        <v>274015</v>
      </c>
      <c r="M32" s="40">
        <f>IF(OR(TbTradesBinance[[#This Row],[Tipo]]="BUY",TbTradesBinance[[#This Row],[Tipo]]="RECEIVE",TbTradesBinance[[#This Row],[Tipo]]="DROP"),L32*H32,-L32*H32)</f>
        <v>43.842400000000005</v>
      </c>
      <c r="N3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Row],[Tipo]]="DROP"),N31+TbTradesBinance[[#This Row],[Qtt]],N31-TbTradesBinance[[#This Row],[Qtt]]),IF(TbTradesBinance[[#This Row],[Tipo]]="BUY",N31-TbTradesBinance[[#This Row],[Qtt]]*TbTradesBinance[[#This Row],[Preço]],N31+TbTradesBinance[[#This Row],[Qtt]]*TbTradesBinance[[#This Row],[Preço]])),N31)-IF(TbTradesBinance[[#This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Row],[Tipo]]="DROP"),N31+TbTradesBinance[[#This Row],[Qtt]],N31-TbTradesBinance[[#This Row],[Qtt]]),IF(TbTradesBinance[[#This Row],[Tipo]]="BUY",N31-TbTradesBinance[[#This Row],[Qtt]]*TbTradesBinance[[#This Row],[Preço]],N31+TbTradesBinance[[#This Row],[Qtt]]*TbTradesBinance[[#This Row],[Preço]])),N31)-IF(TbTradesBinance[[#This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Row],[Tipo]]="DROP"),N31+TbTradesBinance[[#This Row],[Qtt]],N31-TbTradesBinance[[#This Row],[Qtt]]),IF(TbTradesBinance[[#This Row],[Tipo]]="BUY",N31-TbTradesBinance[[#This Row],[Qtt]]*TbTradesBinance[[#This Row],[Preço]],N31+TbTradesBinance[[#This Row],[Qtt]]*TbTradesBinance[[#This Row],[Preço]])),N31)-IF(TbTradesBinance[[#This Row],[Moeda da Taxa]]=MID(N$1,9,5),TbTradesBinance[[#This Row],[Taxa]],0),8)))</f>
        <v>119810.04218689</v>
      </c>
      <c r="O32" s="145" cm="1">
        <f t="array" ref="O32">IF(TbTradesBinance[[#This Row],[Tipo]]="EMPTY",0,O31+IF(TbTradesBinance[[#This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Row],[Par]]))),$1:$1,0)),-(N31-N32)/N31*O31),0),0)+IF(TbTradesBinance[[#This Row],[Tipo]]="SELL",IF(ISNUMBER(FIND(MID(O$1,10,5),TbTradesBinance[[#This Row],[Par]])),IF(FIND(MID(O$1,10,5),TbTradesBinance[[#This Row],[Par]])=1, -(N31-N32)/N31*O31,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Row],[Par]])),(-(N31-N32)/N31*O31)+IF(TbTradesBinance[[#This Row],[Resultado]]&gt;0,0,TbTradesBinance[[#This Row],[Taxa]]),0),0))</f>
        <v>119761.8014711763</v>
      </c>
      <c r="P32" s="145">
        <f t="shared" si="1"/>
        <v>0.99959735665864757</v>
      </c>
      <c r="Q3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Row],[Tipo]]="DROP"),Q31+TbTradesBinance[[#This Row],[Qtt]],Q31-TbTradesBinance[[#This Row],[Qtt]]),IF(TbTradesBinance[[#This Row],[Tipo]]="BUY",Q31-TbTradesBinance[[#This Row],[Qtt]]*TbTradesBinance[[#This Row],[Preço]],Q31+TbTradesBinance[[#This Row],[Qtt]]*TbTradesBinance[[#This Row],[Preço]])),Q31)-IF(TbTradesBinance[[#This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Row],[Tipo]]="DROP"),Q31+TbTradesBinance[[#This Row],[Qtt]],Q31-TbTradesBinance[[#This Row],[Qtt]]),IF(TbTradesBinance[[#This Row],[Tipo]]="BUY",Q31-TbTradesBinance[[#This Row],[Qtt]]*TbTradesBinance[[#This Row],[Preço]],Q31+TbTradesBinance[[#This Row],[Qtt]]*TbTradesBinance[[#This Row],[Preço]])),Q31)-IF(TbTradesBinance[[#This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Row],[Tipo]]="DROP"),Q31+TbTradesBinance[[#This Row],[Qtt]],Q31-TbTradesBinance[[#This Row],[Qtt]]),IF(TbTradesBinance[[#This Row],[Tipo]]="BUY",Q31-TbTradesBinance[[#This Row],[Qtt]]*TbTradesBinance[[#This Row],[Preço]],Q31+TbTradesBinance[[#This Row],[Qtt]]*TbTradesBinance[[#This Row],[Preço]])),Q31)-IF(TbTradesBinance[[#This Row],[Moeda da Taxa]]=MID(Q$1,9,5),TbTradesBinance[[#This Row],[Taxa]],0),8)))</f>
        <v>0.27732999000000003</v>
      </c>
      <c r="R32" s="145" cm="1">
        <f t="array" ref="R32">IF(TbTradesBinance[[#This Row],[Tipo]]="EMPTY",0,R31+IF(TbTradesBinance[[#This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Row],[Par]]))),$1:$1,0)),-(Q31-Q32)/Q31*R31),0),0)+IF(TbTradesBinance[[#This Row],[Tipo]]="SELL",IF(ISNUMBER(FIND(MID(R$1,10,5),TbTradesBinance[[#This Row],[Par]])),IF(FIND(MID(R$1,10,5),TbTradesBinance[[#This Row],[Par]])=1, -(Q31-Q32)/Q31*R31,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Row],[Par]])),(-(Q31-Q32)/Q31*R31)+IF(TbTradesBinance[[#This Row],[Resultado]]&gt;0,0,TbTradesBinance[[#This Row],[Taxa]]),0),0))</f>
        <v>1.5509449279899954</v>
      </c>
      <c r="S32" s="145">
        <f t="shared" si="2"/>
        <v>5.592416918163071</v>
      </c>
      <c r="T3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Row],[Tipo]]="DROP"),T31+TbTradesBinance[[#This Row],[Qtt]],T31-TbTradesBinance[[#This Row],[Qtt]]),IF(TbTradesBinance[[#This Row],[Tipo]]="BUY",T31-TbTradesBinance[[#This Row],[Qtt]]*TbTradesBinance[[#This Row],[Preço]],T31+TbTradesBinance[[#This Row],[Qtt]]*TbTradesBinance[[#This Row],[Preço]])),T31)-IF(TbTradesBinance[[#This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Row],[Tipo]]="DROP"),T31+TbTradesBinance[[#This Row],[Qtt]],T31-TbTradesBinance[[#This Row],[Qtt]]),IF(TbTradesBinance[[#This Row],[Tipo]]="BUY",T31-TbTradesBinance[[#This Row],[Qtt]]*TbTradesBinance[[#This Row],[Preço]],T31+TbTradesBinance[[#This Row],[Qtt]]*TbTradesBinance[[#This Row],[Preço]])),T31)-IF(TbTradesBinance[[#This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Row],[Tipo]]="DROP"),T31+TbTradesBinance[[#This Row],[Qtt]],T31-TbTradesBinance[[#This Row],[Qtt]]),IF(TbTradesBinance[[#This Row],[Tipo]]="BUY",T31-TbTradesBinance[[#This Row],[Qtt]]*TbTradesBinance[[#This Row],[Preço]],T31+TbTradesBinance[[#This Row],[Qtt]]*TbTradesBinance[[#This Row],[Preço]])),T31)-IF(TbTradesBinance[[#This Row],[Moeda da Taxa]]=MID(T$1,9,5),TbTradesBinance[[#This Row],[Taxa]],0),8)))</f>
        <v>2.867312E-2</v>
      </c>
      <c r="U32" s="145" cm="1">
        <f t="array" ref="U32">IF(TbTradesBinance[[#This Row],[Tipo]]="EMPTY",0,U31+IF(TbTradesBinance[[#This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Row],[Par]]))),$1:$1,0)),-(T31-T32)/T31*U31),0),0)+IF(TbTradesBinance[[#This Row],[Tipo]]="SELL",IF(ISNUMBER(FIND(MID(U$1,10,5),TbTradesBinance[[#This Row],[Par]])),IF(FIND(MID(U$1,10,5),TbTradesBinance[[#This Row],[Par]])=1, -(T31-T32)/T31*U31,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Row],[Par]])),(-(T31-T32)/T31*U31)+IF(TbTradesBinance[[#This Row],[Resultado]]&gt;0,0,TbTradesBinance[[#This Row],[Taxa]]),0),0))</f>
        <v>0.19365209596473676</v>
      </c>
      <c r="V32" s="145">
        <f t="shared" si="3"/>
        <v>6.7537852861752317</v>
      </c>
      <c r="W3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Row],[Tipo]]="DROP"),W31+TbTradesBinance[[#This Row],[Qtt]],W31-TbTradesBinance[[#This Row],[Qtt]]),IF(TbTradesBinance[[#This Row],[Tipo]]="BUY",W31-TbTradesBinance[[#This Row],[Qtt]]*TbTradesBinance[[#This Row],[Preço]],W31+TbTradesBinance[[#This Row],[Qtt]]*TbTradesBinance[[#This Row],[Preço]])),W31)-IF(TbTradesBinance[[#This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Row],[Tipo]]="DROP"),W31+TbTradesBinance[[#This Row],[Qtt]],W31-TbTradesBinance[[#This Row],[Qtt]]),IF(TbTradesBinance[[#This Row],[Tipo]]="BUY",W31-TbTradesBinance[[#This Row],[Qtt]]*TbTradesBinance[[#This Row],[Preço]],W31+TbTradesBinance[[#This Row],[Qtt]]*TbTradesBinance[[#This Row],[Preço]])),W31)-IF(TbTradesBinance[[#This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Row],[Tipo]]="DROP"),W31+TbTradesBinance[[#This Row],[Qtt]],W31-TbTradesBinance[[#This Row],[Qtt]]),IF(TbTradesBinance[[#This Row],[Tipo]]="BUY",W31-TbTradesBinance[[#This Row],[Qtt]]*TbTradesBinance[[#This Row],[Preço]],W31+TbTradesBinance[[#This Row],[Qtt]]*TbTradesBinance[[#This Row],[Preço]])),W31)-IF(TbTradesBinance[[#This Row],[Moeda da Taxa]]=MID(W$1,9,5),TbTradesBinance[[#This Row],[Taxa]],0),8)))</f>
        <v>5.7757000000000001E-4</v>
      </c>
      <c r="X32" s="145" cm="1">
        <f t="array" ref="X32">IF(TbTradesBinance[[#This Row],[Tipo]]="EMPTY",0,X31+IF(TbTradesBinance[[#This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Row],[Par]]))),$1:$1,0)),-(W31-W32)/W31*X31),0),0)+IF(TbTradesBinance[[#This Row],[Tipo]]="SELL",IF(ISNUMBER(FIND(MID(X$1,10,5),TbTradesBinance[[#This Row],[Par]])),IF(FIND(MID(X$1,10,5),TbTradesBinance[[#This Row],[Par]])=1, -(W31-W32)/W31*X31,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Row],[Par]])),(-(W31-W32)/W31*X31)+IF(TbTradesBinance[[#This Row],[Resultado]]&gt;0,0,TbTradesBinance[[#This Row],[Taxa]]),0),0))</f>
        <v>154.13271181069092</v>
      </c>
      <c r="Y32" s="145">
        <f t="shared" si="4"/>
        <v>266864.12350137805</v>
      </c>
      <c r="Z3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Row],[Tipo]]="DROP"),Z31+TbTradesBinance[[#This Row],[Qtt]],Z31-TbTradesBinance[[#This Row],[Qtt]]),IF(TbTradesBinance[[#This Row],[Tipo]]="BUY",Z31-TbTradesBinance[[#This Row],[Qtt]]*TbTradesBinance[[#This Row],[Preço]],Z31+TbTradesBinance[[#This Row],[Qtt]]*TbTradesBinance[[#This Row],[Preço]])),Z31)-IF(TbTradesBinance[[#This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Row],[Tipo]]="DROP"),Z31+TbTradesBinance[[#This Row],[Qtt]],Z31-TbTradesBinance[[#This Row],[Qtt]]),IF(TbTradesBinance[[#This Row],[Tipo]]="BUY",Z31-TbTradesBinance[[#This Row],[Qtt]]*TbTradesBinance[[#This Row],[Preço]],Z31+TbTradesBinance[[#This Row],[Qtt]]*TbTradesBinance[[#This Row],[Preço]])),Z31)-IF(TbTradesBinance[[#This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Row],[Tipo]]="DROP"),Z31+TbTradesBinance[[#This Row],[Qtt]],Z31-TbTradesBinance[[#This Row],[Qtt]]),IF(TbTradesBinance[[#This Row],[Tipo]]="BUY",Z31-TbTradesBinance[[#This Row],[Qtt]]*TbTradesBinance[[#This Row],[Preço]],Z31+TbTradesBinance[[#This Row],[Qtt]]*TbTradesBinance[[#This Row],[Preço]])),Z31)-IF(TbTradesBinance[[#This Row],[Moeda da Taxa]]=MID(Z$1,9,5),TbTradesBinance[[#This Row],[Taxa]],0),8)))</f>
        <v>0</v>
      </c>
      <c r="AA32" s="145" cm="1">
        <f t="array" ref="AA32">IF(TbTradesBinance[[#This Row],[Tipo]]="EMPTY",0,AA31+IF(TbTradesBinance[[#This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Row],[Par]]))),$1:$1,0)),-(Z31-Z32)/Z31*AA31),0),0)+IF(TbTradesBinance[[#This Row],[Tipo]]="SELL",IF(ISNUMBER(FIND(MID(AA$1,10,5),TbTradesBinance[[#This Row],[Par]])),IF(FIND(MID(AA$1,10,5),TbTradesBinance[[#This Row],[Par]])=1, -(Z31-Z32)/Z31*AA31,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Row],[Par]])),(-(Z31-Z32)/Z31*AA31)+IF(TbTradesBinance[[#This Row],[Resultado]]&gt;0,0,TbTradesBinance[[#This Row],[Taxa]]),0),0))</f>
        <v>0</v>
      </c>
      <c r="AB32" s="145">
        <f t="shared" si="5"/>
        <v>0</v>
      </c>
      <c r="AC3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Row],[Tipo]]="DROP"),AC31+TbTradesBinance[[#This Row],[Qtt]],AC31-TbTradesBinance[[#This Row],[Qtt]]),IF(TbTradesBinance[[#This Row],[Tipo]]="BUY",AC31-TbTradesBinance[[#This Row],[Qtt]]*TbTradesBinance[[#This Row],[Preço]],AC31+TbTradesBinance[[#This Row],[Qtt]]*TbTradesBinance[[#This Row],[Preço]])),AC31)-IF(TbTradesBinance[[#This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Row],[Tipo]]="DROP"),AC31+TbTradesBinance[[#This Row],[Qtt]],AC31-TbTradesBinance[[#This Row],[Qtt]]),IF(TbTradesBinance[[#This Row],[Tipo]]="BUY",AC31-TbTradesBinance[[#This Row],[Qtt]]*TbTradesBinance[[#This Row],[Preço]],AC31+TbTradesBinance[[#This Row],[Qtt]]*TbTradesBinance[[#This Row],[Preço]])),AC31)-IF(TbTradesBinance[[#This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Row],[Tipo]]="DROP"),AC31+TbTradesBinance[[#This Row],[Qtt]],AC31-TbTradesBinance[[#This Row],[Qtt]]),IF(TbTradesBinance[[#This Row],[Tipo]]="BUY",AC31-TbTradesBinance[[#This Row],[Qtt]]*TbTradesBinance[[#This Row],[Preço]],AC31+TbTradesBinance[[#This Row],[Qtt]]*TbTradesBinance[[#This Row],[Preço]])),AC31)-IF(TbTradesBinance[[#This Row],[Moeda da Taxa]]=MID(AC$1,9,5),TbTradesBinance[[#This Row],[Taxa]],0),8)))</f>
        <v>0</v>
      </c>
      <c r="AD32" s="145" cm="1">
        <f t="array" ref="AD32">IF(TbTradesBinance[[#This Row],[Tipo]]="EMPTY",0,AD31+IF(TbTradesBinance[[#This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Row],[Par]]))),$1:$1,0)),-(AC31-AC32)/AC31*AD31),0),0)+IF(TbTradesBinance[[#This Row],[Tipo]]="SELL",IF(ISNUMBER(FIND(MID(AD$1,10,5),TbTradesBinance[[#This Row],[Par]])),IF(FIND(MID(AD$1,10,5),TbTradesBinance[[#This Row],[Par]])=1, -(AC31-AC32)/AC31*AD31,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Row],[Par]])),(-(AC31-AC32)/AC31*AD31)+IF(TbTradesBinance[[#This Row],[Resultado]]&gt;0,0,TbTradesBinance[[#This Row],[Taxa]]),0),0))</f>
        <v>0</v>
      </c>
      <c r="AE32" s="145">
        <f t="shared" si="6"/>
        <v>0</v>
      </c>
      <c r="AF3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Row],[Tipo]]="DROP"),AF31+TbTradesBinance[[#This Row],[Qtt]],AF31-TbTradesBinance[[#This Row],[Qtt]]),IF(TbTradesBinance[[#This Row],[Tipo]]="BUY",AF31-TbTradesBinance[[#This Row],[Qtt]]*TbTradesBinance[[#This Row],[Preço]],AF31+TbTradesBinance[[#This Row],[Qtt]]*TbTradesBinance[[#This Row],[Preço]])),AF31)-IF(TbTradesBinance[[#This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Row],[Tipo]]="DROP"),AF31+TbTradesBinance[[#This Row],[Qtt]],AF31-TbTradesBinance[[#This Row],[Qtt]]),IF(TbTradesBinance[[#This Row],[Tipo]]="BUY",AF31-TbTradesBinance[[#This Row],[Qtt]]*TbTradesBinance[[#This Row],[Preço]],AF31+TbTradesBinance[[#This Row],[Qtt]]*TbTradesBinance[[#This Row],[Preço]])),AF31)-IF(TbTradesBinance[[#This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Row],[Tipo]]="DROP"),AF31+TbTradesBinance[[#This Row],[Qtt]],AF31-TbTradesBinance[[#This Row],[Qtt]]),IF(TbTradesBinance[[#This Row],[Tipo]]="BUY",AF31-TbTradesBinance[[#This Row],[Qtt]]*TbTradesBinance[[#This Row],[Preço]],AF31+TbTradesBinance[[#This Row],[Qtt]]*TbTradesBinance[[#This Row],[Preço]])),AF31)-IF(TbTradesBinance[[#This Row],[Moeda da Taxa]]=MID(AF$1,9,5),TbTradesBinance[[#This Row],[Taxa]],0),8)))</f>
        <v>0</v>
      </c>
      <c r="AG32" s="145" cm="1">
        <f t="array" ref="AG32">IF(TbTradesBinance[[#This Row],[Tipo]]="EMPTY",0,AG31+IF(TbTradesBinance[[#This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Row],[Par]]))),$1:$1,0)),-(AF31-AF32)/AF31*AG31),0),0)+IF(TbTradesBinance[[#This Row],[Tipo]]="SELL",IF(ISNUMBER(FIND(MID(AG$1,10,5),TbTradesBinance[[#This Row],[Par]])),IF(FIND(MID(AG$1,10,5),TbTradesBinance[[#This Row],[Par]])=1, -(AF31-AF32)/AF31*AG31,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Row],[Par]])),(-(AF31-AF32)/AF31*AG31)+IF(TbTradesBinance[[#This Row],[Resultado]]&gt;0,0,TbTradesBinance[[#This Row],[Taxa]]),0),0))</f>
        <v>0</v>
      </c>
      <c r="AH32" s="145">
        <f t="shared" si="7"/>
        <v>0</v>
      </c>
      <c r="AI3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Row],[Tipo]]="DROP"),AI31+TbTradesBinance[[#This Row],[Qtt]],AI31-TbTradesBinance[[#This Row],[Qtt]]),IF(TbTradesBinance[[#This Row],[Tipo]]="BUY",AI31-TbTradesBinance[[#This Row],[Qtt]]*TbTradesBinance[[#This Row],[Preço]],AI31+TbTradesBinance[[#This Row],[Qtt]]*TbTradesBinance[[#This Row],[Preço]])),AI31)-IF(TbTradesBinance[[#This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Row],[Tipo]]="DROP"),AI31+TbTradesBinance[[#This Row],[Qtt]],AI31-TbTradesBinance[[#This Row],[Qtt]]),IF(TbTradesBinance[[#This Row],[Tipo]]="BUY",AI31-TbTradesBinance[[#This Row],[Qtt]]*TbTradesBinance[[#This Row],[Preço]],AI31+TbTradesBinance[[#This Row],[Qtt]]*TbTradesBinance[[#This Row],[Preço]])),AI31)-IF(TbTradesBinance[[#This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Row],[Tipo]]="DROP"),AI31+TbTradesBinance[[#This Row],[Qtt]],AI31-TbTradesBinance[[#This Row],[Qtt]]),IF(TbTradesBinance[[#This Row],[Tipo]]="BUY",AI31-TbTradesBinance[[#This Row],[Qtt]]*TbTradesBinance[[#This Row],[Preço]],AI31+TbTradesBinance[[#This Row],[Qtt]]*TbTradesBinance[[#This Row],[Preço]])),AI31)-IF(TbTradesBinance[[#This Row],[Moeda da Taxa]]=MID(AI$1,9,5),TbTradesBinance[[#This Row],[Taxa]],0),8)))</f>
        <v>0</v>
      </c>
      <c r="AJ32" s="145" cm="1">
        <f t="array" ref="AJ32">IF(TbTradesBinance[[#This Row],[Tipo]]="EMPTY",0,AJ31+IF(TbTradesBinance[[#This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Row],[Par]]))),$1:$1,0)),-(AI31-AI32)/AI31*AJ31),0),0)+IF(TbTradesBinance[[#This Row],[Tipo]]="SELL",IF(ISNUMBER(FIND(MID(AJ$1,10,5),TbTradesBinance[[#This Row],[Par]])),IF(FIND(MID(AJ$1,10,5),TbTradesBinance[[#This Row],[Par]])=1, -(AI31-AI32)/AI31*AJ31,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Row],[Par]])),(-(AI31-AI32)/AI31*AJ31)+IF(TbTradesBinance[[#This Row],[Resultado]]&gt;0,0,TbTradesBinance[[#This Row],[Taxa]]),0),0))</f>
        <v>0</v>
      </c>
      <c r="AK32" s="145">
        <f t="shared" si="8"/>
        <v>0</v>
      </c>
      <c r="AL3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Row],[Tipo]]="DROP"),AL31+TbTradesBinance[[#This Row],[Qtt]],AL31-TbTradesBinance[[#This Row],[Qtt]]),IF(TbTradesBinance[[#This Row],[Tipo]]="BUY",AL31-TbTradesBinance[[#This Row],[Qtt]]*TbTradesBinance[[#This Row],[Preço]],AL31+TbTradesBinance[[#This Row],[Qtt]]*TbTradesBinance[[#This Row],[Preço]])),AL31)-IF(TbTradesBinance[[#This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Row],[Tipo]]="DROP"),AL31+TbTradesBinance[[#This Row],[Qtt]],AL31-TbTradesBinance[[#This Row],[Qtt]]),IF(TbTradesBinance[[#This Row],[Tipo]]="BUY",AL31-TbTradesBinance[[#This Row],[Qtt]]*TbTradesBinance[[#This Row],[Preço]],AL31+TbTradesBinance[[#This Row],[Qtt]]*TbTradesBinance[[#This Row],[Preço]])),AL31)-IF(TbTradesBinance[[#This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Row],[Tipo]]="DROP"),AL31+TbTradesBinance[[#This Row],[Qtt]],AL31-TbTradesBinance[[#This Row],[Qtt]]),IF(TbTradesBinance[[#This Row],[Tipo]]="BUY",AL31-TbTradesBinance[[#This Row],[Qtt]]*TbTradesBinance[[#This Row],[Preço]],AL31+TbTradesBinance[[#This Row],[Qtt]]*TbTradesBinance[[#This Row],[Preço]])),AL31)-IF(TbTradesBinance[[#This Row],[Moeda da Taxa]]=MID(AL$1,9,5),TbTradesBinance[[#This Row],[Taxa]],0),8)))</f>
        <v>0</v>
      </c>
      <c r="AM32" s="145" cm="1">
        <f t="array" ref="AM32">IF(TbTradesBinance[[#This Row],[Tipo]]="EMPTY",0,AM31+IF(TbTradesBinance[[#This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Row],[Par]]))),$1:$1,0)),-(AL31-AL32)/AL31*AM31),0),0)+IF(TbTradesBinance[[#This Row],[Tipo]]="SELL",IF(ISNUMBER(FIND(MID(AM$1,10,5),TbTradesBinance[[#This Row],[Par]])),IF(FIND(MID(AM$1,10,5),TbTradesBinance[[#This Row],[Par]])=1, -(AL31-AL32)/AL31*AM31,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Row],[Par]])),(-(AL31-AL32)/AL31*AM31)+IF(TbTradesBinance[[#This Row],[Resultado]]&gt;0,0,TbTradesBinance[[#This Row],[Taxa]]),0),0))</f>
        <v>0</v>
      </c>
      <c r="AN32" s="145">
        <f t="shared" si="9"/>
        <v>0</v>
      </c>
      <c r="AO3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Row],[Tipo]]="DROP"),AO31+TbTradesBinance[[#This Row],[Qtt]],AO31-TbTradesBinance[[#This Row],[Qtt]]),IF(TbTradesBinance[[#This Row],[Tipo]]="BUY",AO31-TbTradesBinance[[#This Row],[Qtt]]*TbTradesBinance[[#This Row],[Preço]],AO31+TbTradesBinance[[#This Row],[Qtt]]*TbTradesBinance[[#This Row],[Preço]])),AO31)-IF(TbTradesBinance[[#This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Row],[Tipo]]="DROP"),AO31+TbTradesBinance[[#This Row],[Qtt]],AO31-TbTradesBinance[[#This Row],[Qtt]]),IF(TbTradesBinance[[#This Row],[Tipo]]="BUY",AO31-TbTradesBinance[[#This Row],[Qtt]]*TbTradesBinance[[#This Row],[Preço]],AO31+TbTradesBinance[[#This Row],[Qtt]]*TbTradesBinance[[#This Row],[Preço]])),AO31)-IF(TbTradesBinance[[#This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Row],[Tipo]]="DROP"),AO31+TbTradesBinance[[#This Row],[Qtt]],AO31-TbTradesBinance[[#This Row],[Qtt]]),IF(TbTradesBinance[[#This Row],[Tipo]]="BUY",AO31-TbTradesBinance[[#This Row],[Qtt]]*TbTradesBinance[[#This Row],[Preço]],AO31+TbTradesBinance[[#This Row],[Qtt]]*TbTradesBinance[[#This Row],[Preço]])),AO31)-IF(TbTradesBinance[[#This Row],[Moeda da Taxa]]=MID(AO$1,9,5),TbTradesBinance[[#This Row],[Taxa]],0),8)))</f>
        <v>0</v>
      </c>
      <c r="AP32" s="145" cm="1">
        <f t="array" ref="AP32">IF(TbTradesBinance[[#This Row],[Tipo]]="EMPTY",0,AP31+IF(TbTradesBinance[[#This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Row],[Par]]))),$1:$1,0)),-(AO31-AO32)/AO31*AP31),0),0)+IF(TbTradesBinance[[#This Row],[Tipo]]="SELL",IF(ISNUMBER(FIND(MID(AP$1,10,5),TbTradesBinance[[#This Row],[Par]])),IF(FIND(MID(AP$1,10,5),TbTradesBinance[[#This Row],[Par]])=1, -(AO31-AO32)/AO31*AP31,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Row],[Par]])),(-(AO31-AO32)/AO31*AP31)+IF(TbTradesBinance[[#This Row],[Resultado]]&gt;0,0,TbTradesBinance[[#This Row],[Taxa]]),0),0))</f>
        <v>0</v>
      </c>
      <c r="AQ32" s="145">
        <f t="shared" si="10"/>
        <v>0</v>
      </c>
      <c r="AR3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Row],[Tipo]]="DROP"),AR31+TbTradesBinance[[#This Row],[Qtt]],AR31-TbTradesBinance[[#This Row],[Qtt]]),IF(TbTradesBinance[[#This Row],[Tipo]]="BUY",AR31-TbTradesBinance[[#This Row],[Qtt]]*TbTradesBinance[[#This Row],[Preço]],AR31+TbTradesBinance[[#This Row],[Qtt]]*TbTradesBinance[[#This Row],[Preço]])),AR31)-IF(TbTradesBinance[[#This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Row],[Tipo]]="DROP"),AR31+TbTradesBinance[[#This Row],[Qtt]],AR31-TbTradesBinance[[#This Row],[Qtt]]),IF(TbTradesBinance[[#This Row],[Tipo]]="BUY",AR31-TbTradesBinance[[#This Row],[Qtt]]*TbTradesBinance[[#This Row],[Preço]],AR31+TbTradesBinance[[#This Row],[Qtt]]*TbTradesBinance[[#This Row],[Preço]])),AR31)-IF(TbTradesBinance[[#This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Row],[Tipo]]="DROP"),AR31+TbTradesBinance[[#This Row],[Qtt]],AR31-TbTradesBinance[[#This Row],[Qtt]]),IF(TbTradesBinance[[#This Row],[Tipo]]="BUY",AR31-TbTradesBinance[[#This Row],[Qtt]]*TbTradesBinance[[#This Row],[Preço]],AR31+TbTradesBinance[[#This Row],[Qtt]]*TbTradesBinance[[#This Row],[Preço]])),AR31)-IF(TbTradesBinance[[#This Row],[Moeda da Taxa]]=MID(AR$1,9,5),TbTradesBinance[[#This Row],[Taxa]],0),8)))</f>
        <v>0</v>
      </c>
      <c r="AS32" s="145" cm="1">
        <f t="array" ref="AS32">IF(TbTradesBinance[[#This Row],[Tipo]]="EMPTY",0,AS31+IF(TbTradesBinance[[#This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Row],[Par]]))),$1:$1,0)),-(AR31-AR32)/AR31*AS31),0),0)+IF(TbTradesBinance[[#This Row],[Tipo]]="SELL",IF(ISNUMBER(FIND(MID(AS$1,10,5),TbTradesBinance[[#This Row],[Par]])),IF(FIND(MID(AS$1,10,5),TbTradesBinance[[#This Row],[Par]])=1, -(AR31-AR32)/AR31*AS31,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Row],[Par]])),(-(AR31-AR32)/AR31*AS31)+IF(TbTradesBinance[[#This Row],[Resultado]]&gt;0,0,TbTradesBinance[[#This Row],[Taxa]]),0),0))</f>
        <v>0</v>
      </c>
      <c r="AT32" s="145">
        <f t="shared" si="11"/>
        <v>0</v>
      </c>
      <c r="AU3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Row],[Tipo]]="DROP"),AU31+TbTradesBinance[[#This Row],[Qtt]],AU31-TbTradesBinance[[#This Row],[Qtt]]),IF(TbTradesBinance[[#This Row],[Tipo]]="BUY",AU31-TbTradesBinance[[#This Row],[Qtt]]*TbTradesBinance[[#This Row],[Preço]],AU31+TbTradesBinance[[#This Row],[Qtt]]*TbTradesBinance[[#This Row],[Preço]])),AU31)-IF(TbTradesBinance[[#This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Row],[Tipo]]="DROP"),AU31+TbTradesBinance[[#This Row],[Qtt]],AU31-TbTradesBinance[[#This Row],[Qtt]]),IF(TbTradesBinance[[#This Row],[Tipo]]="BUY",AU31-TbTradesBinance[[#This Row],[Qtt]]*TbTradesBinance[[#This Row],[Preço]],AU31+TbTradesBinance[[#This Row],[Qtt]]*TbTradesBinance[[#This Row],[Preço]])),AU31)-IF(TbTradesBinance[[#This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Row],[Tipo]]="DROP"),AU31+TbTradesBinance[[#This Row],[Qtt]],AU31-TbTradesBinance[[#This Row],[Qtt]]),IF(TbTradesBinance[[#This Row],[Tipo]]="BUY",AU31-TbTradesBinance[[#This Row],[Qtt]]*TbTradesBinance[[#This Row],[Preço]],AU31+TbTradesBinance[[#This Row],[Qtt]]*TbTradesBinance[[#This Row],[Preço]])),AU31)-IF(TbTradesBinance[[#This Row],[Moeda da Taxa]]=MID(AU$1,9,5),TbTradesBinance[[#This Row],[Taxa]],0),8)))</f>
        <v>9.9900000000000003E-2</v>
      </c>
      <c r="AV32" s="145" cm="1">
        <f t="array" ref="AV32">IF(TbTradesBinance[[#This Row],[Tipo]]="EMPTY",0,AV31+IF(TbTradesBinance[[#This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Row],[Par]]))),$1:$1,0)),-(AU31-AU32)/AU31*AV31),0),0)+IF(TbTradesBinance[[#This Row],[Tipo]]="SELL",IF(ISNUMBER(FIND(MID(AV$1,10,5),TbTradesBinance[[#This Row],[Par]])),IF(FIND(MID(AV$1,10,5),TbTradesBinance[[#This Row],[Par]])=1, -(AU31-AU32)/AU31*AV31,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Row],[Par]])),(-(AU31-AU32)/AU31*AV31)+IF(TbTradesBinance[[#This Row],[Resultado]]&gt;0,0,TbTradesBinance[[#This Row],[Taxa]]),0),0))</f>
        <v>18.673922987511034</v>
      </c>
      <c r="AW32" s="145">
        <f t="shared" si="12"/>
        <v>186.92615603114149</v>
      </c>
      <c r="AX3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Row],[Tipo]]="DROP"),AX31+TbTradesBinance[[#This Row],[Qtt]],AX31-TbTradesBinance[[#This Row],[Qtt]]),IF(TbTradesBinance[[#This Row],[Tipo]]="BUY",AX31-TbTradesBinance[[#This Row],[Qtt]]*TbTradesBinance[[#This Row],[Preço]],AX31+TbTradesBinance[[#This Row],[Qtt]]*TbTradesBinance[[#This Row],[Preço]])),AX31)-IF(TbTradesBinance[[#This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Row],[Tipo]]="DROP"),AX31+TbTradesBinance[[#This Row],[Qtt]],AX31-TbTradesBinance[[#This Row],[Qtt]]),IF(TbTradesBinance[[#This Row],[Tipo]]="BUY",AX31-TbTradesBinance[[#This Row],[Qtt]]*TbTradesBinance[[#This Row],[Preço]],AX31+TbTradesBinance[[#This Row],[Qtt]]*TbTradesBinance[[#This Row],[Preço]])),AX31)-IF(TbTradesBinance[[#This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Row],[Tipo]]="DROP"),AX31+TbTradesBinance[[#This Row],[Qtt]],AX31-TbTradesBinance[[#This Row],[Qtt]]),IF(TbTradesBinance[[#This Row],[Tipo]]="BUY",AX31-TbTradesBinance[[#This Row],[Qtt]]*TbTradesBinance[[#This Row],[Preço]],AX31+TbTradesBinance[[#This Row],[Qtt]]*TbTradesBinance[[#This Row],[Preço]])),AX31)-IF(TbTradesBinance[[#This Row],[Moeda da Taxa]]=MID(AX$1,9,5),TbTradesBinance[[#This Row],[Taxa]],0),8)))</f>
        <v>0</v>
      </c>
      <c r="AY32" s="145" cm="1">
        <f t="array" ref="AY32">IF(TbTradesBinance[[#This Row],[Tipo]]="EMPTY",0,AY31+IF(TbTradesBinance[[#This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Row],[Par]]))),$1:$1,0)),-(AX31-AX32)/AX31*AY31),0),0)+IF(TbTradesBinance[[#This Row],[Tipo]]="SELL",IF(ISNUMBER(FIND(MID(AY$1,10,5),TbTradesBinance[[#This Row],[Par]])),IF(FIND(MID(AY$1,10,5),TbTradesBinance[[#This Row],[Par]])=1, -(AX31-AX32)/AX31*AY31,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Row],[Par]])),(-(AX31-AX32)/AX31*AY31)+IF(TbTradesBinance[[#This Row],[Resultado]]&gt;0,0,TbTradesBinance[[#This Row],[Taxa]]),0),0))</f>
        <v>0</v>
      </c>
      <c r="AZ32" s="145">
        <f t="shared" si="13"/>
        <v>0</v>
      </c>
      <c r="BA3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Row],[Tipo]]="DROP"),BA31+TbTradesBinance[[#This Row],[Qtt]],BA31-TbTradesBinance[[#This Row],[Qtt]]),IF(TbTradesBinance[[#This Row],[Tipo]]="BUY",BA31-TbTradesBinance[[#This Row],[Qtt]]*TbTradesBinance[[#This Row],[Preço]],BA31+TbTradesBinance[[#This Row],[Qtt]]*TbTradesBinance[[#This Row],[Preço]])),BA31)-IF(TbTradesBinance[[#This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Row],[Tipo]]="DROP"),BA31+TbTradesBinance[[#This Row],[Qtt]],BA31-TbTradesBinance[[#This Row],[Qtt]]),IF(TbTradesBinance[[#This Row],[Tipo]]="BUY",BA31-TbTradesBinance[[#This Row],[Qtt]]*TbTradesBinance[[#This Row],[Preço]],BA31+TbTradesBinance[[#This Row],[Qtt]]*TbTradesBinance[[#This Row],[Preço]])),BA31)-IF(TbTradesBinance[[#This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Row],[Tipo]]="DROP"),BA31+TbTradesBinance[[#This Row],[Qtt]],BA31-TbTradesBinance[[#This Row],[Qtt]]),IF(TbTradesBinance[[#This Row],[Tipo]]="BUY",BA31-TbTradesBinance[[#This Row],[Qtt]]*TbTradesBinance[[#This Row],[Preço]],BA31+TbTradesBinance[[#This Row],[Qtt]]*TbTradesBinance[[#This Row],[Preço]])),BA31)-IF(TbTradesBinance[[#This Row],[Moeda da Taxa]]=MID(BA$1,9,5),TbTradesBinance[[#This Row],[Taxa]],0),8)))</f>
        <v>0</v>
      </c>
      <c r="BB32" s="145" cm="1">
        <f t="array" ref="BB32">IF(TbTradesBinance[[#This Row],[Tipo]]="EMPTY",0,BB31+IF(TbTradesBinance[[#This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Row],[Par]]))),$1:$1,0)),-(BA31-BA32)/BA31*BB31),0),0)+IF(TbTradesBinance[[#This Row],[Tipo]]="SELL",IF(ISNUMBER(FIND(MID(BB$1,10,5),TbTradesBinance[[#This Row],[Par]])),IF(FIND(MID(BB$1,10,5),TbTradesBinance[[#This Row],[Par]])=1, -(BA31-BA32)/BA31*BB31,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Row],[Par]])),(-(BA31-BA32)/BA31*BB31)+IF(TbTradesBinance[[#This Row],[Resultado]]&gt;0,0,TbTradesBinance[[#This Row],[Taxa]]),0),0))</f>
        <v>0</v>
      </c>
      <c r="BC32" s="145">
        <f t="shared" si="14"/>
        <v>0</v>
      </c>
      <c r="BD3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Row],[Tipo]]="DROP"),BD31+TbTradesBinance[[#This Row],[Qtt]],BD31-TbTradesBinance[[#This Row],[Qtt]]),IF(TbTradesBinance[[#This Row],[Tipo]]="BUY",BD31-TbTradesBinance[[#This Row],[Qtt]]*TbTradesBinance[[#This Row],[Preço]],BD31+TbTradesBinance[[#This Row],[Qtt]]*TbTradesBinance[[#This Row],[Preço]])),BD31)-IF(TbTradesBinance[[#This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Row],[Tipo]]="DROP"),BD31+TbTradesBinance[[#This Row],[Qtt]],BD31-TbTradesBinance[[#This Row],[Qtt]]),IF(TbTradesBinance[[#This Row],[Tipo]]="BUY",BD31-TbTradesBinance[[#This Row],[Qtt]]*TbTradesBinance[[#This Row],[Preço]],BD31+TbTradesBinance[[#This Row],[Qtt]]*TbTradesBinance[[#This Row],[Preço]])),BD31)-IF(TbTradesBinance[[#This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Row],[Tipo]]="DROP"),BD31+TbTradesBinance[[#This Row],[Qtt]],BD31-TbTradesBinance[[#This Row],[Qtt]]),IF(TbTradesBinance[[#This Row],[Tipo]]="BUY",BD31-TbTradesBinance[[#This Row],[Qtt]]*TbTradesBinance[[#This Row],[Preço]],BD31+TbTradesBinance[[#This Row],[Qtt]]*TbTradesBinance[[#This Row],[Preço]])),BD31)-IF(TbTradesBinance[[#This Row],[Moeda da Taxa]]=MID(BD$1,9,5),TbTradesBinance[[#This Row],[Taxa]],0),8)))</f>
        <v>0.37962000000000001</v>
      </c>
      <c r="BE32" s="145" cm="1">
        <f t="array" ref="BE32">IF(TbTradesBinance[[#This Row],[Tipo]]="EMPTY",0,BE31+IF(TbTradesBinance[[#This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Row],[Par]]))),$1:$1,0)),-(BD31-BD32)/BD31*BE31),0),0)+IF(TbTradesBinance[[#This Row],[Tipo]]="SELL",IF(ISNUMBER(FIND(MID(BE$1,10,5),TbTradesBinance[[#This Row],[Par]])),IF(FIND(MID(BE$1,10,5),TbTradesBinance[[#This Row],[Par]])=1, -(BD31-BD32)/BD31*BE31,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Row],[Par]])),(-(BD31-BD32)/BD31*BE31)+IF(TbTradesBinance[[#This Row],[Resultado]]&gt;0,0,TbTradesBinance[[#This Row],[Taxa]]),0),0))</f>
        <v>63.647297001537943</v>
      </c>
      <c r="BF32" s="145">
        <f t="shared" si="15"/>
        <v>167.66054739354601</v>
      </c>
      <c r="BG3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Row],[Tipo]]="DROP"),BG31+TbTradesBinance[[#This Row],[Qtt]],BG31-TbTradesBinance[[#This Row],[Qtt]]),IF(TbTradesBinance[[#This Row],[Tipo]]="BUY",BG31-TbTradesBinance[[#This Row],[Qtt]]*TbTradesBinance[[#This Row],[Preço]],BG31+TbTradesBinance[[#This Row],[Qtt]]*TbTradesBinance[[#This Row],[Preço]])),BG31)-IF(TbTradesBinance[[#This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Row],[Tipo]]="DROP"),BG31+TbTradesBinance[[#This Row],[Qtt]],BG31-TbTradesBinance[[#This Row],[Qtt]]),IF(TbTradesBinance[[#This Row],[Tipo]]="BUY",BG31-TbTradesBinance[[#This Row],[Qtt]]*TbTradesBinance[[#This Row],[Preço]],BG31+TbTradesBinance[[#This Row],[Qtt]]*TbTradesBinance[[#This Row],[Preço]])),BG31)-IF(TbTradesBinance[[#This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Row],[Tipo]]="DROP"),BG31+TbTradesBinance[[#This Row],[Qtt]],BG31-TbTradesBinance[[#This Row],[Qtt]]),IF(TbTradesBinance[[#This Row],[Tipo]]="BUY",BG31-TbTradesBinance[[#This Row],[Qtt]]*TbTradesBinance[[#This Row],[Preço]],BG31+TbTradesBinance[[#This Row],[Qtt]]*TbTradesBinance[[#This Row],[Preço]])),BG31)-IF(TbTradesBinance[[#This Row],[Moeda da Taxa]]=MID(BG$1,9,5),TbTradesBinance[[#This Row],[Taxa]],0),8)))</f>
        <v>0</v>
      </c>
      <c r="BH32" s="145" cm="1">
        <f t="array" ref="BH32">IF(TbTradesBinance[[#This Row],[Tipo]]="EMPTY",0,BH31+IF(TbTradesBinance[[#This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Row],[Par]]))),$1:$1,0)),-(BG31-BG32)/BG31*BH31),0),0)+IF(TbTradesBinance[[#This Row],[Tipo]]="SELL",IF(ISNUMBER(FIND(MID(BH$1,10,5),TbTradesBinance[[#This Row],[Par]])),IF(FIND(MID(BH$1,10,5),TbTradesBinance[[#This Row],[Par]])=1, -(BG31-BG32)/BG31*BH31,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Row],[Par]])),(-(BG31-BG32)/BG31*BH31)+IF(TbTradesBinance[[#This Row],[Resultado]]&gt;0,0,TbTradesBinance[[#This Row],[Taxa]]),0),0))</f>
        <v>0</v>
      </c>
      <c r="BI32" s="145">
        <f t="shared" si="16"/>
        <v>0</v>
      </c>
      <c r="BJ3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Row],[Tipo]]="DROP"),BJ31+TbTradesBinance[[#This Row],[Qtt]],BJ31-TbTradesBinance[[#This Row],[Qtt]]),IF(TbTradesBinance[[#This Row],[Tipo]]="BUY",BJ31-TbTradesBinance[[#This Row],[Qtt]]*TbTradesBinance[[#This Row],[Preço]],BJ31+TbTradesBinance[[#This Row],[Qtt]]*TbTradesBinance[[#This Row],[Preço]])),BJ31)-IF(TbTradesBinance[[#This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Row],[Tipo]]="DROP"),BJ31+TbTradesBinance[[#This Row],[Qtt]],BJ31-TbTradesBinance[[#This Row],[Qtt]]),IF(TbTradesBinance[[#This Row],[Tipo]]="BUY",BJ31-TbTradesBinance[[#This Row],[Qtt]]*TbTradesBinance[[#This Row],[Preço]],BJ31+TbTradesBinance[[#This Row],[Qtt]]*TbTradesBinance[[#This Row],[Preço]])),BJ31)-IF(TbTradesBinance[[#This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Row],[Tipo]]="DROP"),BJ31+TbTradesBinance[[#This Row],[Qtt]],BJ31-TbTradesBinance[[#This Row],[Qtt]]),IF(TbTradesBinance[[#This Row],[Tipo]]="BUY",BJ31-TbTradesBinance[[#This Row],[Qtt]]*TbTradesBinance[[#This Row],[Preço]],BJ31+TbTradesBinance[[#This Row],[Qtt]]*TbTradesBinance[[#This Row],[Preço]])),BJ31)-IF(TbTradesBinance[[#This Row],[Moeda da Taxa]]=MID(BJ$1,9,5),TbTradesBinance[[#This Row],[Taxa]],0),8)))</f>
        <v>0</v>
      </c>
      <c r="BK32" s="145" cm="1">
        <f t="array" ref="BK32">IF(TbTradesBinance[[#This Row],[Tipo]]="EMPTY",0,BK31+IF(TbTradesBinance[[#This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Row],[Par]]))),$1:$1,0)),-(BJ31-BJ32)/BJ31*BK31),0),0)+IF(TbTradesBinance[[#This Row],[Tipo]]="SELL",IF(ISNUMBER(FIND(MID(BK$1,10,5),TbTradesBinance[[#This Row],[Par]])),IF(FIND(MID(BK$1,10,5),TbTradesBinance[[#This Row],[Par]])=1, -(BJ31-BJ32)/BJ31*BK31,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Row],[Par]])),(-(BJ31-BJ32)/BJ31*BK31)+IF(TbTradesBinance[[#This Row],[Resultado]]&gt;0,0,TbTradesBinance[[#This Row],[Taxa]]),0),0))</f>
        <v>0</v>
      </c>
      <c r="BL32" s="145">
        <f t="shared" si="17"/>
        <v>0</v>
      </c>
      <c r="BM3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Row],[Tipo]]="DROP"),BM31+TbTradesBinance[[#This Row],[Qtt]],BM31-TbTradesBinance[[#This Row],[Qtt]]),IF(TbTradesBinance[[#This Row],[Tipo]]="BUY",BM31-TbTradesBinance[[#This Row],[Qtt]]*TbTradesBinance[[#This Row],[Preço]],BM31+TbTradesBinance[[#This Row],[Qtt]]*TbTradesBinance[[#This Row],[Preço]])),BM31)-IF(TbTradesBinance[[#This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Row],[Tipo]]="DROP"),BM31+TbTradesBinance[[#This Row],[Qtt]],BM31-TbTradesBinance[[#This Row],[Qtt]]),IF(TbTradesBinance[[#This Row],[Tipo]]="BUY",BM31-TbTradesBinance[[#This Row],[Qtt]]*TbTradesBinance[[#This Row],[Preço]],BM31+TbTradesBinance[[#This Row],[Qtt]]*TbTradesBinance[[#This Row],[Preço]])),BM31)-IF(TbTradesBinance[[#This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Row],[Tipo]]="DROP"),BM31+TbTradesBinance[[#This Row],[Qtt]],BM31-TbTradesBinance[[#This Row],[Qtt]]),IF(TbTradesBinance[[#This Row],[Tipo]]="BUY",BM31-TbTradesBinance[[#This Row],[Qtt]]*TbTradesBinance[[#This Row],[Preço]],BM31+TbTradesBinance[[#This Row],[Qtt]]*TbTradesBinance[[#This Row],[Preço]])),BM31)-IF(TbTradesBinance[[#This Row],[Moeda da Taxa]]=MID(BM$1,9,5),TbTradesBinance[[#This Row],[Taxa]],0),8)))</f>
        <v>0</v>
      </c>
      <c r="BN32" s="145" cm="1">
        <f t="array" ref="BN32">IF(TbTradesBinance[[#This Row],[Tipo]]="EMPTY",0,BN31+IF(TbTradesBinance[[#This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Row],[Par]]))),$1:$1,0)),-(BM31-BM32)/BM31*BN31),0),0)+IF(TbTradesBinance[[#This Row],[Tipo]]="SELL",IF(ISNUMBER(FIND(MID(BN$1,10,5),TbTradesBinance[[#This Row],[Par]])),IF(FIND(MID(BN$1,10,5),TbTradesBinance[[#This Row],[Par]])=1, -(BM31-BM32)/BM31*BN31,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Row],[Par]])),(-(BM31-BM32)/BM31*BN31)+IF(TbTradesBinance[[#This Row],[Resultado]]&gt;0,0,TbTradesBinance[[#This Row],[Taxa]]),0),0))</f>
        <v>0</v>
      </c>
      <c r="BO32" s="145">
        <f t="shared" si="18"/>
        <v>0</v>
      </c>
    </row>
    <row r="33" spans="2:67" x14ac:dyDescent="0.3">
      <c r="B33" s="51"/>
      <c r="C33" s="40">
        <f>TRUNC(IF(AND(TbTradesBinance[[#This Row],[Tipo]]="SEND",TbTradesBinance[[#This Row],[Par]]="BRL"),TbTradesBinance[[#This Row],[Qtt]]*(1-P31)-IF(TbTradesBinance[[#This Row],[Moeda da Taxa]]="BRL",TbTradesBinance[[#This Row],[Taxa]],0),0)+IF(AND(TbTradesBinance[[#This Row],[Tipo]]="BURN",TbTradesBinance[[#This Row],[Par]]="BRL"),-TbTradesBinance[[#This Row],[Qtt]]*P31,0),2)</f>
        <v>0</v>
      </c>
      <c r="D33" s="53">
        <v>44256.927442129629</v>
      </c>
      <c r="E33" s="37" t="s">
        <v>138</v>
      </c>
      <c r="F33" s="47" t="s">
        <v>139</v>
      </c>
      <c r="G33" s="38">
        <v>277000</v>
      </c>
      <c r="H33" s="38">
        <v>1.74E-4</v>
      </c>
      <c r="I33" s="38">
        <v>0</v>
      </c>
      <c r="J33" s="37" t="s">
        <v>6</v>
      </c>
      <c r="K33" s="52">
        <v>1</v>
      </c>
      <c r="L33" s="40">
        <f t="shared" si="0"/>
        <v>277000</v>
      </c>
      <c r="M33" s="40">
        <f>IF(OR(TbTradesBinance[[#This Row],[Tipo]]="BUY",TbTradesBinance[[#This Row],[Tipo]]="RECEIVE",TbTradesBinance[[#This Row],[Tipo]]="DROP"),L33*H33,-L33*H33)</f>
        <v>48.198</v>
      </c>
      <c r="N3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Row],[Tipo]]="DROP"),N32+TbTradesBinance[[#This Row],[Qtt]],N32-TbTradesBinance[[#This Row],[Qtt]]),IF(TbTradesBinance[[#This Row],[Tipo]]="BUY",N32-TbTradesBinance[[#This Row],[Qtt]]*TbTradesBinance[[#This Row],[Preço]],N32+TbTradesBinance[[#This Row],[Qtt]]*TbTradesBinance[[#This Row],[Preço]])),N32)-IF(TbTradesBinance[[#This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Row],[Tipo]]="DROP"),N32+TbTradesBinance[[#This Row],[Qtt]],N32-TbTradesBinance[[#This Row],[Qtt]]),IF(TbTradesBinance[[#This Row],[Tipo]]="BUY",N32-TbTradesBinance[[#This Row],[Qtt]]*TbTradesBinance[[#This Row],[Preço]],N32+TbTradesBinance[[#This Row],[Qtt]]*TbTradesBinance[[#This Row],[Preço]])),N32)-IF(TbTradesBinance[[#This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Row],[Tipo]]="DROP"),N32+TbTradesBinance[[#This Row],[Qtt]],N32-TbTradesBinance[[#This Row],[Qtt]]),IF(TbTradesBinance[[#This Row],[Tipo]]="BUY",N32-TbTradesBinance[[#This Row],[Qtt]]*TbTradesBinance[[#This Row],[Preço]],N32+TbTradesBinance[[#This Row],[Qtt]]*TbTradesBinance[[#This Row],[Preço]])),N32)-IF(TbTradesBinance[[#This Row],[Moeda da Taxa]]=MID(N$1,9,5),TbTradesBinance[[#This Row],[Taxa]],0),8)))</f>
        <v>119761.84418689</v>
      </c>
      <c r="O33" s="145" cm="1">
        <f t="array" ref="O33">IF(TbTradesBinance[[#This Row],[Tipo]]="EMPTY",0,O32+IF(TbTradesBinance[[#This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Row],[Par]]))),$1:$1,0)),-(N32-N33)/N32*O32),0),0)+IF(TbTradesBinance[[#This Row],[Tipo]]="SELL",IF(ISNUMBER(FIND(MID(O$1,10,5),TbTradesBinance[[#This Row],[Par]])),IF(FIND(MID(O$1,10,5),TbTradesBinance[[#This Row],[Par]])=1, -(N32-N33)/N32*O32,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Row],[Par]])),(-(N32-N33)/N32*O32)+IF(TbTradesBinance[[#This Row],[Resultado]]&gt;0,0,TbTradesBinance[[#This Row],[Taxa]]),0),0))</f>
        <v>119713.62287778006</v>
      </c>
      <c r="P33" s="145">
        <f t="shared" si="1"/>
        <v>0.99959735665864757</v>
      </c>
      <c r="Q3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Row],[Tipo]]="DROP"),Q32+TbTradesBinance[[#This Row],[Qtt]],Q32-TbTradesBinance[[#This Row],[Qtt]]),IF(TbTradesBinance[[#This Row],[Tipo]]="BUY",Q32-TbTradesBinance[[#This Row],[Qtt]]*TbTradesBinance[[#This Row],[Preço]],Q32+TbTradesBinance[[#This Row],[Qtt]]*TbTradesBinance[[#This Row],[Preço]])),Q32)-IF(TbTradesBinance[[#This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Row],[Tipo]]="DROP"),Q32+TbTradesBinance[[#This Row],[Qtt]],Q32-TbTradesBinance[[#This Row],[Qtt]]),IF(TbTradesBinance[[#This Row],[Tipo]]="BUY",Q32-TbTradesBinance[[#This Row],[Qtt]]*TbTradesBinance[[#This Row],[Preço]],Q32+TbTradesBinance[[#This Row],[Qtt]]*TbTradesBinance[[#This Row],[Preço]])),Q32)-IF(TbTradesBinance[[#This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Row],[Tipo]]="DROP"),Q32+TbTradesBinance[[#This Row],[Qtt]],Q32-TbTradesBinance[[#This Row],[Qtt]]),IF(TbTradesBinance[[#This Row],[Tipo]]="BUY",Q32-TbTradesBinance[[#This Row],[Qtt]]*TbTradesBinance[[#This Row],[Preço]],Q32+TbTradesBinance[[#This Row],[Qtt]]*TbTradesBinance[[#This Row],[Preço]])),Q32)-IF(TbTradesBinance[[#This Row],[Moeda da Taxa]]=MID(Q$1,9,5),TbTradesBinance[[#This Row],[Taxa]],0),8)))</f>
        <v>0.27732999000000003</v>
      </c>
      <c r="R33" s="145" cm="1">
        <f t="array" ref="R33">IF(TbTradesBinance[[#This Row],[Tipo]]="EMPTY",0,R32+IF(TbTradesBinance[[#This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Row],[Par]]))),$1:$1,0)),-(Q32-Q33)/Q32*R32),0),0)+IF(TbTradesBinance[[#This Row],[Tipo]]="SELL",IF(ISNUMBER(FIND(MID(R$1,10,5),TbTradesBinance[[#This Row],[Par]])),IF(FIND(MID(R$1,10,5),TbTradesBinance[[#This Row],[Par]])=1, -(Q32-Q33)/Q32*R32,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Row],[Par]])),(-(Q32-Q33)/Q32*R32)+IF(TbTradesBinance[[#This Row],[Resultado]]&gt;0,0,TbTradesBinance[[#This Row],[Taxa]]),0),0))</f>
        <v>1.5509449279899954</v>
      </c>
      <c r="S33" s="145">
        <f t="shared" si="2"/>
        <v>5.592416918163071</v>
      </c>
      <c r="T3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Row],[Tipo]]="DROP"),T32+TbTradesBinance[[#This Row],[Qtt]],T32-TbTradesBinance[[#This Row],[Qtt]]),IF(TbTradesBinance[[#This Row],[Tipo]]="BUY",T32-TbTradesBinance[[#This Row],[Qtt]]*TbTradesBinance[[#This Row],[Preço]],T32+TbTradesBinance[[#This Row],[Qtt]]*TbTradesBinance[[#This Row],[Preço]])),T32)-IF(TbTradesBinance[[#This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Row],[Tipo]]="DROP"),T32+TbTradesBinance[[#This Row],[Qtt]],T32-TbTradesBinance[[#This Row],[Qtt]]),IF(TbTradesBinance[[#This Row],[Tipo]]="BUY",T32-TbTradesBinance[[#This Row],[Qtt]]*TbTradesBinance[[#This Row],[Preço]],T32+TbTradesBinance[[#This Row],[Qtt]]*TbTradesBinance[[#This Row],[Preço]])),T32)-IF(TbTradesBinance[[#This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Row],[Tipo]]="DROP"),T32+TbTradesBinance[[#This Row],[Qtt]],T32-TbTradesBinance[[#This Row],[Qtt]]),IF(TbTradesBinance[[#This Row],[Tipo]]="BUY",T32-TbTradesBinance[[#This Row],[Qtt]]*TbTradesBinance[[#This Row],[Preço]],T32+TbTradesBinance[[#This Row],[Qtt]]*TbTradesBinance[[#This Row],[Preço]])),T32)-IF(TbTradesBinance[[#This Row],[Moeda da Taxa]]=MID(T$1,9,5),TbTradesBinance[[#This Row],[Taxa]],0),8)))</f>
        <v>2.867312E-2</v>
      </c>
      <c r="U33" s="145" cm="1">
        <f t="array" ref="U33">IF(TbTradesBinance[[#This Row],[Tipo]]="EMPTY",0,U32+IF(TbTradesBinance[[#This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Row],[Par]]))),$1:$1,0)),-(T32-T33)/T32*U32),0),0)+IF(TbTradesBinance[[#This Row],[Tipo]]="SELL",IF(ISNUMBER(FIND(MID(U$1,10,5),TbTradesBinance[[#This Row],[Par]])),IF(FIND(MID(U$1,10,5),TbTradesBinance[[#This Row],[Par]])=1, -(T32-T33)/T32*U32,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Row],[Par]])),(-(T32-T33)/T32*U32)+IF(TbTradesBinance[[#This Row],[Resultado]]&gt;0,0,TbTradesBinance[[#This Row],[Taxa]]),0),0))</f>
        <v>0.19365209596473676</v>
      </c>
      <c r="V33" s="145">
        <f t="shared" si="3"/>
        <v>6.7537852861752317</v>
      </c>
      <c r="W3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Row],[Tipo]]="DROP"),W32+TbTradesBinance[[#This Row],[Qtt]],W32-TbTradesBinance[[#This Row],[Qtt]]),IF(TbTradesBinance[[#This Row],[Tipo]]="BUY",W32-TbTradesBinance[[#This Row],[Qtt]]*TbTradesBinance[[#This Row],[Preço]],W32+TbTradesBinance[[#This Row],[Qtt]]*TbTradesBinance[[#This Row],[Preço]])),W32)-IF(TbTradesBinance[[#This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Row],[Tipo]]="DROP"),W32+TbTradesBinance[[#This Row],[Qtt]],W32-TbTradesBinance[[#This Row],[Qtt]]),IF(TbTradesBinance[[#This Row],[Tipo]]="BUY",W32-TbTradesBinance[[#This Row],[Qtt]]*TbTradesBinance[[#This Row],[Preço]],W32+TbTradesBinance[[#This Row],[Qtt]]*TbTradesBinance[[#This Row],[Preço]])),W32)-IF(TbTradesBinance[[#This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Row],[Tipo]]="DROP"),W32+TbTradesBinance[[#This Row],[Qtt]],W32-TbTradesBinance[[#This Row],[Qtt]]),IF(TbTradesBinance[[#This Row],[Tipo]]="BUY",W32-TbTradesBinance[[#This Row],[Qtt]]*TbTradesBinance[[#This Row],[Preço]],W32+TbTradesBinance[[#This Row],[Qtt]]*TbTradesBinance[[#This Row],[Preço]])),W32)-IF(TbTradesBinance[[#This Row],[Moeda da Taxa]]=MID(W$1,9,5),TbTradesBinance[[#This Row],[Taxa]],0),8)))</f>
        <v>7.5157000000000002E-4</v>
      </c>
      <c r="X33" s="145" cm="1">
        <f t="array" ref="X33">IF(TbTradesBinance[[#This Row],[Tipo]]="EMPTY",0,X32+IF(TbTradesBinance[[#This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Row],[Par]]))),$1:$1,0)),-(W32-W33)/W32*X32),0),0)+IF(TbTradesBinance[[#This Row],[Tipo]]="SELL",IF(ISNUMBER(FIND(MID(X$1,10,5),TbTradesBinance[[#This Row],[Par]])),IF(FIND(MID(X$1,10,5),TbTradesBinance[[#This Row],[Par]])=1, -(W32-W33)/W32*X32,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Row],[Par]])),(-(W32-W33)/W32*X32)+IF(TbTradesBinance[[#This Row],[Resultado]]&gt;0,0,TbTradesBinance[[#This Row],[Taxa]]),0),0))</f>
        <v>202.31130520692838</v>
      </c>
      <c r="Y33" s="145">
        <f t="shared" si="4"/>
        <v>269184.91319095809</v>
      </c>
      <c r="Z3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Row],[Tipo]]="DROP"),Z32+TbTradesBinance[[#This Row],[Qtt]],Z32-TbTradesBinance[[#This Row],[Qtt]]),IF(TbTradesBinance[[#This Row],[Tipo]]="BUY",Z32-TbTradesBinance[[#This Row],[Qtt]]*TbTradesBinance[[#This Row],[Preço]],Z32+TbTradesBinance[[#This Row],[Qtt]]*TbTradesBinance[[#This Row],[Preço]])),Z32)-IF(TbTradesBinance[[#This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Row],[Tipo]]="DROP"),Z32+TbTradesBinance[[#This Row],[Qtt]],Z32-TbTradesBinance[[#This Row],[Qtt]]),IF(TbTradesBinance[[#This Row],[Tipo]]="BUY",Z32-TbTradesBinance[[#This Row],[Qtt]]*TbTradesBinance[[#This Row],[Preço]],Z32+TbTradesBinance[[#This Row],[Qtt]]*TbTradesBinance[[#This Row],[Preço]])),Z32)-IF(TbTradesBinance[[#This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Row],[Tipo]]="DROP"),Z32+TbTradesBinance[[#This Row],[Qtt]],Z32-TbTradesBinance[[#This Row],[Qtt]]),IF(TbTradesBinance[[#This Row],[Tipo]]="BUY",Z32-TbTradesBinance[[#This Row],[Qtt]]*TbTradesBinance[[#This Row],[Preço]],Z32+TbTradesBinance[[#This Row],[Qtt]]*TbTradesBinance[[#This Row],[Preço]])),Z32)-IF(TbTradesBinance[[#This Row],[Moeda da Taxa]]=MID(Z$1,9,5),TbTradesBinance[[#This Row],[Taxa]],0),8)))</f>
        <v>0</v>
      </c>
      <c r="AA33" s="145" cm="1">
        <f t="array" ref="AA33">IF(TbTradesBinance[[#This Row],[Tipo]]="EMPTY",0,AA32+IF(TbTradesBinance[[#This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Row],[Par]]))),$1:$1,0)),-(Z32-Z33)/Z32*AA32),0),0)+IF(TbTradesBinance[[#This Row],[Tipo]]="SELL",IF(ISNUMBER(FIND(MID(AA$1,10,5),TbTradesBinance[[#This Row],[Par]])),IF(FIND(MID(AA$1,10,5),TbTradesBinance[[#This Row],[Par]])=1, -(Z32-Z33)/Z32*AA32,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Row],[Par]])),(-(Z32-Z33)/Z32*AA32)+IF(TbTradesBinance[[#This Row],[Resultado]]&gt;0,0,TbTradesBinance[[#This Row],[Taxa]]),0),0))</f>
        <v>0</v>
      </c>
      <c r="AB33" s="145">
        <f t="shared" si="5"/>
        <v>0</v>
      </c>
      <c r="AC3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Row],[Tipo]]="DROP"),AC32+TbTradesBinance[[#This Row],[Qtt]],AC32-TbTradesBinance[[#This Row],[Qtt]]),IF(TbTradesBinance[[#This Row],[Tipo]]="BUY",AC32-TbTradesBinance[[#This Row],[Qtt]]*TbTradesBinance[[#This Row],[Preço]],AC32+TbTradesBinance[[#This Row],[Qtt]]*TbTradesBinance[[#This Row],[Preço]])),AC32)-IF(TbTradesBinance[[#This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Row],[Tipo]]="DROP"),AC32+TbTradesBinance[[#This Row],[Qtt]],AC32-TbTradesBinance[[#This Row],[Qtt]]),IF(TbTradesBinance[[#This Row],[Tipo]]="BUY",AC32-TbTradesBinance[[#This Row],[Qtt]]*TbTradesBinance[[#This Row],[Preço]],AC32+TbTradesBinance[[#This Row],[Qtt]]*TbTradesBinance[[#This Row],[Preço]])),AC32)-IF(TbTradesBinance[[#This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Row],[Tipo]]="DROP"),AC32+TbTradesBinance[[#This Row],[Qtt]],AC32-TbTradesBinance[[#This Row],[Qtt]]),IF(TbTradesBinance[[#This Row],[Tipo]]="BUY",AC32-TbTradesBinance[[#This Row],[Qtt]]*TbTradesBinance[[#This Row],[Preço]],AC32+TbTradesBinance[[#This Row],[Qtt]]*TbTradesBinance[[#This Row],[Preço]])),AC32)-IF(TbTradesBinance[[#This Row],[Moeda da Taxa]]=MID(AC$1,9,5),TbTradesBinance[[#This Row],[Taxa]],0),8)))</f>
        <v>0</v>
      </c>
      <c r="AD33" s="145" cm="1">
        <f t="array" ref="AD33">IF(TbTradesBinance[[#This Row],[Tipo]]="EMPTY",0,AD32+IF(TbTradesBinance[[#This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Row],[Par]]))),$1:$1,0)),-(AC32-AC33)/AC32*AD32),0),0)+IF(TbTradesBinance[[#This Row],[Tipo]]="SELL",IF(ISNUMBER(FIND(MID(AD$1,10,5),TbTradesBinance[[#This Row],[Par]])),IF(FIND(MID(AD$1,10,5),TbTradesBinance[[#This Row],[Par]])=1, -(AC32-AC33)/AC32*AD32,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Row],[Par]])),(-(AC32-AC33)/AC32*AD32)+IF(TbTradesBinance[[#This Row],[Resultado]]&gt;0,0,TbTradesBinance[[#This Row],[Taxa]]),0),0))</f>
        <v>0</v>
      </c>
      <c r="AE33" s="145">
        <f t="shared" si="6"/>
        <v>0</v>
      </c>
      <c r="AF3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Row],[Tipo]]="DROP"),AF32+TbTradesBinance[[#This Row],[Qtt]],AF32-TbTradesBinance[[#This Row],[Qtt]]),IF(TbTradesBinance[[#This Row],[Tipo]]="BUY",AF32-TbTradesBinance[[#This Row],[Qtt]]*TbTradesBinance[[#This Row],[Preço]],AF32+TbTradesBinance[[#This Row],[Qtt]]*TbTradesBinance[[#This Row],[Preço]])),AF32)-IF(TbTradesBinance[[#This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Row],[Tipo]]="DROP"),AF32+TbTradesBinance[[#This Row],[Qtt]],AF32-TbTradesBinance[[#This Row],[Qtt]]),IF(TbTradesBinance[[#This Row],[Tipo]]="BUY",AF32-TbTradesBinance[[#This Row],[Qtt]]*TbTradesBinance[[#This Row],[Preço]],AF32+TbTradesBinance[[#This Row],[Qtt]]*TbTradesBinance[[#This Row],[Preço]])),AF32)-IF(TbTradesBinance[[#This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Row],[Tipo]]="DROP"),AF32+TbTradesBinance[[#This Row],[Qtt]],AF32-TbTradesBinance[[#This Row],[Qtt]]),IF(TbTradesBinance[[#This Row],[Tipo]]="BUY",AF32-TbTradesBinance[[#This Row],[Qtt]]*TbTradesBinance[[#This Row],[Preço]],AF32+TbTradesBinance[[#This Row],[Qtt]]*TbTradesBinance[[#This Row],[Preço]])),AF32)-IF(TbTradesBinance[[#This Row],[Moeda da Taxa]]=MID(AF$1,9,5),TbTradesBinance[[#This Row],[Taxa]],0),8)))</f>
        <v>0</v>
      </c>
      <c r="AG33" s="145" cm="1">
        <f t="array" ref="AG33">IF(TbTradesBinance[[#This Row],[Tipo]]="EMPTY",0,AG32+IF(TbTradesBinance[[#This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Row],[Par]]))),$1:$1,0)),-(AF32-AF33)/AF32*AG32),0),0)+IF(TbTradesBinance[[#This Row],[Tipo]]="SELL",IF(ISNUMBER(FIND(MID(AG$1,10,5),TbTradesBinance[[#This Row],[Par]])),IF(FIND(MID(AG$1,10,5),TbTradesBinance[[#This Row],[Par]])=1, -(AF32-AF33)/AF32*AG32,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Row],[Par]])),(-(AF32-AF33)/AF32*AG32)+IF(TbTradesBinance[[#This Row],[Resultado]]&gt;0,0,TbTradesBinance[[#This Row],[Taxa]]),0),0))</f>
        <v>0</v>
      </c>
      <c r="AH33" s="145">
        <f t="shared" si="7"/>
        <v>0</v>
      </c>
      <c r="AI3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Row],[Tipo]]="DROP"),AI32+TbTradesBinance[[#This Row],[Qtt]],AI32-TbTradesBinance[[#This Row],[Qtt]]),IF(TbTradesBinance[[#This Row],[Tipo]]="BUY",AI32-TbTradesBinance[[#This Row],[Qtt]]*TbTradesBinance[[#This Row],[Preço]],AI32+TbTradesBinance[[#This Row],[Qtt]]*TbTradesBinance[[#This Row],[Preço]])),AI32)-IF(TbTradesBinance[[#This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Row],[Tipo]]="DROP"),AI32+TbTradesBinance[[#This Row],[Qtt]],AI32-TbTradesBinance[[#This Row],[Qtt]]),IF(TbTradesBinance[[#This Row],[Tipo]]="BUY",AI32-TbTradesBinance[[#This Row],[Qtt]]*TbTradesBinance[[#This Row],[Preço]],AI32+TbTradesBinance[[#This Row],[Qtt]]*TbTradesBinance[[#This Row],[Preço]])),AI32)-IF(TbTradesBinance[[#This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Row],[Tipo]]="DROP"),AI32+TbTradesBinance[[#This Row],[Qtt]],AI32-TbTradesBinance[[#This Row],[Qtt]]),IF(TbTradesBinance[[#This Row],[Tipo]]="BUY",AI32-TbTradesBinance[[#This Row],[Qtt]]*TbTradesBinance[[#This Row],[Preço]],AI32+TbTradesBinance[[#This Row],[Qtt]]*TbTradesBinance[[#This Row],[Preço]])),AI32)-IF(TbTradesBinance[[#This Row],[Moeda da Taxa]]=MID(AI$1,9,5),TbTradesBinance[[#This Row],[Taxa]],0),8)))</f>
        <v>0</v>
      </c>
      <c r="AJ33" s="145" cm="1">
        <f t="array" ref="AJ33">IF(TbTradesBinance[[#This Row],[Tipo]]="EMPTY",0,AJ32+IF(TbTradesBinance[[#This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Row],[Par]]))),$1:$1,0)),-(AI32-AI33)/AI32*AJ32),0),0)+IF(TbTradesBinance[[#This Row],[Tipo]]="SELL",IF(ISNUMBER(FIND(MID(AJ$1,10,5),TbTradesBinance[[#This Row],[Par]])),IF(FIND(MID(AJ$1,10,5),TbTradesBinance[[#This Row],[Par]])=1, -(AI32-AI33)/AI32*AJ32,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Row],[Par]])),(-(AI32-AI33)/AI32*AJ32)+IF(TbTradesBinance[[#This Row],[Resultado]]&gt;0,0,TbTradesBinance[[#This Row],[Taxa]]),0),0))</f>
        <v>0</v>
      </c>
      <c r="AK33" s="145">
        <f t="shared" si="8"/>
        <v>0</v>
      </c>
      <c r="AL3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Row],[Tipo]]="DROP"),AL32+TbTradesBinance[[#This Row],[Qtt]],AL32-TbTradesBinance[[#This Row],[Qtt]]),IF(TbTradesBinance[[#This Row],[Tipo]]="BUY",AL32-TbTradesBinance[[#This Row],[Qtt]]*TbTradesBinance[[#This Row],[Preço]],AL32+TbTradesBinance[[#This Row],[Qtt]]*TbTradesBinance[[#This Row],[Preço]])),AL32)-IF(TbTradesBinance[[#This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Row],[Tipo]]="DROP"),AL32+TbTradesBinance[[#This Row],[Qtt]],AL32-TbTradesBinance[[#This Row],[Qtt]]),IF(TbTradesBinance[[#This Row],[Tipo]]="BUY",AL32-TbTradesBinance[[#This Row],[Qtt]]*TbTradesBinance[[#This Row],[Preço]],AL32+TbTradesBinance[[#This Row],[Qtt]]*TbTradesBinance[[#This Row],[Preço]])),AL32)-IF(TbTradesBinance[[#This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Row],[Tipo]]="DROP"),AL32+TbTradesBinance[[#This Row],[Qtt]],AL32-TbTradesBinance[[#This Row],[Qtt]]),IF(TbTradesBinance[[#This Row],[Tipo]]="BUY",AL32-TbTradesBinance[[#This Row],[Qtt]]*TbTradesBinance[[#This Row],[Preço]],AL32+TbTradesBinance[[#This Row],[Qtt]]*TbTradesBinance[[#This Row],[Preço]])),AL32)-IF(TbTradesBinance[[#This Row],[Moeda da Taxa]]=MID(AL$1,9,5),TbTradesBinance[[#This Row],[Taxa]],0),8)))</f>
        <v>0</v>
      </c>
      <c r="AM33" s="145" cm="1">
        <f t="array" ref="AM33">IF(TbTradesBinance[[#This Row],[Tipo]]="EMPTY",0,AM32+IF(TbTradesBinance[[#This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Row],[Par]]))),$1:$1,0)),-(AL32-AL33)/AL32*AM32),0),0)+IF(TbTradesBinance[[#This Row],[Tipo]]="SELL",IF(ISNUMBER(FIND(MID(AM$1,10,5),TbTradesBinance[[#This Row],[Par]])),IF(FIND(MID(AM$1,10,5),TbTradesBinance[[#This Row],[Par]])=1, -(AL32-AL33)/AL32*AM32,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Row],[Par]])),(-(AL32-AL33)/AL32*AM32)+IF(TbTradesBinance[[#This Row],[Resultado]]&gt;0,0,TbTradesBinance[[#This Row],[Taxa]]),0),0))</f>
        <v>0</v>
      </c>
      <c r="AN33" s="145">
        <f t="shared" si="9"/>
        <v>0</v>
      </c>
      <c r="AO3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Row],[Tipo]]="DROP"),AO32+TbTradesBinance[[#This Row],[Qtt]],AO32-TbTradesBinance[[#This Row],[Qtt]]),IF(TbTradesBinance[[#This Row],[Tipo]]="BUY",AO32-TbTradesBinance[[#This Row],[Qtt]]*TbTradesBinance[[#This Row],[Preço]],AO32+TbTradesBinance[[#This Row],[Qtt]]*TbTradesBinance[[#This Row],[Preço]])),AO32)-IF(TbTradesBinance[[#This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Row],[Tipo]]="DROP"),AO32+TbTradesBinance[[#This Row],[Qtt]],AO32-TbTradesBinance[[#This Row],[Qtt]]),IF(TbTradesBinance[[#This Row],[Tipo]]="BUY",AO32-TbTradesBinance[[#This Row],[Qtt]]*TbTradesBinance[[#This Row],[Preço]],AO32+TbTradesBinance[[#This Row],[Qtt]]*TbTradesBinance[[#This Row],[Preço]])),AO32)-IF(TbTradesBinance[[#This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Row],[Tipo]]="DROP"),AO32+TbTradesBinance[[#This Row],[Qtt]],AO32-TbTradesBinance[[#This Row],[Qtt]]),IF(TbTradesBinance[[#This Row],[Tipo]]="BUY",AO32-TbTradesBinance[[#This Row],[Qtt]]*TbTradesBinance[[#This Row],[Preço]],AO32+TbTradesBinance[[#This Row],[Qtt]]*TbTradesBinance[[#This Row],[Preço]])),AO32)-IF(TbTradesBinance[[#This Row],[Moeda da Taxa]]=MID(AO$1,9,5),TbTradesBinance[[#This Row],[Taxa]],0),8)))</f>
        <v>0</v>
      </c>
      <c r="AP33" s="145" cm="1">
        <f t="array" ref="AP33">IF(TbTradesBinance[[#This Row],[Tipo]]="EMPTY",0,AP32+IF(TbTradesBinance[[#This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Row],[Par]]))),$1:$1,0)),-(AO32-AO33)/AO32*AP32),0),0)+IF(TbTradesBinance[[#This Row],[Tipo]]="SELL",IF(ISNUMBER(FIND(MID(AP$1,10,5),TbTradesBinance[[#This Row],[Par]])),IF(FIND(MID(AP$1,10,5),TbTradesBinance[[#This Row],[Par]])=1, -(AO32-AO33)/AO32*AP32,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Row],[Par]])),(-(AO32-AO33)/AO32*AP32)+IF(TbTradesBinance[[#This Row],[Resultado]]&gt;0,0,TbTradesBinance[[#This Row],[Taxa]]),0),0))</f>
        <v>0</v>
      </c>
      <c r="AQ33" s="145">
        <f t="shared" si="10"/>
        <v>0</v>
      </c>
      <c r="AR3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Row],[Tipo]]="DROP"),AR32+TbTradesBinance[[#This Row],[Qtt]],AR32-TbTradesBinance[[#This Row],[Qtt]]),IF(TbTradesBinance[[#This Row],[Tipo]]="BUY",AR32-TbTradesBinance[[#This Row],[Qtt]]*TbTradesBinance[[#This Row],[Preço]],AR32+TbTradesBinance[[#This Row],[Qtt]]*TbTradesBinance[[#This Row],[Preço]])),AR32)-IF(TbTradesBinance[[#This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Row],[Tipo]]="DROP"),AR32+TbTradesBinance[[#This Row],[Qtt]],AR32-TbTradesBinance[[#This Row],[Qtt]]),IF(TbTradesBinance[[#This Row],[Tipo]]="BUY",AR32-TbTradesBinance[[#This Row],[Qtt]]*TbTradesBinance[[#This Row],[Preço]],AR32+TbTradesBinance[[#This Row],[Qtt]]*TbTradesBinance[[#This Row],[Preço]])),AR32)-IF(TbTradesBinance[[#This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Row],[Tipo]]="DROP"),AR32+TbTradesBinance[[#This Row],[Qtt]],AR32-TbTradesBinance[[#This Row],[Qtt]]),IF(TbTradesBinance[[#This Row],[Tipo]]="BUY",AR32-TbTradesBinance[[#This Row],[Qtt]]*TbTradesBinance[[#This Row],[Preço]],AR32+TbTradesBinance[[#This Row],[Qtt]]*TbTradesBinance[[#This Row],[Preço]])),AR32)-IF(TbTradesBinance[[#This Row],[Moeda da Taxa]]=MID(AR$1,9,5),TbTradesBinance[[#This Row],[Taxa]],0),8)))</f>
        <v>0</v>
      </c>
      <c r="AS33" s="145" cm="1">
        <f t="array" ref="AS33">IF(TbTradesBinance[[#This Row],[Tipo]]="EMPTY",0,AS32+IF(TbTradesBinance[[#This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Row],[Par]]))),$1:$1,0)),-(AR32-AR33)/AR32*AS32),0),0)+IF(TbTradesBinance[[#This Row],[Tipo]]="SELL",IF(ISNUMBER(FIND(MID(AS$1,10,5),TbTradesBinance[[#This Row],[Par]])),IF(FIND(MID(AS$1,10,5),TbTradesBinance[[#This Row],[Par]])=1, -(AR32-AR33)/AR32*AS32,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Row],[Par]])),(-(AR32-AR33)/AR32*AS32)+IF(TbTradesBinance[[#This Row],[Resultado]]&gt;0,0,TbTradesBinance[[#This Row],[Taxa]]),0),0))</f>
        <v>0</v>
      </c>
      <c r="AT33" s="145">
        <f t="shared" si="11"/>
        <v>0</v>
      </c>
      <c r="AU3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Row],[Tipo]]="DROP"),AU32+TbTradesBinance[[#This Row],[Qtt]],AU32-TbTradesBinance[[#This Row],[Qtt]]),IF(TbTradesBinance[[#This Row],[Tipo]]="BUY",AU32-TbTradesBinance[[#This Row],[Qtt]]*TbTradesBinance[[#This Row],[Preço]],AU32+TbTradesBinance[[#This Row],[Qtt]]*TbTradesBinance[[#This Row],[Preço]])),AU32)-IF(TbTradesBinance[[#This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Row],[Tipo]]="DROP"),AU32+TbTradesBinance[[#This Row],[Qtt]],AU32-TbTradesBinance[[#This Row],[Qtt]]),IF(TbTradesBinance[[#This Row],[Tipo]]="BUY",AU32-TbTradesBinance[[#This Row],[Qtt]]*TbTradesBinance[[#This Row],[Preço]],AU32+TbTradesBinance[[#This Row],[Qtt]]*TbTradesBinance[[#This Row],[Preço]])),AU32)-IF(TbTradesBinance[[#This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Row],[Tipo]]="DROP"),AU32+TbTradesBinance[[#This Row],[Qtt]],AU32-TbTradesBinance[[#This Row],[Qtt]]),IF(TbTradesBinance[[#This Row],[Tipo]]="BUY",AU32-TbTradesBinance[[#This Row],[Qtt]]*TbTradesBinance[[#This Row],[Preço]],AU32+TbTradesBinance[[#This Row],[Qtt]]*TbTradesBinance[[#This Row],[Preço]])),AU32)-IF(TbTradesBinance[[#This Row],[Moeda da Taxa]]=MID(AU$1,9,5),TbTradesBinance[[#This Row],[Taxa]],0),8)))</f>
        <v>9.9900000000000003E-2</v>
      </c>
      <c r="AV33" s="145" cm="1">
        <f t="array" ref="AV33">IF(TbTradesBinance[[#This Row],[Tipo]]="EMPTY",0,AV32+IF(TbTradesBinance[[#This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Row],[Par]]))),$1:$1,0)),-(AU32-AU33)/AU32*AV32),0),0)+IF(TbTradesBinance[[#This Row],[Tipo]]="SELL",IF(ISNUMBER(FIND(MID(AV$1,10,5),TbTradesBinance[[#This Row],[Par]])),IF(FIND(MID(AV$1,10,5),TbTradesBinance[[#This Row],[Par]])=1, -(AU32-AU33)/AU32*AV32,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Row],[Par]])),(-(AU32-AU33)/AU32*AV32)+IF(TbTradesBinance[[#This Row],[Resultado]]&gt;0,0,TbTradesBinance[[#This Row],[Taxa]]),0),0))</f>
        <v>18.673922987511034</v>
      </c>
      <c r="AW33" s="145">
        <f t="shared" si="12"/>
        <v>186.92615603114149</v>
      </c>
      <c r="AX3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Row],[Tipo]]="DROP"),AX32+TbTradesBinance[[#This Row],[Qtt]],AX32-TbTradesBinance[[#This Row],[Qtt]]),IF(TbTradesBinance[[#This Row],[Tipo]]="BUY",AX32-TbTradesBinance[[#This Row],[Qtt]]*TbTradesBinance[[#This Row],[Preço]],AX32+TbTradesBinance[[#This Row],[Qtt]]*TbTradesBinance[[#This Row],[Preço]])),AX32)-IF(TbTradesBinance[[#This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Row],[Tipo]]="DROP"),AX32+TbTradesBinance[[#This Row],[Qtt]],AX32-TbTradesBinance[[#This Row],[Qtt]]),IF(TbTradesBinance[[#This Row],[Tipo]]="BUY",AX32-TbTradesBinance[[#This Row],[Qtt]]*TbTradesBinance[[#This Row],[Preço]],AX32+TbTradesBinance[[#This Row],[Qtt]]*TbTradesBinance[[#This Row],[Preço]])),AX32)-IF(TbTradesBinance[[#This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Row],[Tipo]]="DROP"),AX32+TbTradesBinance[[#This Row],[Qtt]],AX32-TbTradesBinance[[#This Row],[Qtt]]),IF(TbTradesBinance[[#This Row],[Tipo]]="BUY",AX32-TbTradesBinance[[#This Row],[Qtt]]*TbTradesBinance[[#This Row],[Preço]],AX32+TbTradesBinance[[#This Row],[Qtt]]*TbTradesBinance[[#This Row],[Preço]])),AX32)-IF(TbTradesBinance[[#This Row],[Moeda da Taxa]]=MID(AX$1,9,5),TbTradesBinance[[#This Row],[Taxa]],0),8)))</f>
        <v>0</v>
      </c>
      <c r="AY33" s="145" cm="1">
        <f t="array" ref="AY33">IF(TbTradesBinance[[#This Row],[Tipo]]="EMPTY",0,AY32+IF(TbTradesBinance[[#This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Row],[Par]]))),$1:$1,0)),-(AX32-AX33)/AX32*AY32),0),0)+IF(TbTradesBinance[[#This Row],[Tipo]]="SELL",IF(ISNUMBER(FIND(MID(AY$1,10,5),TbTradesBinance[[#This Row],[Par]])),IF(FIND(MID(AY$1,10,5),TbTradesBinance[[#This Row],[Par]])=1, -(AX32-AX33)/AX32*AY32,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Row],[Par]])),(-(AX32-AX33)/AX32*AY32)+IF(TbTradesBinance[[#This Row],[Resultado]]&gt;0,0,TbTradesBinance[[#This Row],[Taxa]]),0),0))</f>
        <v>0</v>
      </c>
      <c r="AZ33" s="145">
        <f t="shared" si="13"/>
        <v>0</v>
      </c>
      <c r="BA3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Row],[Tipo]]="DROP"),BA32+TbTradesBinance[[#This Row],[Qtt]],BA32-TbTradesBinance[[#This Row],[Qtt]]),IF(TbTradesBinance[[#This Row],[Tipo]]="BUY",BA32-TbTradesBinance[[#This Row],[Qtt]]*TbTradesBinance[[#This Row],[Preço]],BA32+TbTradesBinance[[#This Row],[Qtt]]*TbTradesBinance[[#This Row],[Preço]])),BA32)-IF(TbTradesBinance[[#This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Row],[Tipo]]="DROP"),BA32+TbTradesBinance[[#This Row],[Qtt]],BA32-TbTradesBinance[[#This Row],[Qtt]]),IF(TbTradesBinance[[#This Row],[Tipo]]="BUY",BA32-TbTradesBinance[[#This Row],[Qtt]]*TbTradesBinance[[#This Row],[Preço]],BA32+TbTradesBinance[[#This Row],[Qtt]]*TbTradesBinance[[#This Row],[Preço]])),BA32)-IF(TbTradesBinance[[#This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Row],[Tipo]]="DROP"),BA32+TbTradesBinance[[#This Row],[Qtt]],BA32-TbTradesBinance[[#This Row],[Qtt]]),IF(TbTradesBinance[[#This Row],[Tipo]]="BUY",BA32-TbTradesBinance[[#This Row],[Qtt]]*TbTradesBinance[[#This Row],[Preço]],BA32+TbTradesBinance[[#This Row],[Qtt]]*TbTradesBinance[[#This Row],[Preço]])),BA32)-IF(TbTradesBinance[[#This Row],[Moeda da Taxa]]=MID(BA$1,9,5),TbTradesBinance[[#This Row],[Taxa]],0),8)))</f>
        <v>0</v>
      </c>
      <c r="BB33" s="145" cm="1">
        <f t="array" ref="BB33">IF(TbTradesBinance[[#This Row],[Tipo]]="EMPTY",0,BB32+IF(TbTradesBinance[[#This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Row],[Par]]))),$1:$1,0)),-(BA32-BA33)/BA32*BB32),0),0)+IF(TbTradesBinance[[#This Row],[Tipo]]="SELL",IF(ISNUMBER(FIND(MID(BB$1,10,5),TbTradesBinance[[#This Row],[Par]])),IF(FIND(MID(BB$1,10,5),TbTradesBinance[[#This Row],[Par]])=1, -(BA32-BA33)/BA32*BB32,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Row],[Par]])),(-(BA32-BA33)/BA32*BB32)+IF(TbTradesBinance[[#This Row],[Resultado]]&gt;0,0,TbTradesBinance[[#This Row],[Taxa]]),0),0))</f>
        <v>0</v>
      </c>
      <c r="BC33" s="145">
        <f t="shared" si="14"/>
        <v>0</v>
      </c>
      <c r="BD3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Row],[Tipo]]="DROP"),BD32+TbTradesBinance[[#This Row],[Qtt]],BD32-TbTradesBinance[[#This Row],[Qtt]]),IF(TbTradesBinance[[#This Row],[Tipo]]="BUY",BD32-TbTradesBinance[[#This Row],[Qtt]]*TbTradesBinance[[#This Row],[Preço]],BD32+TbTradesBinance[[#This Row],[Qtt]]*TbTradesBinance[[#This Row],[Preço]])),BD32)-IF(TbTradesBinance[[#This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Row],[Tipo]]="DROP"),BD32+TbTradesBinance[[#This Row],[Qtt]],BD32-TbTradesBinance[[#This Row],[Qtt]]),IF(TbTradesBinance[[#This Row],[Tipo]]="BUY",BD32-TbTradesBinance[[#This Row],[Qtt]]*TbTradesBinance[[#This Row],[Preço]],BD32+TbTradesBinance[[#This Row],[Qtt]]*TbTradesBinance[[#This Row],[Preço]])),BD32)-IF(TbTradesBinance[[#This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Row],[Tipo]]="DROP"),BD32+TbTradesBinance[[#This Row],[Qtt]],BD32-TbTradesBinance[[#This Row],[Qtt]]),IF(TbTradesBinance[[#This Row],[Tipo]]="BUY",BD32-TbTradesBinance[[#This Row],[Qtt]]*TbTradesBinance[[#This Row],[Preço]],BD32+TbTradesBinance[[#This Row],[Qtt]]*TbTradesBinance[[#This Row],[Preço]])),BD32)-IF(TbTradesBinance[[#This Row],[Moeda da Taxa]]=MID(BD$1,9,5),TbTradesBinance[[#This Row],[Taxa]],0),8)))</f>
        <v>0.37962000000000001</v>
      </c>
      <c r="BE33" s="145" cm="1">
        <f t="array" ref="BE33">IF(TbTradesBinance[[#This Row],[Tipo]]="EMPTY",0,BE32+IF(TbTradesBinance[[#This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Row],[Par]]))),$1:$1,0)),-(BD32-BD33)/BD32*BE32),0),0)+IF(TbTradesBinance[[#This Row],[Tipo]]="SELL",IF(ISNUMBER(FIND(MID(BE$1,10,5),TbTradesBinance[[#This Row],[Par]])),IF(FIND(MID(BE$1,10,5),TbTradesBinance[[#This Row],[Par]])=1, -(BD32-BD33)/BD32*BE32,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Row],[Par]])),(-(BD32-BD33)/BD32*BE32)+IF(TbTradesBinance[[#This Row],[Resultado]]&gt;0,0,TbTradesBinance[[#This Row],[Taxa]]),0),0))</f>
        <v>63.647297001537943</v>
      </c>
      <c r="BF33" s="145">
        <f t="shared" si="15"/>
        <v>167.66054739354601</v>
      </c>
      <c r="BG3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Row],[Tipo]]="DROP"),BG32+TbTradesBinance[[#This Row],[Qtt]],BG32-TbTradesBinance[[#This Row],[Qtt]]),IF(TbTradesBinance[[#This Row],[Tipo]]="BUY",BG32-TbTradesBinance[[#This Row],[Qtt]]*TbTradesBinance[[#This Row],[Preço]],BG32+TbTradesBinance[[#This Row],[Qtt]]*TbTradesBinance[[#This Row],[Preço]])),BG32)-IF(TbTradesBinance[[#This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Row],[Tipo]]="DROP"),BG32+TbTradesBinance[[#This Row],[Qtt]],BG32-TbTradesBinance[[#This Row],[Qtt]]),IF(TbTradesBinance[[#This Row],[Tipo]]="BUY",BG32-TbTradesBinance[[#This Row],[Qtt]]*TbTradesBinance[[#This Row],[Preço]],BG32+TbTradesBinance[[#This Row],[Qtt]]*TbTradesBinance[[#This Row],[Preço]])),BG32)-IF(TbTradesBinance[[#This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Row],[Tipo]]="DROP"),BG32+TbTradesBinance[[#This Row],[Qtt]],BG32-TbTradesBinance[[#This Row],[Qtt]]),IF(TbTradesBinance[[#This Row],[Tipo]]="BUY",BG32-TbTradesBinance[[#This Row],[Qtt]]*TbTradesBinance[[#This Row],[Preço]],BG32+TbTradesBinance[[#This Row],[Qtt]]*TbTradesBinance[[#This Row],[Preço]])),BG32)-IF(TbTradesBinance[[#This Row],[Moeda da Taxa]]=MID(BG$1,9,5),TbTradesBinance[[#This Row],[Taxa]],0),8)))</f>
        <v>0</v>
      </c>
      <c r="BH33" s="145" cm="1">
        <f t="array" ref="BH33">IF(TbTradesBinance[[#This Row],[Tipo]]="EMPTY",0,BH32+IF(TbTradesBinance[[#This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Row],[Par]]))),$1:$1,0)),-(BG32-BG33)/BG32*BH32),0),0)+IF(TbTradesBinance[[#This Row],[Tipo]]="SELL",IF(ISNUMBER(FIND(MID(BH$1,10,5),TbTradesBinance[[#This Row],[Par]])),IF(FIND(MID(BH$1,10,5),TbTradesBinance[[#This Row],[Par]])=1, -(BG32-BG33)/BG32*BH32,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Row],[Par]])),(-(BG32-BG33)/BG32*BH32)+IF(TbTradesBinance[[#This Row],[Resultado]]&gt;0,0,TbTradesBinance[[#This Row],[Taxa]]),0),0))</f>
        <v>0</v>
      </c>
      <c r="BI33" s="145">
        <f t="shared" si="16"/>
        <v>0</v>
      </c>
      <c r="BJ3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Row],[Tipo]]="DROP"),BJ32+TbTradesBinance[[#This Row],[Qtt]],BJ32-TbTradesBinance[[#This Row],[Qtt]]),IF(TbTradesBinance[[#This Row],[Tipo]]="BUY",BJ32-TbTradesBinance[[#This Row],[Qtt]]*TbTradesBinance[[#This Row],[Preço]],BJ32+TbTradesBinance[[#This Row],[Qtt]]*TbTradesBinance[[#This Row],[Preço]])),BJ32)-IF(TbTradesBinance[[#This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Row],[Tipo]]="DROP"),BJ32+TbTradesBinance[[#This Row],[Qtt]],BJ32-TbTradesBinance[[#This Row],[Qtt]]),IF(TbTradesBinance[[#This Row],[Tipo]]="BUY",BJ32-TbTradesBinance[[#This Row],[Qtt]]*TbTradesBinance[[#This Row],[Preço]],BJ32+TbTradesBinance[[#This Row],[Qtt]]*TbTradesBinance[[#This Row],[Preço]])),BJ32)-IF(TbTradesBinance[[#This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Row],[Tipo]]="DROP"),BJ32+TbTradesBinance[[#This Row],[Qtt]],BJ32-TbTradesBinance[[#This Row],[Qtt]]),IF(TbTradesBinance[[#This Row],[Tipo]]="BUY",BJ32-TbTradesBinance[[#This Row],[Qtt]]*TbTradesBinance[[#This Row],[Preço]],BJ32+TbTradesBinance[[#This Row],[Qtt]]*TbTradesBinance[[#This Row],[Preço]])),BJ32)-IF(TbTradesBinance[[#This Row],[Moeda da Taxa]]=MID(BJ$1,9,5),TbTradesBinance[[#This Row],[Taxa]],0),8)))</f>
        <v>0</v>
      </c>
      <c r="BK33" s="145" cm="1">
        <f t="array" ref="BK33">IF(TbTradesBinance[[#This Row],[Tipo]]="EMPTY",0,BK32+IF(TbTradesBinance[[#This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Row],[Par]]))),$1:$1,0)),-(BJ32-BJ33)/BJ32*BK32),0),0)+IF(TbTradesBinance[[#This Row],[Tipo]]="SELL",IF(ISNUMBER(FIND(MID(BK$1,10,5),TbTradesBinance[[#This Row],[Par]])),IF(FIND(MID(BK$1,10,5),TbTradesBinance[[#This Row],[Par]])=1, -(BJ32-BJ33)/BJ32*BK32,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Row],[Par]])),(-(BJ32-BJ33)/BJ32*BK32)+IF(TbTradesBinance[[#This Row],[Resultado]]&gt;0,0,TbTradesBinance[[#This Row],[Taxa]]),0),0))</f>
        <v>0</v>
      </c>
      <c r="BL33" s="145">
        <f t="shared" si="17"/>
        <v>0</v>
      </c>
      <c r="BM3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Row],[Tipo]]="DROP"),BM32+TbTradesBinance[[#This Row],[Qtt]],BM32-TbTradesBinance[[#This Row],[Qtt]]),IF(TbTradesBinance[[#This Row],[Tipo]]="BUY",BM32-TbTradesBinance[[#This Row],[Qtt]]*TbTradesBinance[[#This Row],[Preço]],BM32+TbTradesBinance[[#This Row],[Qtt]]*TbTradesBinance[[#This Row],[Preço]])),BM32)-IF(TbTradesBinance[[#This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Row],[Tipo]]="DROP"),BM32+TbTradesBinance[[#This Row],[Qtt]],BM32-TbTradesBinance[[#This Row],[Qtt]]),IF(TbTradesBinance[[#This Row],[Tipo]]="BUY",BM32-TbTradesBinance[[#This Row],[Qtt]]*TbTradesBinance[[#This Row],[Preço]],BM32+TbTradesBinance[[#This Row],[Qtt]]*TbTradesBinance[[#This Row],[Preço]])),BM32)-IF(TbTradesBinance[[#This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Row],[Tipo]]="DROP"),BM32+TbTradesBinance[[#This Row],[Qtt]],BM32-TbTradesBinance[[#This Row],[Qtt]]),IF(TbTradesBinance[[#This Row],[Tipo]]="BUY",BM32-TbTradesBinance[[#This Row],[Qtt]]*TbTradesBinance[[#This Row],[Preço]],BM32+TbTradesBinance[[#This Row],[Qtt]]*TbTradesBinance[[#This Row],[Preço]])),BM32)-IF(TbTradesBinance[[#This Row],[Moeda da Taxa]]=MID(BM$1,9,5),TbTradesBinance[[#This Row],[Taxa]],0),8)))</f>
        <v>0</v>
      </c>
      <c r="BN33" s="145" cm="1">
        <f t="array" ref="BN33">IF(TbTradesBinance[[#This Row],[Tipo]]="EMPTY",0,BN32+IF(TbTradesBinance[[#This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Row],[Par]]))),$1:$1,0)),-(BM32-BM33)/BM32*BN32),0),0)+IF(TbTradesBinance[[#This Row],[Tipo]]="SELL",IF(ISNUMBER(FIND(MID(BN$1,10,5),TbTradesBinance[[#This Row],[Par]])),IF(FIND(MID(BN$1,10,5),TbTradesBinance[[#This Row],[Par]])=1, -(BM32-BM33)/BM32*BN32,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Row],[Par]])),(-(BM32-BM33)/BM32*BN32)+IF(TbTradesBinance[[#This Row],[Resultado]]&gt;0,0,TbTradesBinance[[#This Row],[Taxa]]),0),0))</f>
        <v>0</v>
      </c>
      <c r="BO33" s="145">
        <f t="shared" si="18"/>
        <v>0</v>
      </c>
    </row>
    <row r="34" spans="2:67" x14ac:dyDescent="0.3">
      <c r="B34" s="51"/>
      <c r="C34" s="40">
        <f>TRUNC(IF(AND(TbTradesBinance[[#This Row],[Tipo]]="SEND",TbTradesBinance[[#This Row],[Par]]="BRL"),TbTradesBinance[[#This Row],[Qtt]]*(1-P32)-IF(TbTradesBinance[[#This Row],[Moeda da Taxa]]="BRL",TbTradesBinance[[#This Row],[Taxa]],0),0)+IF(AND(TbTradesBinance[[#This Row],[Tipo]]="BURN",TbTradesBinance[[#This Row],[Par]]="BRL"),-TbTradesBinance[[#This Row],[Qtt]]*P32,0),2)</f>
        <v>0</v>
      </c>
      <c r="D34" s="53">
        <v>44257.126018518517</v>
      </c>
      <c r="E34" s="37" t="s">
        <v>138</v>
      </c>
      <c r="F34" s="47" t="s">
        <v>139</v>
      </c>
      <c r="G34" s="38">
        <v>276000</v>
      </c>
      <c r="H34" s="38">
        <v>5.8999999999999998E-5</v>
      </c>
      <c r="I34" s="38">
        <v>0</v>
      </c>
      <c r="J34" s="37" t="s">
        <v>6</v>
      </c>
      <c r="K34" s="52">
        <v>1</v>
      </c>
      <c r="L34" s="40">
        <f t="shared" si="0"/>
        <v>276000</v>
      </c>
      <c r="M34" s="40">
        <f>IF(OR(TbTradesBinance[[#This Row],[Tipo]]="BUY",TbTradesBinance[[#This Row],[Tipo]]="RECEIVE",TbTradesBinance[[#This Row],[Tipo]]="DROP"),L34*H34,-L34*H34)</f>
        <v>16.283999999999999</v>
      </c>
      <c r="N3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Row],[Tipo]]="DROP"),N33+TbTradesBinance[[#This Row],[Qtt]],N33-TbTradesBinance[[#This Row],[Qtt]]),IF(TbTradesBinance[[#This Row],[Tipo]]="BUY",N33-TbTradesBinance[[#This Row],[Qtt]]*TbTradesBinance[[#This Row],[Preço]],N33+TbTradesBinance[[#This Row],[Qtt]]*TbTradesBinance[[#This Row],[Preço]])),N33)-IF(TbTradesBinance[[#This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Row],[Tipo]]="DROP"),N33+TbTradesBinance[[#This Row],[Qtt]],N33-TbTradesBinance[[#This Row],[Qtt]]),IF(TbTradesBinance[[#This Row],[Tipo]]="BUY",N33-TbTradesBinance[[#This Row],[Qtt]]*TbTradesBinance[[#This Row],[Preço]],N33+TbTradesBinance[[#This Row],[Qtt]]*TbTradesBinance[[#This Row],[Preço]])),N33)-IF(TbTradesBinance[[#This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Row],[Tipo]]="DROP"),N33+TbTradesBinance[[#This Row],[Qtt]],N33-TbTradesBinance[[#This Row],[Qtt]]),IF(TbTradesBinance[[#This Row],[Tipo]]="BUY",N33-TbTradesBinance[[#This Row],[Qtt]]*TbTradesBinance[[#This Row],[Preço]],N33+TbTradesBinance[[#This Row],[Qtt]]*TbTradesBinance[[#This Row],[Preço]])),N33)-IF(TbTradesBinance[[#This Row],[Moeda da Taxa]]=MID(N$1,9,5),TbTradesBinance[[#This Row],[Taxa]],0),8)))</f>
        <v>119745.56018689</v>
      </c>
      <c r="O34" s="145" cm="1">
        <f t="array" ref="O34">IF(TbTradesBinance[[#This Row],[Tipo]]="EMPTY",0,O33+IF(TbTradesBinance[[#This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Row],[Par]]))),$1:$1,0)),-(N33-N34)/N33*O33),0),0)+IF(TbTradesBinance[[#This Row],[Tipo]]="SELL",IF(ISNUMBER(FIND(MID(O$1,10,5),TbTradesBinance[[#This Row],[Par]])),IF(FIND(MID(O$1,10,5),TbTradesBinance[[#This Row],[Par]])=1, -(N33-N34)/N33*O33,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Row],[Par]])),(-(N33-N34)/N33*O33)+IF(TbTradesBinance[[#This Row],[Resultado]]&gt;0,0,TbTradesBinance[[#This Row],[Taxa]]),0),0))</f>
        <v>119697.34543442423</v>
      </c>
      <c r="P34" s="145">
        <f t="shared" si="1"/>
        <v>0.99959735665864757</v>
      </c>
      <c r="Q3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Row],[Tipo]]="DROP"),Q33+TbTradesBinance[[#This Row],[Qtt]],Q33-TbTradesBinance[[#This Row],[Qtt]]),IF(TbTradesBinance[[#This Row],[Tipo]]="BUY",Q33-TbTradesBinance[[#This Row],[Qtt]]*TbTradesBinance[[#This Row],[Preço]],Q33+TbTradesBinance[[#This Row],[Qtt]]*TbTradesBinance[[#This Row],[Preço]])),Q33)-IF(TbTradesBinance[[#This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Row],[Tipo]]="DROP"),Q33+TbTradesBinance[[#This Row],[Qtt]],Q33-TbTradesBinance[[#This Row],[Qtt]]),IF(TbTradesBinance[[#This Row],[Tipo]]="BUY",Q33-TbTradesBinance[[#This Row],[Qtt]]*TbTradesBinance[[#This Row],[Preço]],Q33+TbTradesBinance[[#This Row],[Qtt]]*TbTradesBinance[[#This Row],[Preço]])),Q33)-IF(TbTradesBinance[[#This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Row],[Tipo]]="DROP"),Q33+TbTradesBinance[[#This Row],[Qtt]],Q33-TbTradesBinance[[#This Row],[Qtt]]),IF(TbTradesBinance[[#This Row],[Tipo]]="BUY",Q33-TbTradesBinance[[#This Row],[Qtt]]*TbTradesBinance[[#This Row],[Preço]],Q33+TbTradesBinance[[#This Row],[Qtt]]*TbTradesBinance[[#This Row],[Preço]])),Q33)-IF(TbTradesBinance[[#This Row],[Moeda da Taxa]]=MID(Q$1,9,5),TbTradesBinance[[#This Row],[Taxa]],0),8)))</f>
        <v>0.27732999000000003</v>
      </c>
      <c r="R34" s="145" cm="1">
        <f t="array" ref="R34">IF(TbTradesBinance[[#This Row],[Tipo]]="EMPTY",0,R33+IF(TbTradesBinance[[#This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Row],[Par]]))),$1:$1,0)),-(Q33-Q34)/Q33*R33),0),0)+IF(TbTradesBinance[[#This Row],[Tipo]]="SELL",IF(ISNUMBER(FIND(MID(R$1,10,5),TbTradesBinance[[#This Row],[Par]])),IF(FIND(MID(R$1,10,5),TbTradesBinance[[#This Row],[Par]])=1, -(Q33-Q34)/Q33*R33,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Row],[Par]])),(-(Q33-Q34)/Q33*R33)+IF(TbTradesBinance[[#This Row],[Resultado]]&gt;0,0,TbTradesBinance[[#This Row],[Taxa]]),0),0))</f>
        <v>1.5509449279899954</v>
      </c>
      <c r="S34" s="145">
        <f t="shared" si="2"/>
        <v>5.592416918163071</v>
      </c>
      <c r="T3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Row],[Tipo]]="DROP"),T33+TbTradesBinance[[#This Row],[Qtt]],T33-TbTradesBinance[[#This Row],[Qtt]]),IF(TbTradesBinance[[#This Row],[Tipo]]="BUY",T33-TbTradesBinance[[#This Row],[Qtt]]*TbTradesBinance[[#This Row],[Preço]],T33+TbTradesBinance[[#This Row],[Qtt]]*TbTradesBinance[[#This Row],[Preço]])),T33)-IF(TbTradesBinance[[#This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Row],[Tipo]]="DROP"),T33+TbTradesBinance[[#This Row],[Qtt]],T33-TbTradesBinance[[#This Row],[Qtt]]),IF(TbTradesBinance[[#This Row],[Tipo]]="BUY",T33-TbTradesBinance[[#This Row],[Qtt]]*TbTradesBinance[[#This Row],[Preço]],T33+TbTradesBinance[[#This Row],[Qtt]]*TbTradesBinance[[#This Row],[Preço]])),T33)-IF(TbTradesBinance[[#This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Row],[Tipo]]="DROP"),T33+TbTradesBinance[[#This Row],[Qtt]],T33-TbTradesBinance[[#This Row],[Qtt]]),IF(TbTradesBinance[[#This Row],[Tipo]]="BUY",T33-TbTradesBinance[[#This Row],[Qtt]]*TbTradesBinance[[#This Row],[Preço]],T33+TbTradesBinance[[#This Row],[Qtt]]*TbTradesBinance[[#This Row],[Preço]])),T33)-IF(TbTradesBinance[[#This Row],[Moeda da Taxa]]=MID(T$1,9,5),TbTradesBinance[[#This Row],[Taxa]],0),8)))</f>
        <v>2.867312E-2</v>
      </c>
      <c r="U34" s="145" cm="1">
        <f t="array" ref="U34">IF(TbTradesBinance[[#This Row],[Tipo]]="EMPTY",0,U33+IF(TbTradesBinance[[#This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Row],[Par]]))),$1:$1,0)),-(T33-T34)/T33*U33),0),0)+IF(TbTradesBinance[[#This Row],[Tipo]]="SELL",IF(ISNUMBER(FIND(MID(U$1,10,5),TbTradesBinance[[#This Row],[Par]])),IF(FIND(MID(U$1,10,5),TbTradesBinance[[#This Row],[Par]])=1, -(T33-T34)/T33*U33,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Row],[Par]])),(-(T33-T34)/T33*U33)+IF(TbTradesBinance[[#This Row],[Resultado]]&gt;0,0,TbTradesBinance[[#This Row],[Taxa]]),0),0))</f>
        <v>0.19365209596473676</v>
      </c>
      <c r="V34" s="145">
        <f t="shared" si="3"/>
        <v>6.7537852861752317</v>
      </c>
      <c r="W3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Row],[Tipo]]="DROP"),W33+TbTradesBinance[[#This Row],[Qtt]],W33-TbTradesBinance[[#This Row],[Qtt]]),IF(TbTradesBinance[[#This Row],[Tipo]]="BUY",W33-TbTradesBinance[[#This Row],[Qtt]]*TbTradesBinance[[#This Row],[Preço]],W33+TbTradesBinance[[#This Row],[Qtt]]*TbTradesBinance[[#This Row],[Preço]])),W33)-IF(TbTradesBinance[[#This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Row],[Tipo]]="DROP"),W33+TbTradesBinance[[#This Row],[Qtt]],W33-TbTradesBinance[[#This Row],[Qtt]]),IF(TbTradesBinance[[#This Row],[Tipo]]="BUY",W33-TbTradesBinance[[#This Row],[Qtt]]*TbTradesBinance[[#This Row],[Preço]],W33+TbTradesBinance[[#This Row],[Qtt]]*TbTradesBinance[[#This Row],[Preço]])),W33)-IF(TbTradesBinance[[#This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Row],[Tipo]]="DROP"),W33+TbTradesBinance[[#This Row],[Qtt]],W33-TbTradesBinance[[#This Row],[Qtt]]),IF(TbTradesBinance[[#This Row],[Tipo]]="BUY",W33-TbTradesBinance[[#This Row],[Qtt]]*TbTradesBinance[[#This Row],[Preço]],W33+TbTradesBinance[[#This Row],[Qtt]]*TbTradesBinance[[#This Row],[Preço]])),W33)-IF(TbTradesBinance[[#This Row],[Moeda da Taxa]]=MID(W$1,9,5),TbTradesBinance[[#This Row],[Taxa]],0),8)))</f>
        <v>8.1057000000000004E-4</v>
      </c>
      <c r="X34" s="145" cm="1">
        <f t="array" ref="X34">IF(TbTradesBinance[[#This Row],[Tipo]]="EMPTY",0,X33+IF(TbTradesBinance[[#This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Row],[Par]]))),$1:$1,0)),-(W33-W34)/W33*X33),0),0)+IF(TbTradesBinance[[#This Row],[Tipo]]="SELL",IF(ISNUMBER(FIND(MID(X$1,10,5),TbTradesBinance[[#This Row],[Par]])),IF(FIND(MID(X$1,10,5),TbTradesBinance[[#This Row],[Par]])=1, -(W33-W34)/W33*X33,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Row],[Par]])),(-(W33-W34)/W33*X33)+IF(TbTradesBinance[[#This Row],[Resultado]]&gt;0,0,TbTradesBinance[[#This Row],[Taxa]]),0),0))</f>
        <v>218.58874856275744</v>
      </c>
      <c r="Y34" s="145">
        <f t="shared" si="4"/>
        <v>269672.88274024136</v>
      </c>
      <c r="Z3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Row],[Tipo]]="DROP"),Z33+TbTradesBinance[[#This Row],[Qtt]],Z33-TbTradesBinance[[#This Row],[Qtt]]),IF(TbTradesBinance[[#This Row],[Tipo]]="BUY",Z33-TbTradesBinance[[#This Row],[Qtt]]*TbTradesBinance[[#This Row],[Preço]],Z33+TbTradesBinance[[#This Row],[Qtt]]*TbTradesBinance[[#This Row],[Preço]])),Z33)-IF(TbTradesBinance[[#This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Row],[Tipo]]="DROP"),Z33+TbTradesBinance[[#This Row],[Qtt]],Z33-TbTradesBinance[[#This Row],[Qtt]]),IF(TbTradesBinance[[#This Row],[Tipo]]="BUY",Z33-TbTradesBinance[[#This Row],[Qtt]]*TbTradesBinance[[#This Row],[Preço]],Z33+TbTradesBinance[[#This Row],[Qtt]]*TbTradesBinance[[#This Row],[Preço]])),Z33)-IF(TbTradesBinance[[#This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Row],[Tipo]]="DROP"),Z33+TbTradesBinance[[#This Row],[Qtt]],Z33-TbTradesBinance[[#This Row],[Qtt]]),IF(TbTradesBinance[[#This Row],[Tipo]]="BUY",Z33-TbTradesBinance[[#This Row],[Qtt]]*TbTradesBinance[[#This Row],[Preço]],Z33+TbTradesBinance[[#This Row],[Qtt]]*TbTradesBinance[[#This Row],[Preço]])),Z33)-IF(TbTradesBinance[[#This Row],[Moeda da Taxa]]=MID(Z$1,9,5),TbTradesBinance[[#This Row],[Taxa]],0),8)))</f>
        <v>0</v>
      </c>
      <c r="AA34" s="145" cm="1">
        <f t="array" ref="AA34">IF(TbTradesBinance[[#This Row],[Tipo]]="EMPTY",0,AA33+IF(TbTradesBinance[[#This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Row],[Par]]))),$1:$1,0)),-(Z33-Z34)/Z33*AA33),0),0)+IF(TbTradesBinance[[#This Row],[Tipo]]="SELL",IF(ISNUMBER(FIND(MID(AA$1,10,5),TbTradesBinance[[#This Row],[Par]])),IF(FIND(MID(AA$1,10,5),TbTradesBinance[[#This Row],[Par]])=1, -(Z33-Z34)/Z33*AA33,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Row],[Par]])),(-(Z33-Z34)/Z33*AA33)+IF(TbTradesBinance[[#This Row],[Resultado]]&gt;0,0,TbTradesBinance[[#This Row],[Taxa]]),0),0))</f>
        <v>0</v>
      </c>
      <c r="AB34" s="145">
        <f t="shared" si="5"/>
        <v>0</v>
      </c>
      <c r="AC3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Row],[Tipo]]="DROP"),AC33+TbTradesBinance[[#This Row],[Qtt]],AC33-TbTradesBinance[[#This Row],[Qtt]]),IF(TbTradesBinance[[#This Row],[Tipo]]="BUY",AC33-TbTradesBinance[[#This Row],[Qtt]]*TbTradesBinance[[#This Row],[Preço]],AC33+TbTradesBinance[[#This Row],[Qtt]]*TbTradesBinance[[#This Row],[Preço]])),AC33)-IF(TbTradesBinance[[#This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Row],[Tipo]]="DROP"),AC33+TbTradesBinance[[#This Row],[Qtt]],AC33-TbTradesBinance[[#This Row],[Qtt]]),IF(TbTradesBinance[[#This Row],[Tipo]]="BUY",AC33-TbTradesBinance[[#This Row],[Qtt]]*TbTradesBinance[[#This Row],[Preço]],AC33+TbTradesBinance[[#This Row],[Qtt]]*TbTradesBinance[[#This Row],[Preço]])),AC33)-IF(TbTradesBinance[[#This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Row],[Tipo]]="DROP"),AC33+TbTradesBinance[[#This Row],[Qtt]],AC33-TbTradesBinance[[#This Row],[Qtt]]),IF(TbTradesBinance[[#This Row],[Tipo]]="BUY",AC33-TbTradesBinance[[#This Row],[Qtt]]*TbTradesBinance[[#This Row],[Preço]],AC33+TbTradesBinance[[#This Row],[Qtt]]*TbTradesBinance[[#This Row],[Preço]])),AC33)-IF(TbTradesBinance[[#This Row],[Moeda da Taxa]]=MID(AC$1,9,5),TbTradesBinance[[#This Row],[Taxa]],0),8)))</f>
        <v>0</v>
      </c>
      <c r="AD34" s="145" cm="1">
        <f t="array" ref="AD34">IF(TbTradesBinance[[#This Row],[Tipo]]="EMPTY",0,AD33+IF(TbTradesBinance[[#This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Row],[Par]]))),$1:$1,0)),-(AC33-AC34)/AC33*AD33),0),0)+IF(TbTradesBinance[[#This Row],[Tipo]]="SELL",IF(ISNUMBER(FIND(MID(AD$1,10,5),TbTradesBinance[[#This Row],[Par]])),IF(FIND(MID(AD$1,10,5),TbTradesBinance[[#This Row],[Par]])=1, -(AC33-AC34)/AC33*AD33,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Row],[Par]])),(-(AC33-AC34)/AC33*AD33)+IF(TbTradesBinance[[#This Row],[Resultado]]&gt;0,0,TbTradesBinance[[#This Row],[Taxa]]),0),0))</f>
        <v>0</v>
      </c>
      <c r="AE34" s="145">
        <f t="shared" si="6"/>
        <v>0</v>
      </c>
      <c r="AF3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Row],[Tipo]]="DROP"),AF33+TbTradesBinance[[#This Row],[Qtt]],AF33-TbTradesBinance[[#This Row],[Qtt]]),IF(TbTradesBinance[[#This Row],[Tipo]]="BUY",AF33-TbTradesBinance[[#This Row],[Qtt]]*TbTradesBinance[[#This Row],[Preço]],AF33+TbTradesBinance[[#This Row],[Qtt]]*TbTradesBinance[[#This Row],[Preço]])),AF33)-IF(TbTradesBinance[[#This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Row],[Tipo]]="DROP"),AF33+TbTradesBinance[[#This Row],[Qtt]],AF33-TbTradesBinance[[#This Row],[Qtt]]),IF(TbTradesBinance[[#This Row],[Tipo]]="BUY",AF33-TbTradesBinance[[#This Row],[Qtt]]*TbTradesBinance[[#This Row],[Preço]],AF33+TbTradesBinance[[#This Row],[Qtt]]*TbTradesBinance[[#This Row],[Preço]])),AF33)-IF(TbTradesBinance[[#This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Row],[Tipo]]="DROP"),AF33+TbTradesBinance[[#This Row],[Qtt]],AF33-TbTradesBinance[[#This Row],[Qtt]]),IF(TbTradesBinance[[#This Row],[Tipo]]="BUY",AF33-TbTradesBinance[[#This Row],[Qtt]]*TbTradesBinance[[#This Row],[Preço]],AF33+TbTradesBinance[[#This Row],[Qtt]]*TbTradesBinance[[#This Row],[Preço]])),AF33)-IF(TbTradesBinance[[#This Row],[Moeda da Taxa]]=MID(AF$1,9,5),TbTradesBinance[[#This Row],[Taxa]],0),8)))</f>
        <v>0</v>
      </c>
      <c r="AG34" s="145" cm="1">
        <f t="array" ref="AG34">IF(TbTradesBinance[[#This Row],[Tipo]]="EMPTY",0,AG33+IF(TbTradesBinance[[#This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Row],[Par]]))),$1:$1,0)),-(AF33-AF34)/AF33*AG33),0),0)+IF(TbTradesBinance[[#This Row],[Tipo]]="SELL",IF(ISNUMBER(FIND(MID(AG$1,10,5),TbTradesBinance[[#This Row],[Par]])),IF(FIND(MID(AG$1,10,5),TbTradesBinance[[#This Row],[Par]])=1, -(AF33-AF34)/AF33*AG33,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Row],[Par]])),(-(AF33-AF34)/AF33*AG33)+IF(TbTradesBinance[[#This Row],[Resultado]]&gt;0,0,TbTradesBinance[[#This Row],[Taxa]]),0),0))</f>
        <v>0</v>
      </c>
      <c r="AH34" s="145">
        <f t="shared" si="7"/>
        <v>0</v>
      </c>
      <c r="AI3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Row],[Tipo]]="DROP"),AI33+TbTradesBinance[[#This Row],[Qtt]],AI33-TbTradesBinance[[#This Row],[Qtt]]),IF(TbTradesBinance[[#This Row],[Tipo]]="BUY",AI33-TbTradesBinance[[#This Row],[Qtt]]*TbTradesBinance[[#This Row],[Preço]],AI33+TbTradesBinance[[#This Row],[Qtt]]*TbTradesBinance[[#This Row],[Preço]])),AI33)-IF(TbTradesBinance[[#This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Row],[Tipo]]="DROP"),AI33+TbTradesBinance[[#This Row],[Qtt]],AI33-TbTradesBinance[[#This Row],[Qtt]]),IF(TbTradesBinance[[#This Row],[Tipo]]="BUY",AI33-TbTradesBinance[[#This Row],[Qtt]]*TbTradesBinance[[#This Row],[Preço]],AI33+TbTradesBinance[[#This Row],[Qtt]]*TbTradesBinance[[#This Row],[Preço]])),AI33)-IF(TbTradesBinance[[#This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Row],[Tipo]]="DROP"),AI33+TbTradesBinance[[#This Row],[Qtt]],AI33-TbTradesBinance[[#This Row],[Qtt]]),IF(TbTradesBinance[[#This Row],[Tipo]]="BUY",AI33-TbTradesBinance[[#This Row],[Qtt]]*TbTradesBinance[[#This Row],[Preço]],AI33+TbTradesBinance[[#This Row],[Qtt]]*TbTradesBinance[[#This Row],[Preço]])),AI33)-IF(TbTradesBinance[[#This Row],[Moeda da Taxa]]=MID(AI$1,9,5),TbTradesBinance[[#This Row],[Taxa]],0),8)))</f>
        <v>0</v>
      </c>
      <c r="AJ34" s="145" cm="1">
        <f t="array" ref="AJ34">IF(TbTradesBinance[[#This Row],[Tipo]]="EMPTY",0,AJ33+IF(TbTradesBinance[[#This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Row],[Par]]))),$1:$1,0)),-(AI33-AI34)/AI33*AJ33),0),0)+IF(TbTradesBinance[[#This Row],[Tipo]]="SELL",IF(ISNUMBER(FIND(MID(AJ$1,10,5),TbTradesBinance[[#This Row],[Par]])),IF(FIND(MID(AJ$1,10,5),TbTradesBinance[[#This Row],[Par]])=1, -(AI33-AI34)/AI33*AJ33,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Row],[Par]])),(-(AI33-AI34)/AI33*AJ33)+IF(TbTradesBinance[[#This Row],[Resultado]]&gt;0,0,TbTradesBinance[[#This Row],[Taxa]]),0),0))</f>
        <v>0</v>
      </c>
      <c r="AK34" s="145">
        <f t="shared" si="8"/>
        <v>0</v>
      </c>
      <c r="AL3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Row],[Tipo]]="DROP"),AL33+TbTradesBinance[[#This Row],[Qtt]],AL33-TbTradesBinance[[#This Row],[Qtt]]),IF(TbTradesBinance[[#This Row],[Tipo]]="BUY",AL33-TbTradesBinance[[#This Row],[Qtt]]*TbTradesBinance[[#This Row],[Preço]],AL33+TbTradesBinance[[#This Row],[Qtt]]*TbTradesBinance[[#This Row],[Preço]])),AL33)-IF(TbTradesBinance[[#This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Row],[Tipo]]="DROP"),AL33+TbTradesBinance[[#This Row],[Qtt]],AL33-TbTradesBinance[[#This Row],[Qtt]]),IF(TbTradesBinance[[#This Row],[Tipo]]="BUY",AL33-TbTradesBinance[[#This Row],[Qtt]]*TbTradesBinance[[#This Row],[Preço]],AL33+TbTradesBinance[[#This Row],[Qtt]]*TbTradesBinance[[#This Row],[Preço]])),AL33)-IF(TbTradesBinance[[#This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Row],[Tipo]]="DROP"),AL33+TbTradesBinance[[#This Row],[Qtt]],AL33-TbTradesBinance[[#This Row],[Qtt]]),IF(TbTradesBinance[[#This Row],[Tipo]]="BUY",AL33-TbTradesBinance[[#This Row],[Qtt]]*TbTradesBinance[[#This Row],[Preço]],AL33+TbTradesBinance[[#This Row],[Qtt]]*TbTradesBinance[[#This Row],[Preço]])),AL33)-IF(TbTradesBinance[[#This Row],[Moeda da Taxa]]=MID(AL$1,9,5),TbTradesBinance[[#This Row],[Taxa]],0),8)))</f>
        <v>0</v>
      </c>
      <c r="AM34" s="145" cm="1">
        <f t="array" ref="AM34">IF(TbTradesBinance[[#This Row],[Tipo]]="EMPTY",0,AM33+IF(TbTradesBinance[[#This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Row],[Par]]))),$1:$1,0)),-(AL33-AL34)/AL33*AM33),0),0)+IF(TbTradesBinance[[#This Row],[Tipo]]="SELL",IF(ISNUMBER(FIND(MID(AM$1,10,5),TbTradesBinance[[#This Row],[Par]])),IF(FIND(MID(AM$1,10,5),TbTradesBinance[[#This Row],[Par]])=1, -(AL33-AL34)/AL33*AM33,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Row],[Par]])),(-(AL33-AL34)/AL33*AM33)+IF(TbTradesBinance[[#This Row],[Resultado]]&gt;0,0,TbTradesBinance[[#This Row],[Taxa]]),0),0))</f>
        <v>0</v>
      </c>
      <c r="AN34" s="145">
        <f t="shared" si="9"/>
        <v>0</v>
      </c>
      <c r="AO3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Row],[Tipo]]="DROP"),AO33+TbTradesBinance[[#This Row],[Qtt]],AO33-TbTradesBinance[[#This Row],[Qtt]]),IF(TbTradesBinance[[#This Row],[Tipo]]="BUY",AO33-TbTradesBinance[[#This Row],[Qtt]]*TbTradesBinance[[#This Row],[Preço]],AO33+TbTradesBinance[[#This Row],[Qtt]]*TbTradesBinance[[#This Row],[Preço]])),AO33)-IF(TbTradesBinance[[#This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Row],[Tipo]]="DROP"),AO33+TbTradesBinance[[#This Row],[Qtt]],AO33-TbTradesBinance[[#This Row],[Qtt]]),IF(TbTradesBinance[[#This Row],[Tipo]]="BUY",AO33-TbTradesBinance[[#This Row],[Qtt]]*TbTradesBinance[[#This Row],[Preço]],AO33+TbTradesBinance[[#This Row],[Qtt]]*TbTradesBinance[[#This Row],[Preço]])),AO33)-IF(TbTradesBinance[[#This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Row],[Tipo]]="DROP"),AO33+TbTradesBinance[[#This Row],[Qtt]],AO33-TbTradesBinance[[#This Row],[Qtt]]),IF(TbTradesBinance[[#This Row],[Tipo]]="BUY",AO33-TbTradesBinance[[#This Row],[Qtt]]*TbTradesBinance[[#This Row],[Preço]],AO33+TbTradesBinance[[#This Row],[Qtt]]*TbTradesBinance[[#This Row],[Preço]])),AO33)-IF(TbTradesBinance[[#This Row],[Moeda da Taxa]]=MID(AO$1,9,5),TbTradesBinance[[#This Row],[Taxa]],0),8)))</f>
        <v>0</v>
      </c>
      <c r="AP34" s="145" cm="1">
        <f t="array" ref="AP34">IF(TbTradesBinance[[#This Row],[Tipo]]="EMPTY",0,AP33+IF(TbTradesBinance[[#This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Row],[Par]]))),$1:$1,0)),-(AO33-AO34)/AO33*AP33),0),0)+IF(TbTradesBinance[[#This Row],[Tipo]]="SELL",IF(ISNUMBER(FIND(MID(AP$1,10,5),TbTradesBinance[[#This Row],[Par]])),IF(FIND(MID(AP$1,10,5),TbTradesBinance[[#This Row],[Par]])=1, -(AO33-AO34)/AO33*AP33,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Row],[Par]])),(-(AO33-AO34)/AO33*AP33)+IF(TbTradesBinance[[#This Row],[Resultado]]&gt;0,0,TbTradesBinance[[#This Row],[Taxa]]),0),0))</f>
        <v>0</v>
      </c>
      <c r="AQ34" s="145">
        <f t="shared" si="10"/>
        <v>0</v>
      </c>
      <c r="AR3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Row],[Tipo]]="DROP"),AR33+TbTradesBinance[[#This Row],[Qtt]],AR33-TbTradesBinance[[#This Row],[Qtt]]),IF(TbTradesBinance[[#This Row],[Tipo]]="BUY",AR33-TbTradesBinance[[#This Row],[Qtt]]*TbTradesBinance[[#This Row],[Preço]],AR33+TbTradesBinance[[#This Row],[Qtt]]*TbTradesBinance[[#This Row],[Preço]])),AR33)-IF(TbTradesBinance[[#This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Row],[Tipo]]="DROP"),AR33+TbTradesBinance[[#This Row],[Qtt]],AR33-TbTradesBinance[[#This Row],[Qtt]]),IF(TbTradesBinance[[#This Row],[Tipo]]="BUY",AR33-TbTradesBinance[[#This Row],[Qtt]]*TbTradesBinance[[#This Row],[Preço]],AR33+TbTradesBinance[[#This Row],[Qtt]]*TbTradesBinance[[#This Row],[Preço]])),AR33)-IF(TbTradesBinance[[#This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Row],[Tipo]]="DROP"),AR33+TbTradesBinance[[#This Row],[Qtt]],AR33-TbTradesBinance[[#This Row],[Qtt]]),IF(TbTradesBinance[[#This Row],[Tipo]]="BUY",AR33-TbTradesBinance[[#This Row],[Qtt]]*TbTradesBinance[[#This Row],[Preço]],AR33+TbTradesBinance[[#This Row],[Qtt]]*TbTradesBinance[[#This Row],[Preço]])),AR33)-IF(TbTradesBinance[[#This Row],[Moeda da Taxa]]=MID(AR$1,9,5),TbTradesBinance[[#This Row],[Taxa]],0),8)))</f>
        <v>0</v>
      </c>
      <c r="AS34" s="145" cm="1">
        <f t="array" ref="AS34">IF(TbTradesBinance[[#This Row],[Tipo]]="EMPTY",0,AS33+IF(TbTradesBinance[[#This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Row],[Par]]))),$1:$1,0)),-(AR33-AR34)/AR33*AS33),0),0)+IF(TbTradesBinance[[#This Row],[Tipo]]="SELL",IF(ISNUMBER(FIND(MID(AS$1,10,5),TbTradesBinance[[#This Row],[Par]])),IF(FIND(MID(AS$1,10,5),TbTradesBinance[[#This Row],[Par]])=1, -(AR33-AR34)/AR33*AS33,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Row],[Par]])),(-(AR33-AR34)/AR33*AS33)+IF(TbTradesBinance[[#This Row],[Resultado]]&gt;0,0,TbTradesBinance[[#This Row],[Taxa]]),0),0))</f>
        <v>0</v>
      </c>
      <c r="AT34" s="145">
        <f t="shared" si="11"/>
        <v>0</v>
      </c>
      <c r="AU3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Row],[Tipo]]="DROP"),AU33+TbTradesBinance[[#This Row],[Qtt]],AU33-TbTradesBinance[[#This Row],[Qtt]]),IF(TbTradesBinance[[#This Row],[Tipo]]="BUY",AU33-TbTradesBinance[[#This Row],[Qtt]]*TbTradesBinance[[#This Row],[Preço]],AU33+TbTradesBinance[[#This Row],[Qtt]]*TbTradesBinance[[#This Row],[Preço]])),AU33)-IF(TbTradesBinance[[#This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Row],[Tipo]]="DROP"),AU33+TbTradesBinance[[#This Row],[Qtt]],AU33-TbTradesBinance[[#This Row],[Qtt]]),IF(TbTradesBinance[[#This Row],[Tipo]]="BUY",AU33-TbTradesBinance[[#This Row],[Qtt]]*TbTradesBinance[[#This Row],[Preço]],AU33+TbTradesBinance[[#This Row],[Qtt]]*TbTradesBinance[[#This Row],[Preço]])),AU33)-IF(TbTradesBinance[[#This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Row],[Tipo]]="DROP"),AU33+TbTradesBinance[[#This Row],[Qtt]],AU33-TbTradesBinance[[#This Row],[Qtt]]),IF(TbTradesBinance[[#This Row],[Tipo]]="BUY",AU33-TbTradesBinance[[#This Row],[Qtt]]*TbTradesBinance[[#This Row],[Preço]],AU33+TbTradesBinance[[#This Row],[Qtt]]*TbTradesBinance[[#This Row],[Preço]])),AU33)-IF(TbTradesBinance[[#This Row],[Moeda da Taxa]]=MID(AU$1,9,5),TbTradesBinance[[#This Row],[Taxa]],0),8)))</f>
        <v>9.9900000000000003E-2</v>
      </c>
      <c r="AV34" s="145" cm="1">
        <f t="array" ref="AV34">IF(TbTradesBinance[[#This Row],[Tipo]]="EMPTY",0,AV33+IF(TbTradesBinance[[#This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Row],[Par]]))),$1:$1,0)),-(AU33-AU34)/AU33*AV33),0),0)+IF(TbTradesBinance[[#This Row],[Tipo]]="SELL",IF(ISNUMBER(FIND(MID(AV$1,10,5),TbTradesBinance[[#This Row],[Par]])),IF(FIND(MID(AV$1,10,5),TbTradesBinance[[#This Row],[Par]])=1, -(AU33-AU34)/AU33*AV33,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Row],[Par]])),(-(AU33-AU34)/AU33*AV33)+IF(TbTradesBinance[[#This Row],[Resultado]]&gt;0,0,TbTradesBinance[[#This Row],[Taxa]]),0),0))</f>
        <v>18.673922987511034</v>
      </c>
      <c r="AW34" s="145">
        <f t="shared" si="12"/>
        <v>186.92615603114149</v>
      </c>
      <c r="AX3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Row],[Tipo]]="DROP"),AX33+TbTradesBinance[[#This Row],[Qtt]],AX33-TbTradesBinance[[#This Row],[Qtt]]),IF(TbTradesBinance[[#This Row],[Tipo]]="BUY",AX33-TbTradesBinance[[#This Row],[Qtt]]*TbTradesBinance[[#This Row],[Preço]],AX33+TbTradesBinance[[#This Row],[Qtt]]*TbTradesBinance[[#This Row],[Preço]])),AX33)-IF(TbTradesBinance[[#This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Row],[Tipo]]="DROP"),AX33+TbTradesBinance[[#This Row],[Qtt]],AX33-TbTradesBinance[[#This Row],[Qtt]]),IF(TbTradesBinance[[#This Row],[Tipo]]="BUY",AX33-TbTradesBinance[[#This Row],[Qtt]]*TbTradesBinance[[#This Row],[Preço]],AX33+TbTradesBinance[[#This Row],[Qtt]]*TbTradesBinance[[#This Row],[Preço]])),AX33)-IF(TbTradesBinance[[#This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Row],[Tipo]]="DROP"),AX33+TbTradesBinance[[#This Row],[Qtt]],AX33-TbTradesBinance[[#This Row],[Qtt]]),IF(TbTradesBinance[[#This Row],[Tipo]]="BUY",AX33-TbTradesBinance[[#This Row],[Qtt]]*TbTradesBinance[[#This Row],[Preço]],AX33+TbTradesBinance[[#This Row],[Qtt]]*TbTradesBinance[[#This Row],[Preço]])),AX33)-IF(TbTradesBinance[[#This Row],[Moeda da Taxa]]=MID(AX$1,9,5),TbTradesBinance[[#This Row],[Taxa]],0),8)))</f>
        <v>0</v>
      </c>
      <c r="AY34" s="145" cm="1">
        <f t="array" ref="AY34">IF(TbTradesBinance[[#This Row],[Tipo]]="EMPTY",0,AY33+IF(TbTradesBinance[[#This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Row],[Par]]))),$1:$1,0)),-(AX33-AX34)/AX33*AY33),0),0)+IF(TbTradesBinance[[#This Row],[Tipo]]="SELL",IF(ISNUMBER(FIND(MID(AY$1,10,5),TbTradesBinance[[#This Row],[Par]])),IF(FIND(MID(AY$1,10,5),TbTradesBinance[[#This Row],[Par]])=1, -(AX33-AX34)/AX33*AY33,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Row],[Par]])),(-(AX33-AX34)/AX33*AY33)+IF(TbTradesBinance[[#This Row],[Resultado]]&gt;0,0,TbTradesBinance[[#This Row],[Taxa]]),0),0))</f>
        <v>0</v>
      </c>
      <c r="AZ34" s="145">
        <f t="shared" si="13"/>
        <v>0</v>
      </c>
      <c r="BA3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Row],[Tipo]]="DROP"),BA33+TbTradesBinance[[#This Row],[Qtt]],BA33-TbTradesBinance[[#This Row],[Qtt]]),IF(TbTradesBinance[[#This Row],[Tipo]]="BUY",BA33-TbTradesBinance[[#This Row],[Qtt]]*TbTradesBinance[[#This Row],[Preço]],BA33+TbTradesBinance[[#This Row],[Qtt]]*TbTradesBinance[[#This Row],[Preço]])),BA33)-IF(TbTradesBinance[[#This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Row],[Tipo]]="DROP"),BA33+TbTradesBinance[[#This Row],[Qtt]],BA33-TbTradesBinance[[#This Row],[Qtt]]),IF(TbTradesBinance[[#This Row],[Tipo]]="BUY",BA33-TbTradesBinance[[#This Row],[Qtt]]*TbTradesBinance[[#This Row],[Preço]],BA33+TbTradesBinance[[#This Row],[Qtt]]*TbTradesBinance[[#This Row],[Preço]])),BA33)-IF(TbTradesBinance[[#This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Row],[Tipo]]="DROP"),BA33+TbTradesBinance[[#This Row],[Qtt]],BA33-TbTradesBinance[[#This Row],[Qtt]]),IF(TbTradesBinance[[#This Row],[Tipo]]="BUY",BA33-TbTradesBinance[[#This Row],[Qtt]]*TbTradesBinance[[#This Row],[Preço]],BA33+TbTradesBinance[[#This Row],[Qtt]]*TbTradesBinance[[#This Row],[Preço]])),BA33)-IF(TbTradesBinance[[#This Row],[Moeda da Taxa]]=MID(BA$1,9,5),TbTradesBinance[[#This Row],[Taxa]],0),8)))</f>
        <v>0</v>
      </c>
      <c r="BB34" s="145" cm="1">
        <f t="array" ref="BB34">IF(TbTradesBinance[[#This Row],[Tipo]]="EMPTY",0,BB33+IF(TbTradesBinance[[#This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Row],[Par]]))),$1:$1,0)),-(BA33-BA34)/BA33*BB33),0),0)+IF(TbTradesBinance[[#This Row],[Tipo]]="SELL",IF(ISNUMBER(FIND(MID(BB$1,10,5),TbTradesBinance[[#This Row],[Par]])),IF(FIND(MID(BB$1,10,5),TbTradesBinance[[#This Row],[Par]])=1, -(BA33-BA34)/BA33*BB33,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Row],[Par]])),(-(BA33-BA34)/BA33*BB33)+IF(TbTradesBinance[[#This Row],[Resultado]]&gt;0,0,TbTradesBinance[[#This Row],[Taxa]]),0),0))</f>
        <v>0</v>
      </c>
      <c r="BC34" s="145">
        <f t="shared" si="14"/>
        <v>0</v>
      </c>
      <c r="BD3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Row],[Tipo]]="DROP"),BD33+TbTradesBinance[[#This Row],[Qtt]],BD33-TbTradesBinance[[#This Row],[Qtt]]),IF(TbTradesBinance[[#This Row],[Tipo]]="BUY",BD33-TbTradesBinance[[#This Row],[Qtt]]*TbTradesBinance[[#This Row],[Preço]],BD33+TbTradesBinance[[#This Row],[Qtt]]*TbTradesBinance[[#This Row],[Preço]])),BD33)-IF(TbTradesBinance[[#This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Row],[Tipo]]="DROP"),BD33+TbTradesBinance[[#This Row],[Qtt]],BD33-TbTradesBinance[[#This Row],[Qtt]]),IF(TbTradesBinance[[#This Row],[Tipo]]="BUY",BD33-TbTradesBinance[[#This Row],[Qtt]]*TbTradesBinance[[#This Row],[Preço]],BD33+TbTradesBinance[[#This Row],[Qtt]]*TbTradesBinance[[#This Row],[Preço]])),BD33)-IF(TbTradesBinance[[#This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Row],[Tipo]]="DROP"),BD33+TbTradesBinance[[#This Row],[Qtt]],BD33-TbTradesBinance[[#This Row],[Qtt]]),IF(TbTradesBinance[[#This Row],[Tipo]]="BUY",BD33-TbTradesBinance[[#This Row],[Qtt]]*TbTradesBinance[[#This Row],[Preço]],BD33+TbTradesBinance[[#This Row],[Qtt]]*TbTradesBinance[[#This Row],[Preço]])),BD33)-IF(TbTradesBinance[[#This Row],[Moeda da Taxa]]=MID(BD$1,9,5),TbTradesBinance[[#This Row],[Taxa]],0),8)))</f>
        <v>0.37962000000000001</v>
      </c>
      <c r="BE34" s="145" cm="1">
        <f t="array" ref="BE34">IF(TbTradesBinance[[#This Row],[Tipo]]="EMPTY",0,BE33+IF(TbTradesBinance[[#This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Row],[Par]]))),$1:$1,0)),-(BD33-BD34)/BD33*BE33),0),0)+IF(TbTradesBinance[[#This Row],[Tipo]]="SELL",IF(ISNUMBER(FIND(MID(BE$1,10,5),TbTradesBinance[[#This Row],[Par]])),IF(FIND(MID(BE$1,10,5),TbTradesBinance[[#This Row],[Par]])=1, -(BD33-BD34)/BD33*BE33,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Row],[Par]])),(-(BD33-BD34)/BD33*BE33)+IF(TbTradesBinance[[#This Row],[Resultado]]&gt;0,0,TbTradesBinance[[#This Row],[Taxa]]),0),0))</f>
        <v>63.647297001537943</v>
      </c>
      <c r="BF34" s="145">
        <f t="shared" si="15"/>
        <v>167.66054739354601</v>
      </c>
      <c r="BG3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Row],[Tipo]]="DROP"),BG33+TbTradesBinance[[#This Row],[Qtt]],BG33-TbTradesBinance[[#This Row],[Qtt]]),IF(TbTradesBinance[[#This Row],[Tipo]]="BUY",BG33-TbTradesBinance[[#This Row],[Qtt]]*TbTradesBinance[[#This Row],[Preço]],BG33+TbTradesBinance[[#This Row],[Qtt]]*TbTradesBinance[[#This Row],[Preço]])),BG33)-IF(TbTradesBinance[[#This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Row],[Tipo]]="DROP"),BG33+TbTradesBinance[[#This Row],[Qtt]],BG33-TbTradesBinance[[#This Row],[Qtt]]),IF(TbTradesBinance[[#This Row],[Tipo]]="BUY",BG33-TbTradesBinance[[#This Row],[Qtt]]*TbTradesBinance[[#This Row],[Preço]],BG33+TbTradesBinance[[#This Row],[Qtt]]*TbTradesBinance[[#This Row],[Preço]])),BG33)-IF(TbTradesBinance[[#This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Row],[Tipo]]="DROP"),BG33+TbTradesBinance[[#This Row],[Qtt]],BG33-TbTradesBinance[[#This Row],[Qtt]]),IF(TbTradesBinance[[#This Row],[Tipo]]="BUY",BG33-TbTradesBinance[[#This Row],[Qtt]]*TbTradesBinance[[#This Row],[Preço]],BG33+TbTradesBinance[[#This Row],[Qtt]]*TbTradesBinance[[#This Row],[Preço]])),BG33)-IF(TbTradesBinance[[#This Row],[Moeda da Taxa]]=MID(BG$1,9,5),TbTradesBinance[[#This Row],[Taxa]],0),8)))</f>
        <v>0</v>
      </c>
      <c r="BH34" s="145" cm="1">
        <f t="array" ref="BH34">IF(TbTradesBinance[[#This Row],[Tipo]]="EMPTY",0,BH33+IF(TbTradesBinance[[#This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Row],[Par]]))),$1:$1,0)),-(BG33-BG34)/BG33*BH33),0),0)+IF(TbTradesBinance[[#This Row],[Tipo]]="SELL",IF(ISNUMBER(FIND(MID(BH$1,10,5),TbTradesBinance[[#This Row],[Par]])),IF(FIND(MID(BH$1,10,5),TbTradesBinance[[#This Row],[Par]])=1, -(BG33-BG34)/BG33*BH33,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Row],[Par]])),(-(BG33-BG34)/BG33*BH33)+IF(TbTradesBinance[[#This Row],[Resultado]]&gt;0,0,TbTradesBinance[[#This Row],[Taxa]]),0),0))</f>
        <v>0</v>
      </c>
      <c r="BI34" s="145">
        <f t="shared" si="16"/>
        <v>0</v>
      </c>
      <c r="BJ3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Row],[Tipo]]="DROP"),BJ33+TbTradesBinance[[#This Row],[Qtt]],BJ33-TbTradesBinance[[#This Row],[Qtt]]),IF(TbTradesBinance[[#This Row],[Tipo]]="BUY",BJ33-TbTradesBinance[[#This Row],[Qtt]]*TbTradesBinance[[#This Row],[Preço]],BJ33+TbTradesBinance[[#This Row],[Qtt]]*TbTradesBinance[[#This Row],[Preço]])),BJ33)-IF(TbTradesBinance[[#This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Row],[Tipo]]="DROP"),BJ33+TbTradesBinance[[#This Row],[Qtt]],BJ33-TbTradesBinance[[#This Row],[Qtt]]),IF(TbTradesBinance[[#This Row],[Tipo]]="BUY",BJ33-TbTradesBinance[[#This Row],[Qtt]]*TbTradesBinance[[#This Row],[Preço]],BJ33+TbTradesBinance[[#This Row],[Qtt]]*TbTradesBinance[[#This Row],[Preço]])),BJ33)-IF(TbTradesBinance[[#This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Row],[Tipo]]="DROP"),BJ33+TbTradesBinance[[#This Row],[Qtt]],BJ33-TbTradesBinance[[#This Row],[Qtt]]),IF(TbTradesBinance[[#This Row],[Tipo]]="BUY",BJ33-TbTradesBinance[[#This Row],[Qtt]]*TbTradesBinance[[#This Row],[Preço]],BJ33+TbTradesBinance[[#This Row],[Qtt]]*TbTradesBinance[[#This Row],[Preço]])),BJ33)-IF(TbTradesBinance[[#This Row],[Moeda da Taxa]]=MID(BJ$1,9,5),TbTradesBinance[[#This Row],[Taxa]],0),8)))</f>
        <v>0</v>
      </c>
      <c r="BK34" s="145" cm="1">
        <f t="array" ref="BK34">IF(TbTradesBinance[[#This Row],[Tipo]]="EMPTY",0,BK33+IF(TbTradesBinance[[#This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Row],[Par]]))),$1:$1,0)),-(BJ33-BJ34)/BJ33*BK33),0),0)+IF(TbTradesBinance[[#This Row],[Tipo]]="SELL",IF(ISNUMBER(FIND(MID(BK$1,10,5),TbTradesBinance[[#This Row],[Par]])),IF(FIND(MID(BK$1,10,5),TbTradesBinance[[#This Row],[Par]])=1, -(BJ33-BJ34)/BJ33*BK33,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Row],[Par]])),(-(BJ33-BJ34)/BJ33*BK33)+IF(TbTradesBinance[[#This Row],[Resultado]]&gt;0,0,TbTradesBinance[[#This Row],[Taxa]]),0),0))</f>
        <v>0</v>
      </c>
      <c r="BL34" s="145">
        <f t="shared" si="17"/>
        <v>0</v>
      </c>
      <c r="BM3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Row],[Tipo]]="DROP"),BM33+TbTradesBinance[[#This Row],[Qtt]],BM33-TbTradesBinance[[#This Row],[Qtt]]),IF(TbTradesBinance[[#This Row],[Tipo]]="BUY",BM33-TbTradesBinance[[#This Row],[Qtt]]*TbTradesBinance[[#This Row],[Preço]],BM33+TbTradesBinance[[#This Row],[Qtt]]*TbTradesBinance[[#This Row],[Preço]])),BM33)-IF(TbTradesBinance[[#This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Row],[Tipo]]="DROP"),BM33+TbTradesBinance[[#This Row],[Qtt]],BM33-TbTradesBinance[[#This Row],[Qtt]]),IF(TbTradesBinance[[#This Row],[Tipo]]="BUY",BM33-TbTradesBinance[[#This Row],[Qtt]]*TbTradesBinance[[#This Row],[Preço]],BM33+TbTradesBinance[[#This Row],[Qtt]]*TbTradesBinance[[#This Row],[Preço]])),BM33)-IF(TbTradesBinance[[#This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Row],[Tipo]]="DROP"),BM33+TbTradesBinance[[#This Row],[Qtt]],BM33-TbTradesBinance[[#This Row],[Qtt]]),IF(TbTradesBinance[[#This Row],[Tipo]]="BUY",BM33-TbTradesBinance[[#This Row],[Qtt]]*TbTradesBinance[[#This Row],[Preço]],BM33+TbTradesBinance[[#This Row],[Qtt]]*TbTradesBinance[[#This Row],[Preço]])),BM33)-IF(TbTradesBinance[[#This Row],[Moeda da Taxa]]=MID(BM$1,9,5),TbTradesBinance[[#This Row],[Taxa]],0),8)))</f>
        <v>0</v>
      </c>
      <c r="BN34" s="145" cm="1">
        <f t="array" ref="BN34">IF(TbTradesBinance[[#This Row],[Tipo]]="EMPTY",0,BN33+IF(TbTradesBinance[[#This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Row],[Par]]))),$1:$1,0)),-(BM33-BM34)/BM33*BN33),0),0)+IF(TbTradesBinance[[#This Row],[Tipo]]="SELL",IF(ISNUMBER(FIND(MID(BN$1,10,5),TbTradesBinance[[#This Row],[Par]])),IF(FIND(MID(BN$1,10,5),TbTradesBinance[[#This Row],[Par]])=1, -(BM33-BM34)/BM33*BN33,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Row],[Par]])),(-(BM33-BM34)/BM33*BN33)+IF(TbTradesBinance[[#This Row],[Resultado]]&gt;0,0,TbTradesBinance[[#This Row],[Taxa]]),0),0))</f>
        <v>0</v>
      </c>
      <c r="BO34" s="145">
        <f t="shared" si="18"/>
        <v>0</v>
      </c>
    </row>
    <row r="35" spans="2:67" x14ac:dyDescent="0.3">
      <c r="B35" s="51" t="s">
        <v>240</v>
      </c>
      <c r="C35" s="40">
        <f>TRUNC(IF(AND(TbTradesBinance[[#This Row],[Tipo]]="SEND",TbTradesBinance[[#This Row],[Par]]="BRL"),TbTradesBinance[[#This Row],[Qtt]]*(1-P33)-IF(TbTradesBinance[[#This Row],[Moeda da Taxa]]="BRL",TbTradesBinance[[#This Row],[Taxa]],0),0)+IF(AND(TbTradesBinance[[#This Row],[Tipo]]="BURN",TbTradesBinance[[#This Row],[Par]]="BRL"),-TbTradesBinance[[#This Row],[Qtt]]*P33,0),2)</f>
        <v>0</v>
      </c>
      <c r="D35" s="53">
        <v>44261.796967592592</v>
      </c>
      <c r="E35" s="37" t="s">
        <v>60</v>
      </c>
      <c r="F35" s="47" t="s">
        <v>137</v>
      </c>
      <c r="G35" s="38">
        <v>1</v>
      </c>
      <c r="H35" s="38">
        <v>100000</v>
      </c>
      <c r="I35" s="38">
        <v>0</v>
      </c>
      <c r="J35" s="37" t="s">
        <v>60</v>
      </c>
      <c r="K35" s="52">
        <v>6.65</v>
      </c>
      <c r="L35" s="40">
        <f t="shared" si="0"/>
        <v>6.65</v>
      </c>
      <c r="M35" s="40">
        <f>IF(OR(TbTradesBinance[[#This Row],[Tipo]]="BUY",TbTradesBinance[[#This Row],[Tipo]]="RECEIVE",TbTradesBinance[[#This Row],[Tipo]]="DROP"),L35*H35,-L35*H35)</f>
        <v>665000</v>
      </c>
      <c r="N3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Row],[Tipo]]="DROP"),N34+TbTradesBinance[[#This Row],[Qtt]],N34-TbTradesBinance[[#This Row],[Qtt]]),IF(TbTradesBinance[[#This Row],[Tipo]]="BUY",N34-TbTradesBinance[[#This Row],[Qtt]]*TbTradesBinance[[#This Row],[Preço]],N34+TbTradesBinance[[#This Row],[Qtt]]*TbTradesBinance[[#This Row],[Preço]])),N34)-IF(TbTradesBinance[[#This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Row],[Tipo]]="DROP"),N34+TbTradesBinance[[#This Row],[Qtt]],N34-TbTradesBinance[[#This Row],[Qtt]]),IF(TbTradesBinance[[#This Row],[Tipo]]="BUY",N34-TbTradesBinance[[#This Row],[Qtt]]*TbTradesBinance[[#This Row],[Preço]],N34+TbTradesBinance[[#This Row],[Qtt]]*TbTradesBinance[[#This Row],[Preço]])),N34)-IF(TbTradesBinance[[#This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Row],[Tipo]]="DROP"),N34+TbTradesBinance[[#This Row],[Qtt]],N34-TbTradesBinance[[#This Row],[Qtt]]),IF(TbTradesBinance[[#This Row],[Tipo]]="BUY",N34-TbTradesBinance[[#This Row],[Qtt]]*TbTradesBinance[[#This Row],[Preço]],N34+TbTradesBinance[[#This Row],[Qtt]]*TbTradesBinance[[#This Row],[Preço]])),N34)-IF(TbTradesBinance[[#This Row],[Moeda da Taxa]]=MID(N$1,9,5),TbTradesBinance[[#This Row],[Taxa]],0),8)))</f>
        <v>119745.56018689</v>
      </c>
      <c r="O35" s="145" cm="1">
        <f t="array" ref="O35">IF(TbTradesBinance[[#This Row],[Tipo]]="EMPTY",0,O34+IF(TbTradesBinance[[#This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Row],[Par]]))),$1:$1,0)),-(N34-N35)/N34*O34),0),0)+IF(TbTradesBinance[[#This Row],[Tipo]]="SELL",IF(ISNUMBER(FIND(MID(O$1,10,5),TbTradesBinance[[#This Row],[Par]])),IF(FIND(MID(O$1,10,5),TbTradesBinance[[#This Row],[Par]])=1, -(N34-N35)/N34*O34,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Row],[Par]])),(-(N34-N35)/N34*O34)+IF(TbTradesBinance[[#This Row],[Resultado]]&gt;0,0,TbTradesBinance[[#This Row],[Taxa]]),0),0))</f>
        <v>119697.34543442423</v>
      </c>
      <c r="P35" s="145">
        <f t="shared" si="1"/>
        <v>0.99959735665864757</v>
      </c>
      <c r="Q3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Row],[Tipo]]="DROP"),Q34+TbTradesBinance[[#This Row],[Qtt]],Q34-TbTradesBinance[[#This Row],[Qtt]]),IF(TbTradesBinance[[#This Row],[Tipo]]="BUY",Q34-TbTradesBinance[[#This Row],[Qtt]]*TbTradesBinance[[#This Row],[Preço]],Q34+TbTradesBinance[[#This Row],[Qtt]]*TbTradesBinance[[#This Row],[Preço]])),Q34)-IF(TbTradesBinance[[#This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Row],[Tipo]]="DROP"),Q34+TbTradesBinance[[#This Row],[Qtt]],Q34-TbTradesBinance[[#This Row],[Qtt]]),IF(TbTradesBinance[[#This Row],[Tipo]]="BUY",Q34-TbTradesBinance[[#This Row],[Qtt]]*TbTradesBinance[[#This Row],[Preço]],Q34+TbTradesBinance[[#This Row],[Qtt]]*TbTradesBinance[[#This Row],[Preço]])),Q34)-IF(TbTradesBinance[[#This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Row],[Tipo]]="DROP"),Q34+TbTradesBinance[[#This Row],[Qtt]],Q34-TbTradesBinance[[#This Row],[Qtt]]),IF(TbTradesBinance[[#This Row],[Tipo]]="BUY",Q34-TbTradesBinance[[#This Row],[Qtt]]*TbTradesBinance[[#This Row],[Preço]],Q34+TbTradesBinance[[#This Row],[Qtt]]*TbTradesBinance[[#This Row],[Preço]])),Q34)-IF(TbTradesBinance[[#This Row],[Moeda da Taxa]]=MID(Q$1,9,5),TbTradesBinance[[#This Row],[Taxa]],0),8)))</f>
        <v>0.27732999000000003</v>
      </c>
      <c r="R35" s="145" cm="1">
        <f t="array" ref="R35">IF(TbTradesBinance[[#This Row],[Tipo]]="EMPTY",0,R34+IF(TbTradesBinance[[#This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Row],[Par]]))),$1:$1,0)),-(Q34-Q35)/Q34*R34),0),0)+IF(TbTradesBinance[[#This Row],[Tipo]]="SELL",IF(ISNUMBER(FIND(MID(R$1,10,5),TbTradesBinance[[#This Row],[Par]])),IF(FIND(MID(R$1,10,5),TbTradesBinance[[#This Row],[Par]])=1, -(Q34-Q35)/Q34*R34,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Row],[Par]])),(-(Q34-Q35)/Q34*R34)+IF(TbTradesBinance[[#This Row],[Resultado]]&gt;0,0,TbTradesBinance[[#This Row],[Taxa]]),0),0))</f>
        <v>1.5509449279899954</v>
      </c>
      <c r="S35" s="145">
        <f t="shared" si="2"/>
        <v>5.592416918163071</v>
      </c>
      <c r="T3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Row],[Tipo]]="DROP"),T34+TbTradesBinance[[#This Row],[Qtt]],T34-TbTradesBinance[[#This Row],[Qtt]]),IF(TbTradesBinance[[#This Row],[Tipo]]="BUY",T34-TbTradesBinance[[#This Row],[Qtt]]*TbTradesBinance[[#This Row],[Preço]],T34+TbTradesBinance[[#This Row],[Qtt]]*TbTradesBinance[[#This Row],[Preço]])),T34)-IF(TbTradesBinance[[#This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Row],[Tipo]]="DROP"),T34+TbTradesBinance[[#This Row],[Qtt]],T34-TbTradesBinance[[#This Row],[Qtt]]),IF(TbTradesBinance[[#This Row],[Tipo]]="BUY",T34-TbTradesBinance[[#This Row],[Qtt]]*TbTradesBinance[[#This Row],[Preço]],T34+TbTradesBinance[[#This Row],[Qtt]]*TbTradesBinance[[#This Row],[Preço]])),T34)-IF(TbTradesBinance[[#This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Row],[Tipo]]="DROP"),T34+TbTradesBinance[[#This Row],[Qtt]],T34-TbTradesBinance[[#This Row],[Qtt]]),IF(TbTradesBinance[[#This Row],[Tipo]]="BUY",T34-TbTradesBinance[[#This Row],[Qtt]]*TbTradesBinance[[#This Row],[Preço]],T34+TbTradesBinance[[#This Row],[Qtt]]*TbTradesBinance[[#This Row],[Preço]])),T34)-IF(TbTradesBinance[[#This Row],[Moeda da Taxa]]=MID(T$1,9,5),TbTradesBinance[[#This Row],[Taxa]],0),8)))</f>
        <v>100000.02867312</v>
      </c>
      <c r="U35" s="145" cm="1">
        <f t="array" ref="U35">IF(TbTradesBinance[[#This Row],[Tipo]]="EMPTY",0,U34+IF(TbTradesBinance[[#This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Row],[Par]]))),$1:$1,0)),-(T34-T35)/T34*U34),0),0)+IF(TbTradesBinance[[#This Row],[Tipo]]="SELL",IF(ISNUMBER(FIND(MID(U$1,10,5),TbTradesBinance[[#This Row],[Par]])),IF(FIND(MID(U$1,10,5),TbTradesBinance[[#This Row],[Par]])=1, -(T34-T35)/T34*U34,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Row],[Par]])),(-(T34-T35)/T34*U34)+IF(TbTradesBinance[[#This Row],[Resultado]]&gt;0,0,TbTradesBinance[[#This Row],[Taxa]]),0),0))</f>
        <v>665000.19365209597</v>
      </c>
      <c r="V35" s="145">
        <f t="shared" si="3"/>
        <v>6.6500000297584707</v>
      </c>
      <c r="W3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Row],[Tipo]]="DROP"),W34+TbTradesBinance[[#This Row],[Qtt]],W34-TbTradesBinance[[#This Row],[Qtt]]),IF(TbTradesBinance[[#This Row],[Tipo]]="BUY",W34-TbTradesBinance[[#This Row],[Qtt]]*TbTradesBinance[[#This Row],[Preço]],W34+TbTradesBinance[[#This Row],[Qtt]]*TbTradesBinance[[#This Row],[Preço]])),W34)-IF(TbTradesBinance[[#This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Row],[Tipo]]="DROP"),W34+TbTradesBinance[[#This Row],[Qtt]],W34-TbTradesBinance[[#This Row],[Qtt]]),IF(TbTradesBinance[[#This Row],[Tipo]]="BUY",W34-TbTradesBinance[[#This Row],[Qtt]]*TbTradesBinance[[#This Row],[Preço]],W34+TbTradesBinance[[#This Row],[Qtt]]*TbTradesBinance[[#This Row],[Preço]])),W34)-IF(TbTradesBinance[[#This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Row],[Tipo]]="DROP"),W34+TbTradesBinance[[#This Row],[Qtt]],W34-TbTradesBinance[[#This Row],[Qtt]]),IF(TbTradesBinance[[#This Row],[Tipo]]="BUY",W34-TbTradesBinance[[#This Row],[Qtt]]*TbTradesBinance[[#This Row],[Preço]],W34+TbTradesBinance[[#This Row],[Qtt]]*TbTradesBinance[[#This Row],[Preço]])),W34)-IF(TbTradesBinance[[#This Row],[Moeda da Taxa]]=MID(W$1,9,5),TbTradesBinance[[#This Row],[Taxa]],0),8)))</f>
        <v>8.1057000000000004E-4</v>
      </c>
      <c r="X35" s="145" cm="1">
        <f t="array" ref="X35">IF(TbTradesBinance[[#This Row],[Tipo]]="EMPTY",0,X34+IF(TbTradesBinance[[#This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Row],[Par]]))),$1:$1,0)),-(W34-W35)/W34*X34),0),0)+IF(TbTradesBinance[[#This Row],[Tipo]]="SELL",IF(ISNUMBER(FIND(MID(X$1,10,5),TbTradesBinance[[#This Row],[Par]])),IF(FIND(MID(X$1,10,5),TbTradesBinance[[#This Row],[Par]])=1, -(W34-W35)/W34*X34,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Row],[Par]])),(-(W34-W35)/W34*X34)+IF(TbTradesBinance[[#This Row],[Resultado]]&gt;0,0,TbTradesBinance[[#This Row],[Taxa]]),0),0))</f>
        <v>218.58874856275744</v>
      </c>
      <c r="Y35" s="145">
        <f t="shared" si="4"/>
        <v>269672.88274024136</v>
      </c>
      <c r="Z3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Row],[Tipo]]="DROP"),Z34+TbTradesBinance[[#This Row],[Qtt]],Z34-TbTradesBinance[[#This Row],[Qtt]]),IF(TbTradesBinance[[#This Row],[Tipo]]="BUY",Z34-TbTradesBinance[[#This Row],[Qtt]]*TbTradesBinance[[#This Row],[Preço]],Z34+TbTradesBinance[[#This Row],[Qtt]]*TbTradesBinance[[#This Row],[Preço]])),Z34)-IF(TbTradesBinance[[#This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Row],[Tipo]]="DROP"),Z34+TbTradesBinance[[#This Row],[Qtt]],Z34-TbTradesBinance[[#This Row],[Qtt]]),IF(TbTradesBinance[[#This Row],[Tipo]]="BUY",Z34-TbTradesBinance[[#This Row],[Qtt]]*TbTradesBinance[[#This Row],[Preço]],Z34+TbTradesBinance[[#This Row],[Qtt]]*TbTradesBinance[[#This Row],[Preço]])),Z34)-IF(TbTradesBinance[[#This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Row],[Tipo]]="DROP"),Z34+TbTradesBinance[[#This Row],[Qtt]],Z34-TbTradesBinance[[#This Row],[Qtt]]),IF(TbTradesBinance[[#This Row],[Tipo]]="BUY",Z34-TbTradesBinance[[#This Row],[Qtt]]*TbTradesBinance[[#This Row],[Preço]],Z34+TbTradesBinance[[#This Row],[Qtt]]*TbTradesBinance[[#This Row],[Preço]])),Z34)-IF(TbTradesBinance[[#This Row],[Moeda da Taxa]]=MID(Z$1,9,5),TbTradesBinance[[#This Row],[Taxa]],0),8)))</f>
        <v>0</v>
      </c>
      <c r="AA35" s="145" cm="1">
        <f t="array" ref="AA35">IF(TbTradesBinance[[#This Row],[Tipo]]="EMPTY",0,AA34+IF(TbTradesBinance[[#This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Row],[Par]]))),$1:$1,0)),-(Z34-Z35)/Z34*AA34),0),0)+IF(TbTradesBinance[[#This Row],[Tipo]]="SELL",IF(ISNUMBER(FIND(MID(AA$1,10,5),TbTradesBinance[[#This Row],[Par]])),IF(FIND(MID(AA$1,10,5),TbTradesBinance[[#This Row],[Par]])=1, -(Z34-Z35)/Z34*AA34,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Row],[Par]])),(-(Z34-Z35)/Z34*AA34)+IF(TbTradesBinance[[#This Row],[Resultado]]&gt;0,0,TbTradesBinance[[#This Row],[Taxa]]),0),0))</f>
        <v>0</v>
      </c>
      <c r="AB35" s="145">
        <f t="shared" si="5"/>
        <v>0</v>
      </c>
      <c r="AC3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Row],[Tipo]]="DROP"),AC34+TbTradesBinance[[#This Row],[Qtt]],AC34-TbTradesBinance[[#This Row],[Qtt]]),IF(TbTradesBinance[[#This Row],[Tipo]]="BUY",AC34-TbTradesBinance[[#This Row],[Qtt]]*TbTradesBinance[[#This Row],[Preço]],AC34+TbTradesBinance[[#This Row],[Qtt]]*TbTradesBinance[[#This Row],[Preço]])),AC34)-IF(TbTradesBinance[[#This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Row],[Tipo]]="DROP"),AC34+TbTradesBinance[[#This Row],[Qtt]],AC34-TbTradesBinance[[#This Row],[Qtt]]),IF(TbTradesBinance[[#This Row],[Tipo]]="BUY",AC34-TbTradesBinance[[#This Row],[Qtt]]*TbTradesBinance[[#This Row],[Preço]],AC34+TbTradesBinance[[#This Row],[Qtt]]*TbTradesBinance[[#This Row],[Preço]])),AC34)-IF(TbTradesBinance[[#This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Row],[Tipo]]="DROP"),AC34+TbTradesBinance[[#This Row],[Qtt]],AC34-TbTradesBinance[[#This Row],[Qtt]]),IF(TbTradesBinance[[#This Row],[Tipo]]="BUY",AC34-TbTradesBinance[[#This Row],[Qtt]]*TbTradesBinance[[#This Row],[Preço]],AC34+TbTradesBinance[[#This Row],[Qtt]]*TbTradesBinance[[#This Row],[Preço]])),AC34)-IF(TbTradesBinance[[#This Row],[Moeda da Taxa]]=MID(AC$1,9,5),TbTradesBinance[[#This Row],[Taxa]],0),8)))</f>
        <v>0</v>
      </c>
      <c r="AD35" s="145" cm="1">
        <f t="array" ref="AD35">IF(TbTradesBinance[[#This Row],[Tipo]]="EMPTY",0,AD34+IF(TbTradesBinance[[#This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Row],[Par]]))),$1:$1,0)),-(AC34-AC35)/AC34*AD34),0),0)+IF(TbTradesBinance[[#This Row],[Tipo]]="SELL",IF(ISNUMBER(FIND(MID(AD$1,10,5),TbTradesBinance[[#This Row],[Par]])),IF(FIND(MID(AD$1,10,5),TbTradesBinance[[#This Row],[Par]])=1, -(AC34-AC35)/AC34*AD34,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Row],[Par]])),(-(AC34-AC35)/AC34*AD34)+IF(TbTradesBinance[[#This Row],[Resultado]]&gt;0,0,TbTradesBinance[[#This Row],[Taxa]]),0),0))</f>
        <v>0</v>
      </c>
      <c r="AE35" s="145">
        <f t="shared" si="6"/>
        <v>0</v>
      </c>
      <c r="AF3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Row],[Tipo]]="DROP"),AF34+TbTradesBinance[[#This Row],[Qtt]],AF34-TbTradesBinance[[#This Row],[Qtt]]),IF(TbTradesBinance[[#This Row],[Tipo]]="BUY",AF34-TbTradesBinance[[#This Row],[Qtt]]*TbTradesBinance[[#This Row],[Preço]],AF34+TbTradesBinance[[#This Row],[Qtt]]*TbTradesBinance[[#This Row],[Preço]])),AF34)-IF(TbTradesBinance[[#This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Row],[Tipo]]="DROP"),AF34+TbTradesBinance[[#This Row],[Qtt]],AF34-TbTradesBinance[[#This Row],[Qtt]]),IF(TbTradesBinance[[#This Row],[Tipo]]="BUY",AF34-TbTradesBinance[[#This Row],[Qtt]]*TbTradesBinance[[#This Row],[Preço]],AF34+TbTradesBinance[[#This Row],[Qtt]]*TbTradesBinance[[#This Row],[Preço]])),AF34)-IF(TbTradesBinance[[#This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Row],[Tipo]]="DROP"),AF34+TbTradesBinance[[#This Row],[Qtt]],AF34-TbTradesBinance[[#This Row],[Qtt]]),IF(TbTradesBinance[[#This Row],[Tipo]]="BUY",AF34-TbTradesBinance[[#This Row],[Qtt]]*TbTradesBinance[[#This Row],[Preço]],AF34+TbTradesBinance[[#This Row],[Qtt]]*TbTradesBinance[[#This Row],[Preço]])),AF34)-IF(TbTradesBinance[[#This Row],[Moeda da Taxa]]=MID(AF$1,9,5),TbTradesBinance[[#This Row],[Taxa]],0),8)))</f>
        <v>0</v>
      </c>
      <c r="AG35" s="145" cm="1">
        <f t="array" ref="AG35">IF(TbTradesBinance[[#This Row],[Tipo]]="EMPTY",0,AG34+IF(TbTradesBinance[[#This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Row],[Par]]))),$1:$1,0)),-(AF34-AF35)/AF34*AG34),0),0)+IF(TbTradesBinance[[#This Row],[Tipo]]="SELL",IF(ISNUMBER(FIND(MID(AG$1,10,5),TbTradesBinance[[#This Row],[Par]])),IF(FIND(MID(AG$1,10,5),TbTradesBinance[[#This Row],[Par]])=1, -(AF34-AF35)/AF34*AG34,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Row],[Par]])),(-(AF34-AF35)/AF34*AG34)+IF(TbTradesBinance[[#This Row],[Resultado]]&gt;0,0,TbTradesBinance[[#This Row],[Taxa]]),0),0))</f>
        <v>0</v>
      </c>
      <c r="AH35" s="145">
        <f t="shared" si="7"/>
        <v>0</v>
      </c>
      <c r="AI3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Row],[Tipo]]="DROP"),AI34+TbTradesBinance[[#This Row],[Qtt]],AI34-TbTradesBinance[[#This Row],[Qtt]]),IF(TbTradesBinance[[#This Row],[Tipo]]="BUY",AI34-TbTradesBinance[[#This Row],[Qtt]]*TbTradesBinance[[#This Row],[Preço]],AI34+TbTradesBinance[[#This Row],[Qtt]]*TbTradesBinance[[#This Row],[Preço]])),AI34)-IF(TbTradesBinance[[#This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Row],[Tipo]]="DROP"),AI34+TbTradesBinance[[#This Row],[Qtt]],AI34-TbTradesBinance[[#This Row],[Qtt]]),IF(TbTradesBinance[[#This Row],[Tipo]]="BUY",AI34-TbTradesBinance[[#This Row],[Qtt]]*TbTradesBinance[[#This Row],[Preço]],AI34+TbTradesBinance[[#This Row],[Qtt]]*TbTradesBinance[[#This Row],[Preço]])),AI34)-IF(TbTradesBinance[[#This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Row],[Tipo]]="DROP"),AI34+TbTradesBinance[[#This Row],[Qtt]],AI34-TbTradesBinance[[#This Row],[Qtt]]),IF(TbTradesBinance[[#This Row],[Tipo]]="BUY",AI34-TbTradesBinance[[#This Row],[Qtt]]*TbTradesBinance[[#This Row],[Preço]],AI34+TbTradesBinance[[#This Row],[Qtt]]*TbTradesBinance[[#This Row],[Preço]])),AI34)-IF(TbTradesBinance[[#This Row],[Moeda da Taxa]]=MID(AI$1,9,5),TbTradesBinance[[#This Row],[Taxa]],0),8)))</f>
        <v>0</v>
      </c>
      <c r="AJ35" s="145" cm="1">
        <f t="array" ref="AJ35">IF(TbTradesBinance[[#This Row],[Tipo]]="EMPTY",0,AJ34+IF(TbTradesBinance[[#This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Row],[Par]]))),$1:$1,0)),-(AI34-AI35)/AI34*AJ34),0),0)+IF(TbTradesBinance[[#This Row],[Tipo]]="SELL",IF(ISNUMBER(FIND(MID(AJ$1,10,5),TbTradesBinance[[#This Row],[Par]])),IF(FIND(MID(AJ$1,10,5),TbTradesBinance[[#This Row],[Par]])=1, -(AI34-AI35)/AI34*AJ34,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Row],[Par]])),(-(AI34-AI35)/AI34*AJ34)+IF(TbTradesBinance[[#This Row],[Resultado]]&gt;0,0,TbTradesBinance[[#This Row],[Taxa]]),0),0))</f>
        <v>0</v>
      </c>
      <c r="AK35" s="145">
        <f t="shared" si="8"/>
        <v>0</v>
      </c>
      <c r="AL3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Row],[Tipo]]="DROP"),AL34+TbTradesBinance[[#This Row],[Qtt]],AL34-TbTradesBinance[[#This Row],[Qtt]]),IF(TbTradesBinance[[#This Row],[Tipo]]="BUY",AL34-TbTradesBinance[[#This Row],[Qtt]]*TbTradesBinance[[#This Row],[Preço]],AL34+TbTradesBinance[[#This Row],[Qtt]]*TbTradesBinance[[#This Row],[Preço]])),AL34)-IF(TbTradesBinance[[#This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Row],[Tipo]]="DROP"),AL34+TbTradesBinance[[#This Row],[Qtt]],AL34-TbTradesBinance[[#This Row],[Qtt]]),IF(TbTradesBinance[[#This Row],[Tipo]]="BUY",AL34-TbTradesBinance[[#This Row],[Qtt]]*TbTradesBinance[[#This Row],[Preço]],AL34+TbTradesBinance[[#This Row],[Qtt]]*TbTradesBinance[[#This Row],[Preço]])),AL34)-IF(TbTradesBinance[[#This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Row],[Tipo]]="DROP"),AL34+TbTradesBinance[[#This Row],[Qtt]],AL34-TbTradesBinance[[#This Row],[Qtt]]),IF(TbTradesBinance[[#This Row],[Tipo]]="BUY",AL34-TbTradesBinance[[#This Row],[Qtt]]*TbTradesBinance[[#This Row],[Preço]],AL34+TbTradesBinance[[#This Row],[Qtt]]*TbTradesBinance[[#This Row],[Preço]])),AL34)-IF(TbTradesBinance[[#This Row],[Moeda da Taxa]]=MID(AL$1,9,5),TbTradesBinance[[#This Row],[Taxa]],0),8)))</f>
        <v>0</v>
      </c>
      <c r="AM35" s="145" cm="1">
        <f t="array" ref="AM35">IF(TbTradesBinance[[#This Row],[Tipo]]="EMPTY",0,AM34+IF(TbTradesBinance[[#This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Row],[Par]]))),$1:$1,0)),-(AL34-AL35)/AL34*AM34),0),0)+IF(TbTradesBinance[[#This Row],[Tipo]]="SELL",IF(ISNUMBER(FIND(MID(AM$1,10,5),TbTradesBinance[[#This Row],[Par]])),IF(FIND(MID(AM$1,10,5),TbTradesBinance[[#This Row],[Par]])=1, -(AL34-AL35)/AL34*AM34,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Row],[Par]])),(-(AL34-AL35)/AL34*AM34)+IF(TbTradesBinance[[#This Row],[Resultado]]&gt;0,0,TbTradesBinance[[#This Row],[Taxa]]),0),0))</f>
        <v>0</v>
      </c>
      <c r="AN35" s="145">
        <f t="shared" si="9"/>
        <v>0</v>
      </c>
      <c r="AO3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Row],[Tipo]]="DROP"),AO34+TbTradesBinance[[#This Row],[Qtt]],AO34-TbTradesBinance[[#This Row],[Qtt]]),IF(TbTradesBinance[[#This Row],[Tipo]]="BUY",AO34-TbTradesBinance[[#This Row],[Qtt]]*TbTradesBinance[[#This Row],[Preço]],AO34+TbTradesBinance[[#This Row],[Qtt]]*TbTradesBinance[[#This Row],[Preço]])),AO34)-IF(TbTradesBinance[[#This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Row],[Tipo]]="DROP"),AO34+TbTradesBinance[[#This Row],[Qtt]],AO34-TbTradesBinance[[#This Row],[Qtt]]),IF(TbTradesBinance[[#This Row],[Tipo]]="BUY",AO34-TbTradesBinance[[#This Row],[Qtt]]*TbTradesBinance[[#This Row],[Preço]],AO34+TbTradesBinance[[#This Row],[Qtt]]*TbTradesBinance[[#This Row],[Preço]])),AO34)-IF(TbTradesBinance[[#This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Row],[Tipo]]="DROP"),AO34+TbTradesBinance[[#This Row],[Qtt]],AO34-TbTradesBinance[[#This Row],[Qtt]]),IF(TbTradesBinance[[#This Row],[Tipo]]="BUY",AO34-TbTradesBinance[[#This Row],[Qtt]]*TbTradesBinance[[#This Row],[Preço]],AO34+TbTradesBinance[[#This Row],[Qtt]]*TbTradesBinance[[#This Row],[Preço]])),AO34)-IF(TbTradesBinance[[#This Row],[Moeda da Taxa]]=MID(AO$1,9,5),TbTradesBinance[[#This Row],[Taxa]],0),8)))</f>
        <v>0</v>
      </c>
      <c r="AP35" s="145" cm="1">
        <f t="array" ref="AP35">IF(TbTradesBinance[[#This Row],[Tipo]]="EMPTY",0,AP34+IF(TbTradesBinance[[#This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Row],[Par]]))),$1:$1,0)),-(AO34-AO35)/AO34*AP34),0),0)+IF(TbTradesBinance[[#This Row],[Tipo]]="SELL",IF(ISNUMBER(FIND(MID(AP$1,10,5),TbTradesBinance[[#This Row],[Par]])),IF(FIND(MID(AP$1,10,5),TbTradesBinance[[#This Row],[Par]])=1, -(AO34-AO35)/AO34*AP34,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Row],[Par]])),(-(AO34-AO35)/AO34*AP34)+IF(TbTradesBinance[[#This Row],[Resultado]]&gt;0,0,TbTradesBinance[[#This Row],[Taxa]]),0),0))</f>
        <v>0</v>
      </c>
      <c r="AQ35" s="145">
        <f t="shared" si="10"/>
        <v>0</v>
      </c>
      <c r="AR3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Row],[Tipo]]="DROP"),AR34+TbTradesBinance[[#This Row],[Qtt]],AR34-TbTradesBinance[[#This Row],[Qtt]]),IF(TbTradesBinance[[#This Row],[Tipo]]="BUY",AR34-TbTradesBinance[[#This Row],[Qtt]]*TbTradesBinance[[#This Row],[Preço]],AR34+TbTradesBinance[[#This Row],[Qtt]]*TbTradesBinance[[#This Row],[Preço]])),AR34)-IF(TbTradesBinance[[#This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Row],[Tipo]]="DROP"),AR34+TbTradesBinance[[#This Row],[Qtt]],AR34-TbTradesBinance[[#This Row],[Qtt]]),IF(TbTradesBinance[[#This Row],[Tipo]]="BUY",AR34-TbTradesBinance[[#This Row],[Qtt]]*TbTradesBinance[[#This Row],[Preço]],AR34+TbTradesBinance[[#This Row],[Qtt]]*TbTradesBinance[[#This Row],[Preço]])),AR34)-IF(TbTradesBinance[[#This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Row],[Tipo]]="DROP"),AR34+TbTradesBinance[[#This Row],[Qtt]],AR34-TbTradesBinance[[#This Row],[Qtt]]),IF(TbTradesBinance[[#This Row],[Tipo]]="BUY",AR34-TbTradesBinance[[#This Row],[Qtt]]*TbTradesBinance[[#This Row],[Preço]],AR34+TbTradesBinance[[#This Row],[Qtt]]*TbTradesBinance[[#This Row],[Preço]])),AR34)-IF(TbTradesBinance[[#This Row],[Moeda da Taxa]]=MID(AR$1,9,5),TbTradesBinance[[#This Row],[Taxa]],0),8)))</f>
        <v>0</v>
      </c>
      <c r="AS35" s="145" cm="1">
        <f t="array" ref="AS35">IF(TbTradesBinance[[#This Row],[Tipo]]="EMPTY",0,AS34+IF(TbTradesBinance[[#This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Row],[Par]]))),$1:$1,0)),-(AR34-AR35)/AR34*AS34),0),0)+IF(TbTradesBinance[[#This Row],[Tipo]]="SELL",IF(ISNUMBER(FIND(MID(AS$1,10,5),TbTradesBinance[[#This Row],[Par]])),IF(FIND(MID(AS$1,10,5),TbTradesBinance[[#This Row],[Par]])=1, -(AR34-AR35)/AR34*AS34,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Row],[Par]])),(-(AR34-AR35)/AR34*AS34)+IF(TbTradesBinance[[#This Row],[Resultado]]&gt;0,0,TbTradesBinance[[#This Row],[Taxa]]),0),0))</f>
        <v>0</v>
      </c>
      <c r="AT35" s="145">
        <f t="shared" si="11"/>
        <v>0</v>
      </c>
      <c r="AU3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Row],[Tipo]]="DROP"),AU34+TbTradesBinance[[#This Row],[Qtt]],AU34-TbTradesBinance[[#This Row],[Qtt]]),IF(TbTradesBinance[[#This Row],[Tipo]]="BUY",AU34-TbTradesBinance[[#This Row],[Qtt]]*TbTradesBinance[[#This Row],[Preço]],AU34+TbTradesBinance[[#This Row],[Qtt]]*TbTradesBinance[[#This Row],[Preço]])),AU34)-IF(TbTradesBinance[[#This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Row],[Tipo]]="DROP"),AU34+TbTradesBinance[[#This Row],[Qtt]],AU34-TbTradesBinance[[#This Row],[Qtt]]),IF(TbTradesBinance[[#This Row],[Tipo]]="BUY",AU34-TbTradesBinance[[#This Row],[Qtt]]*TbTradesBinance[[#This Row],[Preço]],AU34+TbTradesBinance[[#This Row],[Qtt]]*TbTradesBinance[[#This Row],[Preço]])),AU34)-IF(TbTradesBinance[[#This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Row],[Tipo]]="DROP"),AU34+TbTradesBinance[[#This Row],[Qtt]],AU34-TbTradesBinance[[#This Row],[Qtt]]),IF(TbTradesBinance[[#This Row],[Tipo]]="BUY",AU34-TbTradesBinance[[#This Row],[Qtt]]*TbTradesBinance[[#This Row],[Preço]],AU34+TbTradesBinance[[#This Row],[Qtt]]*TbTradesBinance[[#This Row],[Preço]])),AU34)-IF(TbTradesBinance[[#This Row],[Moeda da Taxa]]=MID(AU$1,9,5),TbTradesBinance[[#This Row],[Taxa]],0),8)))</f>
        <v>9.9900000000000003E-2</v>
      </c>
      <c r="AV35" s="145" cm="1">
        <f t="array" ref="AV35">IF(TbTradesBinance[[#This Row],[Tipo]]="EMPTY",0,AV34+IF(TbTradesBinance[[#This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Row],[Par]]))),$1:$1,0)),-(AU34-AU35)/AU34*AV34),0),0)+IF(TbTradesBinance[[#This Row],[Tipo]]="SELL",IF(ISNUMBER(FIND(MID(AV$1,10,5),TbTradesBinance[[#This Row],[Par]])),IF(FIND(MID(AV$1,10,5),TbTradesBinance[[#This Row],[Par]])=1, -(AU34-AU35)/AU34*AV34,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Row],[Par]])),(-(AU34-AU35)/AU34*AV34)+IF(TbTradesBinance[[#This Row],[Resultado]]&gt;0,0,TbTradesBinance[[#This Row],[Taxa]]),0),0))</f>
        <v>18.673922987511034</v>
      </c>
      <c r="AW35" s="145">
        <f t="shared" si="12"/>
        <v>186.92615603114149</v>
      </c>
      <c r="AX3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Row],[Tipo]]="DROP"),AX34+TbTradesBinance[[#This Row],[Qtt]],AX34-TbTradesBinance[[#This Row],[Qtt]]),IF(TbTradesBinance[[#This Row],[Tipo]]="BUY",AX34-TbTradesBinance[[#This Row],[Qtt]]*TbTradesBinance[[#This Row],[Preço]],AX34+TbTradesBinance[[#This Row],[Qtt]]*TbTradesBinance[[#This Row],[Preço]])),AX34)-IF(TbTradesBinance[[#This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Row],[Tipo]]="DROP"),AX34+TbTradesBinance[[#This Row],[Qtt]],AX34-TbTradesBinance[[#This Row],[Qtt]]),IF(TbTradesBinance[[#This Row],[Tipo]]="BUY",AX34-TbTradesBinance[[#This Row],[Qtt]]*TbTradesBinance[[#This Row],[Preço]],AX34+TbTradesBinance[[#This Row],[Qtt]]*TbTradesBinance[[#This Row],[Preço]])),AX34)-IF(TbTradesBinance[[#This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Row],[Tipo]]="DROP"),AX34+TbTradesBinance[[#This Row],[Qtt]],AX34-TbTradesBinance[[#This Row],[Qtt]]),IF(TbTradesBinance[[#This Row],[Tipo]]="BUY",AX34-TbTradesBinance[[#This Row],[Qtt]]*TbTradesBinance[[#This Row],[Preço]],AX34+TbTradesBinance[[#This Row],[Qtt]]*TbTradesBinance[[#This Row],[Preço]])),AX34)-IF(TbTradesBinance[[#This Row],[Moeda da Taxa]]=MID(AX$1,9,5),TbTradesBinance[[#This Row],[Taxa]],0),8)))</f>
        <v>0</v>
      </c>
      <c r="AY35" s="145" cm="1">
        <f t="array" ref="AY35">IF(TbTradesBinance[[#This Row],[Tipo]]="EMPTY",0,AY34+IF(TbTradesBinance[[#This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Row],[Par]]))),$1:$1,0)),-(AX34-AX35)/AX34*AY34),0),0)+IF(TbTradesBinance[[#This Row],[Tipo]]="SELL",IF(ISNUMBER(FIND(MID(AY$1,10,5),TbTradesBinance[[#This Row],[Par]])),IF(FIND(MID(AY$1,10,5),TbTradesBinance[[#This Row],[Par]])=1, -(AX34-AX35)/AX34*AY34,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Row],[Par]])),(-(AX34-AX35)/AX34*AY34)+IF(TbTradesBinance[[#This Row],[Resultado]]&gt;0,0,TbTradesBinance[[#This Row],[Taxa]]),0),0))</f>
        <v>0</v>
      </c>
      <c r="AZ35" s="145">
        <f t="shared" si="13"/>
        <v>0</v>
      </c>
      <c r="BA3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Row],[Tipo]]="DROP"),BA34+TbTradesBinance[[#This Row],[Qtt]],BA34-TbTradesBinance[[#This Row],[Qtt]]),IF(TbTradesBinance[[#This Row],[Tipo]]="BUY",BA34-TbTradesBinance[[#This Row],[Qtt]]*TbTradesBinance[[#This Row],[Preço]],BA34+TbTradesBinance[[#This Row],[Qtt]]*TbTradesBinance[[#This Row],[Preço]])),BA34)-IF(TbTradesBinance[[#This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Row],[Tipo]]="DROP"),BA34+TbTradesBinance[[#This Row],[Qtt]],BA34-TbTradesBinance[[#This Row],[Qtt]]),IF(TbTradesBinance[[#This Row],[Tipo]]="BUY",BA34-TbTradesBinance[[#This Row],[Qtt]]*TbTradesBinance[[#This Row],[Preço]],BA34+TbTradesBinance[[#This Row],[Qtt]]*TbTradesBinance[[#This Row],[Preço]])),BA34)-IF(TbTradesBinance[[#This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Row],[Tipo]]="DROP"),BA34+TbTradesBinance[[#This Row],[Qtt]],BA34-TbTradesBinance[[#This Row],[Qtt]]),IF(TbTradesBinance[[#This Row],[Tipo]]="BUY",BA34-TbTradesBinance[[#This Row],[Qtt]]*TbTradesBinance[[#This Row],[Preço]],BA34+TbTradesBinance[[#This Row],[Qtt]]*TbTradesBinance[[#This Row],[Preço]])),BA34)-IF(TbTradesBinance[[#This Row],[Moeda da Taxa]]=MID(BA$1,9,5),TbTradesBinance[[#This Row],[Taxa]],0),8)))</f>
        <v>0</v>
      </c>
      <c r="BB35" s="145" cm="1">
        <f t="array" ref="BB35">IF(TbTradesBinance[[#This Row],[Tipo]]="EMPTY",0,BB34+IF(TbTradesBinance[[#This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Row],[Par]]))),$1:$1,0)),-(BA34-BA35)/BA34*BB34),0),0)+IF(TbTradesBinance[[#This Row],[Tipo]]="SELL",IF(ISNUMBER(FIND(MID(BB$1,10,5),TbTradesBinance[[#This Row],[Par]])),IF(FIND(MID(BB$1,10,5),TbTradesBinance[[#This Row],[Par]])=1, -(BA34-BA35)/BA34*BB34,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Row],[Par]])),(-(BA34-BA35)/BA34*BB34)+IF(TbTradesBinance[[#This Row],[Resultado]]&gt;0,0,TbTradesBinance[[#This Row],[Taxa]]),0),0))</f>
        <v>0</v>
      </c>
      <c r="BC35" s="145">
        <f t="shared" si="14"/>
        <v>0</v>
      </c>
      <c r="BD3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Row],[Tipo]]="DROP"),BD34+TbTradesBinance[[#This Row],[Qtt]],BD34-TbTradesBinance[[#This Row],[Qtt]]),IF(TbTradesBinance[[#This Row],[Tipo]]="BUY",BD34-TbTradesBinance[[#This Row],[Qtt]]*TbTradesBinance[[#This Row],[Preço]],BD34+TbTradesBinance[[#This Row],[Qtt]]*TbTradesBinance[[#This Row],[Preço]])),BD34)-IF(TbTradesBinance[[#This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Row],[Tipo]]="DROP"),BD34+TbTradesBinance[[#This Row],[Qtt]],BD34-TbTradesBinance[[#This Row],[Qtt]]),IF(TbTradesBinance[[#This Row],[Tipo]]="BUY",BD34-TbTradesBinance[[#This Row],[Qtt]]*TbTradesBinance[[#This Row],[Preço]],BD34+TbTradesBinance[[#This Row],[Qtt]]*TbTradesBinance[[#This Row],[Preço]])),BD34)-IF(TbTradesBinance[[#This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Row],[Tipo]]="DROP"),BD34+TbTradesBinance[[#This Row],[Qtt]],BD34-TbTradesBinance[[#This Row],[Qtt]]),IF(TbTradesBinance[[#This Row],[Tipo]]="BUY",BD34-TbTradesBinance[[#This Row],[Qtt]]*TbTradesBinance[[#This Row],[Preço]],BD34+TbTradesBinance[[#This Row],[Qtt]]*TbTradesBinance[[#This Row],[Preço]])),BD34)-IF(TbTradesBinance[[#This Row],[Moeda da Taxa]]=MID(BD$1,9,5),TbTradesBinance[[#This Row],[Taxa]],0),8)))</f>
        <v>0.37962000000000001</v>
      </c>
      <c r="BE35" s="145" cm="1">
        <f t="array" ref="BE35">IF(TbTradesBinance[[#This Row],[Tipo]]="EMPTY",0,BE34+IF(TbTradesBinance[[#This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Row],[Par]]))),$1:$1,0)),-(BD34-BD35)/BD34*BE34),0),0)+IF(TbTradesBinance[[#This Row],[Tipo]]="SELL",IF(ISNUMBER(FIND(MID(BE$1,10,5),TbTradesBinance[[#This Row],[Par]])),IF(FIND(MID(BE$1,10,5),TbTradesBinance[[#This Row],[Par]])=1, -(BD34-BD35)/BD34*BE34,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Row],[Par]])),(-(BD34-BD35)/BD34*BE34)+IF(TbTradesBinance[[#This Row],[Resultado]]&gt;0,0,TbTradesBinance[[#This Row],[Taxa]]),0),0))</f>
        <v>63.647297001537943</v>
      </c>
      <c r="BF35" s="145">
        <f t="shared" si="15"/>
        <v>167.66054739354601</v>
      </c>
      <c r="BG3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Row],[Tipo]]="DROP"),BG34+TbTradesBinance[[#This Row],[Qtt]],BG34-TbTradesBinance[[#This Row],[Qtt]]),IF(TbTradesBinance[[#This Row],[Tipo]]="BUY",BG34-TbTradesBinance[[#This Row],[Qtt]]*TbTradesBinance[[#This Row],[Preço]],BG34+TbTradesBinance[[#This Row],[Qtt]]*TbTradesBinance[[#This Row],[Preço]])),BG34)-IF(TbTradesBinance[[#This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Row],[Tipo]]="DROP"),BG34+TbTradesBinance[[#This Row],[Qtt]],BG34-TbTradesBinance[[#This Row],[Qtt]]),IF(TbTradesBinance[[#This Row],[Tipo]]="BUY",BG34-TbTradesBinance[[#This Row],[Qtt]]*TbTradesBinance[[#This Row],[Preço]],BG34+TbTradesBinance[[#This Row],[Qtt]]*TbTradesBinance[[#This Row],[Preço]])),BG34)-IF(TbTradesBinance[[#This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Row],[Tipo]]="DROP"),BG34+TbTradesBinance[[#This Row],[Qtt]],BG34-TbTradesBinance[[#This Row],[Qtt]]),IF(TbTradesBinance[[#This Row],[Tipo]]="BUY",BG34-TbTradesBinance[[#This Row],[Qtt]]*TbTradesBinance[[#This Row],[Preço]],BG34+TbTradesBinance[[#This Row],[Qtt]]*TbTradesBinance[[#This Row],[Preço]])),BG34)-IF(TbTradesBinance[[#This Row],[Moeda da Taxa]]=MID(BG$1,9,5),TbTradesBinance[[#This Row],[Taxa]],0),8)))</f>
        <v>0</v>
      </c>
      <c r="BH35" s="145" cm="1">
        <f t="array" ref="BH35">IF(TbTradesBinance[[#This Row],[Tipo]]="EMPTY",0,BH34+IF(TbTradesBinance[[#This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Row],[Par]]))),$1:$1,0)),-(BG34-BG35)/BG34*BH34),0),0)+IF(TbTradesBinance[[#This Row],[Tipo]]="SELL",IF(ISNUMBER(FIND(MID(BH$1,10,5),TbTradesBinance[[#This Row],[Par]])),IF(FIND(MID(BH$1,10,5),TbTradesBinance[[#This Row],[Par]])=1, -(BG34-BG35)/BG34*BH34,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Row],[Par]])),(-(BG34-BG35)/BG34*BH34)+IF(TbTradesBinance[[#This Row],[Resultado]]&gt;0,0,TbTradesBinance[[#This Row],[Taxa]]),0),0))</f>
        <v>0</v>
      </c>
      <c r="BI35" s="145">
        <f t="shared" si="16"/>
        <v>0</v>
      </c>
      <c r="BJ3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Row],[Tipo]]="DROP"),BJ34+TbTradesBinance[[#This Row],[Qtt]],BJ34-TbTradesBinance[[#This Row],[Qtt]]),IF(TbTradesBinance[[#This Row],[Tipo]]="BUY",BJ34-TbTradesBinance[[#This Row],[Qtt]]*TbTradesBinance[[#This Row],[Preço]],BJ34+TbTradesBinance[[#This Row],[Qtt]]*TbTradesBinance[[#This Row],[Preço]])),BJ34)-IF(TbTradesBinance[[#This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Row],[Tipo]]="DROP"),BJ34+TbTradesBinance[[#This Row],[Qtt]],BJ34-TbTradesBinance[[#This Row],[Qtt]]),IF(TbTradesBinance[[#This Row],[Tipo]]="BUY",BJ34-TbTradesBinance[[#This Row],[Qtt]]*TbTradesBinance[[#This Row],[Preço]],BJ34+TbTradesBinance[[#This Row],[Qtt]]*TbTradesBinance[[#This Row],[Preço]])),BJ34)-IF(TbTradesBinance[[#This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Row],[Tipo]]="DROP"),BJ34+TbTradesBinance[[#This Row],[Qtt]],BJ34-TbTradesBinance[[#This Row],[Qtt]]),IF(TbTradesBinance[[#This Row],[Tipo]]="BUY",BJ34-TbTradesBinance[[#This Row],[Qtt]]*TbTradesBinance[[#This Row],[Preço]],BJ34+TbTradesBinance[[#This Row],[Qtt]]*TbTradesBinance[[#This Row],[Preço]])),BJ34)-IF(TbTradesBinance[[#This Row],[Moeda da Taxa]]=MID(BJ$1,9,5),TbTradesBinance[[#This Row],[Taxa]],0),8)))</f>
        <v>0</v>
      </c>
      <c r="BK35" s="145" cm="1">
        <f t="array" ref="BK35">IF(TbTradesBinance[[#This Row],[Tipo]]="EMPTY",0,BK34+IF(TbTradesBinance[[#This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Row],[Par]]))),$1:$1,0)),-(BJ34-BJ35)/BJ34*BK34),0),0)+IF(TbTradesBinance[[#This Row],[Tipo]]="SELL",IF(ISNUMBER(FIND(MID(BK$1,10,5),TbTradesBinance[[#This Row],[Par]])),IF(FIND(MID(BK$1,10,5),TbTradesBinance[[#This Row],[Par]])=1, -(BJ34-BJ35)/BJ34*BK34,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Row],[Par]])),(-(BJ34-BJ35)/BJ34*BK34)+IF(TbTradesBinance[[#This Row],[Resultado]]&gt;0,0,TbTradesBinance[[#This Row],[Taxa]]),0),0))</f>
        <v>0</v>
      </c>
      <c r="BL35" s="145">
        <f t="shared" si="17"/>
        <v>0</v>
      </c>
      <c r="BM3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Row],[Tipo]]="DROP"),BM34+TbTradesBinance[[#This Row],[Qtt]],BM34-TbTradesBinance[[#This Row],[Qtt]]),IF(TbTradesBinance[[#This Row],[Tipo]]="BUY",BM34-TbTradesBinance[[#This Row],[Qtt]]*TbTradesBinance[[#This Row],[Preço]],BM34+TbTradesBinance[[#This Row],[Qtt]]*TbTradesBinance[[#This Row],[Preço]])),BM34)-IF(TbTradesBinance[[#This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Row],[Tipo]]="DROP"),BM34+TbTradesBinance[[#This Row],[Qtt]],BM34-TbTradesBinance[[#This Row],[Qtt]]),IF(TbTradesBinance[[#This Row],[Tipo]]="BUY",BM34-TbTradesBinance[[#This Row],[Qtt]]*TbTradesBinance[[#This Row],[Preço]],BM34+TbTradesBinance[[#This Row],[Qtt]]*TbTradesBinance[[#This Row],[Preço]])),BM34)-IF(TbTradesBinance[[#This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Row],[Tipo]]="DROP"),BM34+TbTradesBinance[[#This Row],[Qtt]],BM34-TbTradesBinance[[#This Row],[Qtt]]),IF(TbTradesBinance[[#This Row],[Tipo]]="BUY",BM34-TbTradesBinance[[#This Row],[Qtt]]*TbTradesBinance[[#This Row],[Preço]],BM34+TbTradesBinance[[#This Row],[Qtt]]*TbTradesBinance[[#This Row],[Preço]])),BM34)-IF(TbTradesBinance[[#This Row],[Moeda da Taxa]]=MID(BM$1,9,5),TbTradesBinance[[#This Row],[Taxa]],0),8)))</f>
        <v>0</v>
      </c>
      <c r="BN35" s="145" cm="1">
        <f t="array" ref="BN35">IF(TbTradesBinance[[#This Row],[Tipo]]="EMPTY",0,BN34+IF(TbTradesBinance[[#This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Row],[Par]]))),$1:$1,0)),-(BM34-BM35)/BM34*BN34),0),0)+IF(TbTradesBinance[[#This Row],[Tipo]]="SELL",IF(ISNUMBER(FIND(MID(BN$1,10,5),TbTradesBinance[[#This Row],[Par]])),IF(FIND(MID(BN$1,10,5),TbTradesBinance[[#This Row],[Par]])=1, -(BM34-BM35)/BM34*BN34,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Row],[Par]])),(-(BM34-BM35)/BM34*BN34)+IF(TbTradesBinance[[#This Row],[Resultado]]&gt;0,0,TbTradesBinance[[#This Row],[Taxa]]),0),0))</f>
        <v>0</v>
      </c>
      <c r="BO35" s="145">
        <f t="shared" si="18"/>
        <v>0</v>
      </c>
    </row>
    <row r="36" spans="2:67" x14ac:dyDescent="0.3">
      <c r="B36" s="51" t="s">
        <v>241</v>
      </c>
      <c r="C36" s="40">
        <f>TRUNC(IF(AND(TbTradesBinance[[#This Row],[Tipo]]="SEND",TbTradesBinance[[#This Row],[Par]]="BRL"),TbTradesBinance[[#This Row],[Qtt]]*(1-P34)-IF(TbTradesBinance[[#This Row],[Moeda da Taxa]]="BRL",TbTradesBinance[[#This Row],[Taxa]],0),0)+IF(AND(TbTradesBinance[[#This Row],[Tipo]]="BURN",TbTradesBinance[[#This Row],[Par]]="BRL"),-TbTradesBinance[[#This Row],[Qtt]]*P34,0),2)</f>
        <v>0</v>
      </c>
      <c r="D36" s="53">
        <v>44261.799143518518</v>
      </c>
      <c r="E36" s="37" t="s">
        <v>236</v>
      </c>
      <c r="F36" s="47" t="s">
        <v>139</v>
      </c>
      <c r="G36" s="38">
        <v>40850.353999999999</v>
      </c>
      <c r="H36" s="38">
        <v>2.3990000000000001E-3</v>
      </c>
      <c r="I36" s="38">
        <v>0.4</v>
      </c>
      <c r="J36" s="37" t="s">
        <v>60</v>
      </c>
      <c r="K36" s="52">
        <v>6.7</v>
      </c>
      <c r="L36" s="40">
        <f t="shared" si="0"/>
        <v>273697.37</v>
      </c>
      <c r="M36" s="40">
        <f>IF(OR(TbTradesBinance[[#This Row],[Tipo]]="BUY",TbTradesBinance[[#This Row],[Tipo]]="RECEIVE",TbTradesBinance[[#This Row],[Tipo]]="DROP"),L36*H36,-L36*H36)</f>
        <v>656.59999062999998</v>
      </c>
      <c r="N3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Row],[Tipo]]="DROP"),N35+TbTradesBinance[[#This Row],[Qtt]],N35-TbTradesBinance[[#This Row],[Qtt]]),IF(TbTradesBinance[[#This Row],[Tipo]]="BUY",N35-TbTradesBinance[[#This Row],[Qtt]]*TbTradesBinance[[#This Row],[Preço]],N35+TbTradesBinance[[#This Row],[Qtt]]*TbTradesBinance[[#This Row],[Preço]])),N35)-IF(TbTradesBinance[[#This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Row],[Tipo]]="DROP"),N35+TbTradesBinance[[#This Row],[Qtt]],N35-TbTradesBinance[[#This Row],[Qtt]]),IF(TbTradesBinance[[#This Row],[Tipo]]="BUY",N35-TbTradesBinance[[#This Row],[Qtt]]*TbTradesBinance[[#This Row],[Preço]],N35+TbTradesBinance[[#This Row],[Qtt]]*TbTradesBinance[[#This Row],[Preço]])),N35)-IF(TbTradesBinance[[#This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Row],[Tipo]]="DROP"),N35+TbTradesBinance[[#This Row],[Qtt]],N35-TbTradesBinance[[#This Row],[Qtt]]),IF(TbTradesBinance[[#This Row],[Tipo]]="BUY",N35-TbTradesBinance[[#This Row],[Qtt]]*TbTradesBinance[[#This Row],[Preço]],N35+TbTradesBinance[[#This Row],[Qtt]]*TbTradesBinance[[#This Row],[Preço]])),N35)-IF(TbTradesBinance[[#This Row],[Moeda da Taxa]]=MID(N$1,9,5),TbTradesBinance[[#This Row],[Taxa]],0),8)))</f>
        <v>119745.56018689</v>
      </c>
      <c r="O36" s="145" cm="1">
        <f t="array" ref="O36">IF(TbTradesBinance[[#This Row],[Tipo]]="EMPTY",0,O35+IF(TbTradesBinance[[#This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Row],[Par]]))),$1:$1,0)),-(N35-N36)/N35*O35),0),0)+IF(TbTradesBinance[[#This Row],[Tipo]]="SELL",IF(ISNUMBER(FIND(MID(O$1,10,5),TbTradesBinance[[#This Row],[Par]])),IF(FIND(MID(O$1,10,5),TbTradesBinance[[#This Row],[Par]])=1, -(N35-N36)/N35*O35,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Row],[Par]])),(-(N35-N36)/N35*O35)+IF(TbTradesBinance[[#This Row],[Resultado]]&gt;0,0,TbTradesBinance[[#This Row],[Taxa]]),0),0))</f>
        <v>119697.34543442423</v>
      </c>
      <c r="P36" s="145">
        <f t="shared" si="1"/>
        <v>0.99959735665864757</v>
      </c>
      <c r="Q3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Row],[Tipo]]="DROP"),Q35+TbTradesBinance[[#This Row],[Qtt]],Q35-TbTradesBinance[[#This Row],[Qtt]]),IF(TbTradesBinance[[#This Row],[Tipo]]="BUY",Q35-TbTradesBinance[[#This Row],[Qtt]]*TbTradesBinance[[#This Row],[Preço]],Q35+TbTradesBinance[[#This Row],[Qtt]]*TbTradesBinance[[#This Row],[Preço]])),Q35)-IF(TbTradesBinance[[#This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Row],[Tipo]]="DROP"),Q35+TbTradesBinance[[#This Row],[Qtt]],Q35-TbTradesBinance[[#This Row],[Qtt]]),IF(TbTradesBinance[[#This Row],[Tipo]]="BUY",Q35-TbTradesBinance[[#This Row],[Qtt]]*TbTradesBinance[[#This Row],[Preço]],Q35+TbTradesBinance[[#This Row],[Qtt]]*TbTradesBinance[[#This Row],[Preço]])),Q35)-IF(TbTradesBinance[[#This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Row],[Tipo]]="DROP"),Q35+TbTradesBinance[[#This Row],[Qtt]],Q35-TbTradesBinance[[#This Row],[Qtt]]),IF(TbTradesBinance[[#This Row],[Tipo]]="BUY",Q35-TbTradesBinance[[#This Row],[Qtt]]*TbTradesBinance[[#This Row],[Preço]],Q35+TbTradesBinance[[#This Row],[Qtt]]*TbTradesBinance[[#This Row],[Preço]])),Q35)-IF(TbTradesBinance[[#This Row],[Moeda da Taxa]]=MID(Q$1,9,5),TbTradesBinance[[#This Row],[Taxa]],0),8)))</f>
        <v>0.27732999000000003</v>
      </c>
      <c r="R36" s="145" cm="1">
        <f t="array" ref="R36">IF(TbTradesBinance[[#This Row],[Tipo]]="EMPTY",0,R35+IF(TbTradesBinance[[#This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Row],[Par]]))),$1:$1,0)),-(Q35-Q36)/Q35*R35),0),0)+IF(TbTradesBinance[[#This Row],[Tipo]]="SELL",IF(ISNUMBER(FIND(MID(R$1,10,5),TbTradesBinance[[#This Row],[Par]])),IF(FIND(MID(R$1,10,5),TbTradesBinance[[#This Row],[Par]])=1, -(Q35-Q36)/Q35*R35,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Row],[Par]])),(-(Q35-Q36)/Q35*R35)+IF(TbTradesBinance[[#This Row],[Resultado]]&gt;0,0,TbTradesBinance[[#This Row],[Taxa]]),0),0))</f>
        <v>1.5509449279899954</v>
      </c>
      <c r="S36" s="145">
        <f t="shared" si="2"/>
        <v>5.592416918163071</v>
      </c>
      <c r="T3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Row],[Tipo]]="DROP"),T35+TbTradesBinance[[#This Row],[Qtt]],T35-TbTradesBinance[[#This Row],[Qtt]]),IF(TbTradesBinance[[#This Row],[Tipo]]="BUY",T35-TbTradesBinance[[#This Row],[Qtt]]*TbTradesBinance[[#This Row],[Preço]],T35+TbTradesBinance[[#This Row],[Qtt]]*TbTradesBinance[[#This Row],[Preço]])),T35)-IF(TbTradesBinance[[#This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Row],[Tipo]]="DROP"),T35+TbTradesBinance[[#This Row],[Qtt]],T35-TbTradesBinance[[#This Row],[Qtt]]),IF(TbTradesBinance[[#This Row],[Tipo]]="BUY",T35-TbTradesBinance[[#This Row],[Qtt]]*TbTradesBinance[[#This Row],[Preço]],T35+TbTradesBinance[[#This Row],[Qtt]]*TbTradesBinance[[#This Row],[Preço]])),T35)-IF(TbTradesBinance[[#This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Row],[Tipo]]="DROP"),T35+TbTradesBinance[[#This Row],[Qtt]],T35-TbTradesBinance[[#This Row],[Qtt]]),IF(TbTradesBinance[[#This Row],[Tipo]]="BUY",T35-TbTradesBinance[[#This Row],[Qtt]]*TbTradesBinance[[#This Row],[Preço]],T35+TbTradesBinance[[#This Row],[Qtt]]*TbTradesBinance[[#This Row],[Preço]])),T35)-IF(TbTradesBinance[[#This Row],[Moeda da Taxa]]=MID(T$1,9,5),TbTradesBinance[[#This Row],[Taxa]],0),8)))</f>
        <v>99901.62867387</v>
      </c>
      <c r="U36" s="145" cm="1">
        <f t="array" ref="U36">IF(TbTradesBinance[[#This Row],[Tipo]]="EMPTY",0,U35+IF(TbTradesBinance[[#This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Row],[Par]]))),$1:$1,0)),-(T35-T36)/T35*U35),0),0)+IF(TbTradesBinance[[#This Row],[Tipo]]="SELL",IF(ISNUMBER(FIND(MID(U$1,10,5),TbTradesBinance[[#This Row],[Par]])),IF(FIND(MID(U$1,10,5),TbTradesBinance[[#This Row],[Par]])=1, -(T35-T36)/T35*U35,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Row],[Par]])),(-(T35-T36)/T35*U35)+IF(TbTradesBinance[[#This Row],[Resultado]]&gt;0,0,TbTradesBinance[[#This Row],[Taxa]]),0),0))</f>
        <v>664345.83365415526</v>
      </c>
      <c r="V36" s="145">
        <f t="shared" si="3"/>
        <v>6.6500000297584716</v>
      </c>
      <c r="W3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Row],[Tipo]]="DROP"),W35+TbTradesBinance[[#This Row],[Qtt]],W35-TbTradesBinance[[#This Row],[Qtt]]),IF(TbTradesBinance[[#This Row],[Tipo]]="BUY",W35-TbTradesBinance[[#This Row],[Qtt]]*TbTradesBinance[[#This Row],[Preço]],W35+TbTradesBinance[[#This Row],[Qtt]]*TbTradesBinance[[#This Row],[Preço]])),W35)-IF(TbTradesBinance[[#This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Row],[Tipo]]="DROP"),W35+TbTradesBinance[[#This Row],[Qtt]],W35-TbTradesBinance[[#This Row],[Qtt]]),IF(TbTradesBinance[[#This Row],[Tipo]]="BUY",W35-TbTradesBinance[[#This Row],[Qtt]]*TbTradesBinance[[#This Row],[Preço]],W35+TbTradesBinance[[#This Row],[Qtt]]*TbTradesBinance[[#This Row],[Preço]])),W35)-IF(TbTradesBinance[[#This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Row],[Tipo]]="DROP"),W35+TbTradesBinance[[#This Row],[Qtt]],W35-TbTradesBinance[[#This Row],[Qtt]]),IF(TbTradesBinance[[#This Row],[Tipo]]="BUY",W35-TbTradesBinance[[#This Row],[Qtt]]*TbTradesBinance[[#This Row],[Preço]],W35+TbTradesBinance[[#This Row],[Qtt]]*TbTradesBinance[[#This Row],[Preço]])),W35)-IF(TbTradesBinance[[#This Row],[Moeda da Taxa]]=MID(W$1,9,5),TbTradesBinance[[#This Row],[Taxa]],0),8)))</f>
        <v>3.2095700000000001E-3</v>
      </c>
      <c r="X36" s="145" cm="1">
        <f t="array" ref="X36">IF(TbTradesBinance[[#This Row],[Tipo]]="EMPTY",0,X35+IF(TbTradesBinance[[#This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Row],[Par]]))),$1:$1,0)),-(W35-W36)/W35*X35),0),0)+IF(TbTradesBinance[[#This Row],[Tipo]]="SELL",IF(ISNUMBER(FIND(MID(X$1,10,5),TbTradesBinance[[#This Row],[Par]])),IF(FIND(MID(X$1,10,5),TbTradesBinance[[#This Row],[Par]])=1, -(W35-W36)/W35*X35,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Row],[Par]])),(-(W35-W36)/W35*X35)+IF(TbTradesBinance[[#This Row],[Resultado]]&gt;0,0,TbTradesBinance[[#This Row],[Taxa]]),0),0))</f>
        <v>872.94874650351107</v>
      </c>
      <c r="Y36" s="145">
        <f t="shared" si="4"/>
        <v>271983.08387214207</v>
      </c>
      <c r="Z3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Row],[Tipo]]="DROP"),Z35+TbTradesBinance[[#This Row],[Qtt]],Z35-TbTradesBinance[[#This Row],[Qtt]]),IF(TbTradesBinance[[#This Row],[Tipo]]="BUY",Z35-TbTradesBinance[[#This Row],[Qtt]]*TbTradesBinance[[#This Row],[Preço]],Z35+TbTradesBinance[[#This Row],[Qtt]]*TbTradesBinance[[#This Row],[Preço]])),Z35)-IF(TbTradesBinance[[#This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Row],[Tipo]]="DROP"),Z35+TbTradesBinance[[#This Row],[Qtt]],Z35-TbTradesBinance[[#This Row],[Qtt]]),IF(TbTradesBinance[[#This Row],[Tipo]]="BUY",Z35-TbTradesBinance[[#This Row],[Qtt]]*TbTradesBinance[[#This Row],[Preço]],Z35+TbTradesBinance[[#This Row],[Qtt]]*TbTradesBinance[[#This Row],[Preço]])),Z35)-IF(TbTradesBinance[[#This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Row],[Tipo]]="DROP"),Z35+TbTradesBinance[[#This Row],[Qtt]],Z35-TbTradesBinance[[#This Row],[Qtt]]),IF(TbTradesBinance[[#This Row],[Tipo]]="BUY",Z35-TbTradesBinance[[#This Row],[Qtt]]*TbTradesBinance[[#This Row],[Preço]],Z35+TbTradesBinance[[#This Row],[Qtt]]*TbTradesBinance[[#This Row],[Preço]])),Z35)-IF(TbTradesBinance[[#This Row],[Moeda da Taxa]]=MID(Z$1,9,5),TbTradesBinance[[#This Row],[Taxa]],0),8)))</f>
        <v>0</v>
      </c>
      <c r="AA36" s="145" cm="1">
        <f t="array" ref="AA36">IF(TbTradesBinance[[#This Row],[Tipo]]="EMPTY",0,AA35+IF(TbTradesBinance[[#This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Row],[Par]]))),$1:$1,0)),-(Z35-Z36)/Z35*AA35),0),0)+IF(TbTradesBinance[[#This Row],[Tipo]]="SELL",IF(ISNUMBER(FIND(MID(AA$1,10,5),TbTradesBinance[[#This Row],[Par]])),IF(FIND(MID(AA$1,10,5),TbTradesBinance[[#This Row],[Par]])=1, -(Z35-Z36)/Z35*AA35,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Row],[Par]])),(-(Z35-Z36)/Z35*AA35)+IF(TbTradesBinance[[#This Row],[Resultado]]&gt;0,0,TbTradesBinance[[#This Row],[Taxa]]),0),0))</f>
        <v>0</v>
      </c>
      <c r="AB36" s="145">
        <f t="shared" si="5"/>
        <v>0</v>
      </c>
      <c r="AC3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Row],[Tipo]]="DROP"),AC35+TbTradesBinance[[#This Row],[Qtt]],AC35-TbTradesBinance[[#This Row],[Qtt]]),IF(TbTradesBinance[[#This Row],[Tipo]]="BUY",AC35-TbTradesBinance[[#This Row],[Qtt]]*TbTradesBinance[[#This Row],[Preço]],AC35+TbTradesBinance[[#This Row],[Qtt]]*TbTradesBinance[[#This Row],[Preço]])),AC35)-IF(TbTradesBinance[[#This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Row],[Tipo]]="DROP"),AC35+TbTradesBinance[[#This Row],[Qtt]],AC35-TbTradesBinance[[#This Row],[Qtt]]),IF(TbTradesBinance[[#This Row],[Tipo]]="BUY",AC35-TbTradesBinance[[#This Row],[Qtt]]*TbTradesBinance[[#This Row],[Preço]],AC35+TbTradesBinance[[#This Row],[Qtt]]*TbTradesBinance[[#This Row],[Preço]])),AC35)-IF(TbTradesBinance[[#This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Row],[Tipo]]="DROP"),AC35+TbTradesBinance[[#This Row],[Qtt]],AC35-TbTradesBinance[[#This Row],[Qtt]]),IF(TbTradesBinance[[#This Row],[Tipo]]="BUY",AC35-TbTradesBinance[[#This Row],[Qtt]]*TbTradesBinance[[#This Row],[Preço]],AC35+TbTradesBinance[[#This Row],[Qtt]]*TbTradesBinance[[#This Row],[Preço]])),AC35)-IF(TbTradesBinance[[#This Row],[Moeda da Taxa]]=MID(AC$1,9,5),TbTradesBinance[[#This Row],[Taxa]],0),8)))</f>
        <v>0</v>
      </c>
      <c r="AD36" s="145" cm="1">
        <f t="array" ref="AD36">IF(TbTradesBinance[[#This Row],[Tipo]]="EMPTY",0,AD35+IF(TbTradesBinance[[#This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Row],[Par]]))),$1:$1,0)),-(AC35-AC36)/AC35*AD35),0),0)+IF(TbTradesBinance[[#This Row],[Tipo]]="SELL",IF(ISNUMBER(FIND(MID(AD$1,10,5),TbTradesBinance[[#This Row],[Par]])),IF(FIND(MID(AD$1,10,5),TbTradesBinance[[#This Row],[Par]])=1, -(AC35-AC36)/AC35*AD35,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Row],[Par]])),(-(AC35-AC36)/AC35*AD35)+IF(TbTradesBinance[[#This Row],[Resultado]]&gt;0,0,TbTradesBinance[[#This Row],[Taxa]]),0),0))</f>
        <v>0</v>
      </c>
      <c r="AE36" s="145">
        <f t="shared" si="6"/>
        <v>0</v>
      </c>
      <c r="AF3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Row],[Tipo]]="DROP"),AF35+TbTradesBinance[[#This Row],[Qtt]],AF35-TbTradesBinance[[#This Row],[Qtt]]),IF(TbTradesBinance[[#This Row],[Tipo]]="BUY",AF35-TbTradesBinance[[#This Row],[Qtt]]*TbTradesBinance[[#This Row],[Preço]],AF35+TbTradesBinance[[#This Row],[Qtt]]*TbTradesBinance[[#This Row],[Preço]])),AF35)-IF(TbTradesBinance[[#This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Row],[Tipo]]="DROP"),AF35+TbTradesBinance[[#This Row],[Qtt]],AF35-TbTradesBinance[[#This Row],[Qtt]]),IF(TbTradesBinance[[#This Row],[Tipo]]="BUY",AF35-TbTradesBinance[[#This Row],[Qtt]]*TbTradesBinance[[#This Row],[Preço]],AF35+TbTradesBinance[[#This Row],[Qtt]]*TbTradesBinance[[#This Row],[Preço]])),AF35)-IF(TbTradesBinance[[#This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Row],[Tipo]]="DROP"),AF35+TbTradesBinance[[#This Row],[Qtt]],AF35-TbTradesBinance[[#This Row],[Qtt]]),IF(TbTradesBinance[[#This Row],[Tipo]]="BUY",AF35-TbTradesBinance[[#This Row],[Qtt]]*TbTradesBinance[[#This Row],[Preço]],AF35+TbTradesBinance[[#This Row],[Qtt]]*TbTradesBinance[[#This Row],[Preço]])),AF35)-IF(TbTradesBinance[[#This Row],[Moeda da Taxa]]=MID(AF$1,9,5),TbTradesBinance[[#This Row],[Taxa]],0),8)))</f>
        <v>0</v>
      </c>
      <c r="AG36" s="145" cm="1">
        <f t="array" ref="AG36">IF(TbTradesBinance[[#This Row],[Tipo]]="EMPTY",0,AG35+IF(TbTradesBinance[[#This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Row],[Par]]))),$1:$1,0)),-(AF35-AF36)/AF35*AG35),0),0)+IF(TbTradesBinance[[#This Row],[Tipo]]="SELL",IF(ISNUMBER(FIND(MID(AG$1,10,5),TbTradesBinance[[#This Row],[Par]])),IF(FIND(MID(AG$1,10,5),TbTradesBinance[[#This Row],[Par]])=1, -(AF35-AF36)/AF35*AG35,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Row],[Par]])),(-(AF35-AF36)/AF35*AG35)+IF(TbTradesBinance[[#This Row],[Resultado]]&gt;0,0,TbTradesBinance[[#This Row],[Taxa]]),0),0))</f>
        <v>0</v>
      </c>
      <c r="AH36" s="145">
        <f t="shared" si="7"/>
        <v>0</v>
      </c>
      <c r="AI3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Row],[Tipo]]="DROP"),AI35+TbTradesBinance[[#This Row],[Qtt]],AI35-TbTradesBinance[[#This Row],[Qtt]]),IF(TbTradesBinance[[#This Row],[Tipo]]="BUY",AI35-TbTradesBinance[[#This Row],[Qtt]]*TbTradesBinance[[#This Row],[Preço]],AI35+TbTradesBinance[[#This Row],[Qtt]]*TbTradesBinance[[#This Row],[Preço]])),AI35)-IF(TbTradesBinance[[#This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Row],[Tipo]]="DROP"),AI35+TbTradesBinance[[#This Row],[Qtt]],AI35-TbTradesBinance[[#This Row],[Qtt]]),IF(TbTradesBinance[[#This Row],[Tipo]]="BUY",AI35-TbTradesBinance[[#This Row],[Qtt]]*TbTradesBinance[[#This Row],[Preço]],AI35+TbTradesBinance[[#This Row],[Qtt]]*TbTradesBinance[[#This Row],[Preço]])),AI35)-IF(TbTradesBinance[[#This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Row],[Tipo]]="DROP"),AI35+TbTradesBinance[[#This Row],[Qtt]],AI35-TbTradesBinance[[#This Row],[Qtt]]),IF(TbTradesBinance[[#This Row],[Tipo]]="BUY",AI35-TbTradesBinance[[#This Row],[Qtt]]*TbTradesBinance[[#This Row],[Preço]],AI35+TbTradesBinance[[#This Row],[Qtt]]*TbTradesBinance[[#This Row],[Preço]])),AI35)-IF(TbTradesBinance[[#This Row],[Moeda da Taxa]]=MID(AI$1,9,5),TbTradesBinance[[#This Row],[Taxa]],0),8)))</f>
        <v>0</v>
      </c>
      <c r="AJ36" s="145" cm="1">
        <f t="array" ref="AJ36">IF(TbTradesBinance[[#This Row],[Tipo]]="EMPTY",0,AJ35+IF(TbTradesBinance[[#This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Row],[Par]]))),$1:$1,0)),-(AI35-AI36)/AI35*AJ35),0),0)+IF(TbTradesBinance[[#This Row],[Tipo]]="SELL",IF(ISNUMBER(FIND(MID(AJ$1,10,5),TbTradesBinance[[#This Row],[Par]])),IF(FIND(MID(AJ$1,10,5),TbTradesBinance[[#This Row],[Par]])=1, -(AI35-AI36)/AI35*AJ35,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Row],[Par]])),(-(AI35-AI36)/AI35*AJ35)+IF(TbTradesBinance[[#This Row],[Resultado]]&gt;0,0,TbTradesBinance[[#This Row],[Taxa]]),0),0))</f>
        <v>0</v>
      </c>
      <c r="AK36" s="145">
        <f t="shared" si="8"/>
        <v>0</v>
      </c>
      <c r="AL3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Row],[Tipo]]="DROP"),AL35+TbTradesBinance[[#This Row],[Qtt]],AL35-TbTradesBinance[[#This Row],[Qtt]]),IF(TbTradesBinance[[#This Row],[Tipo]]="BUY",AL35-TbTradesBinance[[#This Row],[Qtt]]*TbTradesBinance[[#This Row],[Preço]],AL35+TbTradesBinance[[#This Row],[Qtt]]*TbTradesBinance[[#This Row],[Preço]])),AL35)-IF(TbTradesBinance[[#This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Row],[Tipo]]="DROP"),AL35+TbTradesBinance[[#This Row],[Qtt]],AL35-TbTradesBinance[[#This Row],[Qtt]]),IF(TbTradesBinance[[#This Row],[Tipo]]="BUY",AL35-TbTradesBinance[[#This Row],[Qtt]]*TbTradesBinance[[#This Row],[Preço]],AL35+TbTradesBinance[[#This Row],[Qtt]]*TbTradesBinance[[#This Row],[Preço]])),AL35)-IF(TbTradesBinance[[#This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Row],[Tipo]]="DROP"),AL35+TbTradesBinance[[#This Row],[Qtt]],AL35-TbTradesBinance[[#This Row],[Qtt]]),IF(TbTradesBinance[[#This Row],[Tipo]]="BUY",AL35-TbTradesBinance[[#This Row],[Qtt]]*TbTradesBinance[[#This Row],[Preço]],AL35+TbTradesBinance[[#This Row],[Qtt]]*TbTradesBinance[[#This Row],[Preço]])),AL35)-IF(TbTradesBinance[[#This Row],[Moeda da Taxa]]=MID(AL$1,9,5),TbTradesBinance[[#This Row],[Taxa]],0),8)))</f>
        <v>0</v>
      </c>
      <c r="AM36" s="145" cm="1">
        <f t="array" ref="AM36">IF(TbTradesBinance[[#This Row],[Tipo]]="EMPTY",0,AM35+IF(TbTradesBinance[[#This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Row],[Par]]))),$1:$1,0)),-(AL35-AL36)/AL35*AM35),0),0)+IF(TbTradesBinance[[#This Row],[Tipo]]="SELL",IF(ISNUMBER(FIND(MID(AM$1,10,5),TbTradesBinance[[#This Row],[Par]])),IF(FIND(MID(AM$1,10,5),TbTradesBinance[[#This Row],[Par]])=1, -(AL35-AL36)/AL35*AM35,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Row],[Par]])),(-(AL35-AL36)/AL35*AM35)+IF(TbTradesBinance[[#This Row],[Resultado]]&gt;0,0,TbTradesBinance[[#This Row],[Taxa]]),0),0))</f>
        <v>0</v>
      </c>
      <c r="AN36" s="145">
        <f t="shared" si="9"/>
        <v>0</v>
      </c>
      <c r="AO3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Row],[Tipo]]="DROP"),AO35+TbTradesBinance[[#This Row],[Qtt]],AO35-TbTradesBinance[[#This Row],[Qtt]]),IF(TbTradesBinance[[#This Row],[Tipo]]="BUY",AO35-TbTradesBinance[[#This Row],[Qtt]]*TbTradesBinance[[#This Row],[Preço]],AO35+TbTradesBinance[[#This Row],[Qtt]]*TbTradesBinance[[#This Row],[Preço]])),AO35)-IF(TbTradesBinance[[#This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Row],[Tipo]]="DROP"),AO35+TbTradesBinance[[#This Row],[Qtt]],AO35-TbTradesBinance[[#This Row],[Qtt]]),IF(TbTradesBinance[[#This Row],[Tipo]]="BUY",AO35-TbTradesBinance[[#This Row],[Qtt]]*TbTradesBinance[[#This Row],[Preço]],AO35+TbTradesBinance[[#This Row],[Qtt]]*TbTradesBinance[[#This Row],[Preço]])),AO35)-IF(TbTradesBinance[[#This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Row],[Tipo]]="DROP"),AO35+TbTradesBinance[[#This Row],[Qtt]],AO35-TbTradesBinance[[#This Row],[Qtt]]),IF(TbTradesBinance[[#This Row],[Tipo]]="BUY",AO35-TbTradesBinance[[#This Row],[Qtt]]*TbTradesBinance[[#This Row],[Preço]],AO35+TbTradesBinance[[#This Row],[Qtt]]*TbTradesBinance[[#This Row],[Preço]])),AO35)-IF(TbTradesBinance[[#This Row],[Moeda da Taxa]]=MID(AO$1,9,5),TbTradesBinance[[#This Row],[Taxa]],0),8)))</f>
        <v>0</v>
      </c>
      <c r="AP36" s="145" cm="1">
        <f t="array" ref="AP36">IF(TbTradesBinance[[#This Row],[Tipo]]="EMPTY",0,AP35+IF(TbTradesBinance[[#This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Row],[Par]]))),$1:$1,0)),-(AO35-AO36)/AO35*AP35),0),0)+IF(TbTradesBinance[[#This Row],[Tipo]]="SELL",IF(ISNUMBER(FIND(MID(AP$1,10,5),TbTradesBinance[[#This Row],[Par]])),IF(FIND(MID(AP$1,10,5),TbTradesBinance[[#This Row],[Par]])=1, -(AO35-AO36)/AO35*AP35,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Row],[Par]])),(-(AO35-AO36)/AO35*AP35)+IF(TbTradesBinance[[#This Row],[Resultado]]&gt;0,0,TbTradesBinance[[#This Row],[Taxa]]),0),0))</f>
        <v>0</v>
      </c>
      <c r="AQ36" s="145">
        <f t="shared" si="10"/>
        <v>0</v>
      </c>
      <c r="AR3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Row],[Tipo]]="DROP"),AR35+TbTradesBinance[[#This Row],[Qtt]],AR35-TbTradesBinance[[#This Row],[Qtt]]),IF(TbTradesBinance[[#This Row],[Tipo]]="BUY",AR35-TbTradesBinance[[#This Row],[Qtt]]*TbTradesBinance[[#This Row],[Preço]],AR35+TbTradesBinance[[#This Row],[Qtt]]*TbTradesBinance[[#This Row],[Preço]])),AR35)-IF(TbTradesBinance[[#This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Row],[Tipo]]="DROP"),AR35+TbTradesBinance[[#This Row],[Qtt]],AR35-TbTradesBinance[[#This Row],[Qtt]]),IF(TbTradesBinance[[#This Row],[Tipo]]="BUY",AR35-TbTradesBinance[[#This Row],[Qtt]]*TbTradesBinance[[#This Row],[Preço]],AR35+TbTradesBinance[[#This Row],[Qtt]]*TbTradesBinance[[#This Row],[Preço]])),AR35)-IF(TbTradesBinance[[#This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Row],[Tipo]]="DROP"),AR35+TbTradesBinance[[#This Row],[Qtt]],AR35-TbTradesBinance[[#This Row],[Qtt]]),IF(TbTradesBinance[[#This Row],[Tipo]]="BUY",AR35-TbTradesBinance[[#This Row],[Qtt]]*TbTradesBinance[[#This Row],[Preço]],AR35+TbTradesBinance[[#This Row],[Qtt]]*TbTradesBinance[[#This Row],[Preço]])),AR35)-IF(TbTradesBinance[[#This Row],[Moeda da Taxa]]=MID(AR$1,9,5),TbTradesBinance[[#This Row],[Taxa]],0),8)))</f>
        <v>0</v>
      </c>
      <c r="AS36" s="145" cm="1">
        <f t="array" ref="AS36">IF(TbTradesBinance[[#This Row],[Tipo]]="EMPTY",0,AS35+IF(TbTradesBinance[[#This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Row],[Par]]))),$1:$1,0)),-(AR35-AR36)/AR35*AS35),0),0)+IF(TbTradesBinance[[#This Row],[Tipo]]="SELL",IF(ISNUMBER(FIND(MID(AS$1,10,5),TbTradesBinance[[#This Row],[Par]])),IF(FIND(MID(AS$1,10,5),TbTradesBinance[[#This Row],[Par]])=1, -(AR35-AR36)/AR35*AS35,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Row],[Par]])),(-(AR35-AR36)/AR35*AS35)+IF(TbTradesBinance[[#This Row],[Resultado]]&gt;0,0,TbTradesBinance[[#This Row],[Taxa]]),0),0))</f>
        <v>0</v>
      </c>
      <c r="AT36" s="145">
        <f t="shared" si="11"/>
        <v>0</v>
      </c>
      <c r="AU3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Row],[Tipo]]="DROP"),AU35+TbTradesBinance[[#This Row],[Qtt]],AU35-TbTradesBinance[[#This Row],[Qtt]]),IF(TbTradesBinance[[#This Row],[Tipo]]="BUY",AU35-TbTradesBinance[[#This Row],[Qtt]]*TbTradesBinance[[#This Row],[Preço]],AU35+TbTradesBinance[[#This Row],[Qtt]]*TbTradesBinance[[#This Row],[Preço]])),AU35)-IF(TbTradesBinance[[#This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Row],[Tipo]]="DROP"),AU35+TbTradesBinance[[#This Row],[Qtt]],AU35-TbTradesBinance[[#This Row],[Qtt]]),IF(TbTradesBinance[[#This Row],[Tipo]]="BUY",AU35-TbTradesBinance[[#This Row],[Qtt]]*TbTradesBinance[[#This Row],[Preço]],AU35+TbTradesBinance[[#This Row],[Qtt]]*TbTradesBinance[[#This Row],[Preço]])),AU35)-IF(TbTradesBinance[[#This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Row],[Tipo]]="DROP"),AU35+TbTradesBinance[[#This Row],[Qtt]],AU35-TbTradesBinance[[#This Row],[Qtt]]),IF(TbTradesBinance[[#This Row],[Tipo]]="BUY",AU35-TbTradesBinance[[#This Row],[Qtt]]*TbTradesBinance[[#This Row],[Preço]],AU35+TbTradesBinance[[#This Row],[Qtt]]*TbTradesBinance[[#This Row],[Preço]])),AU35)-IF(TbTradesBinance[[#This Row],[Moeda da Taxa]]=MID(AU$1,9,5),TbTradesBinance[[#This Row],[Taxa]],0),8)))</f>
        <v>9.9900000000000003E-2</v>
      </c>
      <c r="AV36" s="145" cm="1">
        <f t="array" ref="AV36">IF(TbTradesBinance[[#This Row],[Tipo]]="EMPTY",0,AV35+IF(TbTradesBinance[[#This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Row],[Par]]))),$1:$1,0)),-(AU35-AU36)/AU35*AV35),0),0)+IF(TbTradesBinance[[#This Row],[Tipo]]="SELL",IF(ISNUMBER(FIND(MID(AV$1,10,5),TbTradesBinance[[#This Row],[Par]])),IF(FIND(MID(AV$1,10,5),TbTradesBinance[[#This Row],[Par]])=1, -(AU35-AU36)/AU35*AV35,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Row],[Par]])),(-(AU35-AU36)/AU35*AV35)+IF(TbTradesBinance[[#This Row],[Resultado]]&gt;0,0,TbTradesBinance[[#This Row],[Taxa]]),0),0))</f>
        <v>18.673922987511034</v>
      </c>
      <c r="AW36" s="145">
        <f t="shared" si="12"/>
        <v>186.92615603114149</v>
      </c>
      <c r="AX3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Row],[Tipo]]="DROP"),AX35+TbTradesBinance[[#This Row],[Qtt]],AX35-TbTradesBinance[[#This Row],[Qtt]]),IF(TbTradesBinance[[#This Row],[Tipo]]="BUY",AX35-TbTradesBinance[[#This Row],[Qtt]]*TbTradesBinance[[#This Row],[Preço]],AX35+TbTradesBinance[[#This Row],[Qtt]]*TbTradesBinance[[#This Row],[Preço]])),AX35)-IF(TbTradesBinance[[#This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Row],[Tipo]]="DROP"),AX35+TbTradesBinance[[#This Row],[Qtt]],AX35-TbTradesBinance[[#This Row],[Qtt]]),IF(TbTradesBinance[[#This Row],[Tipo]]="BUY",AX35-TbTradesBinance[[#This Row],[Qtt]]*TbTradesBinance[[#This Row],[Preço]],AX35+TbTradesBinance[[#This Row],[Qtt]]*TbTradesBinance[[#This Row],[Preço]])),AX35)-IF(TbTradesBinance[[#This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Row],[Tipo]]="DROP"),AX35+TbTradesBinance[[#This Row],[Qtt]],AX35-TbTradesBinance[[#This Row],[Qtt]]),IF(TbTradesBinance[[#This Row],[Tipo]]="BUY",AX35-TbTradesBinance[[#This Row],[Qtt]]*TbTradesBinance[[#This Row],[Preço]],AX35+TbTradesBinance[[#This Row],[Qtt]]*TbTradesBinance[[#This Row],[Preço]])),AX35)-IF(TbTradesBinance[[#This Row],[Moeda da Taxa]]=MID(AX$1,9,5),TbTradesBinance[[#This Row],[Taxa]],0),8)))</f>
        <v>0</v>
      </c>
      <c r="AY36" s="145" cm="1">
        <f t="array" ref="AY36">IF(TbTradesBinance[[#This Row],[Tipo]]="EMPTY",0,AY35+IF(TbTradesBinance[[#This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Row],[Par]]))),$1:$1,0)),-(AX35-AX36)/AX35*AY35),0),0)+IF(TbTradesBinance[[#This Row],[Tipo]]="SELL",IF(ISNUMBER(FIND(MID(AY$1,10,5),TbTradesBinance[[#This Row],[Par]])),IF(FIND(MID(AY$1,10,5),TbTradesBinance[[#This Row],[Par]])=1, -(AX35-AX36)/AX35*AY35,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Row],[Par]])),(-(AX35-AX36)/AX35*AY35)+IF(TbTradesBinance[[#This Row],[Resultado]]&gt;0,0,TbTradesBinance[[#This Row],[Taxa]]),0),0))</f>
        <v>0</v>
      </c>
      <c r="AZ36" s="145">
        <f t="shared" si="13"/>
        <v>0</v>
      </c>
      <c r="BA3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Row],[Tipo]]="DROP"),BA35+TbTradesBinance[[#This Row],[Qtt]],BA35-TbTradesBinance[[#This Row],[Qtt]]),IF(TbTradesBinance[[#This Row],[Tipo]]="BUY",BA35-TbTradesBinance[[#This Row],[Qtt]]*TbTradesBinance[[#This Row],[Preço]],BA35+TbTradesBinance[[#This Row],[Qtt]]*TbTradesBinance[[#This Row],[Preço]])),BA35)-IF(TbTradesBinance[[#This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Row],[Tipo]]="DROP"),BA35+TbTradesBinance[[#This Row],[Qtt]],BA35-TbTradesBinance[[#This Row],[Qtt]]),IF(TbTradesBinance[[#This Row],[Tipo]]="BUY",BA35-TbTradesBinance[[#This Row],[Qtt]]*TbTradesBinance[[#This Row],[Preço]],BA35+TbTradesBinance[[#This Row],[Qtt]]*TbTradesBinance[[#This Row],[Preço]])),BA35)-IF(TbTradesBinance[[#This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Row],[Tipo]]="DROP"),BA35+TbTradesBinance[[#This Row],[Qtt]],BA35-TbTradesBinance[[#This Row],[Qtt]]),IF(TbTradesBinance[[#This Row],[Tipo]]="BUY",BA35-TbTradesBinance[[#This Row],[Qtt]]*TbTradesBinance[[#This Row],[Preço]],BA35+TbTradesBinance[[#This Row],[Qtt]]*TbTradesBinance[[#This Row],[Preço]])),BA35)-IF(TbTradesBinance[[#This Row],[Moeda da Taxa]]=MID(BA$1,9,5),TbTradesBinance[[#This Row],[Taxa]],0),8)))</f>
        <v>0</v>
      </c>
      <c r="BB36" s="145" cm="1">
        <f t="array" ref="BB36">IF(TbTradesBinance[[#This Row],[Tipo]]="EMPTY",0,BB35+IF(TbTradesBinance[[#This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Row],[Par]]))),$1:$1,0)),-(BA35-BA36)/BA35*BB35),0),0)+IF(TbTradesBinance[[#This Row],[Tipo]]="SELL",IF(ISNUMBER(FIND(MID(BB$1,10,5),TbTradesBinance[[#This Row],[Par]])),IF(FIND(MID(BB$1,10,5),TbTradesBinance[[#This Row],[Par]])=1, -(BA35-BA36)/BA35*BB35,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Row],[Par]])),(-(BA35-BA36)/BA35*BB35)+IF(TbTradesBinance[[#This Row],[Resultado]]&gt;0,0,TbTradesBinance[[#This Row],[Taxa]]),0),0))</f>
        <v>0</v>
      </c>
      <c r="BC36" s="145">
        <f t="shared" si="14"/>
        <v>0</v>
      </c>
      <c r="BD3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Row],[Tipo]]="DROP"),BD35+TbTradesBinance[[#This Row],[Qtt]],BD35-TbTradesBinance[[#This Row],[Qtt]]),IF(TbTradesBinance[[#This Row],[Tipo]]="BUY",BD35-TbTradesBinance[[#This Row],[Qtt]]*TbTradesBinance[[#This Row],[Preço]],BD35+TbTradesBinance[[#This Row],[Qtt]]*TbTradesBinance[[#This Row],[Preço]])),BD35)-IF(TbTradesBinance[[#This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Row],[Tipo]]="DROP"),BD35+TbTradesBinance[[#This Row],[Qtt]],BD35-TbTradesBinance[[#This Row],[Qtt]]),IF(TbTradesBinance[[#This Row],[Tipo]]="BUY",BD35-TbTradesBinance[[#This Row],[Qtt]]*TbTradesBinance[[#This Row],[Preço]],BD35+TbTradesBinance[[#This Row],[Qtt]]*TbTradesBinance[[#This Row],[Preço]])),BD35)-IF(TbTradesBinance[[#This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Row],[Tipo]]="DROP"),BD35+TbTradesBinance[[#This Row],[Qtt]],BD35-TbTradesBinance[[#This Row],[Qtt]]),IF(TbTradesBinance[[#This Row],[Tipo]]="BUY",BD35-TbTradesBinance[[#This Row],[Qtt]]*TbTradesBinance[[#This Row],[Preço]],BD35+TbTradesBinance[[#This Row],[Qtt]]*TbTradesBinance[[#This Row],[Preço]])),BD35)-IF(TbTradesBinance[[#This Row],[Moeda da Taxa]]=MID(BD$1,9,5),TbTradesBinance[[#This Row],[Taxa]],0),8)))</f>
        <v>0.37962000000000001</v>
      </c>
      <c r="BE36" s="145" cm="1">
        <f t="array" ref="BE36">IF(TbTradesBinance[[#This Row],[Tipo]]="EMPTY",0,BE35+IF(TbTradesBinance[[#This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Row],[Par]]))),$1:$1,0)),-(BD35-BD36)/BD35*BE35),0),0)+IF(TbTradesBinance[[#This Row],[Tipo]]="SELL",IF(ISNUMBER(FIND(MID(BE$1,10,5),TbTradesBinance[[#This Row],[Par]])),IF(FIND(MID(BE$1,10,5),TbTradesBinance[[#This Row],[Par]])=1, -(BD35-BD36)/BD35*BE35,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Row],[Par]])),(-(BD35-BD36)/BD35*BE35)+IF(TbTradesBinance[[#This Row],[Resultado]]&gt;0,0,TbTradesBinance[[#This Row],[Taxa]]),0),0))</f>
        <v>63.647297001537943</v>
      </c>
      <c r="BF36" s="145">
        <f t="shared" si="15"/>
        <v>167.66054739354601</v>
      </c>
      <c r="BG3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Row],[Tipo]]="DROP"),BG35+TbTradesBinance[[#This Row],[Qtt]],BG35-TbTradesBinance[[#This Row],[Qtt]]),IF(TbTradesBinance[[#This Row],[Tipo]]="BUY",BG35-TbTradesBinance[[#This Row],[Qtt]]*TbTradesBinance[[#This Row],[Preço]],BG35+TbTradesBinance[[#This Row],[Qtt]]*TbTradesBinance[[#This Row],[Preço]])),BG35)-IF(TbTradesBinance[[#This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Row],[Tipo]]="DROP"),BG35+TbTradesBinance[[#This Row],[Qtt]],BG35-TbTradesBinance[[#This Row],[Qtt]]),IF(TbTradesBinance[[#This Row],[Tipo]]="BUY",BG35-TbTradesBinance[[#This Row],[Qtt]]*TbTradesBinance[[#This Row],[Preço]],BG35+TbTradesBinance[[#This Row],[Qtt]]*TbTradesBinance[[#This Row],[Preço]])),BG35)-IF(TbTradesBinance[[#This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Row],[Tipo]]="DROP"),BG35+TbTradesBinance[[#This Row],[Qtt]],BG35-TbTradesBinance[[#This Row],[Qtt]]),IF(TbTradesBinance[[#This Row],[Tipo]]="BUY",BG35-TbTradesBinance[[#This Row],[Qtt]]*TbTradesBinance[[#This Row],[Preço]],BG35+TbTradesBinance[[#This Row],[Qtt]]*TbTradesBinance[[#This Row],[Preço]])),BG35)-IF(TbTradesBinance[[#This Row],[Moeda da Taxa]]=MID(BG$1,9,5),TbTradesBinance[[#This Row],[Taxa]],0),8)))</f>
        <v>0</v>
      </c>
      <c r="BH36" s="145" cm="1">
        <f t="array" ref="BH36">IF(TbTradesBinance[[#This Row],[Tipo]]="EMPTY",0,BH35+IF(TbTradesBinance[[#This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Row],[Par]]))),$1:$1,0)),-(BG35-BG36)/BG35*BH35),0),0)+IF(TbTradesBinance[[#This Row],[Tipo]]="SELL",IF(ISNUMBER(FIND(MID(BH$1,10,5),TbTradesBinance[[#This Row],[Par]])),IF(FIND(MID(BH$1,10,5),TbTradesBinance[[#This Row],[Par]])=1, -(BG35-BG36)/BG35*BH35,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Row],[Par]])),(-(BG35-BG36)/BG35*BH35)+IF(TbTradesBinance[[#This Row],[Resultado]]&gt;0,0,TbTradesBinance[[#This Row],[Taxa]]),0),0))</f>
        <v>0</v>
      </c>
      <c r="BI36" s="145">
        <f t="shared" si="16"/>
        <v>0</v>
      </c>
      <c r="BJ3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Row],[Tipo]]="DROP"),BJ35+TbTradesBinance[[#This Row],[Qtt]],BJ35-TbTradesBinance[[#This Row],[Qtt]]),IF(TbTradesBinance[[#This Row],[Tipo]]="BUY",BJ35-TbTradesBinance[[#This Row],[Qtt]]*TbTradesBinance[[#This Row],[Preço]],BJ35+TbTradesBinance[[#This Row],[Qtt]]*TbTradesBinance[[#This Row],[Preço]])),BJ35)-IF(TbTradesBinance[[#This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Row],[Tipo]]="DROP"),BJ35+TbTradesBinance[[#This Row],[Qtt]],BJ35-TbTradesBinance[[#This Row],[Qtt]]),IF(TbTradesBinance[[#This Row],[Tipo]]="BUY",BJ35-TbTradesBinance[[#This Row],[Qtt]]*TbTradesBinance[[#This Row],[Preço]],BJ35+TbTradesBinance[[#This Row],[Qtt]]*TbTradesBinance[[#This Row],[Preço]])),BJ35)-IF(TbTradesBinance[[#This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Row],[Tipo]]="DROP"),BJ35+TbTradesBinance[[#This Row],[Qtt]],BJ35-TbTradesBinance[[#This Row],[Qtt]]),IF(TbTradesBinance[[#This Row],[Tipo]]="BUY",BJ35-TbTradesBinance[[#This Row],[Qtt]]*TbTradesBinance[[#This Row],[Preço]],BJ35+TbTradesBinance[[#This Row],[Qtt]]*TbTradesBinance[[#This Row],[Preço]])),BJ35)-IF(TbTradesBinance[[#This Row],[Moeda da Taxa]]=MID(BJ$1,9,5),TbTradesBinance[[#This Row],[Taxa]],0),8)))</f>
        <v>0</v>
      </c>
      <c r="BK36" s="145" cm="1">
        <f t="array" ref="BK36">IF(TbTradesBinance[[#This Row],[Tipo]]="EMPTY",0,BK35+IF(TbTradesBinance[[#This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Row],[Par]]))),$1:$1,0)),-(BJ35-BJ36)/BJ35*BK35),0),0)+IF(TbTradesBinance[[#This Row],[Tipo]]="SELL",IF(ISNUMBER(FIND(MID(BK$1,10,5),TbTradesBinance[[#This Row],[Par]])),IF(FIND(MID(BK$1,10,5),TbTradesBinance[[#This Row],[Par]])=1, -(BJ35-BJ36)/BJ35*BK35,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Row],[Par]])),(-(BJ35-BJ36)/BJ35*BK35)+IF(TbTradesBinance[[#This Row],[Resultado]]&gt;0,0,TbTradesBinance[[#This Row],[Taxa]]),0),0))</f>
        <v>0</v>
      </c>
      <c r="BL36" s="145">
        <f t="shared" si="17"/>
        <v>0</v>
      </c>
      <c r="BM3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Row],[Tipo]]="DROP"),BM35+TbTradesBinance[[#This Row],[Qtt]],BM35-TbTradesBinance[[#This Row],[Qtt]]),IF(TbTradesBinance[[#This Row],[Tipo]]="BUY",BM35-TbTradesBinance[[#This Row],[Qtt]]*TbTradesBinance[[#This Row],[Preço]],BM35+TbTradesBinance[[#This Row],[Qtt]]*TbTradesBinance[[#This Row],[Preço]])),BM35)-IF(TbTradesBinance[[#This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Row],[Tipo]]="DROP"),BM35+TbTradesBinance[[#This Row],[Qtt]],BM35-TbTradesBinance[[#This Row],[Qtt]]),IF(TbTradesBinance[[#This Row],[Tipo]]="BUY",BM35-TbTradesBinance[[#This Row],[Qtt]]*TbTradesBinance[[#This Row],[Preço]],BM35+TbTradesBinance[[#This Row],[Qtt]]*TbTradesBinance[[#This Row],[Preço]])),BM35)-IF(TbTradesBinance[[#This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Row],[Tipo]]="DROP"),BM35+TbTradesBinance[[#This Row],[Qtt]],BM35-TbTradesBinance[[#This Row],[Qtt]]),IF(TbTradesBinance[[#This Row],[Tipo]]="BUY",BM35-TbTradesBinance[[#This Row],[Qtt]]*TbTradesBinance[[#This Row],[Preço]],BM35+TbTradesBinance[[#This Row],[Qtt]]*TbTradesBinance[[#This Row],[Preço]])),BM35)-IF(TbTradesBinance[[#This Row],[Moeda da Taxa]]=MID(BM$1,9,5),TbTradesBinance[[#This Row],[Taxa]],0),8)))</f>
        <v>0</v>
      </c>
      <c r="BN36" s="145" cm="1">
        <f t="array" ref="BN36">IF(TbTradesBinance[[#This Row],[Tipo]]="EMPTY",0,BN35+IF(TbTradesBinance[[#This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Row],[Par]]))),$1:$1,0)),-(BM35-BM36)/BM35*BN35),0),0)+IF(TbTradesBinance[[#This Row],[Tipo]]="SELL",IF(ISNUMBER(FIND(MID(BN$1,10,5),TbTradesBinance[[#This Row],[Par]])),IF(FIND(MID(BN$1,10,5),TbTradesBinance[[#This Row],[Par]])=1, -(BM35-BM36)/BM35*BN35,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Row],[Par]])),(-(BM35-BM36)/BM35*BN35)+IF(TbTradesBinance[[#This Row],[Resultado]]&gt;0,0,TbTradesBinance[[#This Row],[Taxa]]),0),0))</f>
        <v>0</v>
      </c>
      <c r="BO36" s="145">
        <f t="shared" si="18"/>
        <v>0</v>
      </c>
    </row>
    <row r="37" spans="2:67" x14ac:dyDescent="0.3">
      <c r="B37" s="51" t="s">
        <v>240</v>
      </c>
      <c r="C37" s="40">
        <f>TRUNC(IF(AND(TbTradesBinance[[#This Row],[Tipo]]="SEND",TbTradesBinance[[#This Row],[Par]]="BRL"),TbTradesBinance[[#This Row],[Qtt]]*(1-P35)-IF(TbTradesBinance[[#This Row],[Moeda da Taxa]]="BRL",TbTradesBinance[[#This Row],[Taxa]],0),0)+IF(AND(TbTradesBinance[[#This Row],[Tipo]]="BURN",TbTradesBinance[[#This Row],[Par]]="BRL"),-TbTradesBinance[[#This Row],[Qtt]]*P35,0),2)</f>
        <v>0</v>
      </c>
      <c r="D37" s="53">
        <v>44261.801747685182</v>
      </c>
      <c r="E37" s="37" t="s">
        <v>60</v>
      </c>
      <c r="F37" s="47" t="s">
        <v>137</v>
      </c>
      <c r="G37" s="38">
        <v>1</v>
      </c>
      <c r="H37" s="38">
        <v>100000</v>
      </c>
      <c r="I37" s="38">
        <v>0</v>
      </c>
      <c r="J37" s="37" t="s">
        <v>60</v>
      </c>
      <c r="K37" s="52">
        <v>6.65</v>
      </c>
      <c r="L37" s="40">
        <f t="shared" si="0"/>
        <v>6.65</v>
      </c>
      <c r="M37" s="40">
        <f>IF(OR(TbTradesBinance[[#This Row],[Tipo]]="BUY",TbTradesBinance[[#This Row],[Tipo]]="RECEIVE",TbTradesBinance[[#This Row],[Tipo]]="DROP"),L37*H37,-L37*H37)</f>
        <v>665000</v>
      </c>
      <c r="N3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Row],[Tipo]]="DROP"),N36+TbTradesBinance[[#This Row],[Qtt]],N36-TbTradesBinance[[#This Row],[Qtt]]),IF(TbTradesBinance[[#This Row],[Tipo]]="BUY",N36-TbTradesBinance[[#This Row],[Qtt]]*TbTradesBinance[[#This Row],[Preço]],N36+TbTradesBinance[[#This Row],[Qtt]]*TbTradesBinance[[#This Row],[Preço]])),N36)-IF(TbTradesBinance[[#This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Row],[Tipo]]="DROP"),N36+TbTradesBinance[[#This Row],[Qtt]],N36-TbTradesBinance[[#This Row],[Qtt]]),IF(TbTradesBinance[[#This Row],[Tipo]]="BUY",N36-TbTradesBinance[[#This Row],[Qtt]]*TbTradesBinance[[#This Row],[Preço]],N36+TbTradesBinance[[#This Row],[Qtt]]*TbTradesBinance[[#This Row],[Preço]])),N36)-IF(TbTradesBinance[[#This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Row],[Tipo]]="DROP"),N36+TbTradesBinance[[#This Row],[Qtt]],N36-TbTradesBinance[[#This Row],[Qtt]]),IF(TbTradesBinance[[#This Row],[Tipo]]="BUY",N36-TbTradesBinance[[#This Row],[Qtt]]*TbTradesBinance[[#This Row],[Preço]],N36+TbTradesBinance[[#This Row],[Qtt]]*TbTradesBinance[[#This Row],[Preço]])),N36)-IF(TbTradesBinance[[#This Row],[Moeda da Taxa]]=MID(N$1,9,5),TbTradesBinance[[#This Row],[Taxa]],0),8)))</f>
        <v>119745.56018689</v>
      </c>
      <c r="O37" s="145" cm="1">
        <f t="array" ref="O37">IF(TbTradesBinance[[#This Row],[Tipo]]="EMPTY",0,O36+IF(TbTradesBinance[[#This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Row],[Par]]))),$1:$1,0)),-(N36-N37)/N36*O36),0),0)+IF(TbTradesBinance[[#This Row],[Tipo]]="SELL",IF(ISNUMBER(FIND(MID(O$1,10,5),TbTradesBinance[[#This Row],[Par]])),IF(FIND(MID(O$1,10,5),TbTradesBinance[[#This Row],[Par]])=1, -(N36-N37)/N36*O36,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Row],[Par]])),(-(N36-N37)/N36*O36)+IF(TbTradesBinance[[#This Row],[Resultado]]&gt;0,0,TbTradesBinance[[#This Row],[Taxa]]),0),0))</f>
        <v>119697.34543442423</v>
      </c>
      <c r="P37" s="145">
        <f t="shared" si="1"/>
        <v>0.99959735665864757</v>
      </c>
      <c r="Q3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Row],[Tipo]]="DROP"),Q36+TbTradesBinance[[#This Row],[Qtt]],Q36-TbTradesBinance[[#This Row],[Qtt]]),IF(TbTradesBinance[[#This Row],[Tipo]]="BUY",Q36-TbTradesBinance[[#This Row],[Qtt]]*TbTradesBinance[[#This Row],[Preço]],Q36+TbTradesBinance[[#This Row],[Qtt]]*TbTradesBinance[[#This Row],[Preço]])),Q36)-IF(TbTradesBinance[[#This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Row],[Tipo]]="DROP"),Q36+TbTradesBinance[[#This Row],[Qtt]],Q36-TbTradesBinance[[#This Row],[Qtt]]),IF(TbTradesBinance[[#This Row],[Tipo]]="BUY",Q36-TbTradesBinance[[#This Row],[Qtt]]*TbTradesBinance[[#This Row],[Preço]],Q36+TbTradesBinance[[#This Row],[Qtt]]*TbTradesBinance[[#This Row],[Preço]])),Q36)-IF(TbTradesBinance[[#This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Row],[Tipo]]="DROP"),Q36+TbTradesBinance[[#This Row],[Qtt]],Q36-TbTradesBinance[[#This Row],[Qtt]]),IF(TbTradesBinance[[#This Row],[Tipo]]="BUY",Q36-TbTradesBinance[[#This Row],[Qtt]]*TbTradesBinance[[#This Row],[Preço]],Q36+TbTradesBinance[[#This Row],[Qtt]]*TbTradesBinance[[#This Row],[Preço]])),Q36)-IF(TbTradesBinance[[#This Row],[Moeda da Taxa]]=MID(Q$1,9,5),TbTradesBinance[[#This Row],[Taxa]],0),8)))</f>
        <v>0.27732999000000003</v>
      </c>
      <c r="R37" s="145" cm="1">
        <f t="array" ref="R37">IF(TbTradesBinance[[#This Row],[Tipo]]="EMPTY",0,R36+IF(TbTradesBinance[[#This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Row],[Par]]))),$1:$1,0)),-(Q36-Q37)/Q36*R36),0),0)+IF(TbTradesBinance[[#This Row],[Tipo]]="SELL",IF(ISNUMBER(FIND(MID(R$1,10,5),TbTradesBinance[[#This Row],[Par]])),IF(FIND(MID(R$1,10,5),TbTradesBinance[[#This Row],[Par]])=1, -(Q36-Q37)/Q36*R36,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Row],[Par]])),(-(Q36-Q37)/Q36*R36)+IF(TbTradesBinance[[#This Row],[Resultado]]&gt;0,0,TbTradesBinance[[#This Row],[Taxa]]),0),0))</f>
        <v>1.5509449279899954</v>
      </c>
      <c r="S37" s="145">
        <f t="shared" si="2"/>
        <v>5.592416918163071</v>
      </c>
      <c r="T3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Row],[Tipo]]="DROP"),T36+TbTradesBinance[[#This Row],[Qtt]],T36-TbTradesBinance[[#This Row],[Qtt]]),IF(TbTradesBinance[[#This Row],[Tipo]]="BUY",T36-TbTradesBinance[[#This Row],[Qtt]]*TbTradesBinance[[#This Row],[Preço]],T36+TbTradesBinance[[#This Row],[Qtt]]*TbTradesBinance[[#This Row],[Preço]])),T36)-IF(TbTradesBinance[[#This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Row],[Tipo]]="DROP"),T36+TbTradesBinance[[#This Row],[Qtt]],T36-TbTradesBinance[[#This Row],[Qtt]]),IF(TbTradesBinance[[#This Row],[Tipo]]="BUY",T36-TbTradesBinance[[#This Row],[Qtt]]*TbTradesBinance[[#This Row],[Preço]],T36+TbTradesBinance[[#This Row],[Qtt]]*TbTradesBinance[[#This Row],[Preço]])),T36)-IF(TbTradesBinance[[#This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Row],[Tipo]]="DROP"),T36+TbTradesBinance[[#This Row],[Qtt]],T36-TbTradesBinance[[#This Row],[Qtt]]),IF(TbTradesBinance[[#This Row],[Tipo]]="BUY",T36-TbTradesBinance[[#This Row],[Qtt]]*TbTradesBinance[[#This Row],[Preço]],T36+TbTradesBinance[[#This Row],[Qtt]]*TbTradesBinance[[#This Row],[Preço]])),T36)-IF(TbTradesBinance[[#This Row],[Moeda da Taxa]]=MID(T$1,9,5),TbTradesBinance[[#This Row],[Taxa]],0),8)))</f>
        <v>199901.62867387</v>
      </c>
      <c r="U37" s="145" cm="1">
        <f t="array" ref="U37">IF(TbTradesBinance[[#This Row],[Tipo]]="EMPTY",0,U36+IF(TbTradesBinance[[#This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Row],[Par]]))),$1:$1,0)),-(T36-T37)/T36*U36),0),0)+IF(TbTradesBinance[[#This Row],[Tipo]]="SELL",IF(ISNUMBER(FIND(MID(U$1,10,5),TbTradesBinance[[#This Row],[Par]])),IF(FIND(MID(U$1,10,5),TbTradesBinance[[#This Row],[Par]])=1, -(T36-T37)/T36*U36,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Row],[Par]])),(-(T36-T37)/T36*U36)+IF(TbTradesBinance[[#This Row],[Resultado]]&gt;0,0,TbTradesBinance[[#This Row],[Taxa]]),0),0))</f>
        <v>1329345.8336541553</v>
      </c>
      <c r="V37" s="145">
        <f t="shared" si="3"/>
        <v>6.6500000148719138</v>
      </c>
      <c r="W3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Row],[Tipo]]="DROP"),W36+TbTradesBinance[[#This Row],[Qtt]],W36-TbTradesBinance[[#This Row],[Qtt]]),IF(TbTradesBinance[[#This Row],[Tipo]]="BUY",W36-TbTradesBinance[[#This Row],[Qtt]]*TbTradesBinance[[#This Row],[Preço]],W36+TbTradesBinance[[#This Row],[Qtt]]*TbTradesBinance[[#This Row],[Preço]])),W36)-IF(TbTradesBinance[[#This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Row],[Tipo]]="DROP"),W36+TbTradesBinance[[#This Row],[Qtt]],W36-TbTradesBinance[[#This Row],[Qtt]]),IF(TbTradesBinance[[#This Row],[Tipo]]="BUY",W36-TbTradesBinance[[#This Row],[Qtt]]*TbTradesBinance[[#This Row],[Preço]],W36+TbTradesBinance[[#This Row],[Qtt]]*TbTradesBinance[[#This Row],[Preço]])),W36)-IF(TbTradesBinance[[#This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Row],[Tipo]]="DROP"),W36+TbTradesBinance[[#This Row],[Qtt]],W36-TbTradesBinance[[#This Row],[Qtt]]),IF(TbTradesBinance[[#This Row],[Tipo]]="BUY",W36-TbTradesBinance[[#This Row],[Qtt]]*TbTradesBinance[[#This Row],[Preço]],W36+TbTradesBinance[[#This Row],[Qtt]]*TbTradesBinance[[#This Row],[Preço]])),W36)-IF(TbTradesBinance[[#This Row],[Moeda da Taxa]]=MID(W$1,9,5),TbTradesBinance[[#This Row],[Taxa]],0),8)))</f>
        <v>3.2095700000000001E-3</v>
      </c>
      <c r="X37" s="145" cm="1">
        <f t="array" ref="X37">IF(TbTradesBinance[[#This Row],[Tipo]]="EMPTY",0,X36+IF(TbTradesBinance[[#This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Row],[Par]]))),$1:$1,0)),-(W36-W37)/W36*X36),0),0)+IF(TbTradesBinance[[#This Row],[Tipo]]="SELL",IF(ISNUMBER(FIND(MID(X$1,10,5),TbTradesBinance[[#This Row],[Par]])),IF(FIND(MID(X$1,10,5),TbTradesBinance[[#This Row],[Par]])=1, -(W36-W37)/W36*X36,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Row],[Par]])),(-(W36-W37)/W36*X36)+IF(TbTradesBinance[[#This Row],[Resultado]]&gt;0,0,TbTradesBinance[[#This Row],[Taxa]]),0),0))</f>
        <v>872.94874650351107</v>
      </c>
      <c r="Y37" s="145">
        <f t="shared" si="4"/>
        <v>271983.08387214207</v>
      </c>
      <c r="Z3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Row],[Tipo]]="DROP"),Z36+TbTradesBinance[[#This Row],[Qtt]],Z36-TbTradesBinance[[#This Row],[Qtt]]),IF(TbTradesBinance[[#This Row],[Tipo]]="BUY",Z36-TbTradesBinance[[#This Row],[Qtt]]*TbTradesBinance[[#This Row],[Preço]],Z36+TbTradesBinance[[#This Row],[Qtt]]*TbTradesBinance[[#This Row],[Preço]])),Z36)-IF(TbTradesBinance[[#This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Row],[Tipo]]="DROP"),Z36+TbTradesBinance[[#This Row],[Qtt]],Z36-TbTradesBinance[[#This Row],[Qtt]]),IF(TbTradesBinance[[#This Row],[Tipo]]="BUY",Z36-TbTradesBinance[[#This Row],[Qtt]]*TbTradesBinance[[#This Row],[Preço]],Z36+TbTradesBinance[[#This Row],[Qtt]]*TbTradesBinance[[#This Row],[Preço]])),Z36)-IF(TbTradesBinance[[#This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Row],[Tipo]]="DROP"),Z36+TbTradesBinance[[#This Row],[Qtt]],Z36-TbTradesBinance[[#This Row],[Qtt]]),IF(TbTradesBinance[[#This Row],[Tipo]]="BUY",Z36-TbTradesBinance[[#This Row],[Qtt]]*TbTradesBinance[[#This Row],[Preço]],Z36+TbTradesBinance[[#This Row],[Qtt]]*TbTradesBinance[[#This Row],[Preço]])),Z36)-IF(TbTradesBinance[[#This Row],[Moeda da Taxa]]=MID(Z$1,9,5),TbTradesBinance[[#This Row],[Taxa]],0),8)))</f>
        <v>0</v>
      </c>
      <c r="AA37" s="145" cm="1">
        <f t="array" ref="AA37">IF(TbTradesBinance[[#This Row],[Tipo]]="EMPTY",0,AA36+IF(TbTradesBinance[[#This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Row],[Par]]))),$1:$1,0)),-(Z36-Z37)/Z36*AA36),0),0)+IF(TbTradesBinance[[#This Row],[Tipo]]="SELL",IF(ISNUMBER(FIND(MID(AA$1,10,5),TbTradesBinance[[#This Row],[Par]])),IF(FIND(MID(AA$1,10,5),TbTradesBinance[[#This Row],[Par]])=1, -(Z36-Z37)/Z36*AA36,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Row],[Par]])),(-(Z36-Z37)/Z36*AA36)+IF(TbTradesBinance[[#This Row],[Resultado]]&gt;0,0,TbTradesBinance[[#This Row],[Taxa]]),0),0))</f>
        <v>0</v>
      </c>
      <c r="AB37" s="145">
        <f t="shared" si="5"/>
        <v>0</v>
      </c>
      <c r="AC3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Row],[Tipo]]="DROP"),AC36+TbTradesBinance[[#This Row],[Qtt]],AC36-TbTradesBinance[[#This Row],[Qtt]]),IF(TbTradesBinance[[#This Row],[Tipo]]="BUY",AC36-TbTradesBinance[[#This Row],[Qtt]]*TbTradesBinance[[#This Row],[Preço]],AC36+TbTradesBinance[[#This Row],[Qtt]]*TbTradesBinance[[#This Row],[Preço]])),AC36)-IF(TbTradesBinance[[#This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Row],[Tipo]]="DROP"),AC36+TbTradesBinance[[#This Row],[Qtt]],AC36-TbTradesBinance[[#This Row],[Qtt]]),IF(TbTradesBinance[[#This Row],[Tipo]]="BUY",AC36-TbTradesBinance[[#This Row],[Qtt]]*TbTradesBinance[[#This Row],[Preço]],AC36+TbTradesBinance[[#This Row],[Qtt]]*TbTradesBinance[[#This Row],[Preço]])),AC36)-IF(TbTradesBinance[[#This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Row],[Tipo]]="DROP"),AC36+TbTradesBinance[[#This Row],[Qtt]],AC36-TbTradesBinance[[#This Row],[Qtt]]),IF(TbTradesBinance[[#This Row],[Tipo]]="BUY",AC36-TbTradesBinance[[#This Row],[Qtt]]*TbTradesBinance[[#This Row],[Preço]],AC36+TbTradesBinance[[#This Row],[Qtt]]*TbTradesBinance[[#This Row],[Preço]])),AC36)-IF(TbTradesBinance[[#This Row],[Moeda da Taxa]]=MID(AC$1,9,5),TbTradesBinance[[#This Row],[Taxa]],0),8)))</f>
        <v>0</v>
      </c>
      <c r="AD37" s="145" cm="1">
        <f t="array" ref="AD37">IF(TbTradesBinance[[#This Row],[Tipo]]="EMPTY",0,AD36+IF(TbTradesBinance[[#This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Row],[Par]]))),$1:$1,0)),-(AC36-AC37)/AC36*AD36),0),0)+IF(TbTradesBinance[[#This Row],[Tipo]]="SELL",IF(ISNUMBER(FIND(MID(AD$1,10,5),TbTradesBinance[[#This Row],[Par]])),IF(FIND(MID(AD$1,10,5),TbTradesBinance[[#This Row],[Par]])=1, -(AC36-AC37)/AC36*AD36,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Row],[Par]])),(-(AC36-AC37)/AC36*AD36)+IF(TbTradesBinance[[#This Row],[Resultado]]&gt;0,0,TbTradesBinance[[#This Row],[Taxa]]),0),0))</f>
        <v>0</v>
      </c>
      <c r="AE37" s="145">
        <f t="shared" si="6"/>
        <v>0</v>
      </c>
      <c r="AF3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Row],[Tipo]]="DROP"),AF36+TbTradesBinance[[#This Row],[Qtt]],AF36-TbTradesBinance[[#This Row],[Qtt]]),IF(TbTradesBinance[[#This Row],[Tipo]]="BUY",AF36-TbTradesBinance[[#This Row],[Qtt]]*TbTradesBinance[[#This Row],[Preço]],AF36+TbTradesBinance[[#This Row],[Qtt]]*TbTradesBinance[[#This Row],[Preço]])),AF36)-IF(TbTradesBinance[[#This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Row],[Tipo]]="DROP"),AF36+TbTradesBinance[[#This Row],[Qtt]],AF36-TbTradesBinance[[#This Row],[Qtt]]),IF(TbTradesBinance[[#This Row],[Tipo]]="BUY",AF36-TbTradesBinance[[#This Row],[Qtt]]*TbTradesBinance[[#This Row],[Preço]],AF36+TbTradesBinance[[#This Row],[Qtt]]*TbTradesBinance[[#This Row],[Preço]])),AF36)-IF(TbTradesBinance[[#This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Row],[Tipo]]="DROP"),AF36+TbTradesBinance[[#This Row],[Qtt]],AF36-TbTradesBinance[[#This Row],[Qtt]]),IF(TbTradesBinance[[#This Row],[Tipo]]="BUY",AF36-TbTradesBinance[[#This Row],[Qtt]]*TbTradesBinance[[#This Row],[Preço]],AF36+TbTradesBinance[[#This Row],[Qtt]]*TbTradesBinance[[#This Row],[Preço]])),AF36)-IF(TbTradesBinance[[#This Row],[Moeda da Taxa]]=MID(AF$1,9,5),TbTradesBinance[[#This Row],[Taxa]],0),8)))</f>
        <v>0</v>
      </c>
      <c r="AG37" s="145" cm="1">
        <f t="array" ref="AG37">IF(TbTradesBinance[[#This Row],[Tipo]]="EMPTY",0,AG36+IF(TbTradesBinance[[#This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Row],[Par]]))),$1:$1,0)),-(AF36-AF37)/AF36*AG36),0),0)+IF(TbTradesBinance[[#This Row],[Tipo]]="SELL",IF(ISNUMBER(FIND(MID(AG$1,10,5),TbTradesBinance[[#This Row],[Par]])),IF(FIND(MID(AG$1,10,5),TbTradesBinance[[#This Row],[Par]])=1, -(AF36-AF37)/AF36*AG36,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Row],[Par]])),(-(AF36-AF37)/AF36*AG36)+IF(TbTradesBinance[[#This Row],[Resultado]]&gt;0,0,TbTradesBinance[[#This Row],[Taxa]]),0),0))</f>
        <v>0</v>
      </c>
      <c r="AH37" s="145">
        <f t="shared" si="7"/>
        <v>0</v>
      </c>
      <c r="AI3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Row],[Tipo]]="DROP"),AI36+TbTradesBinance[[#This Row],[Qtt]],AI36-TbTradesBinance[[#This Row],[Qtt]]),IF(TbTradesBinance[[#This Row],[Tipo]]="BUY",AI36-TbTradesBinance[[#This Row],[Qtt]]*TbTradesBinance[[#This Row],[Preço]],AI36+TbTradesBinance[[#This Row],[Qtt]]*TbTradesBinance[[#This Row],[Preço]])),AI36)-IF(TbTradesBinance[[#This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Row],[Tipo]]="DROP"),AI36+TbTradesBinance[[#This Row],[Qtt]],AI36-TbTradesBinance[[#This Row],[Qtt]]),IF(TbTradesBinance[[#This Row],[Tipo]]="BUY",AI36-TbTradesBinance[[#This Row],[Qtt]]*TbTradesBinance[[#This Row],[Preço]],AI36+TbTradesBinance[[#This Row],[Qtt]]*TbTradesBinance[[#This Row],[Preço]])),AI36)-IF(TbTradesBinance[[#This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Row],[Tipo]]="DROP"),AI36+TbTradesBinance[[#This Row],[Qtt]],AI36-TbTradesBinance[[#This Row],[Qtt]]),IF(TbTradesBinance[[#This Row],[Tipo]]="BUY",AI36-TbTradesBinance[[#This Row],[Qtt]]*TbTradesBinance[[#This Row],[Preço]],AI36+TbTradesBinance[[#This Row],[Qtt]]*TbTradesBinance[[#This Row],[Preço]])),AI36)-IF(TbTradesBinance[[#This Row],[Moeda da Taxa]]=MID(AI$1,9,5),TbTradesBinance[[#This Row],[Taxa]],0),8)))</f>
        <v>0</v>
      </c>
      <c r="AJ37" s="145" cm="1">
        <f t="array" ref="AJ37">IF(TbTradesBinance[[#This Row],[Tipo]]="EMPTY",0,AJ36+IF(TbTradesBinance[[#This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Row],[Par]]))),$1:$1,0)),-(AI36-AI37)/AI36*AJ36),0),0)+IF(TbTradesBinance[[#This Row],[Tipo]]="SELL",IF(ISNUMBER(FIND(MID(AJ$1,10,5),TbTradesBinance[[#This Row],[Par]])),IF(FIND(MID(AJ$1,10,5),TbTradesBinance[[#This Row],[Par]])=1, -(AI36-AI37)/AI36*AJ36,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Row],[Par]])),(-(AI36-AI37)/AI36*AJ36)+IF(TbTradesBinance[[#This Row],[Resultado]]&gt;0,0,TbTradesBinance[[#This Row],[Taxa]]),0),0))</f>
        <v>0</v>
      </c>
      <c r="AK37" s="145">
        <f t="shared" si="8"/>
        <v>0</v>
      </c>
      <c r="AL3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Row],[Tipo]]="DROP"),AL36+TbTradesBinance[[#This Row],[Qtt]],AL36-TbTradesBinance[[#This Row],[Qtt]]),IF(TbTradesBinance[[#This Row],[Tipo]]="BUY",AL36-TbTradesBinance[[#This Row],[Qtt]]*TbTradesBinance[[#This Row],[Preço]],AL36+TbTradesBinance[[#This Row],[Qtt]]*TbTradesBinance[[#This Row],[Preço]])),AL36)-IF(TbTradesBinance[[#This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Row],[Tipo]]="DROP"),AL36+TbTradesBinance[[#This Row],[Qtt]],AL36-TbTradesBinance[[#This Row],[Qtt]]),IF(TbTradesBinance[[#This Row],[Tipo]]="BUY",AL36-TbTradesBinance[[#This Row],[Qtt]]*TbTradesBinance[[#This Row],[Preço]],AL36+TbTradesBinance[[#This Row],[Qtt]]*TbTradesBinance[[#This Row],[Preço]])),AL36)-IF(TbTradesBinance[[#This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Row],[Tipo]]="DROP"),AL36+TbTradesBinance[[#This Row],[Qtt]],AL36-TbTradesBinance[[#This Row],[Qtt]]),IF(TbTradesBinance[[#This Row],[Tipo]]="BUY",AL36-TbTradesBinance[[#This Row],[Qtt]]*TbTradesBinance[[#This Row],[Preço]],AL36+TbTradesBinance[[#This Row],[Qtt]]*TbTradesBinance[[#This Row],[Preço]])),AL36)-IF(TbTradesBinance[[#This Row],[Moeda da Taxa]]=MID(AL$1,9,5),TbTradesBinance[[#This Row],[Taxa]],0),8)))</f>
        <v>0</v>
      </c>
      <c r="AM37" s="145" cm="1">
        <f t="array" ref="AM37">IF(TbTradesBinance[[#This Row],[Tipo]]="EMPTY",0,AM36+IF(TbTradesBinance[[#This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Row],[Par]]))),$1:$1,0)),-(AL36-AL37)/AL36*AM36),0),0)+IF(TbTradesBinance[[#This Row],[Tipo]]="SELL",IF(ISNUMBER(FIND(MID(AM$1,10,5),TbTradesBinance[[#This Row],[Par]])),IF(FIND(MID(AM$1,10,5),TbTradesBinance[[#This Row],[Par]])=1, -(AL36-AL37)/AL36*AM36,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Row],[Par]])),(-(AL36-AL37)/AL36*AM36)+IF(TbTradesBinance[[#This Row],[Resultado]]&gt;0,0,TbTradesBinance[[#This Row],[Taxa]]),0),0))</f>
        <v>0</v>
      </c>
      <c r="AN37" s="145">
        <f t="shared" si="9"/>
        <v>0</v>
      </c>
      <c r="AO3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Row],[Tipo]]="DROP"),AO36+TbTradesBinance[[#This Row],[Qtt]],AO36-TbTradesBinance[[#This Row],[Qtt]]),IF(TbTradesBinance[[#This Row],[Tipo]]="BUY",AO36-TbTradesBinance[[#This Row],[Qtt]]*TbTradesBinance[[#This Row],[Preço]],AO36+TbTradesBinance[[#This Row],[Qtt]]*TbTradesBinance[[#This Row],[Preço]])),AO36)-IF(TbTradesBinance[[#This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Row],[Tipo]]="DROP"),AO36+TbTradesBinance[[#This Row],[Qtt]],AO36-TbTradesBinance[[#This Row],[Qtt]]),IF(TbTradesBinance[[#This Row],[Tipo]]="BUY",AO36-TbTradesBinance[[#This Row],[Qtt]]*TbTradesBinance[[#This Row],[Preço]],AO36+TbTradesBinance[[#This Row],[Qtt]]*TbTradesBinance[[#This Row],[Preço]])),AO36)-IF(TbTradesBinance[[#This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Row],[Tipo]]="DROP"),AO36+TbTradesBinance[[#This Row],[Qtt]],AO36-TbTradesBinance[[#This Row],[Qtt]]),IF(TbTradesBinance[[#This Row],[Tipo]]="BUY",AO36-TbTradesBinance[[#This Row],[Qtt]]*TbTradesBinance[[#This Row],[Preço]],AO36+TbTradesBinance[[#This Row],[Qtt]]*TbTradesBinance[[#This Row],[Preço]])),AO36)-IF(TbTradesBinance[[#This Row],[Moeda da Taxa]]=MID(AO$1,9,5),TbTradesBinance[[#This Row],[Taxa]],0),8)))</f>
        <v>0</v>
      </c>
      <c r="AP37" s="145" cm="1">
        <f t="array" ref="AP37">IF(TbTradesBinance[[#This Row],[Tipo]]="EMPTY",0,AP36+IF(TbTradesBinance[[#This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Row],[Par]]))),$1:$1,0)),-(AO36-AO37)/AO36*AP36),0),0)+IF(TbTradesBinance[[#This Row],[Tipo]]="SELL",IF(ISNUMBER(FIND(MID(AP$1,10,5),TbTradesBinance[[#This Row],[Par]])),IF(FIND(MID(AP$1,10,5),TbTradesBinance[[#This Row],[Par]])=1, -(AO36-AO37)/AO36*AP36,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Row],[Par]])),(-(AO36-AO37)/AO36*AP36)+IF(TbTradesBinance[[#This Row],[Resultado]]&gt;0,0,TbTradesBinance[[#This Row],[Taxa]]),0),0))</f>
        <v>0</v>
      </c>
      <c r="AQ37" s="145">
        <f t="shared" si="10"/>
        <v>0</v>
      </c>
      <c r="AR3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Row],[Tipo]]="DROP"),AR36+TbTradesBinance[[#This Row],[Qtt]],AR36-TbTradesBinance[[#This Row],[Qtt]]),IF(TbTradesBinance[[#This Row],[Tipo]]="BUY",AR36-TbTradesBinance[[#This Row],[Qtt]]*TbTradesBinance[[#This Row],[Preço]],AR36+TbTradesBinance[[#This Row],[Qtt]]*TbTradesBinance[[#This Row],[Preço]])),AR36)-IF(TbTradesBinance[[#This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Row],[Tipo]]="DROP"),AR36+TbTradesBinance[[#This Row],[Qtt]],AR36-TbTradesBinance[[#This Row],[Qtt]]),IF(TbTradesBinance[[#This Row],[Tipo]]="BUY",AR36-TbTradesBinance[[#This Row],[Qtt]]*TbTradesBinance[[#This Row],[Preço]],AR36+TbTradesBinance[[#This Row],[Qtt]]*TbTradesBinance[[#This Row],[Preço]])),AR36)-IF(TbTradesBinance[[#This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Row],[Tipo]]="DROP"),AR36+TbTradesBinance[[#This Row],[Qtt]],AR36-TbTradesBinance[[#This Row],[Qtt]]),IF(TbTradesBinance[[#This Row],[Tipo]]="BUY",AR36-TbTradesBinance[[#This Row],[Qtt]]*TbTradesBinance[[#This Row],[Preço]],AR36+TbTradesBinance[[#This Row],[Qtt]]*TbTradesBinance[[#This Row],[Preço]])),AR36)-IF(TbTradesBinance[[#This Row],[Moeda da Taxa]]=MID(AR$1,9,5),TbTradesBinance[[#This Row],[Taxa]],0),8)))</f>
        <v>0</v>
      </c>
      <c r="AS37" s="145" cm="1">
        <f t="array" ref="AS37">IF(TbTradesBinance[[#This Row],[Tipo]]="EMPTY",0,AS36+IF(TbTradesBinance[[#This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Row],[Par]]))),$1:$1,0)),-(AR36-AR37)/AR36*AS36),0),0)+IF(TbTradesBinance[[#This Row],[Tipo]]="SELL",IF(ISNUMBER(FIND(MID(AS$1,10,5),TbTradesBinance[[#This Row],[Par]])),IF(FIND(MID(AS$1,10,5),TbTradesBinance[[#This Row],[Par]])=1, -(AR36-AR37)/AR36*AS36,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Row],[Par]])),(-(AR36-AR37)/AR36*AS36)+IF(TbTradesBinance[[#This Row],[Resultado]]&gt;0,0,TbTradesBinance[[#This Row],[Taxa]]),0),0))</f>
        <v>0</v>
      </c>
      <c r="AT37" s="145">
        <f t="shared" si="11"/>
        <v>0</v>
      </c>
      <c r="AU3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Row],[Tipo]]="DROP"),AU36+TbTradesBinance[[#This Row],[Qtt]],AU36-TbTradesBinance[[#This Row],[Qtt]]),IF(TbTradesBinance[[#This Row],[Tipo]]="BUY",AU36-TbTradesBinance[[#This Row],[Qtt]]*TbTradesBinance[[#This Row],[Preço]],AU36+TbTradesBinance[[#This Row],[Qtt]]*TbTradesBinance[[#This Row],[Preço]])),AU36)-IF(TbTradesBinance[[#This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Row],[Tipo]]="DROP"),AU36+TbTradesBinance[[#This Row],[Qtt]],AU36-TbTradesBinance[[#This Row],[Qtt]]),IF(TbTradesBinance[[#This Row],[Tipo]]="BUY",AU36-TbTradesBinance[[#This Row],[Qtt]]*TbTradesBinance[[#This Row],[Preço]],AU36+TbTradesBinance[[#This Row],[Qtt]]*TbTradesBinance[[#This Row],[Preço]])),AU36)-IF(TbTradesBinance[[#This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Row],[Tipo]]="DROP"),AU36+TbTradesBinance[[#This Row],[Qtt]],AU36-TbTradesBinance[[#This Row],[Qtt]]),IF(TbTradesBinance[[#This Row],[Tipo]]="BUY",AU36-TbTradesBinance[[#This Row],[Qtt]]*TbTradesBinance[[#This Row],[Preço]],AU36+TbTradesBinance[[#This Row],[Qtt]]*TbTradesBinance[[#This Row],[Preço]])),AU36)-IF(TbTradesBinance[[#This Row],[Moeda da Taxa]]=MID(AU$1,9,5),TbTradesBinance[[#This Row],[Taxa]],0),8)))</f>
        <v>9.9900000000000003E-2</v>
      </c>
      <c r="AV37" s="145" cm="1">
        <f t="array" ref="AV37">IF(TbTradesBinance[[#This Row],[Tipo]]="EMPTY",0,AV36+IF(TbTradesBinance[[#This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Row],[Par]]))),$1:$1,0)),-(AU36-AU37)/AU36*AV36),0),0)+IF(TbTradesBinance[[#This Row],[Tipo]]="SELL",IF(ISNUMBER(FIND(MID(AV$1,10,5),TbTradesBinance[[#This Row],[Par]])),IF(FIND(MID(AV$1,10,5),TbTradesBinance[[#This Row],[Par]])=1, -(AU36-AU37)/AU36*AV36,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Row],[Par]])),(-(AU36-AU37)/AU36*AV36)+IF(TbTradesBinance[[#This Row],[Resultado]]&gt;0,0,TbTradesBinance[[#This Row],[Taxa]]),0),0))</f>
        <v>18.673922987511034</v>
      </c>
      <c r="AW37" s="145">
        <f t="shared" si="12"/>
        <v>186.92615603114149</v>
      </c>
      <c r="AX3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Row],[Tipo]]="DROP"),AX36+TbTradesBinance[[#This Row],[Qtt]],AX36-TbTradesBinance[[#This Row],[Qtt]]),IF(TbTradesBinance[[#This Row],[Tipo]]="BUY",AX36-TbTradesBinance[[#This Row],[Qtt]]*TbTradesBinance[[#This Row],[Preço]],AX36+TbTradesBinance[[#This Row],[Qtt]]*TbTradesBinance[[#This Row],[Preço]])),AX36)-IF(TbTradesBinance[[#This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Row],[Tipo]]="DROP"),AX36+TbTradesBinance[[#This Row],[Qtt]],AX36-TbTradesBinance[[#This Row],[Qtt]]),IF(TbTradesBinance[[#This Row],[Tipo]]="BUY",AX36-TbTradesBinance[[#This Row],[Qtt]]*TbTradesBinance[[#This Row],[Preço]],AX36+TbTradesBinance[[#This Row],[Qtt]]*TbTradesBinance[[#This Row],[Preço]])),AX36)-IF(TbTradesBinance[[#This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Row],[Tipo]]="DROP"),AX36+TbTradesBinance[[#This Row],[Qtt]],AX36-TbTradesBinance[[#This Row],[Qtt]]),IF(TbTradesBinance[[#This Row],[Tipo]]="BUY",AX36-TbTradesBinance[[#This Row],[Qtt]]*TbTradesBinance[[#This Row],[Preço]],AX36+TbTradesBinance[[#This Row],[Qtt]]*TbTradesBinance[[#This Row],[Preço]])),AX36)-IF(TbTradesBinance[[#This Row],[Moeda da Taxa]]=MID(AX$1,9,5),TbTradesBinance[[#This Row],[Taxa]],0),8)))</f>
        <v>0</v>
      </c>
      <c r="AY37" s="145" cm="1">
        <f t="array" ref="AY37">IF(TbTradesBinance[[#This Row],[Tipo]]="EMPTY",0,AY36+IF(TbTradesBinance[[#This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Row],[Par]]))),$1:$1,0)),-(AX36-AX37)/AX36*AY36),0),0)+IF(TbTradesBinance[[#This Row],[Tipo]]="SELL",IF(ISNUMBER(FIND(MID(AY$1,10,5),TbTradesBinance[[#This Row],[Par]])),IF(FIND(MID(AY$1,10,5),TbTradesBinance[[#This Row],[Par]])=1, -(AX36-AX37)/AX36*AY36,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Row],[Par]])),(-(AX36-AX37)/AX36*AY36)+IF(TbTradesBinance[[#This Row],[Resultado]]&gt;0,0,TbTradesBinance[[#This Row],[Taxa]]),0),0))</f>
        <v>0</v>
      </c>
      <c r="AZ37" s="145">
        <f t="shared" si="13"/>
        <v>0</v>
      </c>
      <c r="BA3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Row],[Tipo]]="DROP"),BA36+TbTradesBinance[[#This Row],[Qtt]],BA36-TbTradesBinance[[#This Row],[Qtt]]),IF(TbTradesBinance[[#This Row],[Tipo]]="BUY",BA36-TbTradesBinance[[#This Row],[Qtt]]*TbTradesBinance[[#This Row],[Preço]],BA36+TbTradesBinance[[#This Row],[Qtt]]*TbTradesBinance[[#This Row],[Preço]])),BA36)-IF(TbTradesBinance[[#This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Row],[Tipo]]="DROP"),BA36+TbTradesBinance[[#This Row],[Qtt]],BA36-TbTradesBinance[[#This Row],[Qtt]]),IF(TbTradesBinance[[#This Row],[Tipo]]="BUY",BA36-TbTradesBinance[[#This Row],[Qtt]]*TbTradesBinance[[#This Row],[Preço]],BA36+TbTradesBinance[[#This Row],[Qtt]]*TbTradesBinance[[#This Row],[Preço]])),BA36)-IF(TbTradesBinance[[#This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Row],[Tipo]]="DROP"),BA36+TbTradesBinance[[#This Row],[Qtt]],BA36-TbTradesBinance[[#This Row],[Qtt]]),IF(TbTradesBinance[[#This Row],[Tipo]]="BUY",BA36-TbTradesBinance[[#This Row],[Qtt]]*TbTradesBinance[[#This Row],[Preço]],BA36+TbTradesBinance[[#This Row],[Qtt]]*TbTradesBinance[[#This Row],[Preço]])),BA36)-IF(TbTradesBinance[[#This Row],[Moeda da Taxa]]=MID(BA$1,9,5),TbTradesBinance[[#This Row],[Taxa]],0),8)))</f>
        <v>0</v>
      </c>
      <c r="BB37" s="145" cm="1">
        <f t="array" ref="BB37">IF(TbTradesBinance[[#This Row],[Tipo]]="EMPTY",0,BB36+IF(TbTradesBinance[[#This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Row],[Par]]))),$1:$1,0)),-(BA36-BA37)/BA36*BB36),0),0)+IF(TbTradesBinance[[#This Row],[Tipo]]="SELL",IF(ISNUMBER(FIND(MID(BB$1,10,5),TbTradesBinance[[#This Row],[Par]])),IF(FIND(MID(BB$1,10,5),TbTradesBinance[[#This Row],[Par]])=1, -(BA36-BA37)/BA36*BB36,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Row],[Par]])),(-(BA36-BA37)/BA36*BB36)+IF(TbTradesBinance[[#This Row],[Resultado]]&gt;0,0,TbTradesBinance[[#This Row],[Taxa]]),0),0))</f>
        <v>0</v>
      </c>
      <c r="BC37" s="145">
        <f t="shared" si="14"/>
        <v>0</v>
      </c>
      <c r="BD3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Row],[Tipo]]="DROP"),BD36+TbTradesBinance[[#This Row],[Qtt]],BD36-TbTradesBinance[[#This Row],[Qtt]]),IF(TbTradesBinance[[#This Row],[Tipo]]="BUY",BD36-TbTradesBinance[[#This Row],[Qtt]]*TbTradesBinance[[#This Row],[Preço]],BD36+TbTradesBinance[[#This Row],[Qtt]]*TbTradesBinance[[#This Row],[Preço]])),BD36)-IF(TbTradesBinance[[#This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Row],[Tipo]]="DROP"),BD36+TbTradesBinance[[#This Row],[Qtt]],BD36-TbTradesBinance[[#This Row],[Qtt]]),IF(TbTradesBinance[[#This Row],[Tipo]]="BUY",BD36-TbTradesBinance[[#This Row],[Qtt]]*TbTradesBinance[[#This Row],[Preço]],BD36+TbTradesBinance[[#This Row],[Qtt]]*TbTradesBinance[[#This Row],[Preço]])),BD36)-IF(TbTradesBinance[[#This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Row],[Tipo]]="DROP"),BD36+TbTradesBinance[[#This Row],[Qtt]],BD36-TbTradesBinance[[#This Row],[Qtt]]),IF(TbTradesBinance[[#This Row],[Tipo]]="BUY",BD36-TbTradesBinance[[#This Row],[Qtt]]*TbTradesBinance[[#This Row],[Preço]],BD36+TbTradesBinance[[#This Row],[Qtt]]*TbTradesBinance[[#This Row],[Preço]])),BD36)-IF(TbTradesBinance[[#This Row],[Moeda da Taxa]]=MID(BD$1,9,5),TbTradesBinance[[#This Row],[Taxa]],0),8)))</f>
        <v>0.37962000000000001</v>
      </c>
      <c r="BE37" s="145" cm="1">
        <f t="array" ref="BE37">IF(TbTradesBinance[[#This Row],[Tipo]]="EMPTY",0,BE36+IF(TbTradesBinance[[#This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Row],[Par]]))),$1:$1,0)),-(BD36-BD37)/BD36*BE36),0),0)+IF(TbTradesBinance[[#This Row],[Tipo]]="SELL",IF(ISNUMBER(FIND(MID(BE$1,10,5),TbTradesBinance[[#This Row],[Par]])),IF(FIND(MID(BE$1,10,5),TbTradesBinance[[#This Row],[Par]])=1, -(BD36-BD37)/BD36*BE36,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Row],[Par]])),(-(BD36-BD37)/BD36*BE36)+IF(TbTradesBinance[[#This Row],[Resultado]]&gt;0,0,TbTradesBinance[[#This Row],[Taxa]]),0),0))</f>
        <v>63.647297001537943</v>
      </c>
      <c r="BF37" s="145">
        <f t="shared" si="15"/>
        <v>167.66054739354601</v>
      </c>
      <c r="BG3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Row],[Tipo]]="DROP"),BG36+TbTradesBinance[[#This Row],[Qtt]],BG36-TbTradesBinance[[#This Row],[Qtt]]),IF(TbTradesBinance[[#This Row],[Tipo]]="BUY",BG36-TbTradesBinance[[#This Row],[Qtt]]*TbTradesBinance[[#This Row],[Preço]],BG36+TbTradesBinance[[#This Row],[Qtt]]*TbTradesBinance[[#This Row],[Preço]])),BG36)-IF(TbTradesBinance[[#This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Row],[Tipo]]="DROP"),BG36+TbTradesBinance[[#This Row],[Qtt]],BG36-TbTradesBinance[[#This Row],[Qtt]]),IF(TbTradesBinance[[#This Row],[Tipo]]="BUY",BG36-TbTradesBinance[[#This Row],[Qtt]]*TbTradesBinance[[#This Row],[Preço]],BG36+TbTradesBinance[[#This Row],[Qtt]]*TbTradesBinance[[#This Row],[Preço]])),BG36)-IF(TbTradesBinance[[#This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Row],[Tipo]]="DROP"),BG36+TbTradesBinance[[#This Row],[Qtt]],BG36-TbTradesBinance[[#This Row],[Qtt]]),IF(TbTradesBinance[[#This Row],[Tipo]]="BUY",BG36-TbTradesBinance[[#This Row],[Qtt]]*TbTradesBinance[[#This Row],[Preço]],BG36+TbTradesBinance[[#This Row],[Qtt]]*TbTradesBinance[[#This Row],[Preço]])),BG36)-IF(TbTradesBinance[[#This Row],[Moeda da Taxa]]=MID(BG$1,9,5),TbTradesBinance[[#This Row],[Taxa]],0),8)))</f>
        <v>0</v>
      </c>
      <c r="BH37" s="145" cm="1">
        <f t="array" ref="BH37">IF(TbTradesBinance[[#This Row],[Tipo]]="EMPTY",0,BH36+IF(TbTradesBinance[[#This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Row],[Par]]))),$1:$1,0)),-(BG36-BG37)/BG36*BH36),0),0)+IF(TbTradesBinance[[#This Row],[Tipo]]="SELL",IF(ISNUMBER(FIND(MID(BH$1,10,5),TbTradesBinance[[#This Row],[Par]])),IF(FIND(MID(BH$1,10,5),TbTradesBinance[[#This Row],[Par]])=1, -(BG36-BG37)/BG36*BH36,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Row],[Par]])),(-(BG36-BG37)/BG36*BH36)+IF(TbTradesBinance[[#This Row],[Resultado]]&gt;0,0,TbTradesBinance[[#This Row],[Taxa]]),0),0))</f>
        <v>0</v>
      </c>
      <c r="BI37" s="145">
        <f t="shared" si="16"/>
        <v>0</v>
      </c>
      <c r="BJ3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Row],[Tipo]]="DROP"),BJ36+TbTradesBinance[[#This Row],[Qtt]],BJ36-TbTradesBinance[[#This Row],[Qtt]]),IF(TbTradesBinance[[#This Row],[Tipo]]="BUY",BJ36-TbTradesBinance[[#This Row],[Qtt]]*TbTradesBinance[[#This Row],[Preço]],BJ36+TbTradesBinance[[#This Row],[Qtt]]*TbTradesBinance[[#This Row],[Preço]])),BJ36)-IF(TbTradesBinance[[#This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Row],[Tipo]]="DROP"),BJ36+TbTradesBinance[[#This Row],[Qtt]],BJ36-TbTradesBinance[[#This Row],[Qtt]]),IF(TbTradesBinance[[#This Row],[Tipo]]="BUY",BJ36-TbTradesBinance[[#This Row],[Qtt]]*TbTradesBinance[[#This Row],[Preço]],BJ36+TbTradesBinance[[#This Row],[Qtt]]*TbTradesBinance[[#This Row],[Preço]])),BJ36)-IF(TbTradesBinance[[#This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Row],[Tipo]]="DROP"),BJ36+TbTradesBinance[[#This Row],[Qtt]],BJ36-TbTradesBinance[[#This Row],[Qtt]]),IF(TbTradesBinance[[#This Row],[Tipo]]="BUY",BJ36-TbTradesBinance[[#This Row],[Qtt]]*TbTradesBinance[[#This Row],[Preço]],BJ36+TbTradesBinance[[#This Row],[Qtt]]*TbTradesBinance[[#This Row],[Preço]])),BJ36)-IF(TbTradesBinance[[#This Row],[Moeda da Taxa]]=MID(BJ$1,9,5),TbTradesBinance[[#This Row],[Taxa]],0),8)))</f>
        <v>0</v>
      </c>
      <c r="BK37" s="145" cm="1">
        <f t="array" ref="BK37">IF(TbTradesBinance[[#This Row],[Tipo]]="EMPTY",0,BK36+IF(TbTradesBinance[[#This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Row],[Par]]))),$1:$1,0)),-(BJ36-BJ37)/BJ36*BK36),0),0)+IF(TbTradesBinance[[#This Row],[Tipo]]="SELL",IF(ISNUMBER(FIND(MID(BK$1,10,5),TbTradesBinance[[#This Row],[Par]])),IF(FIND(MID(BK$1,10,5),TbTradesBinance[[#This Row],[Par]])=1, -(BJ36-BJ37)/BJ36*BK36,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Row],[Par]])),(-(BJ36-BJ37)/BJ36*BK36)+IF(TbTradesBinance[[#This Row],[Resultado]]&gt;0,0,TbTradesBinance[[#This Row],[Taxa]]),0),0))</f>
        <v>0</v>
      </c>
      <c r="BL37" s="145">
        <f t="shared" si="17"/>
        <v>0</v>
      </c>
      <c r="BM3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Row],[Tipo]]="DROP"),BM36+TbTradesBinance[[#This Row],[Qtt]],BM36-TbTradesBinance[[#This Row],[Qtt]]),IF(TbTradesBinance[[#This Row],[Tipo]]="BUY",BM36-TbTradesBinance[[#This Row],[Qtt]]*TbTradesBinance[[#This Row],[Preço]],BM36+TbTradesBinance[[#This Row],[Qtt]]*TbTradesBinance[[#This Row],[Preço]])),BM36)-IF(TbTradesBinance[[#This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Row],[Tipo]]="DROP"),BM36+TbTradesBinance[[#This Row],[Qtt]],BM36-TbTradesBinance[[#This Row],[Qtt]]),IF(TbTradesBinance[[#This Row],[Tipo]]="BUY",BM36-TbTradesBinance[[#This Row],[Qtt]]*TbTradesBinance[[#This Row],[Preço]],BM36+TbTradesBinance[[#This Row],[Qtt]]*TbTradesBinance[[#This Row],[Preço]])),BM36)-IF(TbTradesBinance[[#This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Row],[Tipo]]="DROP"),BM36+TbTradesBinance[[#This Row],[Qtt]],BM36-TbTradesBinance[[#This Row],[Qtt]]),IF(TbTradesBinance[[#This Row],[Tipo]]="BUY",BM36-TbTradesBinance[[#This Row],[Qtt]]*TbTradesBinance[[#This Row],[Preço]],BM36+TbTradesBinance[[#This Row],[Qtt]]*TbTradesBinance[[#This Row],[Preço]])),BM36)-IF(TbTradesBinance[[#This Row],[Moeda da Taxa]]=MID(BM$1,9,5),TbTradesBinance[[#This Row],[Taxa]],0),8)))</f>
        <v>0</v>
      </c>
      <c r="BN37" s="145" cm="1">
        <f t="array" ref="BN37">IF(TbTradesBinance[[#This Row],[Tipo]]="EMPTY",0,BN36+IF(TbTradesBinance[[#This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Row],[Par]]))),$1:$1,0)),-(BM36-BM37)/BM36*BN36),0),0)+IF(TbTradesBinance[[#This Row],[Tipo]]="SELL",IF(ISNUMBER(FIND(MID(BN$1,10,5),TbTradesBinance[[#This Row],[Par]])),IF(FIND(MID(BN$1,10,5),TbTradesBinance[[#This Row],[Par]])=1, -(BM36-BM37)/BM36*BN36,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Row],[Par]])),(-(BM36-BM37)/BM36*BN36)+IF(TbTradesBinance[[#This Row],[Resultado]]&gt;0,0,TbTradesBinance[[#This Row],[Taxa]]),0),0))</f>
        <v>0</v>
      </c>
      <c r="BO37" s="145">
        <f t="shared" si="18"/>
        <v>0</v>
      </c>
    </row>
    <row r="38" spans="2:67" x14ac:dyDescent="0.3">
      <c r="B38" s="51" t="s">
        <v>241</v>
      </c>
      <c r="C38" s="40">
        <f>TRUNC(IF(AND(TbTradesBinance[[#This Row],[Tipo]]="SEND",TbTradesBinance[[#This Row],[Par]]="BRL"),TbTradesBinance[[#This Row],[Qtt]]*(1-P36)-IF(TbTradesBinance[[#This Row],[Moeda da Taxa]]="BRL",TbTradesBinance[[#This Row],[Taxa]],0),0)+IF(AND(TbTradesBinance[[#This Row],[Tipo]]="BURN",TbTradesBinance[[#This Row],[Par]]="BRL"),-TbTradesBinance[[#This Row],[Qtt]]*P36,0),2)</f>
        <v>0</v>
      </c>
      <c r="D38" s="53">
        <v>44261.801747685182</v>
      </c>
      <c r="E38" s="37" t="s">
        <v>236</v>
      </c>
      <c r="F38" s="47" t="s">
        <v>139</v>
      </c>
      <c r="G38" s="38">
        <v>40860.080000000002</v>
      </c>
      <c r="H38" s="38">
        <v>3.9880000000000002E-3</v>
      </c>
      <c r="I38" s="38">
        <v>3.33</v>
      </c>
      <c r="J38" s="37" t="s">
        <v>60</v>
      </c>
      <c r="K38" s="52">
        <v>6.7</v>
      </c>
      <c r="L38" s="40">
        <f t="shared" si="0"/>
        <v>273762.53000000003</v>
      </c>
      <c r="M38" s="40">
        <f>IF(OR(TbTradesBinance[[#This Row],[Tipo]]="BUY",TbTradesBinance[[#This Row],[Tipo]]="RECEIVE",TbTradesBinance[[#This Row],[Tipo]]="DROP"),L38*H38,-L38*H38)</f>
        <v>1091.7649696400001</v>
      </c>
      <c r="N3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Row],[Tipo]]="DROP"),N37+TbTradesBinance[[#This Row],[Qtt]],N37-TbTradesBinance[[#This Row],[Qtt]]),IF(TbTradesBinance[[#This Row],[Tipo]]="BUY",N37-TbTradesBinance[[#This Row],[Qtt]]*TbTradesBinance[[#This Row],[Preço]],N37+TbTradesBinance[[#This Row],[Qtt]]*TbTradesBinance[[#This Row],[Preço]])),N37)-IF(TbTradesBinance[[#This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Row],[Tipo]]="DROP"),N37+TbTradesBinance[[#This Row],[Qtt]],N37-TbTradesBinance[[#This Row],[Qtt]]),IF(TbTradesBinance[[#This Row],[Tipo]]="BUY",N37-TbTradesBinance[[#This Row],[Qtt]]*TbTradesBinance[[#This Row],[Preço]],N37+TbTradesBinance[[#This Row],[Qtt]]*TbTradesBinance[[#This Row],[Preço]])),N37)-IF(TbTradesBinance[[#This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Row],[Tipo]]="DROP"),N37+TbTradesBinance[[#This Row],[Qtt]],N37-TbTradesBinance[[#This Row],[Qtt]]),IF(TbTradesBinance[[#This Row],[Tipo]]="BUY",N37-TbTradesBinance[[#This Row],[Qtt]]*TbTradesBinance[[#This Row],[Preço]],N37+TbTradesBinance[[#This Row],[Qtt]]*TbTradesBinance[[#This Row],[Preço]])),N37)-IF(TbTradesBinance[[#This Row],[Moeda da Taxa]]=MID(N$1,9,5),TbTradesBinance[[#This Row],[Taxa]],0),8)))</f>
        <v>119745.56018689</v>
      </c>
      <c r="O38" s="145" cm="1">
        <f t="array" ref="O38">IF(TbTradesBinance[[#This Row],[Tipo]]="EMPTY",0,O37+IF(TbTradesBinance[[#This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Row],[Par]]))),$1:$1,0)),-(N37-N38)/N37*O37),0),0)+IF(TbTradesBinance[[#This Row],[Tipo]]="SELL",IF(ISNUMBER(FIND(MID(O$1,10,5),TbTradesBinance[[#This Row],[Par]])),IF(FIND(MID(O$1,10,5),TbTradesBinance[[#This Row],[Par]])=1, -(N37-N38)/N37*O37,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Row],[Par]])),(-(N37-N38)/N37*O37)+IF(TbTradesBinance[[#This Row],[Resultado]]&gt;0,0,TbTradesBinance[[#This Row],[Taxa]]),0),0))</f>
        <v>119697.34543442423</v>
      </c>
      <c r="P38" s="145">
        <f t="shared" si="1"/>
        <v>0.99959735665864757</v>
      </c>
      <c r="Q3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Row],[Tipo]]="DROP"),Q37+TbTradesBinance[[#This Row],[Qtt]],Q37-TbTradesBinance[[#This Row],[Qtt]]),IF(TbTradesBinance[[#This Row],[Tipo]]="BUY",Q37-TbTradesBinance[[#This Row],[Qtt]]*TbTradesBinance[[#This Row],[Preço]],Q37+TbTradesBinance[[#This Row],[Qtt]]*TbTradesBinance[[#This Row],[Preço]])),Q37)-IF(TbTradesBinance[[#This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Row],[Tipo]]="DROP"),Q37+TbTradesBinance[[#This Row],[Qtt]],Q37-TbTradesBinance[[#This Row],[Qtt]]),IF(TbTradesBinance[[#This Row],[Tipo]]="BUY",Q37-TbTradesBinance[[#This Row],[Qtt]]*TbTradesBinance[[#This Row],[Preço]],Q37+TbTradesBinance[[#This Row],[Qtt]]*TbTradesBinance[[#This Row],[Preço]])),Q37)-IF(TbTradesBinance[[#This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Row],[Tipo]]="DROP"),Q37+TbTradesBinance[[#This Row],[Qtt]],Q37-TbTradesBinance[[#This Row],[Qtt]]),IF(TbTradesBinance[[#This Row],[Tipo]]="BUY",Q37-TbTradesBinance[[#This Row],[Qtt]]*TbTradesBinance[[#This Row],[Preço]],Q37+TbTradesBinance[[#This Row],[Qtt]]*TbTradesBinance[[#This Row],[Preço]])),Q37)-IF(TbTradesBinance[[#This Row],[Moeda da Taxa]]=MID(Q$1,9,5),TbTradesBinance[[#This Row],[Taxa]],0),8)))</f>
        <v>0.27732999000000003</v>
      </c>
      <c r="R38" s="145" cm="1">
        <f t="array" ref="R38">IF(TbTradesBinance[[#This Row],[Tipo]]="EMPTY",0,R37+IF(TbTradesBinance[[#This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Row],[Par]]))),$1:$1,0)),-(Q37-Q38)/Q37*R37),0),0)+IF(TbTradesBinance[[#This Row],[Tipo]]="SELL",IF(ISNUMBER(FIND(MID(R$1,10,5),TbTradesBinance[[#This Row],[Par]])),IF(FIND(MID(R$1,10,5),TbTradesBinance[[#This Row],[Par]])=1, -(Q37-Q38)/Q37*R37,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Row],[Par]])),(-(Q37-Q38)/Q37*R37)+IF(TbTradesBinance[[#This Row],[Resultado]]&gt;0,0,TbTradesBinance[[#This Row],[Taxa]]),0),0))</f>
        <v>1.5509449279899954</v>
      </c>
      <c r="S38" s="145">
        <f t="shared" si="2"/>
        <v>5.592416918163071</v>
      </c>
      <c r="T3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Row],[Tipo]]="DROP"),T37+TbTradesBinance[[#This Row],[Qtt]],T37-TbTradesBinance[[#This Row],[Qtt]]),IF(TbTradesBinance[[#This Row],[Tipo]]="BUY",T37-TbTradesBinance[[#This Row],[Qtt]]*TbTradesBinance[[#This Row],[Preço]],T37+TbTradesBinance[[#This Row],[Qtt]]*TbTradesBinance[[#This Row],[Preço]])),T37)-IF(TbTradesBinance[[#This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Row],[Tipo]]="DROP"),T37+TbTradesBinance[[#This Row],[Qtt]],T37-TbTradesBinance[[#This Row],[Qtt]]),IF(TbTradesBinance[[#This Row],[Tipo]]="BUY",T37-TbTradesBinance[[#This Row],[Qtt]]*TbTradesBinance[[#This Row],[Preço]],T37+TbTradesBinance[[#This Row],[Qtt]]*TbTradesBinance[[#This Row],[Preço]])),T37)-IF(TbTradesBinance[[#This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Row],[Tipo]]="DROP"),T37+TbTradesBinance[[#This Row],[Qtt]],T37-TbTradesBinance[[#This Row],[Qtt]]),IF(TbTradesBinance[[#This Row],[Tipo]]="BUY",T37-TbTradesBinance[[#This Row],[Qtt]]*TbTradesBinance[[#This Row],[Preço]],T37+TbTradesBinance[[#This Row],[Qtt]]*TbTradesBinance[[#This Row],[Preço]])),T37)-IF(TbTradesBinance[[#This Row],[Moeda da Taxa]]=MID(T$1,9,5),TbTradesBinance[[#This Row],[Taxa]],0),8)))</f>
        <v>199735.34867482999</v>
      </c>
      <c r="U38" s="145" cm="1">
        <f t="array" ref="U38">IF(TbTradesBinance[[#This Row],[Tipo]]="EMPTY",0,U37+IF(TbTradesBinance[[#This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Row],[Par]]))),$1:$1,0)),-(T37-T38)/T37*U37),0),0)+IF(TbTradesBinance[[#This Row],[Tipo]]="SELL",IF(ISNUMBER(FIND(MID(U$1,10,5),TbTradesBinance[[#This Row],[Par]])),IF(FIND(MID(U$1,10,5),TbTradesBinance[[#This Row],[Par]])=1, -(T37-T38)/T37*U37,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Row],[Par]])),(-(T37-T38)/T37*U37)+IF(TbTradesBinance[[#This Row],[Resultado]]&gt;0,0,TbTradesBinance[[#This Row],[Taxa]]),0),0))</f>
        <v>1328240.0716580662</v>
      </c>
      <c r="V38" s="145">
        <f t="shared" si="3"/>
        <v>6.6500000148719129</v>
      </c>
      <c r="W3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Row],[Tipo]]="DROP"),W37+TbTradesBinance[[#This Row],[Qtt]],W37-TbTradesBinance[[#This Row],[Qtt]]),IF(TbTradesBinance[[#This Row],[Tipo]]="BUY",W37-TbTradesBinance[[#This Row],[Qtt]]*TbTradesBinance[[#This Row],[Preço]],W37+TbTradesBinance[[#This Row],[Qtt]]*TbTradesBinance[[#This Row],[Preço]])),W37)-IF(TbTradesBinance[[#This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Row],[Tipo]]="DROP"),W37+TbTradesBinance[[#This Row],[Qtt]],W37-TbTradesBinance[[#This Row],[Qtt]]),IF(TbTradesBinance[[#This Row],[Tipo]]="BUY",W37-TbTradesBinance[[#This Row],[Qtt]]*TbTradesBinance[[#This Row],[Preço]],W37+TbTradesBinance[[#This Row],[Qtt]]*TbTradesBinance[[#This Row],[Preço]])),W37)-IF(TbTradesBinance[[#This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Row],[Tipo]]="DROP"),W37+TbTradesBinance[[#This Row],[Qtt]],W37-TbTradesBinance[[#This Row],[Qtt]]),IF(TbTradesBinance[[#This Row],[Tipo]]="BUY",W37-TbTradesBinance[[#This Row],[Qtt]]*TbTradesBinance[[#This Row],[Preço]],W37+TbTradesBinance[[#This Row],[Qtt]]*TbTradesBinance[[#This Row],[Preço]])),W37)-IF(TbTradesBinance[[#This Row],[Moeda da Taxa]]=MID(W$1,9,5),TbTradesBinance[[#This Row],[Taxa]],0),8)))</f>
        <v>7.1975700000000004E-3</v>
      </c>
      <c r="X38" s="145" cm="1">
        <f t="array" ref="X38">IF(TbTradesBinance[[#This Row],[Tipo]]="EMPTY",0,X37+IF(TbTradesBinance[[#This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Row],[Par]]))),$1:$1,0)),-(W37-W38)/W37*X37),0),0)+IF(TbTradesBinance[[#This Row],[Tipo]]="SELL",IF(ISNUMBER(FIND(MID(X$1,10,5),TbTradesBinance[[#This Row],[Par]])),IF(FIND(MID(X$1,10,5),TbTradesBinance[[#This Row],[Par]])=1, -(W37-W38)/W37*X37,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Row],[Par]])),(-(W37-W38)/W37*X37)+IF(TbTradesBinance[[#This Row],[Resultado]]&gt;0,0,TbTradesBinance[[#This Row],[Taxa]]),0),0))</f>
        <v>1978.7107425924726</v>
      </c>
      <c r="Y38" s="145">
        <f t="shared" si="4"/>
        <v>274913.71985162667</v>
      </c>
      <c r="Z3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Row],[Tipo]]="DROP"),Z37+TbTradesBinance[[#This Row],[Qtt]],Z37-TbTradesBinance[[#This Row],[Qtt]]),IF(TbTradesBinance[[#This Row],[Tipo]]="BUY",Z37-TbTradesBinance[[#This Row],[Qtt]]*TbTradesBinance[[#This Row],[Preço]],Z37+TbTradesBinance[[#This Row],[Qtt]]*TbTradesBinance[[#This Row],[Preço]])),Z37)-IF(TbTradesBinance[[#This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Row],[Tipo]]="DROP"),Z37+TbTradesBinance[[#This Row],[Qtt]],Z37-TbTradesBinance[[#This Row],[Qtt]]),IF(TbTradesBinance[[#This Row],[Tipo]]="BUY",Z37-TbTradesBinance[[#This Row],[Qtt]]*TbTradesBinance[[#This Row],[Preço]],Z37+TbTradesBinance[[#This Row],[Qtt]]*TbTradesBinance[[#This Row],[Preço]])),Z37)-IF(TbTradesBinance[[#This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Row],[Tipo]]="DROP"),Z37+TbTradesBinance[[#This Row],[Qtt]],Z37-TbTradesBinance[[#This Row],[Qtt]]),IF(TbTradesBinance[[#This Row],[Tipo]]="BUY",Z37-TbTradesBinance[[#This Row],[Qtt]]*TbTradesBinance[[#This Row],[Preço]],Z37+TbTradesBinance[[#This Row],[Qtt]]*TbTradesBinance[[#This Row],[Preço]])),Z37)-IF(TbTradesBinance[[#This Row],[Moeda da Taxa]]=MID(Z$1,9,5),TbTradesBinance[[#This Row],[Taxa]],0),8)))</f>
        <v>0</v>
      </c>
      <c r="AA38" s="145" cm="1">
        <f t="array" ref="AA38">IF(TbTradesBinance[[#This Row],[Tipo]]="EMPTY",0,AA37+IF(TbTradesBinance[[#This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Row],[Par]]))),$1:$1,0)),-(Z37-Z38)/Z37*AA37),0),0)+IF(TbTradesBinance[[#This Row],[Tipo]]="SELL",IF(ISNUMBER(FIND(MID(AA$1,10,5),TbTradesBinance[[#This Row],[Par]])),IF(FIND(MID(AA$1,10,5),TbTradesBinance[[#This Row],[Par]])=1, -(Z37-Z38)/Z37*AA37,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Row],[Par]])),(-(Z37-Z38)/Z37*AA37)+IF(TbTradesBinance[[#This Row],[Resultado]]&gt;0,0,TbTradesBinance[[#This Row],[Taxa]]),0),0))</f>
        <v>0</v>
      </c>
      <c r="AB38" s="145">
        <f t="shared" si="5"/>
        <v>0</v>
      </c>
      <c r="AC3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Row],[Tipo]]="DROP"),AC37+TbTradesBinance[[#This Row],[Qtt]],AC37-TbTradesBinance[[#This Row],[Qtt]]),IF(TbTradesBinance[[#This Row],[Tipo]]="BUY",AC37-TbTradesBinance[[#This Row],[Qtt]]*TbTradesBinance[[#This Row],[Preço]],AC37+TbTradesBinance[[#This Row],[Qtt]]*TbTradesBinance[[#This Row],[Preço]])),AC37)-IF(TbTradesBinance[[#This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Row],[Tipo]]="DROP"),AC37+TbTradesBinance[[#This Row],[Qtt]],AC37-TbTradesBinance[[#This Row],[Qtt]]),IF(TbTradesBinance[[#This Row],[Tipo]]="BUY",AC37-TbTradesBinance[[#This Row],[Qtt]]*TbTradesBinance[[#This Row],[Preço]],AC37+TbTradesBinance[[#This Row],[Qtt]]*TbTradesBinance[[#This Row],[Preço]])),AC37)-IF(TbTradesBinance[[#This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Row],[Tipo]]="DROP"),AC37+TbTradesBinance[[#This Row],[Qtt]],AC37-TbTradesBinance[[#This Row],[Qtt]]),IF(TbTradesBinance[[#This Row],[Tipo]]="BUY",AC37-TbTradesBinance[[#This Row],[Qtt]]*TbTradesBinance[[#This Row],[Preço]],AC37+TbTradesBinance[[#This Row],[Qtt]]*TbTradesBinance[[#This Row],[Preço]])),AC37)-IF(TbTradesBinance[[#This Row],[Moeda da Taxa]]=MID(AC$1,9,5),TbTradesBinance[[#This Row],[Taxa]],0),8)))</f>
        <v>0</v>
      </c>
      <c r="AD38" s="145" cm="1">
        <f t="array" ref="AD38">IF(TbTradesBinance[[#This Row],[Tipo]]="EMPTY",0,AD37+IF(TbTradesBinance[[#This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Row],[Par]]))),$1:$1,0)),-(AC37-AC38)/AC37*AD37),0),0)+IF(TbTradesBinance[[#This Row],[Tipo]]="SELL",IF(ISNUMBER(FIND(MID(AD$1,10,5),TbTradesBinance[[#This Row],[Par]])),IF(FIND(MID(AD$1,10,5),TbTradesBinance[[#This Row],[Par]])=1, -(AC37-AC38)/AC37*AD37,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Row],[Par]])),(-(AC37-AC38)/AC37*AD37)+IF(TbTradesBinance[[#This Row],[Resultado]]&gt;0,0,TbTradesBinance[[#This Row],[Taxa]]),0),0))</f>
        <v>0</v>
      </c>
      <c r="AE38" s="145">
        <f t="shared" si="6"/>
        <v>0</v>
      </c>
      <c r="AF3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Row],[Tipo]]="DROP"),AF37+TbTradesBinance[[#This Row],[Qtt]],AF37-TbTradesBinance[[#This Row],[Qtt]]),IF(TbTradesBinance[[#This Row],[Tipo]]="BUY",AF37-TbTradesBinance[[#This Row],[Qtt]]*TbTradesBinance[[#This Row],[Preço]],AF37+TbTradesBinance[[#This Row],[Qtt]]*TbTradesBinance[[#This Row],[Preço]])),AF37)-IF(TbTradesBinance[[#This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Row],[Tipo]]="DROP"),AF37+TbTradesBinance[[#This Row],[Qtt]],AF37-TbTradesBinance[[#This Row],[Qtt]]),IF(TbTradesBinance[[#This Row],[Tipo]]="BUY",AF37-TbTradesBinance[[#This Row],[Qtt]]*TbTradesBinance[[#This Row],[Preço]],AF37+TbTradesBinance[[#This Row],[Qtt]]*TbTradesBinance[[#This Row],[Preço]])),AF37)-IF(TbTradesBinance[[#This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Row],[Tipo]]="DROP"),AF37+TbTradesBinance[[#This Row],[Qtt]],AF37-TbTradesBinance[[#This Row],[Qtt]]),IF(TbTradesBinance[[#This Row],[Tipo]]="BUY",AF37-TbTradesBinance[[#This Row],[Qtt]]*TbTradesBinance[[#This Row],[Preço]],AF37+TbTradesBinance[[#This Row],[Qtt]]*TbTradesBinance[[#This Row],[Preço]])),AF37)-IF(TbTradesBinance[[#This Row],[Moeda da Taxa]]=MID(AF$1,9,5),TbTradesBinance[[#This Row],[Taxa]],0),8)))</f>
        <v>0</v>
      </c>
      <c r="AG38" s="145" cm="1">
        <f t="array" ref="AG38">IF(TbTradesBinance[[#This Row],[Tipo]]="EMPTY",0,AG37+IF(TbTradesBinance[[#This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Row],[Par]]))),$1:$1,0)),-(AF37-AF38)/AF37*AG37),0),0)+IF(TbTradesBinance[[#This Row],[Tipo]]="SELL",IF(ISNUMBER(FIND(MID(AG$1,10,5),TbTradesBinance[[#This Row],[Par]])),IF(FIND(MID(AG$1,10,5),TbTradesBinance[[#This Row],[Par]])=1, -(AF37-AF38)/AF37*AG37,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Row],[Par]])),(-(AF37-AF38)/AF37*AG37)+IF(TbTradesBinance[[#This Row],[Resultado]]&gt;0,0,TbTradesBinance[[#This Row],[Taxa]]),0),0))</f>
        <v>0</v>
      </c>
      <c r="AH38" s="145">
        <f t="shared" si="7"/>
        <v>0</v>
      </c>
      <c r="AI3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Row],[Tipo]]="DROP"),AI37+TbTradesBinance[[#This Row],[Qtt]],AI37-TbTradesBinance[[#This Row],[Qtt]]),IF(TbTradesBinance[[#This Row],[Tipo]]="BUY",AI37-TbTradesBinance[[#This Row],[Qtt]]*TbTradesBinance[[#This Row],[Preço]],AI37+TbTradesBinance[[#This Row],[Qtt]]*TbTradesBinance[[#This Row],[Preço]])),AI37)-IF(TbTradesBinance[[#This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Row],[Tipo]]="DROP"),AI37+TbTradesBinance[[#This Row],[Qtt]],AI37-TbTradesBinance[[#This Row],[Qtt]]),IF(TbTradesBinance[[#This Row],[Tipo]]="BUY",AI37-TbTradesBinance[[#This Row],[Qtt]]*TbTradesBinance[[#This Row],[Preço]],AI37+TbTradesBinance[[#This Row],[Qtt]]*TbTradesBinance[[#This Row],[Preço]])),AI37)-IF(TbTradesBinance[[#This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Row],[Tipo]]="DROP"),AI37+TbTradesBinance[[#This Row],[Qtt]],AI37-TbTradesBinance[[#This Row],[Qtt]]),IF(TbTradesBinance[[#This Row],[Tipo]]="BUY",AI37-TbTradesBinance[[#This Row],[Qtt]]*TbTradesBinance[[#This Row],[Preço]],AI37+TbTradesBinance[[#This Row],[Qtt]]*TbTradesBinance[[#This Row],[Preço]])),AI37)-IF(TbTradesBinance[[#This Row],[Moeda da Taxa]]=MID(AI$1,9,5),TbTradesBinance[[#This Row],[Taxa]],0),8)))</f>
        <v>0</v>
      </c>
      <c r="AJ38" s="145" cm="1">
        <f t="array" ref="AJ38">IF(TbTradesBinance[[#This Row],[Tipo]]="EMPTY",0,AJ37+IF(TbTradesBinance[[#This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Row],[Par]]))),$1:$1,0)),-(AI37-AI38)/AI37*AJ37),0),0)+IF(TbTradesBinance[[#This Row],[Tipo]]="SELL",IF(ISNUMBER(FIND(MID(AJ$1,10,5),TbTradesBinance[[#This Row],[Par]])),IF(FIND(MID(AJ$1,10,5),TbTradesBinance[[#This Row],[Par]])=1, -(AI37-AI38)/AI37*AJ37,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Row],[Par]])),(-(AI37-AI38)/AI37*AJ37)+IF(TbTradesBinance[[#This Row],[Resultado]]&gt;0,0,TbTradesBinance[[#This Row],[Taxa]]),0),0))</f>
        <v>0</v>
      </c>
      <c r="AK38" s="145">
        <f t="shared" si="8"/>
        <v>0</v>
      </c>
      <c r="AL3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Row],[Tipo]]="DROP"),AL37+TbTradesBinance[[#This Row],[Qtt]],AL37-TbTradesBinance[[#This Row],[Qtt]]),IF(TbTradesBinance[[#This Row],[Tipo]]="BUY",AL37-TbTradesBinance[[#This Row],[Qtt]]*TbTradesBinance[[#This Row],[Preço]],AL37+TbTradesBinance[[#This Row],[Qtt]]*TbTradesBinance[[#This Row],[Preço]])),AL37)-IF(TbTradesBinance[[#This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Row],[Tipo]]="DROP"),AL37+TbTradesBinance[[#This Row],[Qtt]],AL37-TbTradesBinance[[#This Row],[Qtt]]),IF(TbTradesBinance[[#This Row],[Tipo]]="BUY",AL37-TbTradesBinance[[#This Row],[Qtt]]*TbTradesBinance[[#This Row],[Preço]],AL37+TbTradesBinance[[#This Row],[Qtt]]*TbTradesBinance[[#This Row],[Preço]])),AL37)-IF(TbTradesBinance[[#This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Row],[Tipo]]="DROP"),AL37+TbTradesBinance[[#This Row],[Qtt]],AL37-TbTradesBinance[[#This Row],[Qtt]]),IF(TbTradesBinance[[#This Row],[Tipo]]="BUY",AL37-TbTradesBinance[[#This Row],[Qtt]]*TbTradesBinance[[#This Row],[Preço]],AL37+TbTradesBinance[[#This Row],[Qtt]]*TbTradesBinance[[#This Row],[Preço]])),AL37)-IF(TbTradesBinance[[#This Row],[Moeda da Taxa]]=MID(AL$1,9,5),TbTradesBinance[[#This Row],[Taxa]],0),8)))</f>
        <v>0</v>
      </c>
      <c r="AM38" s="145" cm="1">
        <f t="array" ref="AM38">IF(TbTradesBinance[[#This Row],[Tipo]]="EMPTY",0,AM37+IF(TbTradesBinance[[#This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Row],[Par]]))),$1:$1,0)),-(AL37-AL38)/AL37*AM37),0),0)+IF(TbTradesBinance[[#This Row],[Tipo]]="SELL",IF(ISNUMBER(FIND(MID(AM$1,10,5),TbTradesBinance[[#This Row],[Par]])),IF(FIND(MID(AM$1,10,5),TbTradesBinance[[#This Row],[Par]])=1, -(AL37-AL38)/AL37*AM37,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Row],[Par]])),(-(AL37-AL38)/AL37*AM37)+IF(TbTradesBinance[[#This Row],[Resultado]]&gt;0,0,TbTradesBinance[[#This Row],[Taxa]]),0),0))</f>
        <v>0</v>
      </c>
      <c r="AN38" s="145">
        <f t="shared" si="9"/>
        <v>0</v>
      </c>
      <c r="AO3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Row],[Tipo]]="DROP"),AO37+TbTradesBinance[[#This Row],[Qtt]],AO37-TbTradesBinance[[#This Row],[Qtt]]),IF(TbTradesBinance[[#This Row],[Tipo]]="BUY",AO37-TbTradesBinance[[#This Row],[Qtt]]*TbTradesBinance[[#This Row],[Preço]],AO37+TbTradesBinance[[#This Row],[Qtt]]*TbTradesBinance[[#This Row],[Preço]])),AO37)-IF(TbTradesBinance[[#This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Row],[Tipo]]="DROP"),AO37+TbTradesBinance[[#This Row],[Qtt]],AO37-TbTradesBinance[[#This Row],[Qtt]]),IF(TbTradesBinance[[#This Row],[Tipo]]="BUY",AO37-TbTradesBinance[[#This Row],[Qtt]]*TbTradesBinance[[#This Row],[Preço]],AO37+TbTradesBinance[[#This Row],[Qtt]]*TbTradesBinance[[#This Row],[Preço]])),AO37)-IF(TbTradesBinance[[#This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Row],[Tipo]]="DROP"),AO37+TbTradesBinance[[#This Row],[Qtt]],AO37-TbTradesBinance[[#This Row],[Qtt]]),IF(TbTradesBinance[[#This Row],[Tipo]]="BUY",AO37-TbTradesBinance[[#This Row],[Qtt]]*TbTradesBinance[[#This Row],[Preço]],AO37+TbTradesBinance[[#This Row],[Qtt]]*TbTradesBinance[[#This Row],[Preço]])),AO37)-IF(TbTradesBinance[[#This Row],[Moeda da Taxa]]=MID(AO$1,9,5),TbTradesBinance[[#This Row],[Taxa]],0),8)))</f>
        <v>0</v>
      </c>
      <c r="AP38" s="145" cm="1">
        <f t="array" ref="AP38">IF(TbTradesBinance[[#This Row],[Tipo]]="EMPTY",0,AP37+IF(TbTradesBinance[[#This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Row],[Par]]))),$1:$1,0)),-(AO37-AO38)/AO37*AP37),0),0)+IF(TbTradesBinance[[#This Row],[Tipo]]="SELL",IF(ISNUMBER(FIND(MID(AP$1,10,5),TbTradesBinance[[#This Row],[Par]])),IF(FIND(MID(AP$1,10,5),TbTradesBinance[[#This Row],[Par]])=1, -(AO37-AO38)/AO37*AP37,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Row],[Par]])),(-(AO37-AO38)/AO37*AP37)+IF(TbTradesBinance[[#This Row],[Resultado]]&gt;0,0,TbTradesBinance[[#This Row],[Taxa]]),0),0))</f>
        <v>0</v>
      </c>
      <c r="AQ38" s="145">
        <f t="shared" si="10"/>
        <v>0</v>
      </c>
      <c r="AR3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Row],[Tipo]]="DROP"),AR37+TbTradesBinance[[#This Row],[Qtt]],AR37-TbTradesBinance[[#This Row],[Qtt]]),IF(TbTradesBinance[[#This Row],[Tipo]]="BUY",AR37-TbTradesBinance[[#This Row],[Qtt]]*TbTradesBinance[[#This Row],[Preço]],AR37+TbTradesBinance[[#This Row],[Qtt]]*TbTradesBinance[[#This Row],[Preço]])),AR37)-IF(TbTradesBinance[[#This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Row],[Tipo]]="DROP"),AR37+TbTradesBinance[[#This Row],[Qtt]],AR37-TbTradesBinance[[#This Row],[Qtt]]),IF(TbTradesBinance[[#This Row],[Tipo]]="BUY",AR37-TbTradesBinance[[#This Row],[Qtt]]*TbTradesBinance[[#This Row],[Preço]],AR37+TbTradesBinance[[#This Row],[Qtt]]*TbTradesBinance[[#This Row],[Preço]])),AR37)-IF(TbTradesBinance[[#This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Row],[Tipo]]="DROP"),AR37+TbTradesBinance[[#This Row],[Qtt]],AR37-TbTradesBinance[[#This Row],[Qtt]]),IF(TbTradesBinance[[#This Row],[Tipo]]="BUY",AR37-TbTradesBinance[[#This Row],[Qtt]]*TbTradesBinance[[#This Row],[Preço]],AR37+TbTradesBinance[[#This Row],[Qtt]]*TbTradesBinance[[#This Row],[Preço]])),AR37)-IF(TbTradesBinance[[#This Row],[Moeda da Taxa]]=MID(AR$1,9,5),TbTradesBinance[[#This Row],[Taxa]],0),8)))</f>
        <v>0</v>
      </c>
      <c r="AS38" s="145" cm="1">
        <f t="array" ref="AS38">IF(TbTradesBinance[[#This Row],[Tipo]]="EMPTY",0,AS37+IF(TbTradesBinance[[#This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Row],[Par]]))),$1:$1,0)),-(AR37-AR38)/AR37*AS37),0),0)+IF(TbTradesBinance[[#This Row],[Tipo]]="SELL",IF(ISNUMBER(FIND(MID(AS$1,10,5),TbTradesBinance[[#This Row],[Par]])),IF(FIND(MID(AS$1,10,5),TbTradesBinance[[#This Row],[Par]])=1, -(AR37-AR38)/AR37*AS37,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Row],[Par]])),(-(AR37-AR38)/AR37*AS37)+IF(TbTradesBinance[[#This Row],[Resultado]]&gt;0,0,TbTradesBinance[[#This Row],[Taxa]]),0),0))</f>
        <v>0</v>
      </c>
      <c r="AT38" s="145">
        <f t="shared" si="11"/>
        <v>0</v>
      </c>
      <c r="AU3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Row],[Tipo]]="DROP"),AU37+TbTradesBinance[[#This Row],[Qtt]],AU37-TbTradesBinance[[#This Row],[Qtt]]),IF(TbTradesBinance[[#This Row],[Tipo]]="BUY",AU37-TbTradesBinance[[#This Row],[Qtt]]*TbTradesBinance[[#This Row],[Preço]],AU37+TbTradesBinance[[#This Row],[Qtt]]*TbTradesBinance[[#This Row],[Preço]])),AU37)-IF(TbTradesBinance[[#This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Row],[Tipo]]="DROP"),AU37+TbTradesBinance[[#This Row],[Qtt]],AU37-TbTradesBinance[[#This Row],[Qtt]]),IF(TbTradesBinance[[#This Row],[Tipo]]="BUY",AU37-TbTradesBinance[[#This Row],[Qtt]]*TbTradesBinance[[#This Row],[Preço]],AU37+TbTradesBinance[[#This Row],[Qtt]]*TbTradesBinance[[#This Row],[Preço]])),AU37)-IF(TbTradesBinance[[#This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Row],[Tipo]]="DROP"),AU37+TbTradesBinance[[#This Row],[Qtt]],AU37-TbTradesBinance[[#This Row],[Qtt]]),IF(TbTradesBinance[[#This Row],[Tipo]]="BUY",AU37-TbTradesBinance[[#This Row],[Qtt]]*TbTradesBinance[[#This Row],[Preço]],AU37+TbTradesBinance[[#This Row],[Qtt]]*TbTradesBinance[[#This Row],[Preço]])),AU37)-IF(TbTradesBinance[[#This Row],[Moeda da Taxa]]=MID(AU$1,9,5),TbTradesBinance[[#This Row],[Taxa]],0),8)))</f>
        <v>9.9900000000000003E-2</v>
      </c>
      <c r="AV38" s="145" cm="1">
        <f t="array" ref="AV38">IF(TbTradesBinance[[#This Row],[Tipo]]="EMPTY",0,AV37+IF(TbTradesBinance[[#This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Row],[Par]]))),$1:$1,0)),-(AU37-AU38)/AU37*AV37),0),0)+IF(TbTradesBinance[[#This Row],[Tipo]]="SELL",IF(ISNUMBER(FIND(MID(AV$1,10,5),TbTradesBinance[[#This Row],[Par]])),IF(FIND(MID(AV$1,10,5),TbTradesBinance[[#This Row],[Par]])=1, -(AU37-AU38)/AU37*AV37,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Row],[Par]])),(-(AU37-AU38)/AU37*AV37)+IF(TbTradesBinance[[#This Row],[Resultado]]&gt;0,0,TbTradesBinance[[#This Row],[Taxa]]),0),0))</f>
        <v>18.673922987511034</v>
      </c>
      <c r="AW38" s="145">
        <f t="shared" si="12"/>
        <v>186.92615603114149</v>
      </c>
      <c r="AX3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Row],[Tipo]]="DROP"),AX37+TbTradesBinance[[#This Row],[Qtt]],AX37-TbTradesBinance[[#This Row],[Qtt]]),IF(TbTradesBinance[[#This Row],[Tipo]]="BUY",AX37-TbTradesBinance[[#This Row],[Qtt]]*TbTradesBinance[[#This Row],[Preço]],AX37+TbTradesBinance[[#This Row],[Qtt]]*TbTradesBinance[[#This Row],[Preço]])),AX37)-IF(TbTradesBinance[[#This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Row],[Tipo]]="DROP"),AX37+TbTradesBinance[[#This Row],[Qtt]],AX37-TbTradesBinance[[#This Row],[Qtt]]),IF(TbTradesBinance[[#This Row],[Tipo]]="BUY",AX37-TbTradesBinance[[#This Row],[Qtt]]*TbTradesBinance[[#This Row],[Preço]],AX37+TbTradesBinance[[#This Row],[Qtt]]*TbTradesBinance[[#This Row],[Preço]])),AX37)-IF(TbTradesBinance[[#This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Row],[Tipo]]="DROP"),AX37+TbTradesBinance[[#This Row],[Qtt]],AX37-TbTradesBinance[[#This Row],[Qtt]]),IF(TbTradesBinance[[#This Row],[Tipo]]="BUY",AX37-TbTradesBinance[[#This Row],[Qtt]]*TbTradesBinance[[#This Row],[Preço]],AX37+TbTradesBinance[[#This Row],[Qtt]]*TbTradesBinance[[#This Row],[Preço]])),AX37)-IF(TbTradesBinance[[#This Row],[Moeda da Taxa]]=MID(AX$1,9,5),TbTradesBinance[[#This Row],[Taxa]],0),8)))</f>
        <v>0</v>
      </c>
      <c r="AY38" s="145" cm="1">
        <f t="array" ref="AY38">IF(TbTradesBinance[[#This Row],[Tipo]]="EMPTY",0,AY37+IF(TbTradesBinance[[#This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Row],[Par]]))),$1:$1,0)),-(AX37-AX38)/AX37*AY37),0),0)+IF(TbTradesBinance[[#This Row],[Tipo]]="SELL",IF(ISNUMBER(FIND(MID(AY$1,10,5),TbTradesBinance[[#This Row],[Par]])),IF(FIND(MID(AY$1,10,5),TbTradesBinance[[#This Row],[Par]])=1, -(AX37-AX38)/AX37*AY37,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Row],[Par]])),(-(AX37-AX38)/AX37*AY37)+IF(TbTradesBinance[[#This Row],[Resultado]]&gt;0,0,TbTradesBinance[[#This Row],[Taxa]]),0),0))</f>
        <v>0</v>
      </c>
      <c r="AZ38" s="145">
        <f t="shared" si="13"/>
        <v>0</v>
      </c>
      <c r="BA3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Row],[Tipo]]="DROP"),BA37+TbTradesBinance[[#This Row],[Qtt]],BA37-TbTradesBinance[[#This Row],[Qtt]]),IF(TbTradesBinance[[#This Row],[Tipo]]="BUY",BA37-TbTradesBinance[[#This Row],[Qtt]]*TbTradesBinance[[#This Row],[Preço]],BA37+TbTradesBinance[[#This Row],[Qtt]]*TbTradesBinance[[#This Row],[Preço]])),BA37)-IF(TbTradesBinance[[#This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Row],[Tipo]]="DROP"),BA37+TbTradesBinance[[#This Row],[Qtt]],BA37-TbTradesBinance[[#This Row],[Qtt]]),IF(TbTradesBinance[[#This Row],[Tipo]]="BUY",BA37-TbTradesBinance[[#This Row],[Qtt]]*TbTradesBinance[[#This Row],[Preço]],BA37+TbTradesBinance[[#This Row],[Qtt]]*TbTradesBinance[[#This Row],[Preço]])),BA37)-IF(TbTradesBinance[[#This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Row],[Tipo]]="DROP"),BA37+TbTradesBinance[[#This Row],[Qtt]],BA37-TbTradesBinance[[#This Row],[Qtt]]),IF(TbTradesBinance[[#This Row],[Tipo]]="BUY",BA37-TbTradesBinance[[#This Row],[Qtt]]*TbTradesBinance[[#This Row],[Preço]],BA37+TbTradesBinance[[#This Row],[Qtt]]*TbTradesBinance[[#This Row],[Preço]])),BA37)-IF(TbTradesBinance[[#This Row],[Moeda da Taxa]]=MID(BA$1,9,5),TbTradesBinance[[#This Row],[Taxa]],0),8)))</f>
        <v>0</v>
      </c>
      <c r="BB38" s="145" cm="1">
        <f t="array" ref="BB38">IF(TbTradesBinance[[#This Row],[Tipo]]="EMPTY",0,BB37+IF(TbTradesBinance[[#This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Row],[Par]]))),$1:$1,0)),-(BA37-BA38)/BA37*BB37),0),0)+IF(TbTradesBinance[[#This Row],[Tipo]]="SELL",IF(ISNUMBER(FIND(MID(BB$1,10,5),TbTradesBinance[[#This Row],[Par]])),IF(FIND(MID(BB$1,10,5),TbTradesBinance[[#This Row],[Par]])=1, -(BA37-BA38)/BA37*BB37,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Row],[Par]])),(-(BA37-BA38)/BA37*BB37)+IF(TbTradesBinance[[#This Row],[Resultado]]&gt;0,0,TbTradesBinance[[#This Row],[Taxa]]),0),0))</f>
        <v>0</v>
      </c>
      <c r="BC38" s="145">
        <f t="shared" si="14"/>
        <v>0</v>
      </c>
      <c r="BD3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Row],[Tipo]]="DROP"),BD37+TbTradesBinance[[#This Row],[Qtt]],BD37-TbTradesBinance[[#This Row],[Qtt]]),IF(TbTradesBinance[[#This Row],[Tipo]]="BUY",BD37-TbTradesBinance[[#This Row],[Qtt]]*TbTradesBinance[[#This Row],[Preço]],BD37+TbTradesBinance[[#This Row],[Qtt]]*TbTradesBinance[[#This Row],[Preço]])),BD37)-IF(TbTradesBinance[[#This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Row],[Tipo]]="DROP"),BD37+TbTradesBinance[[#This Row],[Qtt]],BD37-TbTradesBinance[[#This Row],[Qtt]]),IF(TbTradesBinance[[#This Row],[Tipo]]="BUY",BD37-TbTradesBinance[[#This Row],[Qtt]]*TbTradesBinance[[#This Row],[Preço]],BD37+TbTradesBinance[[#This Row],[Qtt]]*TbTradesBinance[[#This Row],[Preço]])),BD37)-IF(TbTradesBinance[[#This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Row],[Tipo]]="DROP"),BD37+TbTradesBinance[[#This Row],[Qtt]],BD37-TbTradesBinance[[#This Row],[Qtt]]),IF(TbTradesBinance[[#This Row],[Tipo]]="BUY",BD37-TbTradesBinance[[#This Row],[Qtt]]*TbTradesBinance[[#This Row],[Preço]],BD37+TbTradesBinance[[#This Row],[Qtt]]*TbTradesBinance[[#This Row],[Preço]])),BD37)-IF(TbTradesBinance[[#This Row],[Moeda da Taxa]]=MID(BD$1,9,5),TbTradesBinance[[#This Row],[Taxa]],0),8)))</f>
        <v>0.37962000000000001</v>
      </c>
      <c r="BE38" s="145" cm="1">
        <f t="array" ref="BE38">IF(TbTradesBinance[[#This Row],[Tipo]]="EMPTY",0,BE37+IF(TbTradesBinance[[#This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Row],[Par]]))),$1:$1,0)),-(BD37-BD38)/BD37*BE37),0),0)+IF(TbTradesBinance[[#This Row],[Tipo]]="SELL",IF(ISNUMBER(FIND(MID(BE$1,10,5),TbTradesBinance[[#This Row],[Par]])),IF(FIND(MID(BE$1,10,5),TbTradesBinance[[#This Row],[Par]])=1, -(BD37-BD38)/BD37*BE37,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Row],[Par]])),(-(BD37-BD38)/BD37*BE37)+IF(TbTradesBinance[[#This Row],[Resultado]]&gt;0,0,TbTradesBinance[[#This Row],[Taxa]]),0),0))</f>
        <v>63.647297001537943</v>
      </c>
      <c r="BF38" s="145">
        <f t="shared" si="15"/>
        <v>167.66054739354601</v>
      </c>
      <c r="BG3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Row],[Tipo]]="DROP"),BG37+TbTradesBinance[[#This Row],[Qtt]],BG37-TbTradesBinance[[#This Row],[Qtt]]),IF(TbTradesBinance[[#This Row],[Tipo]]="BUY",BG37-TbTradesBinance[[#This Row],[Qtt]]*TbTradesBinance[[#This Row],[Preço]],BG37+TbTradesBinance[[#This Row],[Qtt]]*TbTradesBinance[[#This Row],[Preço]])),BG37)-IF(TbTradesBinance[[#This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Row],[Tipo]]="DROP"),BG37+TbTradesBinance[[#This Row],[Qtt]],BG37-TbTradesBinance[[#This Row],[Qtt]]),IF(TbTradesBinance[[#This Row],[Tipo]]="BUY",BG37-TbTradesBinance[[#This Row],[Qtt]]*TbTradesBinance[[#This Row],[Preço]],BG37+TbTradesBinance[[#This Row],[Qtt]]*TbTradesBinance[[#This Row],[Preço]])),BG37)-IF(TbTradesBinance[[#This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Row],[Tipo]]="DROP"),BG37+TbTradesBinance[[#This Row],[Qtt]],BG37-TbTradesBinance[[#This Row],[Qtt]]),IF(TbTradesBinance[[#This Row],[Tipo]]="BUY",BG37-TbTradesBinance[[#This Row],[Qtt]]*TbTradesBinance[[#This Row],[Preço]],BG37+TbTradesBinance[[#This Row],[Qtt]]*TbTradesBinance[[#This Row],[Preço]])),BG37)-IF(TbTradesBinance[[#This Row],[Moeda da Taxa]]=MID(BG$1,9,5),TbTradesBinance[[#This Row],[Taxa]],0),8)))</f>
        <v>0</v>
      </c>
      <c r="BH38" s="145" cm="1">
        <f t="array" ref="BH38">IF(TbTradesBinance[[#This Row],[Tipo]]="EMPTY",0,BH37+IF(TbTradesBinance[[#This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Row],[Par]]))),$1:$1,0)),-(BG37-BG38)/BG37*BH37),0),0)+IF(TbTradesBinance[[#This Row],[Tipo]]="SELL",IF(ISNUMBER(FIND(MID(BH$1,10,5),TbTradesBinance[[#This Row],[Par]])),IF(FIND(MID(BH$1,10,5),TbTradesBinance[[#This Row],[Par]])=1, -(BG37-BG38)/BG37*BH37,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Row],[Par]])),(-(BG37-BG38)/BG37*BH37)+IF(TbTradesBinance[[#This Row],[Resultado]]&gt;0,0,TbTradesBinance[[#This Row],[Taxa]]),0),0))</f>
        <v>0</v>
      </c>
      <c r="BI38" s="145">
        <f t="shared" si="16"/>
        <v>0</v>
      </c>
      <c r="BJ3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Row],[Tipo]]="DROP"),BJ37+TbTradesBinance[[#This Row],[Qtt]],BJ37-TbTradesBinance[[#This Row],[Qtt]]),IF(TbTradesBinance[[#This Row],[Tipo]]="BUY",BJ37-TbTradesBinance[[#This Row],[Qtt]]*TbTradesBinance[[#This Row],[Preço]],BJ37+TbTradesBinance[[#This Row],[Qtt]]*TbTradesBinance[[#This Row],[Preço]])),BJ37)-IF(TbTradesBinance[[#This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Row],[Tipo]]="DROP"),BJ37+TbTradesBinance[[#This Row],[Qtt]],BJ37-TbTradesBinance[[#This Row],[Qtt]]),IF(TbTradesBinance[[#This Row],[Tipo]]="BUY",BJ37-TbTradesBinance[[#This Row],[Qtt]]*TbTradesBinance[[#This Row],[Preço]],BJ37+TbTradesBinance[[#This Row],[Qtt]]*TbTradesBinance[[#This Row],[Preço]])),BJ37)-IF(TbTradesBinance[[#This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Row],[Tipo]]="DROP"),BJ37+TbTradesBinance[[#This Row],[Qtt]],BJ37-TbTradesBinance[[#This Row],[Qtt]]),IF(TbTradesBinance[[#This Row],[Tipo]]="BUY",BJ37-TbTradesBinance[[#This Row],[Qtt]]*TbTradesBinance[[#This Row],[Preço]],BJ37+TbTradesBinance[[#This Row],[Qtt]]*TbTradesBinance[[#This Row],[Preço]])),BJ37)-IF(TbTradesBinance[[#This Row],[Moeda da Taxa]]=MID(BJ$1,9,5),TbTradesBinance[[#This Row],[Taxa]],0),8)))</f>
        <v>0</v>
      </c>
      <c r="BK38" s="145" cm="1">
        <f t="array" ref="BK38">IF(TbTradesBinance[[#This Row],[Tipo]]="EMPTY",0,BK37+IF(TbTradesBinance[[#This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Row],[Par]]))),$1:$1,0)),-(BJ37-BJ38)/BJ37*BK37),0),0)+IF(TbTradesBinance[[#This Row],[Tipo]]="SELL",IF(ISNUMBER(FIND(MID(BK$1,10,5),TbTradesBinance[[#This Row],[Par]])),IF(FIND(MID(BK$1,10,5),TbTradesBinance[[#This Row],[Par]])=1, -(BJ37-BJ38)/BJ37*BK37,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Row],[Par]])),(-(BJ37-BJ38)/BJ37*BK37)+IF(TbTradesBinance[[#This Row],[Resultado]]&gt;0,0,TbTradesBinance[[#This Row],[Taxa]]),0),0))</f>
        <v>0</v>
      </c>
      <c r="BL38" s="145">
        <f t="shared" si="17"/>
        <v>0</v>
      </c>
      <c r="BM3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Row],[Tipo]]="DROP"),BM37+TbTradesBinance[[#This Row],[Qtt]],BM37-TbTradesBinance[[#This Row],[Qtt]]),IF(TbTradesBinance[[#This Row],[Tipo]]="BUY",BM37-TbTradesBinance[[#This Row],[Qtt]]*TbTradesBinance[[#This Row],[Preço]],BM37+TbTradesBinance[[#This Row],[Qtt]]*TbTradesBinance[[#This Row],[Preço]])),BM37)-IF(TbTradesBinance[[#This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Row],[Tipo]]="DROP"),BM37+TbTradesBinance[[#This Row],[Qtt]],BM37-TbTradesBinance[[#This Row],[Qtt]]),IF(TbTradesBinance[[#This Row],[Tipo]]="BUY",BM37-TbTradesBinance[[#This Row],[Qtt]]*TbTradesBinance[[#This Row],[Preço]],BM37+TbTradesBinance[[#This Row],[Qtt]]*TbTradesBinance[[#This Row],[Preço]])),BM37)-IF(TbTradesBinance[[#This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Row],[Tipo]]="DROP"),BM37+TbTradesBinance[[#This Row],[Qtt]],BM37-TbTradesBinance[[#This Row],[Qtt]]),IF(TbTradesBinance[[#This Row],[Tipo]]="BUY",BM37-TbTradesBinance[[#This Row],[Qtt]]*TbTradesBinance[[#This Row],[Preço]],BM37+TbTradesBinance[[#This Row],[Qtt]]*TbTradesBinance[[#This Row],[Preço]])),BM37)-IF(TbTradesBinance[[#This Row],[Moeda da Taxa]]=MID(BM$1,9,5),TbTradesBinance[[#This Row],[Taxa]],0),8)))</f>
        <v>0</v>
      </c>
      <c r="BN38" s="145" cm="1">
        <f t="array" ref="BN38">IF(TbTradesBinance[[#This Row],[Tipo]]="EMPTY",0,BN37+IF(TbTradesBinance[[#This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Row],[Par]]))),$1:$1,0)),-(BM37-BM38)/BM37*BN37),0),0)+IF(TbTradesBinance[[#This Row],[Tipo]]="SELL",IF(ISNUMBER(FIND(MID(BN$1,10,5),TbTradesBinance[[#This Row],[Par]])),IF(FIND(MID(BN$1,10,5),TbTradesBinance[[#This Row],[Par]])=1, -(BM37-BM38)/BM37*BN37,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Row],[Par]])),(-(BM37-BM38)/BM37*BN37)+IF(TbTradesBinance[[#This Row],[Resultado]]&gt;0,0,TbTradesBinance[[#This Row],[Taxa]]),0),0))</f>
        <v>0</v>
      </c>
      <c r="BO38" s="145">
        <f t="shared" si="18"/>
        <v>0</v>
      </c>
    </row>
    <row r="39" spans="2:67" x14ac:dyDescent="0.3">
      <c r="B39" s="51"/>
      <c r="C39" s="40">
        <f>TRUNC(IF(AND(TbTradesBinance[[#This Row],[Tipo]]="SEND",TbTradesBinance[[#This Row],[Par]]="BRL"),TbTradesBinance[[#This Row],[Qtt]]*(1-P37)-IF(TbTradesBinance[[#This Row],[Moeda da Taxa]]="BRL",TbTradesBinance[[#This Row],[Taxa]],0),0)+IF(AND(TbTradesBinance[[#This Row],[Tipo]]="BURN",TbTradesBinance[[#This Row],[Par]]="BRL"),-TbTradesBinance[[#This Row],[Qtt]]*P37,0),2)</f>
        <v>0</v>
      </c>
      <c r="D39" s="53">
        <v>44261.812789351854</v>
      </c>
      <c r="E39" s="37" t="s">
        <v>138</v>
      </c>
      <c r="F39" s="47" t="s">
        <v>140</v>
      </c>
      <c r="G39" s="38">
        <v>279000</v>
      </c>
      <c r="H39" s="38">
        <v>5.1619999999999999E-3</v>
      </c>
      <c r="I39" s="38">
        <v>0</v>
      </c>
      <c r="J39" s="37" t="s">
        <v>50</v>
      </c>
      <c r="K39" s="52">
        <v>1</v>
      </c>
      <c r="L39" s="40">
        <f t="shared" si="0"/>
        <v>279000</v>
      </c>
      <c r="M39" s="40">
        <f>IF(OR(TbTradesBinance[[#This Row],[Tipo]]="BUY",TbTradesBinance[[#This Row],[Tipo]]="RECEIVE",TbTradesBinance[[#This Row],[Tipo]]="DROP"),L39*H39,-L39*H39)</f>
        <v>-1440.1979999999999</v>
      </c>
      <c r="N3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Row],[Tipo]]="DROP"),N38+TbTradesBinance[[#This Row],[Qtt]],N38-TbTradesBinance[[#This Row],[Qtt]]),IF(TbTradesBinance[[#This Row],[Tipo]]="BUY",N38-TbTradesBinance[[#This Row],[Qtt]]*TbTradesBinance[[#This Row],[Preço]],N38+TbTradesBinance[[#This Row],[Qtt]]*TbTradesBinance[[#This Row],[Preço]])),N38)-IF(TbTradesBinance[[#This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Row],[Tipo]]="DROP"),N38+TbTradesBinance[[#This Row],[Qtt]],N38-TbTradesBinance[[#This Row],[Qtt]]),IF(TbTradesBinance[[#This Row],[Tipo]]="BUY",N38-TbTradesBinance[[#This Row],[Qtt]]*TbTradesBinance[[#This Row],[Preço]],N38+TbTradesBinance[[#This Row],[Qtt]]*TbTradesBinance[[#This Row],[Preço]])),N38)-IF(TbTradesBinance[[#This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Row],[Tipo]]="DROP"),N38+TbTradesBinance[[#This Row],[Qtt]],N38-TbTradesBinance[[#This Row],[Qtt]]),IF(TbTradesBinance[[#This Row],[Tipo]]="BUY",N38-TbTradesBinance[[#This Row],[Qtt]]*TbTradesBinance[[#This Row],[Preço]],N38+TbTradesBinance[[#This Row],[Qtt]]*TbTradesBinance[[#This Row],[Preço]])),N38)-IF(TbTradesBinance[[#This Row],[Moeda da Taxa]]=MID(N$1,9,5),TbTradesBinance[[#This Row],[Taxa]],0),8)))</f>
        <v>121185.75818689</v>
      </c>
      <c r="O39" s="145" cm="1">
        <f t="array" ref="O39">IF(TbTradesBinance[[#This Row],[Tipo]]="EMPTY",0,O38+IF(TbTradesBinance[[#This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Row],[Par]]))),$1:$1,0)),-(N38-N39)/N38*O38),0),0)+IF(TbTradesBinance[[#This Row],[Tipo]]="SELL",IF(ISNUMBER(FIND(MID(O$1,10,5),TbTradesBinance[[#This Row],[Par]])),IF(FIND(MID(O$1,10,5),TbTradesBinance[[#This Row],[Par]])=1, -(N38-N39)/N38*O38,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Row],[Par]])),(-(N38-N39)/N38*O38)+IF(TbTradesBinance[[#This Row],[Resultado]]&gt;0,0,TbTradesBinance[[#This Row],[Taxa]]),0),0))</f>
        <v>121116.45005629833</v>
      </c>
      <c r="P39" s="145">
        <f t="shared" si="1"/>
        <v>0.99942808353367085</v>
      </c>
      <c r="Q3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Row],[Tipo]]="DROP"),Q38+TbTradesBinance[[#This Row],[Qtt]],Q38-TbTradesBinance[[#This Row],[Qtt]]),IF(TbTradesBinance[[#This Row],[Tipo]]="BUY",Q38-TbTradesBinance[[#This Row],[Qtt]]*TbTradesBinance[[#This Row],[Preço]],Q38+TbTradesBinance[[#This Row],[Qtt]]*TbTradesBinance[[#This Row],[Preço]])),Q38)-IF(TbTradesBinance[[#This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Row],[Tipo]]="DROP"),Q38+TbTradesBinance[[#This Row],[Qtt]],Q38-TbTradesBinance[[#This Row],[Qtt]]),IF(TbTradesBinance[[#This Row],[Tipo]]="BUY",Q38-TbTradesBinance[[#This Row],[Qtt]]*TbTradesBinance[[#This Row],[Preço]],Q38+TbTradesBinance[[#This Row],[Qtt]]*TbTradesBinance[[#This Row],[Preço]])),Q38)-IF(TbTradesBinance[[#This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Row],[Tipo]]="DROP"),Q38+TbTradesBinance[[#This Row],[Qtt]],Q38-TbTradesBinance[[#This Row],[Qtt]]),IF(TbTradesBinance[[#This Row],[Tipo]]="BUY",Q38-TbTradesBinance[[#This Row],[Qtt]]*TbTradesBinance[[#This Row],[Preço]],Q38+TbTradesBinance[[#This Row],[Qtt]]*TbTradesBinance[[#This Row],[Preço]])),Q38)-IF(TbTradesBinance[[#This Row],[Moeda da Taxa]]=MID(Q$1,9,5),TbTradesBinance[[#This Row],[Taxa]],0),8)))</f>
        <v>0.27732999000000003</v>
      </c>
      <c r="R39" s="145" cm="1">
        <f t="array" ref="R39">IF(TbTradesBinance[[#This Row],[Tipo]]="EMPTY",0,R38+IF(TbTradesBinance[[#This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Row],[Par]]))),$1:$1,0)),-(Q38-Q39)/Q38*R38),0),0)+IF(TbTradesBinance[[#This Row],[Tipo]]="SELL",IF(ISNUMBER(FIND(MID(R$1,10,5),TbTradesBinance[[#This Row],[Par]])),IF(FIND(MID(R$1,10,5),TbTradesBinance[[#This Row],[Par]])=1, -(Q38-Q39)/Q38*R38,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Row],[Par]])),(-(Q38-Q39)/Q38*R38)+IF(TbTradesBinance[[#This Row],[Resultado]]&gt;0,0,TbTradesBinance[[#This Row],[Taxa]]),0),0))</f>
        <v>1.5509449279899954</v>
      </c>
      <c r="S39" s="145">
        <f t="shared" si="2"/>
        <v>5.592416918163071</v>
      </c>
      <c r="T3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Row],[Tipo]]="DROP"),T38+TbTradesBinance[[#This Row],[Qtt]],T38-TbTradesBinance[[#This Row],[Qtt]]),IF(TbTradesBinance[[#This Row],[Tipo]]="BUY",T38-TbTradesBinance[[#This Row],[Qtt]]*TbTradesBinance[[#This Row],[Preço]],T38+TbTradesBinance[[#This Row],[Qtt]]*TbTradesBinance[[#This Row],[Preço]])),T38)-IF(TbTradesBinance[[#This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Row],[Tipo]]="DROP"),T38+TbTradesBinance[[#This Row],[Qtt]],T38-TbTradesBinance[[#This Row],[Qtt]]),IF(TbTradesBinance[[#This Row],[Tipo]]="BUY",T38-TbTradesBinance[[#This Row],[Qtt]]*TbTradesBinance[[#This Row],[Preço]],T38+TbTradesBinance[[#This Row],[Qtt]]*TbTradesBinance[[#This Row],[Preço]])),T38)-IF(TbTradesBinance[[#This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Row],[Tipo]]="DROP"),T38+TbTradesBinance[[#This Row],[Qtt]],T38-TbTradesBinance[[#This Row],[Qtt]]),IF(TbTradesBinance[[#This Row],[Tipo]]="BUY",T38-TbTradesBinance[[#This Row],[Qtt]]*TbTradesBinance[[#This Row],[Preço]],T38+TbTradesBinance[[#This Row],[Qtt]]*TbTradesBinance[[#This Row],[Preço]])),T38)-IF(TbTradesBinance[[#This Row],[Moeda da Taxa]]=MID(T$1,9,5),TbTradesBinance[[#This Row],[Taxa]],0),8)))</f>
        <v>199735.34867482999</v>
      </c>
      <c r="U39" s="145" cm="1">
        <f t="array" ref="U39">IF(TbTradesBinance[[#This Row],[Tipo]]="EMPTY",0,U38+IF(TbTradesBinance[[#This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Row],[Par]]))),$1:$1,0)),-(T38-T39)/T38*U38),0),0)+IF(TbTradesBinance[[#This Row],[Tipo]]="SELL",IF(ISNUMBER(FIND(MID(U$1,10,5),TbTradesBinance[[#This Row],[Par]])),IF(FIND(MID(U$1,10,5),TbTradesBinance[[#This Row],[Par]])=1, -(T38-T39)/T38*U38,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Row],[Par]])),(-(T38-T39)/T38*U38)+IF(TbTradesBinance[[#This Row],[Resultado]]&gt;0,0,TbTradesBinance[[#This Row],[Taxa]]),0),0))</f>
        <v>1328240.0716580662</v>
      </c>
      <c r="V39" s="145">
        <f t="shared" si="3"/>
        <v>6.6500000148719129</v>
      </c>
      <c r="W3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Row],[Tipo]]="DROP"),W38+TbTradesBinance[[#This Row],[Qtt]],W38-TbTradesBinance[[#This Row],[Qtt]]),IF(TbTradesBinance[[#This Row],[Tipo]]="BUY",W38-TbTradesBinance[[#This Row],[Qtt]]*TbTradesBinance[[#This Row],[Preço]],W38+TbTradesBinance[[#This Row],[Qtt]]*TbTradesBinance[[#This Row],[Preço]])),W38)-IF(TbTradesBinance[[#This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Row],[Tipo]]="DROP"),W38+TbTradesBinance[[#This Row],[Qtt]],W38-TbTradesBinance[[#This Row],[Qtt]]),IF(TbTradesBinance[[#This Row],[Tipo]]="BUY",W38-TbTradesBinance[[#This Row],[Qtt]]*TbTradesBinance[[#This Row],[Preço]],W38+TbTradesBinance[[#This Row],[Qtt]]*TbTradesBinance[[#This Row],[Preço]])),W38)-IF(TbTradesBinance[[#This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Row],[Tipo]]="DROP"),W38+TbTradesBinance[[#This Row],[Qtt]],W38-TbTradesBinance[[#This Row],[Qtt]]),IF(TbTradesBinance[[#This Row],[Tipo]]="BUY",W38-TbTradesBinance[[#This Row],[Qtt]]*TbTradesBinance[[#This Row],[Preço]],W38+TbTradesBinance[[#This Row],[Qtt]]*TbTradesBinance[[#This Row],[Preço]])),W38)-IF(TbTradesBinance[[#This Row],[Moeda da Taxa]]=MID(W$1,9,5),TbTradesBinance[[#This Row],[Taxa]],0),8)))</f>
        <v>2.03557E-3</v>
      </c>
      <c r="X39" s="145" cm="1">
        <f t="array" ref="X39">IF(TbTradesBinance[[#This Row],[Tipo]]="EMPTY",0,X38+IF(TbTradesBinance[[#This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Row],[Par]]))),$1:$1,0)),-(W38-W39)/W38*X38),0),0)+IF(TbTradesBinance[[#This Row],[Tipo]]="SELL",IF(ISNUMBER(FIND(MID(X$1,10,5),TbTradesBinance[[#This Row],[Par]])),IF(FIND(MID(X$1,10,5),TbTradesBinance[[#This Row],[Par]])=1, -(W38-W39)/W38*X38,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Row],[Par]])),(-(W38-W39)/W38*X38)+IF(TbTradesBinance[[#This Row],[Resultado]]&gt;0,0,TbTradesBinance[[#This Row],[Taxa]]),0),0))</f>
        <v>559.60612071837591</v>
      </c>
      <c r="Y39" s="145">
        <f t="shared" si="4"/>
        <v>274913.71985162678</v>
      </c>
      <c r="Z3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Row],[Tipo]]="DROP"),Z38+TbTradesBinance[[#This Row],[Qtt]],Z38-TbTradesBinance[[#This Row],[Qtt]]),IF(TbTradesBinance[[#This Row],[Tipo]]="BUY",Z38-TbTradesBinance[[#This Row],[Qtt]]*TbTradesBinance[[#This Row],[Preço]],Z38+TbTradesBinance[[#This Row],[Qtt]]*TbTradesBinance[[#This Row],[Preço]])),Z38)-IF(TbTradesBinance[[#This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Row],[Tipo]]="DROP"),Z38+TbTradesBinance[[#This Row],[Qtt]],Z38-TbTradesBinance[[#This Row],[Qtt]]),IF(TbTradesBinance[[#This Row],[Tipo]]="BUY",Z38-TbTradesBinance[[#This Row],[Qtt]]*TbTradesBinance[[#This Row],[Preço]],Z38+TbTradesBinance[[#This Row],[Qtt]]*TbTradesBinance[[#This Row],[Preço]])),Z38)-IF(TbTradesBinance[[#This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Row],[Tipo]]="DROP"),Z38+TbTradesBinance[[#This Row],[Qtt]],Z38-TbTradesBinance[[#This Row],[Qtt]]),IF(TbTradesBinance[[#This Row],[Tipo]]="BUY",Z38-TbTradesBinance[[#This Row],[Qtt]]*TbTradesBinance[[#This Row],[Preço]],Z38+TbTradesBinance[[#This Row],[Qtt]]*TbTradesBinance[[#This Row],[Preço]])),Z38)-IF(TbTradesBinance[[#This Row],[Moeda da Taxa]]=MID(Z$1,9,5),TbTradesBinance[[#This Row],[Taxa]],0),8)))</f>
        <v>0</v>
      </c>
      <c r="AA39" s="145" cm="1">
        <f t="array" ref="AA39">IF(TbTradesBinance[[#This Row],[Tipo]]="EMPTY",0,AA38+IF(TbTradesBinance[[#This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Row],[Par]]))),$1:$1,0)),-(Z38-Z39)/Z38*AA38),0),0)+IF(TbTradesBinance[[#This Row],[Tipo]]="SELL",IF(ISNUMBER(FIND(MID(AA$1,10,5),TbTradesBinance[[#This Row],[Par]])),IF(FIND(MID(AA$1,10,5),TbTradesBinance[[#This Row],[Par]])=1, -(Z38-Z39)/Z38*AA38,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Row],[Par]])),(-(Z38-Z39)/Z38*AA38)+IF(TbTradesBinance[[#This Row],[Resultado]]&gt;0,0,TbTradesBinance[[#This Row],[Taxa]]),0),0))</f>
        <v>0</v>
      </c>
      <c r="AB39" s="145">
        <f t="shared" si="5"/>
        <v>0</v>
      </c>
      <c r="AC3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Row],[Tipo]]="DROP"),AC38+TbTradesBinance[[#This Row],[Qtt]],AC38-TbTradesBinance[[#This Row],[Qtt]]),IF(TbTradesBinance[[#This Row],[Tipo]]="BUY",AC38-TbTradesBinance[[#This Row],[Qtt]]*TbTradesBinance[[#This Row],[Preço]],AC38+TbTradesBinance[[#This Row],[Qtt]]*TbTradesBinance[[#This Row],[Preço]])),AC38)-IF(TbTradesBinance[[#This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Row],[Tipo]]="DROP"),AC38+TbTradesBinance[[#This Row],[Qtt]],AC38-TbTradesBinance[[#This Row],[Qtt]]),IF(TbTradesBinance[[#This Row],[Tipo]]="BUY",AC38-TbTradesBinance[[#This Row],[Qtt]]*TbTradesBinance[[#This Row],[Preço]],AC38+TbTradesBinance[[#This Row],[Qtt]]*TbTradesBinance[[#This Row],[Preço]])),AC38)-IF(TbTradesBinance[[#This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Row],[Tipo]]="DROP"),AC38+TbTradesBinance[[#This Row],[Qtt]],AC38-TbTradesBinance[[#This Row],[Qtt]]),IF(TbTradesBinance[[#This Row],[Tipo]]="BUY",AC38-TbTradesBinance[[#This Row],[Qtt]]*TbTradesBinance[[#This Row],[Preço]],AC38+TbTradesBinance[[#This Row],[Qtt]]*TbTradesBinance[[#This Row],[Preço]])),AC38)-IF(TbTradesBinance[[#This Row],[Moeda da Taxa]]=MID(AC$1,9,5),TbTradesBinance[[#This Row],[Taxa]],0),8)))</f>
        <v>0</v>
      </c>
      <c r="AD39" s="145" cm="1">
        <f t="array" ref="AD39">IF(TbTradesBinance[[#This Row],[Tipo]]="EMPTY",0,AD38+IF(TbTradesBinance[[#This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Row],[Par]]))),$1:$1,0)),-(AC38-AC39)/AC38*AD38),0),0)+IF(TbTradesBinance[[#This Row],[Tipo]]="SELL",IF(ISNUMBER(FIND(MID(AD$1,10,5),TbTradesBinance[[#This Row],[Par]])),IF(FIND(MID(AD$1,10,5),TbTradesBinance[[#This Row],[Par]])=1, -(AC38-AC39)/AC38*AD38,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Row],[Par]])),(-(AC38-AC39)/AC38*AD38)+IF(TbTradesBinance[[#This Row],[Resultado]]&gt;0,0,TbTradesBinance[[#This Row],[Taxa]]),0),0))</f>
        <v>0</v>
      </c>
      <c r="AE39" s="145">
        <f t="shared" si="6"/>
        <v>0</v>
      </c>
      <c r="AF3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Row],[Tipo]]="DROP"),AF38+TbTradesBinance[[#This Row],[Qtt]],AF38-TbTradesBinance[[#This Row],[Qtt]]),IF(TbTradesBinance[[#This Row],[Tipo]]="BUY",AF38-TbTradesBinance[[#This Row],[Qtt]]*TbTradesBinance[[#This Row],[Preço]],AF38+TbTradesBinance[[#This Row],[Qtt]]*TbTradesBinance[[#This Row],[Preço]])),AF38)-IF(TbTradesBinance[[#This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Row],[Tipo]]="DROP"),AF38+TbTradesBinance[[#This Row],[Qtt]],AF38-TbTradesBinance[[#This Row],[Qtt]]),IF(TbTradesBinance[[#This Row],[Tipo]]="BUY",AF38-TbTradesBinance[[#This Row],[Qtt]]*TbTradesBinance[[#This Row],[Preço]],AF38+TbTradesBinance[[#This Row],[Qtt]]*TbTradesBinance[[#This Row],[Preço]])),AF38)-IF(TbTradesBinance[[#This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Row],[Tipo]]="DROP"),AF38+TbTradesBinance[[#This Row],[Qtt]],AF38-TbTradesBinance[[#This Row],[Qtt]]),IF(TbTradesBinance[[#This Row],[Tipo]]="BUY",AF38-TbTradesBinance[[#This Row],[Qtt]]*TbTradesBinance[[#This Row],[Preço]],AF38+TbTradesBinance[[#This Row],[Qtt]]*TbTradesBinance[[#This Row],[Preço]])),AF38)-IF(TbTradesBinance[[#This Row],[Moeda da Taxa]]=MID(AF$1,9,5),TbTradesBinance[[#This Row],[Taxa]],0),8)))</f>
        <v>0</v>
      </c>
      <c r="AG39" s="145" cm="1">
        <f t="array" ref="AG39">IF(TbTradesBinance[[#This Row],[Tipo]]="EMPTY",0,AG38+IF(TbTradesBinance[[#This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Row],[Par]]))),$1:$1,0)),-(AF38-AF39)/AF38*AG38),0),0)+IF(TbTradesBinance[[#This Row],[Tipo]]="SELL",IF(ISNUMBER(FIND(MID(AG$1,10,5),TbTradesBinance[[#This Row],[Par]])),IF(FIND(MID(AG$1,10,5),TbTradesBinance[[#This Row],[Par]])=1, -(AF38-AF39)/AF38*AG38,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Row],[Par]])),(-(AF38-AF39)/AF38*AG38)+IF(TbTradesBinance[[#This Row],[Resultado]]&gt;0,0,TbTradesBinance[[#This Row],[Taxa]]),0),0))</f>
        <v>0</v>
      </c>
      <c r="AH39" s="145">
        <f t="shared" si="7"/>
        <v>0</v>
      </c>
      <c r="AI3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Row],[Tipo]]="DROP"),AI38+TbTradesBinance[[#This Row],[Qtt]],AI38-TbTradesBinance[[#This Row],[Qtt]]),IF(TbTradesBinance[[#This Row],[Tipo]]="BUY",AI38-TbTradesBinance[[#This Row],[Qtt]]*TbTradesBinance[[#This Row],[Preço]],AI38+TbTradesBinance[[#This Row],[Qtt]]*TbTradesBinance[[#This Row],[Preço]])),AI38)-IF(TbTradesBinance[[#This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Row],[Tipo]]="DROP"),AI38+TbTradesBinance[[#This Row],[Qtt]],AI38-TbTradesBinance[[#This Row],[Qtt]]),IF(TbTradesBinance[[#This Row],[Tipo]]="BUY",AI38-TbTradesBinance[[#This Row],[Qtt]]*TbTradesBinance[[#This Row],[Preço]],AI38+TbTradesBinance[[#This Row],[Qtt]]*TbTradesBinance[[#This Row],[Preço]])),AI38)-IF(TbTradesBinance[[#This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Row],[Tipo]]="DROP"),AI38+TbTradesBinance[[#This Row],[Qtt]],AI38-TbTradesBinance[[#This Row],[Qtt]]),IF(TbTradesBinance[[#This Row],[Tipo]]="BUY",AI38-TbTradesBinance[[#This Row],[Qtt]]*TbTradesBinance[[#This Row],[Preço]],AI38+TbTradesBinance[[#This Row],[Qtt]]*TbTradesBinance[[#This Row],[Preço]])),AI38)-IF(TbTradesBinance[[#This Row],[Moeda da Taxa]]=MID(AI$1,9,5),TbTradesBinance[[#This Row],[Taxa]],0),8)))</f>
        <v>0</v>
      </c>
      <c r="AJ39" s="145" cm="1">
        <f t="array" ref="AJ39">IF(TbTradesBinance[[#This Row],[Tipo]]="EMPTY",0,AJ38+IF(TbTradesBinance[[#This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Row],[Par]]))),$1:$1,0)),-(AI38-AI39)/AI38*AJ38),0),0)+IF(TbTradesBinance[[#This Row],[Tipo]]="SELL",IF(ISNUMBER(FIND(MID(AJ$1,10,5),TbTradesBinance[[#This Row],[Par]])),IF(FIND(MID(AJ$1,10,5),TbTradesBinance[[#This Row],[Par]])=1, -(AI38-AI39)/AI38*AJ38,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Row],[Par]])),(-(AI38-AI39)/AI38*AJ38)+IF(TbTradesBinance[[#This Row],[Resultado]]&gt;0,0,TbTradesBinance[[#This Row],[Taxa]]),0),0))</f>
        <v>0</v>
      </c>
      <c r="AK39" s="145">
        <f t="shared" si="8"/>
        <v>0</v>
      </c>
      <c r="AL3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Row],[Tipo]]="DROP"),AL38+TbTradesBinance[[#This Row],[Qtt]],AL38-TbTradesBinance[[#This Row],[Qtt]]),IF(TbTradesBinance[[#This Row],[Tipo]]="BUY",AL38-TbTradesBinance[[#This Row],[Qtt]]*TbTradesBinance[[#This Row],[Preço]],AL38+TbTradesBinance[[#This Row],[Qtt]]*TbTradesBinance[[#This Row],[Preço]])),AL38)-IF(TbTradesBinance[[#This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Row],[Tipo]]="DROP"),AL38+TbTradesBinance[[#This Row],[Qtt]],AL38-TbTradesBinance[[#This Row],[Qtt]]),IF(TbTradesBinance[[#This Row],[Tipo]]="BUY",AL38-TbTradesBinance[[#This Row],[Qtt]]*TbTradesBinance[[#This Row],[Preço]],AL38+TbTradesBinance[[#This Row],[Qtt]]*TbTradesBinance[[#This Row],[Preço]])),AL38)-IF(TbTradesBinance[[#This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Row],[Tipo]]="DROP"),AL38+TbTradesBinance[[#This Row],[Qtt]],AL38-TbTradesBinance[[#This Row],[Qtt]]),IF(TbTradesBinance[[#This Row],[Tipo]]="BUY",AL38-TbTradesBinance[[#This Row],[Qtt]]*TbTradesBinance[[#This Row],[Preço]],AL38+TbTradesBinance[[#This Row],[Qtt]]*TbTradesBinance[[#This Row],[Preço]])),AL38)-IF(TbTradesBinance[[#This Row],[Moeda da Taxa]]=MID(AL$1,9,5),TbTradesBinance[[#This Row],[Taxa]],0),8)))</f>
        <v>0</v>
      </c>
      <c r="AM39" s="145" cm="1">
        <f t="array" ref="AM39">IF(TbTradesBinance[[#This Row],[Tipo]]="EMPTY",0,AM38+IF(TbTradesBinance[[#This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Row],[Par]]))),$1:$1,0)),-(AL38-AL39)/AL38*AM38),0),0)+IF(TbTradesBinance[[#This Row],[Tipo]]="SELL",IF(ISNUMBER(FIND(MID(AM$1,10,5),TbTradesBinance[[#This Row],[Par]])),IF(FIND(MID(AM$1,10,5),TbTradesBinance[[#This Row],[Par]])=1, -(AL38-AL39)/AL38*AM38,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Row],[Par]])),(-(AL38-AL39)/AL38*AM38)+IF(TbTradesBinance[[#This Row],[Resultado]]&gt;0,0,TbTradesBinance[[#This Row],[Taxa]]),0),0))</f>
        <v>0</v>
      </c>
      <c r="AN39" s="145">
        <f t="shared" si="9"/>
        <v>0</v>
      </c>
      <c r="AO3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Row],[Tipo]]="DROP"),AO38+TbTradesBinance[[#This Row],[Qtt]],AO38-TbTradesBinance[[#This Row],[Qtt]]),IF(TbTradesBinance[[#This Row],[Tipo]]="BUY",AO38-TbTradesBinance[[#This Row],[Qtt]]*TbTradesBinance[[#This Row],[Preço]],AO38+TbTradesBinance[[#This Row],[Qtt]]*TbTradesBinance[[#This Row],[Preço]])),AO38)-IF(TbTradesBinance[[#This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Row],[Tipo]]="DROP"),AO38+TbTradesBinance[[#This Row],[Qtt]],AO38-TbTradesBinance[[#This Row],[Qtt]]),IF(TbTradesBinance[[#This Row],[Tipo]]="BUY",AO38-TbTradesBinance[[#This Row],[Qtt]]*TbTradesBinance[[#This Row],[Preço]],AO38+TbTradesBinance[[#This Row],[Qtt]]*TbTradesBinance[[#This Row],[Preço]])),AO38)-IF(TbTradesBinance[[#This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Row],[Tipo]]="DROP"),AO38+TbTradesBinance[[#This Row],[Qtt]],AO38-TbTradesBinance[[#This Row],[Qtt]]),IF(TbTradesBinance[[#This Row],[Tipo]]="BUY",AO38-TbTradesBinance[[#This Row],[Qtt]]*TbTradesBinance[[#This Row],[Preço]],AO38+TbTradesBinance[[#This Row],[Qtt]]*TbTradesBinance[[#This Row],[Preço]])),AO38)-IF(TbTradesBinance[[#This Row],[Moeda da Taxa]]=MID(AO$1,9,5),TbTradesBinance[[#This Row],[Taxa]],0),8)))</f>
        <v>0</v>
      </c>
      <c r="AP39" s="145" cm="1">
        <f t="array" ref="AP39">IF(TbTradesBinance[[#This Row],[Tipo]]="EMPTY",0,AP38+IF(TbTradesBinance[[#This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Row],[Par]]))),$1:$1,0)),-(AO38-AO39)/AO38*AP38),0),0)+IF(TbTradesBinance[[#This Row],[Tipo]]="SELL",IF(ISNUMBER(FIND(MID(AP$1,10,5),TbTradesBinance[[#This Row],[Par]])),IF(FIND(MID(AP$1,10,5),TbTradesBinance[[#This Row],[Par]])=1, -(AO38-AO39)/AO38*AP38,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Row],[Par]])),(-(AO38-AO39)/AO38*AP38)+IF(TbTradesBinance[[#This Row],[Resultado]]&gt;0,0,TbTradesBinance[[#This Row],[Taxa]]),0),0))</f>
        <v>0</v>
      </c>
      <c r="AQ39" s="145">
        <f t="shared" si="10"/>
        <v>0</v>
      </c>
      <c r="AR3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Row],[Tipo]]="DROP"),AR38+TbTradesBinance[[#This Row],[Qtt]],AR38-TbTradesBinance[[#This Row],[Qtt]]),IF(TbTradesBinance[[#This Row],[Tipo]]="BUY",AR38-TbTradesBinance[[#This Row],[Qtt]]*TbTradesBinance[[#This Row],[Preço]],AR38+TbTradesBinance[[#This Row],[Qtt]]*TbTradesBinance[[#This Row],[Preço]])),AR38)-IF(TbTradesBinance[[#This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Row],[Tipo]]="DROP"),AR38+TbTradesBinance[[#This Row],[Qtt]],AR38-TbTradesBinance[[#This Row],[Qtt]]),IF(TbTradesBinance[[#This Row],[Tipo]]="BUY",AR38-TbTradesBinance[[#This Row],[Qtt]]*TbTradesBinance[[#This Row],[Preço]],AR38+TbTradesBinance[[#This Row],[Qtt]]*TbTradesBinance[[#This Row],[Preço]])),AR38)-IF(TbTradesBinance[[#This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Row],[Tipo]]="DROP"),AR38+TbTradesBinance[[#This Row],[Qtt]],AR38-TbTradesBinance[[#This Row],[Qtt]]),IF(TbTradesBinance[[#This Row],[Tipo]]="BUY",AR38-TbTradesBinance[[#This Row],[Qtt]]*TbTradesBinance[[#This Row],[Preço]],AR38+TbTradesBinance[[#This Row],[Qtt]]*TbTradesBinance[[#This Row],[Preço]])),AR38)-IF(TbTradesBinance[[#This Row],[Moeda da Taxa]]=MID(AR$1,9,5),TbTradesBinance[[#This Row],[Taxa]],0),8)))</f>
        <v>0</v>
      </c>
      <c r="AS39" s="145" cm="1">
        <f t="array" ref="AS39">IF(TbTradesBinance[[#This Row],[Tipo]]="EMPTY",0,AS38+IF(TbTradesBinance[[#This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Row],[Par]]))),$1:$1,0)),-(AR38-AR39)/AR38*AS38),0),0)+IF(TbTradesBinance[[#This Row],[Tipo]]="SELL",IF(ISNUMBER(FIND(MID(AS$1,10,5),TbTradesBinance[[#This Row],[Par]])),IF(FIND(MID(AS$1,10,5),TbTradesBinance[[#This Row],[Par]])=1, -(AR38-AR39)/AR38*AS38,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Row],[Par]])),(-(AR38-AR39)/AR38*AS38)+IF(TbTradesBinance[[#This Row],[Resultado]]&gt;0,0,TbTradesBinance[[#This Row],[Taxa]]),0),0))</f>
        <v>0</v>
      </c>
      <c r="AT39" s="145">
        <f t="shared" si="11"/>
        <v>0</v>
      </c>
      <c r="AU3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Row],[Tipo]]="DROP"),AU38+TbTradesBinance[[#This Row],[Qtt]],AU38-TbTradesBinance[[#This Row],[Qtt]]),IF(TbTradesBinance[[#This Row],[Tipo]]="BUY",AU38-TbTradesBinance[[#This Row],[Qtt]]*TbTradesBinance[[#This Row],[Preço]],AU38+TbTradesBinance[[#This Row],[Qtt]]*TbTradesBinance[[#This Row],[Preço]])),AU38)-IF(TbTradesBinance[[#This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Row],[Tipo]]="DROP"),AU38+TbTradesBinance[[#This Row],[Qtt]],AU38-TbTradesBinance[[#This Row],[Qtt]]),IF(TbTradesBinance[[#This Row],[Tipo]]="BUY",AU38-TbTradesBinance[[#This Row],[Qtt]]*TbTradesBinance[[#This Row],[Preço]],AU38+TbTradesBinance[[#This Row],[Qtt]]*TbTradesBinance[[#This Row],[Preço]])),AU38)-IF(TbTradesBinance[[#This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Row],[Tipo]]="DROP"),AU38+TbTradesBinance[[#This Row],[Qtt]],AU38-TbTradesBinance[[#This Row],[Qtt]]),IF(TbTradesBinance[[#This Row],[Tipo]]="BUY",AU38-TbTradesBinance[[#This Row],[Qtt]]*TbTradesBinance[[#This Row],[Preço]],AU38+TbTradesBinance[[#This Row],[Qtt]]*TbTradesBinance[[#This Row],[Preço]])),AU38)-IF(TbTradesBinance[[#This Row],[Moeda da Taxa]]=MID(AU$1,9,5),TbTradesBinance[[#This Row],[Taxa]],0),8)))</f>
        <v>9.9900000000000003E-2</v>
      </c>
      <c r="AV39" s="145" cm="1">
        <f t="array" ref="AV39">IF(TbTradesBinance[[#This Row],[Tipo]]="EMPTY",0,AV38+IF(TbTradesBinance[[#This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Row],[Par]]))),$1:$1,0)),-(AU38-AU39)/AU38*AV38),0),0)+IF(TbTradesBinance[[#This Row],[Tipo]]="SELL",IF(ISNUMBER(FIND(MID(AV$1,10,5),TbTradesBinance[[#This Row],[Par]])),IF(FIND(MID(AV$1,10,5),TbTradesBinance[[#This Row],[Par]])=1, -(AU38-AU39)/AU38*AV38,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Row],[Par]])),(-(AU38-AU39)/AU38*AV38)+IF(TbTradesBinance[[#This Row],[Resultado]]&gt;0,0,TbTradesBinance[[#This Row],[Taxa]]),0),0))</f>
        <v>18.673922987511034</v>
      </c>
      <c r="AW39" s="145">
        <f t="shared" si="12"/>
        <v>186.92615603114149</v>
      </c>
      <c r="AX3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Row],[Tipo]]="DROP"),AX38+TbTradesBinance[[#This Row],[Qtt]],AX38-TbTradesBinance[[#This Row],[Qtt]]),IF(TbTradesBinance[[#This Row],[Tipo]]="BUY",AX38-TbTradesBinance[[#This Row],[Qtt]]*TbTradesBinance[[#This Row],[Preço]],AX38+TbTradesBinance[[#This Row],[Qtt]]*TbTradesBinance[[#This Row],[Preço]])),AX38)-IF(TbTradesBinance[[#This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Row],[Tipo]]="DROP"),AX38+TbTradesBinance[[#This Row],[Qtt]],AX38-TbTradesBinance[[#This Row],[Qtt]]),IF(TbTradesBinance[[#This Row],[Tipo]]="BUY",AX38-TbTradesBinance[[#This Row],[Qtt]]*TbTradesBinance[[#This Row],[Preço]],AX38+TbTradesBinance[[#This Row],[Qtt]]*TbTradesBinance[[#This Row],[Preço]])),AX38)-IF(TbTradesBinance[[#This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Row],[Tipo]]="DROP"),AX38+TbTradesBinance[[#This Row],[Qtt]],AX38-TbTradesBinance[[#This Row],[Qtt]]),IF(TbTradesBinance[[#This Row],[Tipo]]="BUY",AX38-TbTradesBinance[[#This Row],[Qtt]]*TbTradesBinance[[#This Row],[Preço]],AX38+TbTradesBinance[[#This Row],[Qtt]]*TbTradesBinance[[#This Row],[Preço]])),AX38)-IF(TbTradesBinance[[#This Row],[Moeda da Taxa]]=MID(AX$1,9,5),TbTradesBinance[[#This Row],[Taxa]],0),8)))</f>
        <v>0</v>
      </c>
      <c r="AY39" s="145" cm="1">
        <f t="array" ref="AY39">IF(TbTradesBinance[[#This Row],[Tipo]]="EMPTY",0,AY38+IF(TbTradesBinance[[#This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Row],[Par]]))),$1:$1,0)),-(AX38-AX39)/AX38*AY38),0),0)+IF(TbTradesBinance[[#This Row],[Tipo]]="SELL",IF(ISNUMBER(FIND(MID(AY$1,10,5),TbTradesBinance[[#This Row],[Par]])),IF(FIND(MID(AY$1,10,5),TbTradesBinance[[#This Row],[Par]])=1, -(AX38-AX39)/AX38*AY38,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Row],[Par]])),(-(AX38-AX39)/AX38*AY38)+IF(TbTradesBinance[[#This Row],[Resultado]]&gt;0,0,TbTradesBinance[[#This Row],[Taxa]]),0),0))</f>
        <v>0</v>
      </c>
      <c r="AZ39" s="145">
        <f t="shared" si="13"/>
        <v>0</v>
      </c>
      <c r="BA3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Row],[Tipo]]="DROP"),BA38+TbTradesBinance[[#This Row],[Qtt]],BA38-TbTradesBinance[[#This Row],[Qtt]]),IF(TbTradesBinance[[#This Row],[Tipo]]="BUY",BA38-TbTradesBinance[[#This Row],[Qtt]]*TbTradesBinance[[#This Row],[Preço]],BA38+TbTradesBinance[[#This Row],[Qtt]]*TbTradesBinance[[#This Row],[Preço]])),BA38)-IF(TbTradesBinance[[#This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Row],[Tipo]]="DROP"),BA38+TbTradesBinance[[#This Row],[Qtt]],BA38-TbTradesBinance[[#This Row],[Qtt]]),IF(TbTradesBinance[[#This Row],[Tipo]]="BUY",BA38-TbTradesBinance[[#This Row],[Qtt]]*TbTradesBinance[[#This Row],[Preço]],BA38+TbTradesBinance[[#This Row],[Qtt]]*TbTradesBinance[[#This Row],[Preço]])),BA38)-IF(TbTradesBinance[[#This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Row],[Tipo]]="DROP"),BA38+TbTradesBinance[[#This Row],[Qtt]],BA38-TbTradesBinance[[#This Row],[Qtt]]),IF(TbTradesBinance[[#This Row],[Tipo]]="BUY",BA38-TbTradesBinance[[#This Row],[Qtt]]*TbTradesBinance[[#This Row],[Preço]],BA38+TbTradesBinance[[#This Row],[Qtt]]*TbTradesBinance[[#This Row],[Preço]])),BA38)-IF(TbTradesBinance[[#This Row],[Moeda da Taxa]]=MID(BA$1,9,5),TbTradesBinance[[#This Row],[Taxa]],0),8)))</f>
        <v>0</v>
      </c>
      <c r="BB39" s="145" cm="1">
        <f t="array" ref="BB39">IF(TbTradesBinance[[#This Row],[Tipo]]="EMPTY",0,BB38+IF(TbTradesBinance[[#This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Row],[Par]]))),$1:$1,0)),-(BA38-BA39)/BA38*BB38),0),0)+IF(TbTradesBinance[[#This Row],[Tipo]]="SELL",IF(ISNUMBER(FIND(MID(BB$1,10,5),TbTradesBinance[[#This Row],[Par]])),IF(FIND(MID(BB$1,10,5),TbTradesBinance[[#This Row],[Par]])=1, -(BA38-BA39)/BA38*BB38,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Row],[Par]])),(-(BA38-BA39)/BA38*BB38)+IF(TbTradesBinance[[#This Row],[Resultado]]&gt;0,0,TbTradesBinance[[#This Row],[Taxa]]),0),0))</f>
        <v>0</v>
      </c>
      <c r="BC39" s="145">
        <f t="shared" si="14"/>
        <v>0</v>
      </c>
      <c r="BD3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Row],[Tipo]]="DROP"),BD38+TbTradesBinance[[#This Row],[Qtt]],BD38-TbTradesBinance[[#This Row],[Qtt]]),IF(TbTradesBinance[[#This Row],[Tipo]]="BUY",BD38-TbTradesBinance[[#This Row],[Qtt]]*TbTradesBinance[[#This Row],[Preço]],BD38+TbTradesBinance[[#This Row],[Qtt]]*TbTradesBinance[[#This Row],[Preço]])),BD38)-IF(TbTradesBinance[[#This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Row],[Tipo]]="DROP"),BD38+TbTradesBinance[[#This Row],[Qtt]],BD38-TbTradesBinance[[#This Row],[Qtt]]),IF(TbTradesBinance[[#This Row],[Tipo]]="BUY",BD38-TbTradesBinance[[#This Row],[Qtt]]*TbTradesBinance[[#This Row],[Preço]],BD38+TbTradesBinance[[#This Row],[Qtt]]*TbTradesBinance[[#This Row],[Preço]])),BD38)-IF(TbTradesBinance[[#This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Row],[Tipo]]="DROP"),BD38+TbTradesBinance[[#This Row],[Qtt]],BD38-TbTradesBinance[[#This Row],[Qtt]]),IF(TbTradesBinance[[#This Row],[Tipo]]="BUY",BD38-TbTradesBinance[[#This Row],[Qtt]]*TbTradesBinance[[#This Row],[Preço]],BD38+TbTradesBinance[[#This Row],[Qtt]]*TbTradesBinance[[#This Row],[Preço]])),BD38)-IF(TbTradesBinance[[#This Row],[Moeda da Taxa]]=MID(BD$1,9,5),TbTradesBinance[[#This Row],[Taxa]],0),8)))</f>
        <v>0.37962000000000001</v>
      </c>
      <c r="BE39" s="145" cm="1">
        <f t="array" ref="BE39">IF(TbTradesBinance[[#This Row],[Tipo]]="EMPTY",0,BE38+IF(TbTradesBinance[[#This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Row],[Par]]))),$1:$1,0)),-(BD38-BD39)/BD38*BE38),0),0)+IF(TbTradesBinance[[#This Row],[Tipo]]="SELL",IF(ISNUMBER(FIND(MID(BE$1,10,5),TbTradesBinance[[#This Row],[Par]])),IF(FIND(MID(BE$1,10,5),TbTradesBinance[[#This Row],[Par]])=1, -(BD38-BD39)/BD38*BE38,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Row],[Par]])),(-(BD38-BD39)/BD38*BE38)+IF(TbTradesBinance[[#This Row],[Resultado]]&gt;0,0,TbTradesBinance[[#This Row],[Taxa]]),0),0))</f>
        <v>63.647297001537943</v>
      </c>
      <c r="BF39" s="145">
        <f t="shared" si="15"/>
        <v>167.66054739354601</v>
      </c>
      <c r="BG3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Row],[Tipo]]="DROP"),BG38+TbTradesBinance[[#This Row],[Qtt]],BG38-TbTradesBinance[[#This Row],[Qtt]]),IF(TbTradesBinance[[#This Row],[Tipo]]="BUY",BG38-TbTradesBinance[[#This Row],[Qtt]]*TbTradesBinance[[#This Row],[Preço]],BG38+TbTradesBinance[[#This Row],[Qtt]]*TbTradesBinance[[#This Row],[Preço]])),BG38)-IF(TbTradesBinance[[#This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Row],[Tipo]]="DROP"),BG38+TbTradesBinance[[#This Row],[Qtt]],BG38-TbTradesBinance[[#This Row],[Qtt]]),IF(TbTradesBinance[[#This Row],[Tipo]]="BUY",BG38-TbTradesBinance[[#This Row],[Qtt]]*TbTradesBinance[[#This Row],[Preço]],BG38+TbTradesBinance[[#This Row],[Qtt]]*TbTradesBinance[[#This Row],[Preço]])),BG38)-IF(TbTradesBinance[[#This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Row],[Tipo]]="DROP"),BG38+TbTradesBinance[[#This Row],[Qtt]],BG38-TbTradesBinance[[#This Row],[Qtt]]),IF(TbTradesBinance[[#This Row],[Tipo]]="BUY",BG38-TbTradesBinance[[#This Row],[Qtt]]*TbTradesBinance[[#This Row],[Preço]],BG38+TbTradesBinance[[#This Row],[Qtt]]*TbTradesBinance[[#This Row],[Preço]])),BG38)-IF(TbTradesBinance[[#This Row],[Moeda da Taxa]]=MID(BG$1,9,5),TbTradesBinance[[#This Row],[Taxa]],0),8)))</f>
        <v>0</v>
      </c>
      <c r="BH39" s="145" cm="1">
        <f t="array" ref="BH39">IF(TbTradesBinance[[#This Row],[Tipo]]="EMPTY",0,BH38+IF(TbTradesBinance[[#This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Row],[Par]]))),$1:$1,0)),-(BG38-BG39)/BG38*BH38),0),0)+IF(TbTradesBinance[[#This Row],[Tipo]]="SELL",IF(ISNUMBER(FIND(MID(BH$1,10,5),TbTradesBinance[[#This Row],[Par]])),IF(FIND(MID(BH$1,10,5),TbTradesBinance[[#This Row],[Par]])=1, -(BG38-BG39)/BG38*BH38,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Row],[Par]])),(-(BG38-BG39)/BG38*BH38)+IF(TbTradesBinance[[#This Row],[Resultado]]&gt;0,0,TbTradesBinance[[#This Row],[Taxa]]),0),0))</f>
        <v>0</v>
      </c>
      <c r="BI39" s="145">
        <f t="shared" si="16"/>
        <v>0</v>
      </c>
      <c r="BJ3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Row],[Tipo]]="DROP"),BJ38+TbTradesBinance[[#This Row],[Qtt]],BJ38-TbTradesBinance[[#This Row],[Qtt]]),IF(TbTradesBinance[[#This Row],[Tipo]]="BUY",BJ38-TbTradesBinance[[#This Row],[Qtt]]*TbTradesBinance[[#This Row],[Preço]],BJ38+TbTradesBinance[[#This Row],[Qtt]]*TbTradesBinance[[#This Row],[Preço]])),BJ38)-IF(TbTradesBinance[[#This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Row],[Tipo]]="DROP"),BJ38+TbTradesBinance[[#This Row],[Qtt]],BJ38-TbTradesBinance[[#This Row],[Qtt]]),IF(TbTradesBinance[[#This Row],[Tipo]]="BUY",BJ38-TbTradesBinance[[#This Row],[Qtt]]*TbTradesBinance[[#This Row],[Preço]],BJ38+TbTradesBinance[[#This Row],[Qtt]]*TbTradesBinance[[#This Row],[Preço]])),BJ38)-IF(TbTradesBinance[[#This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Row],[Tipo]]="DROP"),BJ38+TbTradesBinance[[#This Row],[Qtt]],BJ38-TbTradesBinance[[#This Row],[Qtt]]),IF(TbTradesBinance[[#This Row],[Tipo]]="BUY",BJ38-TbTradesBinance[[#This Row],[Qtt]]*TbTradesBinance[[#This Row],[Preço]],BJ38+TbTradesBinance[[#This Row],[Qtt]]*TbTradesBinance[[#This Row],[Preço]])),BJ38)-IF(TbTradesBinance[[#This Row],[Moeda da Taxa]]=MID(BJ$1,9,5),TbTradesBinance[[#This Row],[Taxa]],0),8)))</f>
        <v>0</v>
      </c>
      <c r="BK39" s="145" cm="1">
        <f t="array" ref="BK39">IF(TbTradesBinance[[#This Row],[Tipo]]="EMPTY",0,BK38+IF(TbTradesBinance[[#This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Row],[Par]]))),$1:$1,0)),-(BJ38-BJ39)/BJ38*BK38),0),0)+IF(TbTradesBinance[[#This Row],[Tipo]]="SELL",IF(ISNUMBER(FIND(MID(BK$1,10,5),TbTradesBinance[[#This Row],[Par]])),IF(FIND(MID(BK$1,10,5),TbTradesBinance[[#This Row],[Par]])=1, -(BJ38-BJ39)/BJ38*BK38,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Row],[Par]])),(-(BJ38-BJ39)/BJ38*BK38)+IF(TbTradesBinance[[#This Row],[Resultado]]&gt;0,0,TbTradesBinance[[#This Row],[Taxa]]),0),0))</f>
        <v>0</v>
      </c>
      <c r="BL39" s="145">
        <f t="shared" si="17"/>
        <v>0</v>
      </c>
      <c r="BM3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Row],[Tipo]]="DROP"),BM38+TbTradesBinance[[#This Row],[Qtt]],BM38-TbTradesBinance[[#This Row],[Qtt]]),IF(TbTradesBinance[[#This Row],[Tipo]]="BUY",BM38-TbTradesBinance[[#This Row],[Qtt]]*TbTradesBinance[[#This Row],[Preço]],BM38+TbTradesBinance[[#This Row],[Qtt]]*TbTradesBinance[[#This Row],[Preço]])),BM38)-IF(TbTradesBinance[[#This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Row],[Tipo]]="DROP"),BM38+TbTradesBinance[[#This Row],[Qtt]],BM38-TbTradesBinance[[#This Row],[Qtt]]),IF(TbTradesBinance[[#This Row],[Tipo]]="BUY",BM38-TbTradesBinance[[#This Row],[Qtt]]*TbTradesBinance[[#This Row],[Preço]],BM38+TbTradesBinance[[#This Row],[Qtt]]*TbTradesBinance[[#This Row],[Preço]])),BM38)-IF(TbTradesBinance[[#This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Row],[Tipo]]="DROP"),BM38+TbTradesBinance[[#This Row],[Qtt]],BM38-TbTradesBinance[[#This Row],[Qtt]]),IF(TbTradesBinance[[#This Row],[Tipo]]="BUY",BM38-TbTradesBinance[[#This Row],[Qtt]]*TbTradesBinance[[#This Row],[Preço]],BM38+TbTradesBinance[[#This Row],[Qtt]]*TbTradesBinance[[#This Row],[Preço]])),BM38)-IF(TbTradesBinance[[#This Row],[Moeda da Taxa]]=MID(BM$1,9,5),TbTradesBinance[[#This Row],[Taxa]],0),8)))</f>
        <v>0</v>
      </c>
      <c r="BN39" s="145" cm="1">
        <f t="array" ref="BN39">IF(TbTradesBinance[[#This Row],[Tipo]]="EMPTY",0,BN38+IF(TbTradesBinance[[#This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Row],[Par]]))),$1:$1,0)),-(BM38-BM39)/BM38*BN38),0),0)+IF(TbTradesBinance[[#This Row],[Tipo]]="SELL",IF(ISNUMBER(FIND(MID(BN$1,10,5),TbTradesBinance[[#This Row],[Par]])),IF(FIND(MID(BN$1,10,5),TbTradesBinance[[#This Row],[Par]])=1, -(BM38-BM39)/BM38*BN38,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Row],[Par]])),(-(BM38-BM39)/BM38*BN38)+IF(TbTradesBinance[[#This Row],[Resultado]]&gt;0,0,TbTradesBinance[[#This Row],[Taxa]]),0),0))</f>
        <v>0</v>
      </c>
      <c r="BO39" s="145">
        <f t="shared" si="18"/>
        <v>0</v>
      </c>
    </row>
    <row r="40" spans="2:67" x14ac:dyDescent="0.3">
      <c r="B40" s="51"/>
      <c r="C40" s="40">
        <f>TRUNC(IF(AND(TbTradesBinance[[#This Row],[Tipo]]="SEND",TbTradesBinance[[#This Row],[Par]]="BRL"),TbTradesBinance[[#This Row],[Qtt]]*(1-P38)-IF(TbTradesBinance[[#This Row],[Moeda da Taxa]]="BRL",TbTradesBinance[[#This Row],[Taxa]],0),0)+IF(AND(TbTradesBinance[[#This Row],[Tipo]]="BURN",TbTradesBinance[[#This Row],[Par]]="BRL"),-TbTradesBinance[[#This Row],[Qtt]]*P38,0),2)</f>
        <v>0</v>
      </c>
      <c r="D40" s="53">
        <v>44261.814953703702</v>
      </c>
      <c r="E40" s="37" t="s">
        <v>138</v>
      </c>
      <c r="F40" s="47" t="s">
        <v>140</v>
      </c>
      <c r="G40" s="38">
        <v>279990</v>
      </c>
      <c r="H40" s="38">
        <v>1.1400000000000001E-4</v>
      </c>
      <c r="I40" s="38">
        <v>0</v>
      </c>
      <c r="J40" s="37" t="s">
        <v>50</v>
      </c>
      <c r="K40" s="52">
        <v>1</v>
      </c>
      <c r="L40" s="40">
        <f t="shared" si="0"/>
        <v>279990</v>
      </c>
      <c r="M40" s="40">
        <f>IF(OR(TbTradesBinance[[#This Row],[Tipo]]="BUY",TbTradesBinance[[#This Row],[Tipo]]="RECEIVE",TbTradesBinance[[#This Row],[Tipo]]="DROP"),L40*H40,-L40*H40)</f>
        <v>-31.918860000000002</v>
      </c>
      <c r="N4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Row],[Tipo]]="DROP"),N39+TbTradesBinance[[#This Row],[Qtt]],N39-TbTradesBinance[[#This Row],[Qtt]]),IF(TbTradesBinance[[#This Row],[Tipo]]="BUY",N39-TbTradesBinance[[#This Row],[Qtt]]*TbTradesBinance[[#This Row],[Preço]],N39+TbTradesBinance[[#This Row],[Qtt]]*TbTradesBinance[[#This Row],[Preço]])),N39)-IF(TbTradesBinance[[#This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Row],[Tipo]]="DROP"),N39+TbTradesBinance[[#This Row],[Qtt]],N39-TbTradesBinance[[#This Row],[Qtt]]),IF(TbTradesBinance[[#This Row],[Tipo]]="BUY",N39-TbTradesBinance[[#This Row],[Qtt]]*TbTradesBinance[[#This Row],[Preço]],N39+TbTradesBinance[[#This Row],[Qtt]]*TbTradesBinance[[#This Row],[Preço]])),N39)-IF(TbTradesBinance[[#This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Row],[Tipo]]="DROP"),N39+TbTradesBinance[[#This Row],[Qtt]],N39-TbTradesBinance[[#This Row],[Qtt]]),IF(TbTradesBinance[[#This Row],[Tipo]]="BUY",N39-TbTradesBinance[[#This Row],[Qtt]]*TbTradesBinance[[#This Row],[Preço]],N39+TbTradesBinance[[#This Row],[Qtt]]*TbTradesBinance[[#This Row],[Preço]])),N39)-IF(TbTradesBinance[[#This Row],[Moeda da Taxa]]=MID(N$1,9,5),TbTradesBinance[[#This Row],[Taxa]],0),8)))</f>
        <v>121217.67704689001</v>
      </c>
      <c r="O40" s="145" cm="1">
        <f t="array" ref="O40">IF(TbTradesBinance[[#This Row],[Tipo]]="EMPTY",0,O39+IF(TbTradesBinance[[#This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Row],[Par]]))),$1:$1,0)),-(N39-N40)/N39*O39),0),0)+IF(TbTradesBinance[[#This Row],[Tipo]]="SELL",IF(ISNUMBER(FIND(MID(O$1,10,5),TbTradesBinance[[#This Row],[Par]])),IF(FIND(MID(O$1,10,5),TbTradesBinance[[#This Row],[Par]])=1, -(N39-N40)/N39*O39,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Row],[Par]])),(-(N39-N40)/N39*O39)+IF(TbTradesBinance[[#This Row],[Resultado]]&gt;0,0,TbTradesBinance[[#This Row],[Taxa]]),0),0))</f>
        <v>121147.79022036142</v>
      </c>
      <c r="P40" s="145">
        <f t="shared" si="1"/>
        <v>0.99942346010721228</v>
      </c>
      <c r="Q4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Row],[Tipo]]="DROP"),Q39+TbTradesBinance[[#This Row],[Qtt]],Q39-TbTradesBinance[[#This Row],[Qtt]]),IF(TbTradesBinance[[#This Row],[Tipo]]="BUY",Q39-TbTradesBinance[[#This Row],[Qtt]]*TbTradesBinance[[#This Row],[Preço]],Q39+TbTradesBinance[[#This Row],[Qtt]]*TbTradesBinance[[#This Row],[Preço]])),Q39)-IF(TbTradesBinance[[#This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Row],[Tipo]]="DROP"),Q39+TbTradesBinance[[#This Row],[Qtt]],Q39-TbTradesBinance[[#This Row],[Qtt]]),IF(TbTradesBinance[[#This Row],[Tipo]]="BUY",Q39-TbTradesBinance[[#This Row],[Qtt]]*TbTradesBinance[[#This Row],[Preço]],Q39+TbTradesBinance[[#This Row],[Qtt]]*TbTradesBinance[[#This Row],[Preço]])),Q39)-IF(TbTradesBinance[[#This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Row],[Tipo]]="DROP"),Q39+TbTradesBinance[[#This Row],[Qtt]],Q39-TbTradesBinance[[#This Row],[Qtt]]),IF(TbTradesBinance[[#This Row],[Tipo]]="BUY",Q39-TbTradesBinance[[#This Row],[Qtt]]*TbTradesBinance[[#This Row],[Preço]],Q39+TbTradesBinance[[#This Row],[Qtt]]*TbTradesBinance[[#This Row],[Preço]])),Q39)-IF(TbTradesBinance[[#This Row],[Moeda da Taxa]]=MID(Q$1,9,5),TbTradesBinance[[#This Row],[Taxa]],0),8)))</f>
        <v>0.27732999000000003</v>
      </c>
      <c r="R40" s="145" cm="1">
        <f t="array" ref="R40">IF(TbTradesBinance[[#This Row],[Tipo]]="EMPTY",0,R39+IF(TbTradesBinance[[#This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Row],[Par]]))),$1:$1,0)),-(Q39-Q40)/Q39*R39),0),0)+IF(TbTradesBinance[[#This Row],[Tipo]]="SELL",IF(ISNUMBER(FIND(MID(R$1,10,5),TbTradesBinance[[#This Row],[Par]])),IF(FIND(MID(R$1,10,5),TbTradesBinance[[#This Row],[Par]])=1, -(Q39-Q40)/Q39*R39,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Row],[Par]])),(-(Q39-Q40)/Q39*R39)+IF(TbTradesBinance[[#This Row],[Resultado]]&gt;0,0,TbTradesBinance[[#This Row],[Taxa]]),0),0))</f>
        <v>1.5509449279899954</v>
      </c>
      <c r="S40" s="145">
        <f t="shared" si="2"/>
        <v>5.592416918163071</v>
      </c>
      <c r="T4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Row],[Tipo]]="DROP"),T39+TbTradesBinance[[#This Row],[Qtt]],T39-TbTradesBinance[[#This Row],[Qtt]]),IF(TbTradesBinance[[#This Row],[Tipo]]="BUY",T39-TbTradesBinance[[#This Row],[Qtt]]*TbTradesBinance[[#This Row],[Preço]],T39+TbTradesBinance[[#This Row],[Qtt]]*TbTradesBinance[[#This Row],[Preço]])),T39)-IF(TbTradesBinance[[#This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Row],[Tipo]]="DROP"),T39+TbTradesBinance[[#This Row],[Qtt]],T39-TbTradesBinance[[#This Row],[Qtt]]),IF(TbTradesBinance[[#This Row],[Tipo]]="BUY",T39-TbTradesBinance[[#This Row],[Qtt]]*TbTradesBinance[[#This Row],[Preço]],T39+TbTradesBinance[[#This Row],[Qtt]]*TbTradesBinance[[#This Row],[Preço]])),T39)-IF(TbTradesBinance[[#This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Row],[Tipo]]="DROP"),T39+TbTradesBinance[[#This Row],[Qtt]],T39-TbTradesBinance[[#This Row],[Qtt]]),IF(TbTradesBinance[[#This Row],[Tipo]]="BUY",T39-TbTradesBinance[[#This Row],[Qtt]]*TbTradesBinance[[#This Row],[Preço]],T39+TbTradesBinance[[#This Row],[Qtt]]*TbTradesBinance[[#This Row],[Preço]])),T39)-IF(TbTradesBinance[[#This Row],[Moeda da Taxa]]=MID(T$1,9,5),TbTradesBinance[[#This Row],[Taxa]],0),8)))</f>
        <v>199735.34867482999</v>
      </c>
      <c r="U40" s="145" cm="1">
        <f t="array" ref="U40">IF(TbTradesBinance[[#This Row],[Tipo]]="EMPTY",0,U39+IF(TbTradesBinance[[#This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Row],[Par]]))),$1:$1,0)),-(T39-T40)/T39*U39),0),0)+IF(TbTradesBinance[[#This Row],[Tipo]]="SELL",IF(ISNUMBER(FIND(MID(U$1,10,5),TbTradesBinance[[#This Row],[Par]])),IF(FIND(MID(U$1,10,5),TbTradesBinance[[#This Row],[Par]])=1, -(T39-T40)/T39*U39,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Row],[Par]])),(-(T39-T40)/T39*U39)+IF(TbTradesBinance[[#This Row],[Resultado]]&gt;0,0,TbTradesBinance[[#This Row],[Taxa]]),0),0))</f>
        <v>1328240.0716580662</v>
      </c>
      <c r="V40" s="145">
        <f t="shared" si="3"/>
        <v>6.6500000148719129</v>
      </c>
      <c r="W4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Row],[Tipo]]="DROP"),W39+TbTradesBinance[[#This Row],[Qtt]],W39-TbTradesBinance[[#This Row],[Qtt]]),IF(TbTradesBinance[[#This Row],[Tipo]]="BUY",W39-TbTradesBinance[[#This Row],[Qtt]]*TbTradesBinance[[#This Row],[Preço]],W39+TbTradesBinance[[#This Row],[Qtt]]*TbTradesBinance[[#This Row],[Preço]])),W39)-IF(TbTradesBinance[[#This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Row],[Tipo]]="DROP"),W39+TbTradesBinance[[#This Row],[Qtt]],W39-TbTradesBinance[[#This Row],[Qtt]]),IF(TbTradesBinance[[#This Row],[Tipo]]="BUY",W39-TbTradesBinance[[#This Row],[Qtt]]*TbTradesBinance[[#This Row],[Preço]],W39+TbTradesBinance[[#This Row],[Qtt]]*TbTradesBinance[[#This Row],[Preço]])),W39)-IF(TbTradesBinance[[#This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Row],[Tipo]]="DROP"),W39+TbTradesBinance[[#This Row],[Qtt]],W39-TbTradesBinance[[#This Row],[Qtt]]),IF(TbTradesBinance[[#This Row],[Tipo]]="BUY",W39-TbTradesBinance[[#This Row],[Qtt]]*TbTradesBinance[[#This Row],[Preço]],W39+TbTradesBinance[[#This Row],[Qtt]]*TbTradesBinance[[#This Row],[Preço]])),W39)-IF(TbTradesBinance[[#This Row],[Moeda da Taxa]]=MID(W$1,9,5),TbTradesBinance[[#This Row],[Taxa]],0),8)))</f>
        <v>1.92157E-3</v>
      </c>
      <c r="X40" s="145" cm="1">
        <f t="array" ref="X40">IF(TbTradesBinance[[#This Row],[Tipo]]="EMPTY",0,X39+IF(TbTradesBinance[[#This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Row],[Par]]))),$1:$1,0)),-(W39-W40)/W39*X39),0),0)+IF(TbTradesBinance[[#This Row],[Tipo]]="SELL",IF(ISNUMBER(FIND(MID(X$1,10,5),TbTradesBinance[[#This Row],[Par]])),IF(FIND(MID(X$1,10,5),TbTradesBinance[[#This Row],[Par]])=1, -(W39-W40)/W39*X39,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Row],[Par]])),(-(W39-W40)/W39*X39)+IF(TbTradesBinance[[#This Row],[Resultado]]&gt;0,0,TbTradesBinance[[#This Row],[Taxa]]),0),0))</f>
        <v>528.26595665529044</v>
      </c>
      <c r="Y40" s="145">
        <f t="shared" si="4"/>
        <v>274913.71985162678</v>
      </c>
      <c r="Z4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Row],[Tipo]]="DROP"),Z39+TbTradesBinance[[#This Row],[Qtt]],Z39-TbTradesBinance[[#This Row],[Qtt]]),IF(TbTradesBinance[[#This Row],[Tipo]]="BUY",Z39-TbTradesBinance[[#This Row],[Qtt]]*TbTradesBinance[[#This Row],[Preço]],Z39+TbTradesBinance[[#This Row],[Qtt]]*TbTradesBinance[[#This Row],[Preço]])),Z39)-IF(TbTradesBinance[[#This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Row],[Tipo]]="DROP"),Z39+TbTradesBinance[[#This Row],[Qtt]],Z39-TbTradesBinance[[#This Row],[Qtt]]),IF(TbTradesBinance[[#This Row],[Tipo]]="BUY",Z39-TbTradesBinance[[#This Row],[Qtt]]*TbTradesBinance[[#This Row],[Preço]],Z39+TbTradesBinance[[#This Row],[Qtt]]*TbTradesBinance[[#This Row],[Preço]])),Z39)-IF(TbTradesBinance[[#This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Row],[Tipo]]="DROP"),Z39+TbTradesBinance[[#This Row],[Qtt]],Z39-TbTradesBinance[[#This Row],[Qtt]]),IF(TbTradesBinance[[#This Row],[Tipo]]="BUY",Z39-TbTradesBinance[[#This Row],[Qtt]]*TbTradesBinance[[#This Row],[Preço]],Z39+TbTradesBinance[[#This Row],[Qtt]]*TbTradesBinance[[#This Row],[Preço]])),Z39)-IF(TbTradesBinance[[#This Row],[Moeda da Taxa]]=MID(Z$1,9,5),TbTradesBinance[[#This Row],[Taxa]],0),8)))</f>
        <v>0</v>
      </c>
      <c r="AA40" s="145" cm="1">
        <f t="array" ref="AA40">IF(TbTradesBinance[[#This Row],[Tipo]]="EMPTY",0,AA39+IF(TbTradesBinance[[#This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Row],[Par]]))),$1:$1,0)),-(Z39-Z40)/Z39*AA39),0),0)+IF(TbTradesBinance[[#This Row],[Tipo]]="SELL",IF(ISNUMBER(FIND(MID(AA$1,10,5),TbTradesBinance[[#This Row],[Par]])),IF(FIND(MID(AA$1,10,5),TbTradesBinance[[#This Row],[Par]])=1, -(Z39-Z40)/Z39*AA39,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Row],[Par]])),(-(Z39-Z40)/Z39*AA39)+IF(TbTradesBinance[[#This Row],[Resultado]]&gt;0,0,TbTradesBinance[[#This Row],[Taxa]]),0),0))</f>
        <v>0</v>
      </c>
      <c r="AB40" s="145">
        <f t="shared" si="5"/>
        <v>0</v>
      </c>
      <c r="AC4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Row],[Tipo]]="DROP"),AC39+TbTradesBinance[[#This Row],[Qtt]],AC39-TbTradesBinance[[#This Row],[Qtt]]),IF(TbTradesBinance[[#This Row],[Tipo]]="BUY",AC39-TbTradesBinance[[#This Row],[Qtt]]*TbTradesBinance[[#This Row],[Preço]],AC39+TbTradesBinance[[#This Row],[Qtt]]*TbTradesBinance[[#This Row],[Preço]])),AC39)-IF(TbTradesBinance[[#This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Row],[Tipo]]="DROP"),AC39+TbTradesBinance[[#This Row],[Qtt]],AC39-TbTradesBinance[[#This Row],[Qtt]]),IF(TbTradesBinance[[#This Row],[Tipo]]="BUY",AC39-TbTradesBinance[[#This Row],[Qtt]]*TbTradesBinance[[#This Row],[Preço]],AC39+TbTradesBinance[[#This Row],[Qtt]]*TbTradesBinance[[#This Row],[Preço]])),AC39)-IF(TbTradesBinance[[#This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Row],[Tipo]]="DROP"),AC39+TbTradesBinance[[#This Row],[Qtt]],AC39-TbTradesBinance[[#This Row],[Qtt]]),IF(TbTradesBinance[[#This Row],[Tipo]]="BUY",AC39-TbTradesBinance[[#This Row],[Qtt]]*TbTradesBinance[[#This Row],[Preço]],AC39+TbTradesBinance[[#This Row],[Qtt]]*TbTradesBinance[[#This Row],[Preço]])),AC39)-IF(TbTradesBinance[[#This Row],[Moeda da Taxa]]=MID(AC$1,9,5),TbTradesBinance[[#This Row],[Taxa]],0),8)))</f>
        <v>0</v>
      </c>
      <c r="AD40" s="145" cm="1">
        <f t="array" ref="AD40">IF(TbTradesBinance[[#This Row],[Tipo]]="EMPTY",0,AD39+IF(TbTradesBinance[[#This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Row],[Par]]))),$1:$1,0)),-(AC39-AC40)/AC39*AD39),0),0)+IF(TbTradesBinance[[#This Row],[Tipo]]="SELL",IF(ISNUMBER(FIND(MID(AD$1,10,5),TbTradesBinance[[#This Row],[Par]])),IF(FIND(MID(AD$1,10,5),TbTradesBinance[[#This Row],[Par]])=1, -(AC39-AC40)/AC39*AD39,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Row],[Par]])),(-(AC39-AC40)/AC39*AD39)+IF(TbTradesBinance[[#This Row],[Resultado]]&gt;0,0,TbTradesBinance[[#This Row],[Taxa]]),0),0))</f>
        <v>0</v>
      </c>
      <c r="AE40" s="145">
        <f t="shared" si="6"/>
        <v>0</v>
      </c>
      <c r="AF4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Row],[Tipo]]="DROP"),AF39+TbTradesBinance[[#This Row],[Qtt]],AF39-TbTradesBinance[[#This Row],[Qtt]]),IF(TbTradesBinance[[#This Row],[Tipo]]="BUY",AF39-TbTradesBinance[[#This Row],[Qtt]]*TbTradesBinance[[#This Row],[Preço]],AF39+TbTradesBinance[[#This Row],[Qtt]]*TbTradesBinance[[#This Row],[Preço]])),AF39)-IF(TbTradesBinance[[#This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Row],[Tipo]]="DROP"),AF39+TbTradesBinance[[#This Row],[Qtt]],AF39-TbTradesBinance[[#This Row],[Qtt]]),IF(TbTradesBinance[[#This Row],[Tipo]]="BUY",AF39-TbTradesBinance[[#This Row],[Qtt]]*TbTradesBinance[[#This Row],[Preço]],AF39+TbTradesBinance[[#This Row],[Qtt]]*TbTradesBinance[[#This Row],[Preço]])),AF39)-IF(TbTradesBinance[[#This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Row],[Tipo]]="DROP"),AF39+TbTradesBinance[[#This Row],[Qtt]],AF39-TbTradesBinance[[#This Row],[Qtt]]),IF(TbTradesBinance[[#This Row],[Tipo]]="BUY",AF39-TbTradesBinance[[#This Row],[Qtt]]*TbTradesBinance[[#This Row],[Preço]],AF39+TbTradesBinance[[#This Row],[Qtt]]*TbTradesBinance[[#This Row],[Preço]])),AF39)-IF(TbTradesBinance[[#This Row],[Moeda da Taxa]]=MID(AF$1,9,5),TbTradesBinance[[#This Row],[Taxa]],0),8)))</f>
        <v>0</v>
      </c>
      <c r="AG40" s="145" cm="1">
        <f t="array" ref="AG40">IF(TbTradesBinance[[#This Row],[Tipo]]="EMPTY",0,AG39+IF(TbTradesBinance[[#This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Row],[Par]]))),$1:$1,0)),-(AF39-AF40)/AF39*AG39),0),0)+IF(TbTradesBinance[[#This Row],[Tipo]]="SELL",IF(ISNUMBER(FIND(MID(AG$1,10,5),TbTradesBinance[[#This Row],[Par]])),IF(FIND(MID(AG$1,10,5),TbTradesBinance[[#This Row],[Par]])=1, -(AF39-AF40)/AF39*AG39,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Row],[Par]])),(-(AF39-AF40)/AF39*AG39)+IF(TbTradesBinance[[#This Row],[Resultado]]&gt;0,0,TbTradesBinance[[#This Row],[Taxa]]),0),0))</f>
        <v>0</v>
      </c>
      <c r="AH40" s="145">
        <f t="shared" si="7"/>
        <v>0</v>
      </c>
      <c r="AI4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Row],[Tipo]]="DROP"),AI39+TbTradesBinance[[#This Row],[Qtt]],AI39-TbTradesBinance[[#This Row],[Qtt]]),IF(TbTradesBinance[[#This Row],[Tipo]]="BUY",AI39-TbTradesBinance[[#This Row],[Qtt]]*TbTradesBinance[[#This Row],[Preço]],AI39+TbTradesBinance[[#This Row],[Qtt]]*TbTradesBinance[[#This Row],[Preço]])),AI39)-IF(TbTradesBinance[[#This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Row],[Tipo]]="DROP"),AI39+TbTradesBinance[[#This Row],[Qtt]],AI39-TbTradesBinance[[#This Row],[Qtt]]),IF(TbTradesBinance[[#This Row],[Tipo]]="BUY",AI39-TbTradesBinance[[#This Row],[Qtt]]*TbTradesBinance[[#This Row],[Preço]],AI39+TbTradesBinance[[#This Row],[Qtt]]*TbTradesBinance[[#This Row],[Preço]])),AI39)-IF(TbTradesBinance[[#This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Row],[Tipo]]="DROP"),AI39+TbTradesBinance[[#This Row],[Qtt]],AI39-TbTradesBinance[[#This Row],[Qtt]]),IF(TbTradesBinance[[#This Row],[Tipo]]="BUY",AI39-TbTradesBinance[[#This Row],[Qtt]]*TbTradesBinance[[#This Row],[Preço]],AI39+TbTradesBinance[[#This Row],[Qtt]]*TbTradesBinance[[#This Row],[Preço]])),AI39)-IF(TbTradesBinance[[#This Row],[Moeda da Taxa]]=MID(AI$1,9,5),TbTradesBinance[[#This Row],[Taxa]],0),8)))</f>
        <v>0</v>
      </c>
      <c r="AJ40" s="145" cm="1">
        <f t="array" ref="AJ40">IF(TbTradesBinance[[#This Row],[Tipo]]="EMPTY",0,AJ39+IF(TbTradesBinance[[#This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Row],[Par]]))),$1:$1,0)),-(AI39-AI40)/AI39*AJ39),0),0)+IF(TbTradesBinance[[#This Row],[Tipo]]="SELL",IF(ISNUMBER(FIND(MID(AJ$1,10,5),TbTradesBinance[[#This Row],[Par]])),IF(FIND(MID(AJ$1,10,5),TbTradesBinance[[#This Row],[Par]])=1, -(AI39-AI40)/AI39*AJ39,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Row],[Par]])),(-(AI39-AI40)/AI39*AJ39)+IF(TbTradesBinance[[#This Row],[Resultado]]&gt;0,0,TbTradesBinance[[#This Row],[Taxa]]),0),0))</f>
        <v>0</v>
      </c>
      <c r="AK40" s="145">
        <f t="shared" si="8"/>
        <v>0</v>
      </c>
      <c r="AL4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Row],[Tipo]]="DROP"),AL39+TbTradesBinance[[#This Row],[Qtt]],AL39-TbTradesBinance[[#This Row],[Qtt]]),IF(TbTradesBinance[[#This Row],[Tipo]]="BUY",AL39-TbTradesBinance[[#This Row],[Qtt]]*TbTradesBinance[[#This Row],[Preço]],AL39+TbTradesBinance[[#This Row],[Qtt]]*TbTradesBinance[[#This Row],[Preço]])),AL39)-IF(TbTradesBinance[[#This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Row],[Tipo]]="DROP"),AL39+TbTradesBinance[[#This Row],[Qtt]],AL39-TbTradesBinance[[#This Row],[Qtt]]),IF(TbTradesBinance[[#This Row],[Tipo]]="BUY",AL39-TbTradesBinance[[#This Row],[Qtt]]*TbTradesBinance[[#This Row],[Preço]],AL39+TbTradesBinance[[#This Row],[Qtt]]*TbTradesBinance[[#This Row],[Preço]])),AL39)-IF(TbTradesBinance[[#This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Row],[Tipo]]="DROP"),AL39+TbTradesBinance[[#This Row],[Qtt]],AL39-TbTradesBinance[[#This Row],[Qtt]]),IF(TbTradesBinance[[#This Row],[Tipo]]="BUY",AL39-TbTradesBinance[[#This Row],[Qtt]]*TbTradesBinance[[#This Row],[Preço]],AL39+TbTradesBinance[[#This Row],[Qtt]]*TbTradesBinance[[#This Row],[Preço]])),AL39)-IF(TbTradesBinance[[#This Row],[Moeda da Taxa]]=MID(AL$1,9,5),TbTradesBinance[[#This Row],[Taxa]],0),8)))</f>
        <v>0</v>
      </c>
      <c r="AM40" s="145" cm="1">
        <f t="array" ref="AM40">IF(TbTradesBinance[[#This Row],[Tipo]]="EMPTY",0,AM39+IF(TbTradesBinance[[#This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Row],[Par]]))),$1:$1,0)),-(AL39-AL40)/AL39*AM39),0),0)+IF(TbTradesBinance[[#This Row],[Tipo]]="SELL",IF(ISNUMBER(FIND(MID(AM$1,10,5),TbTradesBinance[[#This Row],[Par]])),IF(FIND(MID(AM$1,10,5),TbTradesBinance[[#This Row],[Par]])=1, -(AL39-AL40)/AL39*AM39,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Row],[Par]])),(-(AL39-AL40)/AL39*AM39)+IF(TbTradesBinance[[#This Row],[Resultado]]&gt;0,0,TbTradesBinance[[#This Row],[Taxa]]),0),0))</f>
        <v>0</v>
      </c>
      <c r="AN40" s="145">
        <f t="shared" si="9"/>
        <v>0</v>
      </c>
      <c r="AO4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Row],[Tipo]]="DROP"),AO39+TbTradesBinance[[#This Row],[Qtt]],AO39-TbTradesBinance[[#This Row],[Qtt]]),IF(TbTradesBinance[[#This Row],[Tipo]]="BUY",AO39-TbTradesBinance[[#This Row],[Qtt]]*TbTradesBinance[[#This Row],[Preço]],AO39+TbTradesBinance[[#This Row],[Qtt]]*TbTradesBinance[[#This Row],[Preço]])),AO39)-IF(TbTradesBinance[[#This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Row],[Tipo]]="DROP"),AO39+TbTradesBinance[[#This Row],[Qtt]],AO39-TbTradesBinance[[#This Row],[Qtt]]),IF(TbTradesBinance[[#This Row],[Tipo]]="BUY",AO39-TbTradesBinance[[#This Row],[Qtt]]*TbTradesBinance[[#This Row],[Preço]],AO39+TbTradesBinance[[#This Row],[Qtt]]*TbTradesBinance[[#This Row],[Preço]])),AO39)-IF(TbTradesBinance[[#This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Row],[Tipo]]="DROP"),AO39+TbTradesBinance[[#This Row],[Qtt]],AO39-TbTradesBinance[[#This Row],[Qtt]]),IF(TbTradesBinance[[#This Row],[Tipo]]="BUY",AO39-TbTradesBinance[[#This Row],[Qtt]]*TbTradesBinance[[#This Row],[Preço]],AO39+TbTradesBinance[[#This Row],[Qtt]]*TbTradesBinance[[#This Row],[Preço]])),AO39)-IF(TbTradesBinance[[#This Row],[Moeda da Taxa]]=MID(AO$1,9,5),TbTradesBinance[[#This Row],[Taxa]],0),8)))</f>
        <v>0</v>
      </c>
      <c r="AP40" s="145" cm="1">
        <f t="array" ref="AP40">IF(TbTradesBinance[[#This Row],[Tipo]]="EMPTY",0,AP39+IF(TbTradesBinance[[#This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Row],[Par]]))),$1:$1,0)),-(AO39-AO40)/AO39*AP39),0),0)+IF(TbTradesBinance[[#This Row],[Tipo]]="SELL",IF(ISNUMBER(FIND(MID(AP$1,10,5),TbTradesBinance[[#This Row],[Par]])),IF(FIND(MID(AP$1,10,5),TbTradesBinance[[#This Row],[Par]])=1, -(AO39-AO40)/AO39*AP39,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Row],[Par]])),(-(AO39-AO40)/AO39*AP39)+IF(TbTradesBinance[[#This Row],[Resultado]]&gt;0,0,TbTradesBinance[[#This Row],[Taxa]]),0),0))</f>
        <v>0</v>
      </c>
      <c r="AQ40" s="145">
        <f t="shared" si="10"/>
        <v>0</v>
      </c>
      <c r="AR4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Row],[Tipo]]="DROP"),AR39+TbTradesBinance[[#This Row],[Qtt]],AR39-TbTradesBinance[[#This Row],[Qtt]]),IF(TbTradesBinance[[#This Row],[Tipo]]="BUY",AR39-TbTradesBinance[[#This Row],[Qtt]]*TbTradesBinance[[#This Row],[Preço]],AR39+TbTradesBinance[[#This Row],[Qtt]]*TbTradesBinance[[#This Row],[Preço]])),AR39)-IF(TbTradesBinance[[#This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Row],[Tipo]]="DROP"),AR39+TbTradesBinance[[#This Row],[Qtt]],AR39-TbTradesBinance[[#This Row],[Qtt]]),IF(TbTradesBinance[[#This Row],[Tipo]]="BUY",AR39-TbTradesBinance[[#This Row],[Qtt]]*TbTradesBinance[[#This Row],[Preço]],AR39+TbTradesBinance[[#This Row],[Qtt]]*TbTradesBinance[[#This Row],[Preço]])),AR39)-IF(TbTradesBinance[[#This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Row],[Tipo]]="DROP"),AR39+TbTradesBinance[[#This Row],[Qtt]],AR39-TbTradesBinance[[#This Row],[Qtt]]),IF(TbTradesBinance[[#This Row],[Tipo]]="BUY",AR39-TbTradesBinance[[#This Row],[Qtt]]*TbTradesBinance[[#This Row],[Preço]],AR39+TbTradesBinance[[#This Row],[Qtt]]*TbTradesBinance[[#This Row],[Preço]])),AR39)-IF(TbTradesBinance[[#This Row],[Moeda da Taxa]]=MID(AR$1,9,5),TbTradesBinance[[#This Row],[Taxa]],0),8)))</f>
        <v>0</v>
      </c>
      <c r="AS40" s="145" cm="1">
        <f t="array" ref="AS40">IF(TbTradesBinance[[#This Row],[Tipo]]="EMPTY",0,AS39+IF(TbTradesBinance[[#This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Row],[Par]]))),$1:$1,0)),-(AR39-AR40)/AR39*AS39),0),0)+IF(TbTradesBinance[[#This Row],[Tipo]]="SELL",IF(ISNUMBER(FIND(MID(AS$1,10,5),TbTradesBinance[[#This Row],[Par]])),IF(FIND(MID(AS$1,10,5),TbTradesBinance[[#This Row],[Par]])=1, -(AR39-AR40)/AR39*AS39,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Row],[Par]])),(-(AR39-AR40)/AR39*AS39)+IF(TbTradesBinance[[#This Row],[Resultado]]&gt;0,0,TbTradesBinance[[#This Row],[Taxa]]),0),0))</f>
        <v>0</v>
      </c>
      <c r="AT40" s="145">
        <f t="shared" si="11"/>
        <v>0</v>
      </c>
      <c r="AU4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Row],[Tipo]]="DROP"),AU39+TbTradesBinance[[#This Row],[Qtt]],AU39-TbTradesBinance[[#This Row],[Qtt]]),IF(TbTradesBinance[[#This Row],[Tipo]]="BUY",AU39-TbTradesBinance[[#This Row],[Qtt]]*TbTradesBinance[[#This Row],[Preço]],AU39+TbTradesBinance[[#This Row],[Qtt]]*TbTradesBinance[[#This Row],[Preço]])),AU39)-IF(TbTradesBinance[[#This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Row],[Tipo]]="DROP"),AU39+TbTradesBinance[[#This Row],[Qtt]],AU39-TbTradesBinance[[#This Row],[Qtt]]),IF(TbTradesBinance[[#This Row],[Tipo]]="BUY",AU39-TbTradesBinance[[#This Row],[Qtt]]*TbTradesBinance[[#This Row],[Preço]],AU39+TbTradesBinance[[#This Row],[Qtt]]*TbTradesBinance[[#This Row],[Preço]])),AU39)-IF(TbTradesBinance[[#This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Row],[Tipo]]="DROP"),AU39+TbTradesBinance[[#This Row],[Qtt]],AU39-TbTradesBinance[[#This Row],[Qtt]]),IF(TbTradesBinance[[#This Row],[Tipo]]="BUY",AU39-TbTradesBinance[[#This Row],[Qtt]]*TbTradesBinance[[#This Row],[Preço]],AU39+TbTradesBinance[[#This Row],[Qtt]]*TbTradesBinance[[#This Row],[Preço]])),AU39)-IF(TbTradesBinance[[#This Row],[Moeda da Taxa]]=MID(AU$1,9,5),TbTradesBinance[[#This Row],[Taxa]],0),8)))</f>
        <v>9.9900000000000003E-2</v>
      </c>
      <c r="AV40" s="145" cm="1">
        <f t="array" ref="AV40">IF(TbTradesBinance[[#This Row],[Tipo]]="EMPTY",0,AV39+IF(TbTradesBinance[[#This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Row],[Par]]))),$1:$1,0)),-(AU39-AU40)/AU39*AV39),0),0)+IF(TbTradesBinance[[#This Row],[Tipo]]="SELL",IF(ISNUMBER(FIND(MID(AV$1,10,5),TbTradesBinance[[#This Row],[Par]])),IF(FIND(MID(AV$1,10,5),TbTradesBinance[[#This Row],[Par]])=1, -(AU39-AU40)/AU39*AV39,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Row],[Par]])),(-(AU39-AU40)/AU39*AV39)+IF(TbTradesBinance[[#This Row],[Resultado]]&gt;0,0,TbTradesBinance[[#This Row],[Taxa]]),0),0))</f>
        <v>18.673922987511034</v>
      </c>
      <c r="AW40" s="145">
        <f t="shared" si="12"/>
        <v>186.92615603114149</v>
      </c>
      <c r="AX4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Row],[Tipo]]="DROP"),AX39+TbTradesBinance[[#This Row],[Qtt]],AX39-TbTradesBinance[[#This Row],[Qtt]]),IF(TbTradesBinance[[#This Row],[Tipo]]="BUY",AX39-TbTradesBinance[[#This Row],[Qtt]]*TbTradesBinance[[#This Row],[Preço]],AX39+TbTradesBinance[[#This Row],[Qtt]]*TbTradesBinance[[#This Row],[Preço]])),AX39)-IF(TbTradesBinance[[#This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Row],[Tipo]]="DROP"),AX39+TbTradesBinance[[#This Row],[Qtt]],AX39-TbTradesBinance[[#This Row],[Qtt]]),IF(TbTradesBinance[[#This Row],[Tipo]]="BUY",AX39-TbTradesBinance[[#This Row],[Qtt]]*TbTradesBinance[[#This Row],[Preço]],AX39+TbTradesBinance[[#This Row],[Qtt]]*TbTradesBinance[[#This Row],[Preço]])),AX39)-IF(TbTradesBinance[[#This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Row],[Tipo]]="DROP"),AX39+TbTradesBinance[[#This Row],[Qtt]],AX39-TbTradesBinance[[#This Row],[Qtt]]),IF(TbTradesBinance[[#This Row],[Tipo]]="BUY",AX39-TbTradesBinance[[#This Row],[Qtt]]*TbTradesBinance[[#This Row],[Preço]],AX39+TbTradesBinance[[#This Row],[Qtt]]*TbTradesBinance[[#This Row],[Preço]])),AX39)-IF(TbTradesBinance[[#This Row],[Moeda da Taxa]]=MID(AX$1,9,5),TbTradesBinance[[#This Row],[Taxa]],0),8)))</f>
        <v>0</v>
      </c>
      <c r="AY40" s="145" cm="1">
        <f t="array" ref="AY40">IF(TbTradesBinance[[#This Row],[Tipo]]="EMPTY",0,AY39+IF(TbTradesBinance[[#This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Row],[Par]]))),$1:$1,0)),-(AX39-AX40)/AX39*AY39),0),0)+IF(TbTradesBinance[[#This Row],[Tipo]]="SELL",IF(ISNUMBER(FIND(MID(AY$1,10,5),TbTradesBinance[[#This Row],[Par]])),IF(FIND(MID(AY$1,10,5),TbTradesBinance[[#This Row],[Par]])=1, -(AX39-AX40)/AX39*AY39,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Row],[Par]])),(-(AX39-AX40)/AX39*AY39)+IF(TbTradesBinance[[#This Row],[Resultado]]&gt;0,0,TbTradesBinance[[#This Row],[Taxa]]),0),0))</f>
        <v>0</v>
      </c>
      <c r="AZ40" s="145">
        <f t="shared" si="13"/>
        <v>0</v>
      </c>
      <c r="BA4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Row],[Tipo]]="DROP"),BA39+TbTradesBinance[[#This Row],[Qtt]],BA39-TbTradesBinance[[#This Row],[Qtt]]),IF(TbTradesBinance[[#This Row],[Tipo]]="BUY",BA39-TbTradesBinance[[#This Row],[Qtt]]*TbTradesBinance[[#This Row],[Preço]],BA39+TbTradesBinance[[#This Row],[Qtt]]*TbTradesBinance[[#This Row],[Preço]])),BA39)-IF(TbTradesBinance[[#This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Row],[Tipo]]="DROP"),BA39+TbTradesBinance[[#This Row],[Qtt]],BA39-TbTradesBinance[[#This Row],[Qtt]]),IF(TbTradesBinance[[#This Row],[Tipo]]="BUY",BA39-TbTradesBinance[[#This Row],[Qtt]]*TbTradesBinance[[#This Row],[Preço]],BA39+TbTradesBinance[[#This Row],[Qtt]]*TbTradesBinance[[#This Row],[Preço]])),BA39)-IF(TbTradesBinance[[#This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Row],[Tipo]]="DROP"),BA39+TbTradesBinance[[#This Row],[Qtt]],BA39-TbTradesBinance[[#This Row],[Qtt]]),IF(TbTradesBinance[[#This Row],[Tipo]]="BUY",BA39-TbTradesBinance[[#This Row],[Qtt]]*TbTradesBinance[[#This Row],[Preço]],BA39+TbTradesBinance[[#This Row],[Qtt]]*TbTradesBinance[[#This Row],[Preço]])),BA39)-IF(TbTradesBinance[[#This Row],[Moeda da Taxa]]=MID(BA$1,9,5),TbTradesBinance[[#This Row],[Taxa]],0),8)))</f>
        <v>0</v>
      </c>
      <c r="BB40" s="145" cm="1">
        <f t="array" ref="BB40">IF(TbTradesBinance[[#This Row],[Tipo]]="EMPTY",0,BB39+IF(TbTradesBinance[[#This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Row],[Par]]))),$1:$1,0)),-(BA39-BA40)/BA39*BB39),0),0)+IF(TbTradesBinance[[#This Row],[Tipo]]="SELL",IF(ISNUMBER(FIND(MID(BB$1,10,5),TbTradesBinance[[#This Row],[Par]])),IF(FIND(MID(BB$1,10,5),TbTradesBinance[[#This Row],[Par]])=1, -(BA39-BA40)/BA39*BB39,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Row],[Par]])),(-(BA39-BA40)/BA39*BB39)+IF(TbTradesBinance[[#This Row],[Resultado]]&gt;0,0,TbTradesBinance[[#This Row],[Taxa]]),0),0))</f>
        <v>0</v>
      </c>
      <c r="BC40" s="145">
        <f t="shared" si="14"/>
        <v>0</v>
      </c>
      <c r="BD4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Row],[Tipo]]="DROP"),BD39+TbTradesBinance[[#This Row],[Qtt]],BD39-TbTradesBinance[[#This Row],[Qtt]]),IF(TbTradesBinance[[#This Row],[Tipo]]="BUY",BD39-TbTradesBinance[[#This Row],[Qtt]]*TbTradesBinance[[#This Row],[Preço]],BD39+TbTradesBinance[[#This Row],[Qtt]]*TbTradesBinance[[#This Row],[Preço]])),BD39)-IF(TbTradesBinance[[#This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Row],[Tipo]]="DROP"),BD39+TbTradesBinance[[#This Row],[Qtt]],BD39-TbTradesBinance[[#This Row],[Qtt]]),IF(TbTradesBinance[[#This Row],[Tipo]]="BUY",BD39-TbTradesBinance[[#This Row],[Qtt]]*TbTradesBinance[[#This Row],[Preço]],BD39+TbTradesBinance[[#This Row],[Qtt]]*TbTradesBinance[[#This Row],[Preço]])),BD39)-IF(TbTradesBinance[[#This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Row],[Tipo]]="DROP"),BD39+TbTradesBinance[[#This Row],[Qtt]],BD39-TbTradesBinance[[#This Row],[Qtt]]),IF(TbTradesBinance[[#This Row],[Tipo]]="BUY",BD39-TbTradesBinance[[#This Row],[Qtt]]*TbTradesBinance[[#This Row],[Preço]],BD39+TbTradesBinance[[#This Row],[Qtt]]*TbTradesBinance[[#This Row],[Preço]])),BD39)-IF(TbTradesBinance[[#This Row],[Moeda da Taxa]]=MID(BD$1,9,5),TbTradesBinance[[#This Row],[Taxa]],0),8)))</f>
        <v>0.37962000000000001</v>
      </c>
      <c r="BE40" s="145" cm="1">
        <f t="array" ref="BE40">IF(TbTradesBinance[[#This Row],[Tipo]]="EMPTY",0,BE39+IF(TbTradesBinance[[#This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Row],[Par]]))),$1:$1,0)),-(BD39-BD40)/BD39*BE39),0),0)+IF(TbTradesBinance[[#This Row],[Tipo]]="SELL",IF(ISNUMBER(FIND(MID(BE$1,10,5),TbTradesBinance[[#This Row],[Par]])),IF(FIND(MID(BE$1,10,5),TbTradesBinance[[#This Row],[Par]])=1, -(BD39-BD40)/BD39*BE39,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Row],[Par]])),(-(BD39-BD40)/BD39*BE39)+IF(TbTradesBinance[[#This Row],[Resultado]]&gt;0,0,TbTradesBinance[[#This Row],[Taxa]]),0),0))</f>
        <v>63.647297001537943</v>
      </c>
      <c r="BF40" s="145">
        <f t="shared" si="15"/>
        <v>167.66054739354601</v>
      </c>
      <c r="BG4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Row],[Tipo]]="DROP"),BG39+TbTradesBinance[[#This Row],[Qtt]],BG39-TbTradesBinance[[#This Row],[Qtt]]),IF(TbTradesBinance[[#This Row],[Tipo]]="BUY",BG39-TbTradesBinance[[#This Row],[Qtt]]*TbTradesBinance[[#This Row],[Preço]],BG39+TbTradesBinance[[#This Row],[Qtt]]*TbTradesBinance[[#This Row],[Preço]])),BG39)-IF(TbTradesBinance[[#This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Row],[Tipo]]="DROP"),BG39+TbTradesBinance[[#This Row],[Qtt]],BG39-TbTradesBinance[[#This Row],[Qtt]]),IF(TbTradesBinance[[#This Row],[Tipo]]="BUY",BG39-TbTradesBinance[[#This Row],[Qtt]]*TbTradesBinance[[#This Row],[Preço]],BG39+TbTradesBinance[[#This Row],[Qtt]]*TbTradesBinance[[#This Row],[Preço]])),BG39)-IF(TbTradesBinance[[#This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Row],[Tipo]]="DROP"),BG39+TbTradesBinance[[#This Row],[Qtt]],BG39-TbTradesBinance[[#This Row],[Qtt]]),IF(TbTradesBinance[[#This Row],[Tipo]]="BUY",BG39-TbTradesBinance[[#This Row],[Qtt]]*TbTradesBinance[[#This Row],[Preço]],BG39+TbTradesBinance[[#This Row],[Qtt]]*TbTradesBinance[[#This Row],[Preço]])),BG39)-IF(TbTradesBinance[[#This Row],[Moeda da Taxa]]=MID(BG$1,9,5),TbTradesBinance[[#This Row],[Taxa]],0),8)))</f>
        <v>0</v>
      </c>
      <c r="BH40" s="145" cm="1">
        <f t="array" ref="BH40">IF(TbTradesBinance[[#This Row],[Tipo]]="EMPTY",0,BH39+IF(TbTradesBinance[[#This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Row],[Par]]))),$1:$1,0)),-(BG39-BG40)/BG39*BH39),0),0)+IF(TbTradesBinance[[#This Row],[Tipo]]="SELL",IF(ISNUMBER(FIND(MID(BH$1,10,5),TbTradesBinance[[#This Row],[Par]])),IF(FIND(MID(BH$1,10,5),TbTradesBinance[[#This Row],[Par]])=1, -(BG39-BG40)/BG39*BH39,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Row],[Par]])),(-(BG39-BG40)/BG39*BH39)+IF(TbTradesBinance[[#This Row],[Resultado]]&gt;0,0,TbTradesBinance[[#This Row],[Taxa]]),0),0))</f>
        <v>0</v>
      </c>
      <c r="BI40" s="145">
        <f t="shared" si="16"/>
        <v>0</v>
      </c>
      <c r="BJ4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Row],[Tipo]]="DROP"),BJ39+TbTradesBinance[[#This Row],[Qtt]],BJ39-TbTradesBinance[[#This Row],[Qtt]]),IF(TbTradesBinance[[#This Row],[Tipo]]="BUY",BJ39-TbTradesBinance[[#This Row],[Qtt]]*TbTradesBinance[[#This Row],[Preço]],BJ39+TbTradesBinance[[#This Row],[Qtt]]*TbTradesBinance[[#This Row],[Preço]])),BJ39)-IF(TbTradesBinance[[#This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Row],[Tipo]]="DROP"),BJ39+TbTradesBinance[[#This Row],[Qtt]],BJ39-TbTradesBinance[[#This Row],[Qtt]]),IF(TbTradesBinance[[#This Row],[Tipo]]="BUY",BJ39-TbTradesBinance[[#This Row],[Qtt]]*TbTradesBinance[[#This Row],[Preço]],BJ39+TbTradesBinance[[#This Row],[Qtt]]*TbTradesBinance[[#This Row],[Preço]])),BJ39)-IF(TbTradesBinance[[#This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Row],[Tipo]]="DROP"),BJ39+TbTradesBinance[[#This Row],[Qtt]],BJ39-TbTradesBinance[[#This Row],[Qtt]]),IF(TbTradesBinance[[#This Row],[Tipo]]="BUY",BJ39-TbTradesBinance[[#This Row],[Qtt]]*TbTradesBinance[[#This Row],[Preço]],BJ39+TbTradesBinance[[#This Row],[Qtt]]*TbTradesBinance[[#This Row],[Preço]])),BJ39)-IF(TbTradesBinance[[#This Row],[Moeda da Taxa]]=MID(BJ$1,9,5),TbTradesBinance[[#This Row],[Taxa]],0),8)))</f>
        <v>0</v>
      </c>
      <c r="BK40" s="145" cm="1">
        <f t="array" ref="BK40">IF(TbTradesBinance[[#This Row],[Tipo]]="EMPTY",0,BK39+IF(TbTradesBinance[[#This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Row],[Par]]))),$1:$1,0)),-(BJ39-BJ40)/BJ39*BK39),0),0)+IF(TbTradesBinance[[#This Row],[Tipo]]="SELL",IF(ISNUMBER(FIND(MID(BK$1,10,5),TbTradesBinance[[#This Row],[Par]])),IF(FIND(MID(BK$1,10,5),TbTradesBinance[[#This Row],[Par]])=1, -(BJ39-BJ40)/BJ39*BK39,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Row],[Par]])),(-(BJ39-BJ40)/BJ39*BK39)+IF(TbTradesBinance[[#This Row],[Resultado]]&gt;0,0,TbTradesBinance[[#This Row],[Taxa]]),0),0))</f>
        <v>0</v>
      </c>
      <c r="BL40" s="145">
        <f t="shared" si="17"/>
        <v>0</v>
      </c>
      <c r="BM4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Row],[Tipo]]="DROP"),BM39+TbTradesBinance[[#This Row],[Qtt]],BM39-TbTradesBinance[[#This Row],[Qtt]]),IF(TbTradesBinance[[#This Row],[Tipo]]="BUY",BM39-TbTradesBinance[[#This Row],[Qtt]]*TbTradesBinance[[#This Row],[Preço]],BM39+TbTradesBinance[[#This Row],[Qtt]]*TbTradesBinance[[#This Row],[Preço]])),BM39)-IF(TbTradesBinance[[#This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Row],[Tipo]]="DROP"),BM39+TbTradesBinance[[#This Row],[Qtt]],BM39-TbTradesBinance[[#This Row],[Qtt]]),IF(TbTradesBinance[[#This Row],[Tipo]]="BUY",BM39-TbTradesBinance[[#This Row],[Qtt]]*TbTradesBinance[[#This Row],[Preço]],BM39+TbTradesBinance[[#This Row],[Qtt]]*TbTradesBinance[[#This Row],[Preço]])),BM39)-IF(TbTradesBinance[[#This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Row],[Tipo]]="DROP"),BM39+TbTradesBinance[[#This Row],[Qtt]],BM39-TbTradesBinance[[#This Row],[Qtt]]),IF(TbTradesBinance[[#This Row],[Tipo]]="BUY",BM39-TbTradesBinance[[#This Row],[Qtt]]*TbTradesBinance[[#This Row],[Preço]],BM39+TbTradesBinance[[#This Row],[Qtt]]*TbTradesBinance[[#This Row],[Preço]])),BM39)-IF(TbTradesBinance[[#This Row],[Moeda da Taxa]]=MID(BM$1,9,5),TbTradesBinance[[#This Row],[Taxa]],0),8)))</f>
        <v>0</v>
      </c>
      <c r="BN40" s="145" cm="1">
        <f t="array" ref="BN40">IF(TbTradesBinance[[#This Row],[Tipo]]="EMPTY",0,BN39+IF(TbTradesBinance[[#This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Row],[Par]]))),$1:$1,0)),-(BM39-BM40)/BM39*BN39),0),0)+IF(TbTradesBinance[[#This Row],[Tipo]]="SELL",IF(ISNUMBER(FIND(MID(BN$1,10,5),TbTradesBinance[[#This Row],[Par]])),IF(FIND(MID(BN$1,10,5),TbTradesBinance[[#This Row],[Par]])=1, -(BM39-BM40)/BM39*BN39,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Row],[Par]])),(-(BM39-BM40)/BM39*BN39)+IF(TbTradesBinance[[#This Row],[Resultado]]&gt;0,0,TbTradesBinance[[#This Row],[Taxa]]),0),0))</f>
        <v>0</v>
      </c>
      <c r="BO40" s="145">
        <f t="shared" si="18"/>
        <v>0</v>
      </c>
    </row>
    <row r="41" spans="2:67" x14ac:dyDescent="0.3">
      <c r="B41" s="51" t="s">
        <v>141</v>
      </c>
      <c r="C41" s="40">
        <f>TRUNC(IF(AND(TbTradesBinance[[#This Row],[Tipo]]="SEND",TbTradesBinance[[#This Row],[Par]]="BRL"),TbTradesBinance[[#This Row],[Qtt]]*(1-P39)-IF(TbTradesBinance[[#This Row],[Moeda da Taxa]]="BRL",TbTradesBinance[[#This Row],[Taxa]],0),0)+IF(AND(TbTradesBinance[[#This Row],[Tipo]]="BURN",TbTradesBinance[[#This Row],[Par]]="BRL"),-TbTradesBinance[[#This Row],[Qtt]]*P39,0),2)</f>
        <v>0.84</v>
      </c>
      <c r="D41" s="53">
        <v>44262.571631944447</v>
      </c>
      <c r="E41" s="37" t="s">
        <v>50</v>
      </c>
      <c r="F41" s="47" t="s">
        <v>142</v>
      </c>
      <c r="G41" s="38">
        <v>1</v>
      </c>
      <c r="H41" s="38">
        <v>1472.25</v>
      </c>
      <c r="I41" s="38">
        <v>0</v>
      </c>
      <c r="J41" s="37" t="s">
        <v>50</v>
      </c>
      <c r="K41" s="52">
        <v>1</v>
      </c>
      <c r="L41" s="40">
        <f t="shared" si="0"/>
        <v>1</v>
      </c>
      <c r="M41" s="40">
        <f>IF(OR(TbTradesBinance[[#This Row],[Tipo]]="BUY",TbTradesBinance[[#This Row],[Tipo]]="RECEIVE",TbTradesBinance[[#This Row],[Tipo]]="DROP"),L41*H41,-L41*H41)</f>
        <v>-1472.25</v>
      </c>
      <c r="N4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Row],[Tipo]]="DROP"),N40+TbTradesBinance[[#This Row],[Qtt]],N40-TbTradesBinance[[#This Row],[Qtt]]),IF(TbTradesBinance[[#This Row],[Tipo]]="BUY",N40-TbTradesBinance[[#This Row],[Qtt]]*TbTradesBinance[[#This Row],[Preço]],N40+TbTradesBinance[[#This Row],[Qtt]]*TbTradesBinance[[#This Row],[Preço]])),N40)-IF(TbTradesBinance[[#This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Row],[Tipo]]="DROP"),N40+TbTradesBinance[[#This Row],[Qtt]],N40-TbTradesBinance[[#This Row],[Qtt]]),IF(TbTradesBinance[[#This Row],[Tipo]]="BUY",N40-TbTradesBinance[[#This Row],[Qtt]]*TbTradesBinance[[#This Row],[Preço]],N40+TbTradesBinance[[#This Row],[Qtt]]*TbTradesBinance[[#This Row],[Preço]])),N40)-IF(TbTradesBinance[[#This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Row],[Tipo]]="DROP"),N40+TbTradesBinance[[#This Row],[Qtt]],N40-TbTradesBinance[[#This Row],[Qtt]]),IF(TbTradesBinance[[#This Row],[Tipo]]="BUY",N40-TbTradesBinance[[#This Row],[Qtt]]*TbTradesBinance[[#This Row],[Preço]],N40+TbTradesBinance[[#This Row],[Qtt]]*TbTradesBinance[[#This Row],[Preço]])),N40)-IF(TbTradesBinance[[#This Row],[Moeda da Taxa]]=MID(N$1,9,5),TbTradesBinance[[#This Row],[Taxa]],0),8)))</f>
        <v>119745.42704689001</v>
      </c>
      <c r="O41" s="145" cm="1">
        <f t="array" ref="O41">IF(TbTradesBinance[[#This Row],[Tipo]]="EMPTY",0,O40+IF(TbTradesBinance[[#This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Row],[Par]]))),$1:$1,0)),-(N40-N41)/N40*O40),0),0)+IF(TbTradesBinance[[#This Row],[Tipo]]="SELL",IF(ISNUMBER(FIND(MID(O$1,10,5),TbTradesBinance[[#This Row],[Par]])),IF(FIND(MID(O$1,10,5),TbTradesBinance[[#This Row],[Par]])=1, -(N40-N41)/N40*O40,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Row],[Par]])),(-(N40-N41)/N40*O40)+IF(TbTradesBinance[[#This Row],[Resultado]]&gt;0,0,TbTradesBinance[[#This Row],[Taxa]]),0),0))</f>
        <v>119676.38903121858</v>
      </c>
      <c r="P41" s="145">
        <f t="shared" si="1"/>
        <v>0.99942346010721239</v>
      </c>
      <c r="Q4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Row],[Tipo]]="DROP"),Q40+TbTradesBinance[[#This Row],[Qtt]],Q40-TbTradesBinance[[#This Row],[Qtt]]),IF(TbTradesBinance[[#This Row],[Tipo]]="BUY",Q40-TbTradesBinance[[#This Row],[Qtt]]*TbTradesBinance[[#This Row],[Preço]],Q40+TbTradesBinance[[#This Row],[Qtt]]*TbTradesBinance[[#This Row],[Preço]])),Q40)-IF(TbTradesBinance[[#This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Row],[Tipo]]="DROP"),Q40+TbTradesBinance[[#This Row],[Qtt]],Q40-TbTradesBinance[[#This Row],[Qtt]]),IF(TbTradesBinance[[#This Row],[Tipo]]="BUY",Q40-TbTradesBinance[[#This Row],[Qtt]]*TbTradesBinance[[#This Row],[Preço]],Q40+TbTradesBinance[[#This Row],[Qtt]]*TbTradesBinance[[#This Row],[Preço]])),Q40)-IF(TbTradesBinance[[#This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Row],[Tipo]]="DROP"),Q40+TbTradesBinance[[#This Row],[Qtt]],Q40-TbTradesBinance[[#This Row],[Qtt]]),IF(TbTradesBinance[[#This Row],[Tipo]]="BUY",Q40-TbTradesBinance[[#This Row],[Qtt]]*TbTradesBinance[[#This Row],[Preço]],Q40+TbTradesBinance[[#This Row],[Qtt]]*TbTradesBinance[[#This Row],[Preço]])),Q40)-IF(TbTradesBinance[[#This Row],[Moeda da Taxa]]=MID(Q$1,9,5),TbTradesBinance[[#This Row],[Taxa]],0),8)))</f>
        <v>0.27732999000000003</v>
      </c>
      <c r="R41" s="145" cm="1">
        <f t="array" ref="R41">IF(TbTradesBinance[[#This Row],[Tipo]]="EMPTY",0,R40+IF(TbTradesBinance[[#This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Row],[Par]]))),$1:$1,0)),-(Q40-Q41)/Q40*R40),0),0)+IF(TbTradesBinance[[#This Row],[Tipo]]="SELL",IF(ISNUMBER(FIND(MID(R$1,10,5),TbTradesBinance[[#This Row],[Par]])),IF(FIND(MID(R$1,10,5),TbTradesBinance[[#This Row],[Par]])=1, -(Q40-Q41)/Q40*R40,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Row],[Par]])),(-(Q40-Q41)/Q40*R40)+IF(TbTradesBinance[[#This Row],[Resultado]]&gt;0,0,TbTradesBinance[[#This Row],[Taxa]]),0),0))</f>
        <v>1.5509449279899954</v>
      </c>
      <c r="S41" s="145">
        <f t="shared" si="2"/>
        <v>5.592416918163071</v>
      </c>
      <c r="T4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Row],[Tipo]]="DROP"),T40+TbTradesBinance[[#This Row],[Qtt]],T40-TbTradesBinance[[#This Row],[Qtt]]),IF(TbTradesBinance[[#This Row],[Tipo]]="BUY",T40-TbTradesBinance[[#This Row],[Qtt]]*TbTradesBinance[[#This Row],[Preço]],T40+TbTradesBinance[[#This Row],[Qtt]]*TbTradesBinance[[#This Row],[Preço]])),T40)-IF(TbTradesBinance[[#This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Row],[Tipo]]="DROP"),T40+TbTradesBinance[[#This Row],[Qtt]],T40-TbTradesBinance[[#This Row],[Qtt]]),IF(TbTradesBinance[[#This Row],[Tipo]]="BUY",T40-TbTradesBinance[[#This Row],[Qtt]]*TbTradesBinance[[#This Row],[Preço]],T40+TbTradesBinance[[#This Row],[Qtt]]*TbTradesBinance[[#This Row],[Preço]])),T40)-IF(TbTradesBinance[[#This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Row],[Tipo]]="DROP"),T40+TbTradesBinance[[#This Row],[Qtt]],T40-TbTradesBinance[[#This Row],[Qtt]]),IF(TbTradesBinance[[#This Row],[Tipo]]="BUY",T40-TbTradesBinance[[#This Row],[Qtt]]*TbTradesBinance[[#This Row],[Preço]],T40+TbTradesBinance[[#This Row],[Qtt]]*TbTradesBinance[[#This Row],[Preço]])),T40)-IF(TbTradesBinance[[#This Row],[Moeda da Taxa]]=MID(T$1,9,5),TbTradesBinance[[#This Row],[Taxa]],0),8)))</f>
        <v>199735.34867482999</v>
      </c>
      <c r="U41" s="145" cm="1">
        <f t="array" ref="U41">IF(TbTradesBinance[[#This Row],[Tipo]]="EMPTY",0,U40+IF(TbTradesBinance[[#This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Row],[Par]]))),$1:$1,0)),-(T40-T41)/T40*U40),0),0)+IF(TbTradesBinance[[#This Row],[Tipo]]="SELL",IF(ISNUMBER(FIND(MID(U$1,10,5),TbTradesBinance[[#This Row],[Par]])),IF(FIND(MID(U$1,10,5),TbTradesBinance[[#This Row],[Par]])=1, -(T40-T41)/T40*U40,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Row],[Par]])),(-(T40-T41)/T40*U40)+IF(TbTradesBinance[[#This Row],[Resultado]]&gt;0,0,TbTradesBinance[[#This Row],[Taxa]]),0),0))</f>
        <v>1328240.0716580662</v>
      </c>
      <c r="V41" s="145">
        <f t="shared" si="3"/>
        <v>6.6500000148719129</v>
      </c>
      <c r="W4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Row],[Tipo]]="DROP"),W40+TbTradesBinance[[#This Row],[Qtt]],W40-TbTradesBinance[[#This Row],[Qtt]]),IF(TbTradesBinance[[#This Row],[Tipo]]="BUY",W40-TbTradesBinance[[#This Row],[Qtt]]*TbTradesBinance[[#This Row],[Preço]],W40+TbTradesBinance[[#This Row],[Qtt]]*TbTradesBinance[[#This Row],[Preço]])),W40)-IF(TbTradesBinance[[#This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Row],[Tipo]]="DROP"),W40+TbTradesBinance[[#This Row],[Qtt]],W40-TbTradesBinance[[#This Row],[Qtt]]),IF(TbTradesBinance[[#This Row],[Tipo]]="BUY",W40-TbTradesBinance[[#This Row],[Qtt]]*TbTradesBinance[[#This Row],[Preço]],W40+TbTradesBinance[[#This Row],[Qtt]]*TbTradesBinance[[#This Row],[Preço]])),W40)-IF(TbTradesBinance[[#This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Row],[Tipo]]="DROP"),W40+TbTradesBinance[[#This Row],[Qtt]],W40-TbTradesBinance[[#This Row],[Qtt]]),IF(TbTradesBinance[[#This Row],[Tipo]]="BUY",W40-TbTradesBinance[[#This Row],[Qtt]]*TbTradesBinance[[#This Row],[Preço]],W40+TbTradesBinance[[#This Row],[Qtt]]*TbTradesBinance[[#This Row],[Preço]])),W40)-IF(TbTradesBinance[[#This Row],[Moeda da Taxa]]=MID(W$1,9,5),TbTradesBinance[[#This Row],[Taxa]],0),8)))</f>
        <v>1.92157E-3</v>
      </c>
      <c r="X41" s="145" cm="1">
        <f t="array" ref="X41">IF(TbTradesBinance[[#This Row],[Tipo]]="EMPTY",0,X40+IF(TbTradesBinance[[#This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Row],[Par]]))),$1:$1,0)),-(W40-W41)/W40*X40),0),0)+IF(TbTradesBinance[[#This Row],[Tipo]]="SELL",IF(ISNUMBER(FIND(MID(X$1,10,5),TbTradesBinance[[#This Row],[Par]])),IF(FIND(MID(X$1,10,5),TbTradesBinance[[#This Row],[Par]])=1, -(W40-W41)/W40*X40,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Row],[Par]])),(-(W40-W41)/W40*X40)+IF(TbTradesBinance[[#This Row],[Resultado]]&gt;0,0,TbTradesBinance[[#This Row],[Taxa]]),0),0))</f>
        <v>528.26595665529044</v>
      </c>
      <c r="Y41" s="145">
        <f t="shared" si="4"/>
        <v>274913.71985162678</v>
      </c>
      <c r="Z4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Row],[Tipo]]="DROP"),Z40+TbTradesBinance[[#This Row],[Qtt]],Z40-TbTradesBinance[[#This Row],[Qtt]]),IF(TbTradesBinance[[#This Row],[Tipo]]="BUY",Z40-TbTradesBinance[[#This Row],[Qtt]]*TbTradesBinance[[#This Row],[Preço]],Z40+TbTradesBinance[[#This Row],[Qtt]]*TbTradesBinance[[#This Row],[Preço]])),Z40)-IF(TbTradesBinance[[#This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Row],[Tipo]]="DROP"),Z40+TbTradesBinance[[#This Row],[Qtt]],Z40-TbTradesBinance[[#This Row],[Qtt]]),IF(TbTradesBinance[[#This Row],[Tipo]]="BUY",Z40-TbTradesBinance[[#This Row],[Qtt]]*TbTradesBinance[[#This Row],[Preço]],Z40+TbTradesBinance[[#This Row],[Qtt]]*TbTradesBinance[[#This Row],[Preço]])),Z40)-IF(TbTradesBinance[[#This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Row],[Tipo]]="DROP"),Z40+TbTradesBinance[[#This Row],[Qtt]],Z40-TbTradesBinance[[#This Row],[Qtt]]),IF(TbTradesBinance[[#This Row],[Tipo]]="BUY",Z40-TbTradesBinance[[#This Row],[Qtt]]*TbTradesBinance[[#This Row],[Preço]],Z40+TbTradesBinance[[#This Row],[Qtt]]*TbTradesBinance[[#This Row],[Preço]])),Z40)-IF(TbTradesBinance[[#This Row],[Moeda da Taxa]]=MID(Z$1,9,5),TbTradesBinance[[#This Row],[Taxa]],0),8)))</f>
        <v>0</v>
      </c>
      <c r="AA41" s="145" cm="1">
        <f t="array" ref="AA41">IF(TbTradesBinance[[#This Row],[Tipo]]="EMPTY",0,AA40+IF(TbTradesBinance[[#This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Row],[Par]]))),$1:$1,0)),-(Z40-Z41)/Z40*AA40),0),0)+IF(TbTradesBinance[[#This Row],[Tipo]]="SELL",IF(ISNUMBER(FIND(MID(AA$1,10,5),TbTradesBinance[[#This Row],[Par]])),IF(FIND(MID(AA$1,10,5),TbTradesBinance[[#This Row],[Par]])=1, -(Z40-Z41)/Z40*AA40,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Row],[Par]])),(-(Z40-Z41)/Z40*AA40)+IF(TbTradesBinance[[#This Row],[Resultado]]&gt;0,0,TbTradesBinance[[#This Row],[Taxa]]),0),0))</f>
        <v>0</v>
      </c>
      <c r="AB41" s="145">
        <f t="shared" si="5"/>
        <v>0</v>
      </c>
      <c r="AC4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Row],[Tipo]]="DROP"),AC40+TbTradesBinance[[#This Row],[Qtt]],AC40-TbTradesBinance[[#This Row],[Qtt]]),IF(TbTradesBinance[[#This Row],[Tipo]]="BUY",AC40-TbTradesBinance[[#This Row],[Qtt]]*TbTradesBinance[[#This Row],[Preço]],AC40+TbTradesBinance[[#This Row],[Qtt]]*TbTradesBinance[[#This Row],[Preço]])),AC40)-IF(TbTradesBinance[[#This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Row],[Tipo]]="DROP"),AC40+TbTradesBinance[[#This Row],[Qtt]],AC40-TbTradesBinance[[#This Row],[Qtt]]),IF(TbTradesBinance[[#This Row],[Tipo]]="BUY",AC40-TbTradesBinance[[#This Row],[Qtt]]*TbTradesBinance[[#This Row],[Preço]],AC40+TbTradesBinance[[#This Row],[Qtt]]*TbTradesBinance[[#This Row],[Preço]])),AC40)-IF(TbTradesBinance[[#This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Row],[Tipo]]="DROP"),AC40+TbTradesBinance[[#This Row],[Qtt]],AC40-TbTradesBinance[[#This Row],[Qtt]]),IF(TbTradesBinance[[#This Row],[Tipo]]="BUY",AC40-TbTradesBinance[[#This Row],[Qtt]]*TbTradesBinance[[#This Row],[Preço]],AC40+TbTradesBinance[[#This Row],[Qtt]]*TbTradesBinance[[#This Row],[Preço]])),AC40)-IF(TbTradesBinance[[#This Row],[Moeda da Taxa]]=MID(AC$1,9,5),TbTradesBinance[[#This Row],[Taxa]],0),8)))</f>
        <v>0</v>
      </c>
      <c r="AD41" s="145" cm="1">
        <f t="array" ref="AD41">IF(TbTradesBinance[[#This Row],[Tipo]]="EMPTY",0,AD40+IF(TbTradesBinance[[#This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Row],[Par]]))),$1:$1,0)),-(AC40-AC41)/AC40*AD40),0),0)+IF(TbTradesBinance[[#This Row],[Tipo]]="SELL",IF(ISNUMBER(FIND(MID(AD$1,10,5),TbTradesBinance[[#This Row],[Par]])),IF(FIND(MID(AD$1,10,5),TbTradesBinance[[#This Row],[Par]])=1, -(AC40-AC41)/AC40*AD40,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Row],[Par]])),(-(AC40-AC41)/AC40*AD40)+IF(TbTradesBinance[[#This Row],[Resultado]]&gt;0,0,TbTradesBinance[[#This Row],[Taxa]]),0),0))</f>
        <v>0</v>
      </c>
      <c r="AE41" s="145">
        <f t="shared" si="6"/>
        <v>0</v>
      </c>
      <c r="AF4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Row],[Tipo]]="DROP"),AF40+TbTradesBinance[[#This Row],[Qtt]],AF40-TbTradesBinance[[#This Row],[Qtt]]),IF(TbTradesBinance[[#This Row],[Tipo]]="BUY",AF40-TbTradesBinance[[#This Row],[Qtt]]*TbTradesBinance[[#This Row],[Preço]],AF40+TbTradesBinance[[#This Row],[Qtt]]*TbTradesBinance[[#This Row],[Preço]])),AF40)-IF(TbTradesBinance[[#This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Row],[Tipo]]="DROP"),AF40+TbTradesBinance[[#This Row],[Qtt]],AF40-TbTradesBinance[[#This Row],[Qtt]]),IF(TbTradesBinance[[#This Row],[Tipo]]="BUY",AF40-TbTradesBinance[[#This Row],[Qtt]]*TbTradesBinance[[#This Row],[Preço]],AF40+TbTradesBinance[[#This Row],[Qtt]]*TbTradesBinance[[#This Row],[Preço]])),AF40)-IF(TbTradesBinance[[#This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Row],[Tipo]]="DROP"),AF40+TbTradesBinance[[#This Row],[Qtt]],AF40-TbTradesBinance[[#This Row],[Qtt]]),IF(TbTradesBinance[[#This Row],[Tipo]]="BUY",AF40-TbTradesBinance[[#This Row],[Qtt]]*TbTradesBinance[[#This Row],[Preço]],AF40+TbTradesBinance[[#This Row],[Qtt]]*TbTradesBinance[[#This Row],[Preço]])),AF40)-IF(TbTradesBinance[[#This Row],[Moeda da Taxa]]=MID(AF$1,9,5),TbTradesBinance[[#This Row],[Taxa]],0),8)))</f>
        <v>0</v>
      </c>
      <c r="AG41" s="145" cm="1">
        <f t="array" ref="AG41">IF(TbTradesBinance[[#This Row],[Tipo]]="EMPTY",0,AG40+IF(TbTradesBinance[[#This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Row],[Par]]))),$1:$1,0)),-(AF40-AF41)/AF40*AG40),0),0)+IF(TbTradesBinance[[#This Row],[Tipo]]="SELL",IF(ISNUMBER(FIND(MID(AG$1,10,5),TbTradesBinance[[#This Row],[Par]])),IF(FIND(MID(AG$1,10,5),TbTradesBinance[[#This Row],[Par]])=1, -(AF40-AF41)/AF40*AG40,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Row],[Par]])),(-(AF40-AF41)/AF40*AG40)+IF(TbTradesBinance[[#This Row],[Resultado]]&gt;0,0,TbTradesBinance[[#This Row],[Taxa]]),0),0))</f>
        <v>0</v>
      </c>
      <c r="AH41" s="145">
        <f t="shared" si="7"/>
        <v>0</v>
      </c>
      <c r="AI4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Row],[Tipo]]="DROP"),AI40+TbTradesBinance[[#This Row],[Qtt]],AI40-TbTradesBinance[[#This Row],[Qtt]]),IF(TbTradesBinance[[#This Row],[Tipo]]="BUY",AI40-TbTradesBinance[[#This Row],[Qtt]]*TbTradesBinance[[#This Row],[Preço]],AI40+TbTradesBinance[[#This Row],[Qtt]]*TbTradesBinance[[#This Row],[Preço]])),AI40)-IF(TbTradesBinance[[#This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Row],[Tipo]]="DROP"),AI40+TbTradesBinance[[#This Row],[Qtt]],AI40-TbTradesBinance[[#This Row],[Qtt]]),IF(TbTradesBinance[[#This Row],[Tipo]]="BUY",AI40-TbTradesBinance[[#This Row],[Qtt]]*TbTradesBinance[[#This Row],[Preço]],AI40+TbTradesBinance[[#This Row],[Qtt]]*TbTradesBinance[[#This Row],[Preço]])),AI40)-IF(TbTradesBinance[[#This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Row],[Tipo]]="DROP"),AI40+TbTradesBinance[[#This Row],[Qtt]],AI40-TbTradesBinance[[#This Row],[Qtt]]),IF(TbTradesBinance[[#This Row],[Tipo]]="BUY",AI40-TbTradesBinance[[#This Row],[Qtt]]*TbTradesBinance[[#This Row],[Preço]],AI40+TbTradesBinance[[#This Row],[Qtt]]*TbTradesBinance[[#This Row],[Preço]])),AI40)-IF(TbTradesBinance[[#This Row],[Moeda da Taxa]]=MID(AI$1,9,5),TbTradesBinance[[#This Row],[Taxa]],0),8)))</f>
        <v>0</v>
      </c>
      <c r="AJ41" s="145" cm="1">
        <f t="array" ref="AJ41">IF(TbTradesBinance[[#This Row],[Tipo]]="EMPTY",0,AJ40+IF(TbTradesBinance[[#This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Row],[Par]]))),$1:$1,0)),-(AI40-AI41)/AI40*AJ40),0),0)+IF(TbTradesBinance[[#This Row],[Tipo]]="SELL",IF(ISNUMBER(FIND(MID(AJ$1,10,5),TbTradesBinance[[#This Row],[Par]])),IF(FIND(MID(AJ$1,10,5),TbTradesBinance[[#This Row],[Par]])=1, -(AI40-AI41)/AI40*AJ40,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Row],[Par]])),(-(AI40-AI41)/AI40*AJ40)+IF(TbTradesBinance[[#This Row],[Resultado]]&gt;0,0,TbTradesBinance[[#This Row],[Taxa]]),0),0))</f>
        <v>0</v>
      </c>
      <c r="AK41" s="145">
        <f t="shared" si="8"/>
        <v>0</v>
      </c>
      <c r="AL4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Row],[Tipo]]="DROP"),AL40+TbTradesBinance[[#This Row],[Qtt]],AL40-TbTradesBinance[[#This Row],[Qtt]]),IF(TbTradesBinance[[#This Row],[Tipo]]="BUY",AL40-TbTradesBinance[[#This Row],[Qtt]]*TbTradesBinance[[#This Row],[Preço]],AL40+TbTradesBinance[[#This Row],[Qtt]]*TbTradesBinance[[#This Row],[Preço]])),AL40)-IF(TbTradesBinance[[#This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Row],[Tipo]]="DROP"),AL40+TbTradesBinance[[#This Row],[Qtt]],AL40-TbTradesBinance[[#This Row],[Qtt]]),IF(TbTradesBinance[[#This Row],[Tipo]]="BUY",AL40-TbTradesBinance[[#This Row],[Qtt]]*TbTradesBinance[[#This Row],[Preço]],AL40+TbTradesBinance[[#This Row],[Qtt]]*TbTradesBinance[[#This Row],[Preço]])),AL40)-IF(TbTradesBinance[[#This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Row],[Tipo]]="DROP"),AL40+TbTradesBinance[[#This Row],[Qtt]],AL40-TbTradesBinance[[#This Row],[Qtt]]),IF(TbTradesBinance[[#This Row],[Tipo]]="BUY",AL40-TbTradesBinance[[#This Row],[Qtt]]*TbTradesBinance[[#This Row],[Preço]],AL40+TbTradesBinance[[#This Row],[Qtt]]*TbTradesBinance[[#This Row],[Preço]])),AL40)-IF(TbTradesBinance[[#This Row],[Moeda da Taxa]]=MID(AL$1,9,5),TbTradesBinance[[#This Row],[Taxa]],0),8)))</f>
        <v>0</v>
      </c>
      <c r="AM41" s="145" cm="1">
        <f t="array" ref="AM41">IF(TbTradesBinance[[#This Row],[Tipo]]="EMPTY",0,AM40+IF(TbTradesBinance[[#This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Row],[Par]]))),$1:$1,0)),-(AL40-AL41)/AL40*AM40),0),0)+IF(TbTradesBinance[[#This Row],[Tipo]]="SELL",IF(ISNUMBER(FIND(MID(AM$1,10,5),TbTradesBinance[[#This Row],[Par]])),IF(FIND(MID(AM$1,10,5),TbTradesBinance[[#This Row],[Par]])=1, -(AL40-AL41)/AL40*AM40,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Row],[Par]])),(-(AL40-AL41)/AL40*AM40)+IF(TbTradesBinance[[#This Row],[Resultado]]&gt;0,0,TbTradesBinance[[#This Row],[Taxa]]),0),0))</f>
        <v>0</v>
      </c>
      <c r="AN41" s="145">
        <f t="shared" si="9"/>
        <v>0</v>
      </c>
      <c r="AO4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Row],[Tipo]]="DROP"),AO40+TbTradesBinance[[#This Row],[Qtt]],AO40-TbTradesBinance[[#This Row],[Qtt]]),IF(TbTradesBinance[[#This Row],[Tipo]]="BUY",AO40-TbTradesBinance[[#This Row],[Qtt]]*TbTradesBinance[[#This Row],[Preço]],AO40+TbTradesBinance[[#This Row],[Qtt]]*TbTradesBinance[[#This Row],[Preço]])),AO40)-IF(TbTradesBinance[[#This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Row],[Tipo]]="DROP"),AO40+TbTradesBinance[[#This Row],[Qtt]],AO40-TbTradesBinance[[#This Row],[Qtt]]),IF(TbTradesBinance[[#This Row],[Tipo]]="BUY",AO40-TbTradesBinance[[#This Row],[Qtt]]*TbTradesBinance[[#This Row],[Preço]],AO40+TbTradesBinance[[#This Row],[Qtt]]*TbTradesBinance[[#This Row],[Preço]])),AO40)-IF(TbTradesBinance[[#This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Row],[Tipo]]="DROP"),AO40+TbTradesBinance[[#This Row],[Qtt]],AO40-TbTradesBinance[[#This Row],[Qtt]]),IF(TbTradesBinance[[#This Row],[Tipo]]="BUY",AO40-TbTradesBinance[[#This Row],[Qtt]]*TbTradesBinance[[#This Row],[Preço]],AO40+TbTradesBinance[[#This Row],[Qtt]]*TbTradesBinance[[#This Row],[Preço]])),AO40)-IF(TbTradesBinance[[#This Row],[Moeda da Taxa]]=MID(AO$1,9,5),TbTradesBinance[[#This Row],[Taxa]],0),8)))</f>
        <v>0</v>
      </c>
      <c r="AP41" s="145" cm="1">
        <f t="array" ref="AP41">IF(TbTradesBinance[[#This Row],[Tipo]]="EMPTY",0,AP40+IF(TbTradesBinance[[#This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Row],[Par]]))),$1:$1,0)),-(AO40-AO41)/AO40*AP40),0),0)+IF(TbTradesBinance[[#This Row],[Tipo]]="SELL",IF(ISNUMBER(FIND(MID(AP$1,10,5),TbTradesBinance[[#This Row],[Par]])),IF(FIND(MID(AP$1,10,5),TbTradesBinance[[#This Row],[Par]])=1, -(AO40-AO41)/AO40*AP40,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Row],[Par]])),(-(AO40-AO41)/AO40*AP40)+IF(TbTradesBinance[[#This Row],[Resultado]]&gt;0,0,TbTradesBinance[[#This Row],[Taxa]]),0),0))</f>
        <v>0</v>
      </c>
      <c r="AQ41" s="145">
        <f t="shared" si="10"/>
        <v>0</v>
      </c>
      <c r="AR4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Row],[Tipo]]="DROP"),AR40+TbTradesBinance[[#This Row],[Qtt]],AR40-TbTradesBinance[[#This Row],[Qtt]]),IF(TbTradesBinance[[#This Row],[Tipo]]="BUY",AR40-TbTradesBinance[[#This Row],[Qtt]]*TbTradesBinance[[#This Row],[Preço]],AR40+TbTradesBinance[[#This Row],[Qtt]]*TbTradesBinance[[#This Row],[Preço]])),AR40)-IF(TbTradesBinance[[#This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Row],[Tipo]]="DROP"),AR40+TbTradesBinance[[#This Row],[Qtt]],AR40-TbTradesBinance[[#This Row],[Qtt]]),IF(TbTradesBinance[[#This Row],[Tipo]]="BUY",AR40-TbTradesBinance[[#This Row],[Qtt]]*TbTradesBinance[[#This Row],[Preço]],AR40+TbTradesBinance[[#This Row],[Qtt]]*TbTradesBinance[[#This Row],[Preço]])),AR40)-IF(TbTradesBinance[[#This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Row],[Tipo]]="DROP"),AR40+TbTradesBinance[[#This Row],[Qtt]],AR40-TbTradesBinance[[#This Row],[Qtt]]),IF(TbTradesBinance[[#This Row],[Tipo]]="BUY",AR40-TbTradesBinance[[#This Row],[Qtt]]*TbTradesBinance[[#This Row],[Preço]],AR40+TbTradesBinance[[#This Row],[Qtt]]*TbTradesBinance[[#This Row],[Preço]])),AR40)-IF(TbTradesBinance[[#This Row],[Moeda da Taxa]]=MID(AR$1,9,5),TbTradesBinance[[#This Row],[Taxa]],0),8)))</f>
        <v>0</v>
      </c>
      <c r="AS41" s="145" cm="1">
        <f t="array" ref="AS41">IF(TbTradesBinance[[#This Row],[Tipo]]="EMPTY",0,AS40+IF(TbTradesBinance[[#This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Row],[Par]]))),$1:$1,0)),-(AR40-AR41)/AR40*AS40),0),0)+IF(TbTradesBinance[[#This Row],[Tipo]]="SELL",IF(ISNUMBER(FIND(MID(AS$1,10,5),TbTradesBinance[[#This Row],[Par]])),IF(FIND(MID(AS$1,10,5),TbTradesBinance[[#This Row],[Par]])=1, -(AR40-AR41)/AR40*AS40,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Row],[Par]])),(-(AR40-AR41)/AR40*AS40)+IF(TbTradesBinance[[#This Row],[Resultado]]&gt;0,0,TbTradesBinance[[#This Row],[Taxa]]),0),0))</f>
        <v>0</v>
      </c>
      <c r="AT41" s="145">
        <f t="shared" si="11"/>
        <v>0</v>
      </c>
      <c r="AU4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Row],[Tipo]]="DROP"),AU40+TbTradesBinance[[#This Row],[Qtt]],AU40-TbTradesBinance[[#This Row],[Qtt]]),IF(TbTradesBinance[[#This Row],[Tipo]]="BUY",AU40-TbTradesBinance[[#This Row],[Qtt]]*TbTradesBinance[[#This Row],[Preço]],AU40+TbTradesBinance[[#This Row],[Qtt]]*TbTradesBinance[[#This Row],[Preço]])),AU40)-IF(TbTradesBinance[[#This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Row],[Tipo]]="DROP"),AU40+TbTradesBinance[[#This Row],[Qtt]],AU40-TbTradesBinance[[#This Row],[Qtt]]),IF(TbTradesBinance[[#This Row],[Tipo]]="BUY",AU40-TbTradesBinance[[#This Row],[Qtt]]*TbTradesBinance[[#This Row],[Preço]],AU40+TbTradesBinance[[#This Row],[Qtt]]*TbTradesBinance[[#This Row],[Preço]])),AU40)-IF(TbTradesBinance[[#This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Row],[Tipo]]="DROP"),AU40+TbTradesBinance[[#This Row],[Qtt]],AU40-TbTradesBinance[[#This Row],[Qtt]]),IF(TbTradesBinance[[#This Row],[Tipo]]="BUY",AU40-TbTradesBinance[[#This Row],[Qtt]]*TbTradesBinance[[#This Row],[Preço]],AU40+TbTradesBinance[[#This Row],[Qtt]]*TbTradesBinance[[#This Row],[Preço]])),AU40)-IF(TbTradesBinance[[#This Row],[Moeda da Taxa]]=MID(AU$1,9,5),TbTradesBinance[[#This Row],[Taxa]],0),8)))</f>
        <v>9.9900000000000003E-2</v>
      </c>
      <c r="AV41" s="145" cm="1">
        <f t="array" ref="AV41">IF(TbTradesBinance[[#This Row],[Tipo]]="EMPTY",0,AV40+IF(TbTradesBinance[[#This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Row],[Par]]))),$1:$1,0)),-(AU40-AU41)/AU40*AV40),0),0)+IF(TbTradesBinance[[#This Row],[Tipo]]="SELL",IF(ISNUMBER(FIND(MID(AV$1,10,5),TbTradesBinance[[#This Row],[Par]])),IF(FIND(MID(AV$1,10,5),TbTradesBinance[[#This Row],[Par]])=1, -(AU40-AU41)/AU40*AV40,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Row],[Par]])),(-(AU40-AU41)/AU40*AV40)+IF(TbTradesBinance[[#This Row],[Resultado]]&gt;0,0,TbTradesBinance[[#This Row],[Taxa]]),0),0))</f>
        <v>18.673922987511034</v>
      </c>
      <c r="AW41" s="145">
        <f t="shared" si="12"/>
        <v>186.92615603114149</v>
      </c>
      <c r="AX4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Row],[Tipo]]="DROP"),AX40+TbTradesBinance[[#This Row],[Qtt]],AX40-TbTradesBinance[[#This Row],[Qtt]]),IF(TbTradesBinance[[#This Row],[Tipo]]="BUY",AX40-TbTradesBinance[[#This Row],[Qtt]]*TbTradesBinance[[#This Row],[Preço]],AX40+TbTradesBinance[[#This Row],[Qtt]]*TbTradesBinance[[#This Row],[Preço]])),AX40)-IF(TbTradesBinance[[#This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Row],[Tipo]]="DROP"),AX40+TbTradesBinance[[#This Row],[Qtt]],AX40-TbTradesBinance[[#This Row],[Qtt]]),IF(TbTradesBinance[[#This Row],[Tipo]]="BUY",AX40-TbTradesBinance[[#This Row],[Qtt]]*TbTradesBinance[[#This Row],[Preço]],AX40+TbTradesBinance[[#This Row],[Qtt]]*TbTradesBinance[[#This Row],[Preço]])),AX40)-IF(TbTradesBinance[[#This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Row],[Tipo]]="DROP"),AX40+TbTradesBinance[[#This Row],[Qtt]],AX40-TbTradesBinance[[#This Row],[Qtt]]),IF(TbTradesBinance[[#This Row],[Tipo]]="BUY",AX40-TbTradesBinance[[#This Row],[Qtt]]*TbTradesBinance[[#This Row],[Preço]],AX40+TbTradesBinance[[#This Row],[Qtt]]*TbTradesBinance[[#This Row],[Preço]])),AX40)-IF(TbTradesBinance[[#This Row],[Moeda da Taxa]]=MID(AX$1,9,5),TbTradesBinance[[#This Row],[Taxa]],0),8)))</f>
        <v>0</v>
      </c>
      <c r="AY41" s="145" cm="1">
        <f t="array" ref="AY41">IF(TbTradesBinance[[#This Row],[Tipo]]="EMPTY",0,AY40+IF(TbTradesBinance[[#This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Row],[Par]]))),$1:$1,0)),-(AX40-AX41)/AX40*AY40),0),0)+IF(TbTradesBinance[[#This Row],[Tipo]]="SELL",IF(ISNUMBER(FIND(MID(AY$1,10,5),TbTradesBinance[[#This Row],[Par]])),IF(FIND(MID(AY$1,10,5),TbTradesBinance[[#This Row],[Par]])=1, -(AX40-AX41)/AX40*AY40,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Row],[Par]])),(-(AX40-AX41)/AX40*AY40)+IF(TbTradesBinance[[#This Row],[Resultado]]&gt;0,0,TbTradesBinance[[#This Row],[Taxa]]),0),0))</f>
        <v>0</v>
      </c>
      <c r="AZ41" s="145">
        <f t="shared" si="13"/>
        <v>0</v>
      </c>
      <c r="BA4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Row],[Tipo]]="DROP"),BA40+TbTradesBinance[[#This Row],[Qtt]],BA40-TbTradesBinance[[#This Row],[Qtt]]),IF(TbTradesBinance[[#This Row],[Tipo]]="BUY",BA40-TbTradesBinance[[#This Row],[Qtt]]*TbTradesBinance[[#This Row],[Preço]],BA40+TbTradesBinance[[#This Row],[Qtt]]*TbTradesBinance[[#This Row],[Preço]])),BA40)-IF(TbTradesBinance[[#This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Row],[Tipo]]="DROP"),BA40+TbTradesBinance[[#This Row],[Qtt]],BA40-TbTradesBinance[[#This Row],[Qtt]]),IF(TbTradesBinance[[#This Row],[Tipo]]="BUY",BA40-TbTradesBinance[[#This Row],[Qtt]]*TbTradesBinance[[#This Row],[Preço]],BA40+TbTradesBinance[[#This Row],[Qtt]]*TbTradesBinance[[#This Row],[Preço]])),BA40)-IF(TbTradesBinance[[#This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Row],[Tipo]]="DROP"),BA40+TbTradesBinance[[#This Row],[Qtt]],BA40-TbTradesBinance[[#This Row],[Qtt]]),IF(TbTradesBinance[[#This Row],[Tipo]]="BUY",BA40-TbTradesBinance[[#This Row],[Qtt]]*TbTradesBinance[[#This Row],[Preço]],BA40+TbTradesBinance[[#This Row],[Qtt]]*TbTradesBinance[[#This Row],[Preço]])),BA40)-IF(TbTradesBinance[[#This Row],[Moeda da Taxa]]=MID(BA$1,9,5),TbTradesBinance[[#This Row],[Taxa]],0),8)))</f>
        <v>0</v>
      </c>
      <c r="BB41" s="145" cm="1">
        <f t="array" ref="BB41">IF(TbTradesBinance[[#This Row],[Tipo]]="EMPTY",0,BB40+IF(TbTradesBinance[[#This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Row],[Par]]))),$1:$1,0)),-(BA40-BA41)/BA40*BB40),0),0)+IF(TbTradesBinance[[#This Row],[Tipo]]="SELL",IF(ISNUMBER(FIND(MID(BB$1,10,5),TbTradesBinance[[#This Row],[Par]])),IF(FIND(MID(BB$1,10,5),TbTradesBinance[[#This Row],[Par]])=1, -(BA40-BA41)/BA40*BB40,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Row],[Par]])),(-(BA40-BA41)/BA40*BB40)+IF(TbTradesBinance[[#This Row],[Resultado]]&gt;0,0,TbTradesBinance[[#This Row],[Taxa]]),0),0))</f>
        <v>0</v>
      </c>
      <c r="BC41" s="145">
        <f t="shared" si="14"/>
        <v>0</v>
      </c>
      <c r="BD4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Row],[Tipo]]="DROP"),BD40+TbTradesBinance[[#This Row],[Qtt]],BD40-TbTradesBinance[[#This Row],[Qtt]]),IF(TbTradesBinance[[#This Row],[Tipo]]="BUY",BD40-TbTradesBinance[[#This Row],[Qtt]]*TbTradesBinance[[#This Row],[Preço]],BD40+TbTradesBinance[[#This Row],[Qtt]]*TbTradesBinance[[#This Row],[Preço]])),BD40)-IF(TbTradesBinance[[#This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Row],[Tipo]]="DROP"),BD40+TbTradesBinance[[#This Row],[Qtt]],BD40-TbTradesBinance[[#This Row],[Qtt]]),IF(TbTradesBinance[[#This Row],[Tipo]]="BUY",BD40-TbTradesBinance[[#This Row],[Qtt]]*TbTradesBinance[[#This Row],[Preço]],BD40+TbTradesBinance[[#This Row],[Qtt]]*TbTradesBinance[[#This Row],[Preço]])),BD40)-IF(TbTradesBinance[[#This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Row],[Tipo]]="DROP"),BD40+TbTradesBinance[[#This Row],[Qtt]],BD40-TbTradesBinance[[#This Row],[Qtt]]),IF(TbTradesBinance[[#This Row],[Tipo]]="BUY",BD40-TbTradesBinance[[#This Row],[Qtt]]*TbTradesBinance[[#This Row],[Preço]],BD40+TbTradesBinance[[#This Row],[Qtt]]*TbTradesBinance[[#This Row],[Preço]])),BD40)-IF(TbTradesBinance[[#This Row],[Moeda da Taxa]]=MID(BD$1,9,5),TbTradesBinance[[#This Row],[Taxa]],0),8)))</f>
        <v>0.37962000000000001</v>
      </c>
      <c r="BE41" s="145" cm="1">
        <f t="array" ref="BE41">IF(TbTradesBinance[[#This Row],[Tipo]]="EMPTY",0,BE40+IF(TbTradesBinance[[#This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Row],[Par]]))),$1:$1,0)),-(BD40-BD41)/BD40*BE40),0),0)+IF(TbTradesBinance[[#This Row],[Tipo]]="SELL",IF(ISNUMBER(FIND(MID(BE$1,10,5),TbTradesBinance[[#This Row],[Par]])),IF(FIND(MID(BE$1,10,5),TbTradesBinance[[#This Row],[Par]])=1, -(BD40-BD41)/BD40*BE40,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Row],[Par]])),(-(BD40-BD41)/BD40*BE40)+IF(TbTradesBinance[[#This Row],[Resultado]]&gt;0,0,TbTradesBinance[[#This Row],[Taxa]]),0),0))</f>
        <v>63.647297001537943</v>
      </c>
      <c r="BF41" s="145">
        <f t="shared" si="15"/>
        <v>167.66054739354601</v>
      </c>
      <c r="BG4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Row],[Tipo]]="DROP"),BG40+TbTradesBinance[[#This Row],[Qtt]],BG40-TbTradesBinance[[#This Row],[Qtt]]),IF(TbTradesBinance[[#This Row],[Tipo]]="BUY",BG40-TbTradesBinance[[#This Row],[Qtt]]*TbTradesBinance[[#This Row],[Preço]],BG40+TbTradesBinance[[#This Row],[Qtt]]*TbTradesBinance[[#This Row],[Preço]])),BG40)-IF(TbTradesBinance[[#This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Row],[Tipo]]="DROP"),BG40+TbTradesBinance[[#This Row],[Qtt]],BG40-TbTradesBinance[[#This Row],[Qtt]]),IF(TbTradesBinance[[#This Row],[Tipo]]="BUY",BG40-TbTradesBinance[[#This Row],[Qtt]]*TbTradesBinance[[#This Row],[Preço]],BG40+TbTradesBinance[[#This Row],[Qtt]]*TbTradesBinance[[#This Row],[Preço]])),BG40)-IF(TbTradesBinance[[#This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Row],[Tipo]]="DROP"),BG40+TbTradesBinance[[#This Row],[Qtt]],BG40-TbTradesBinance[[#This Row],[Qtt]]),IF(TbTradesBinance[[#This Row],[Tipo]]="BUY",BG40-TbTradesBinance[[#This Row],[Qtt]]*TbTradesBinance[[#This Row],[Preço]],BG40+TbTradesBinance[[#This Row],[Qtt]]*TbTradesBinance[[#This Row],[Preço]])),BG40)-IF(TbTradesBinance[[#This Row],[Moeda da Taxa]]=MID(BG$1,9,5),TbTradesBinance[[#This Row],[Taxa]],0),8)))</f>
        <v>0</v>
      </c>
      <c r="BH41" s="145" cm="1">
        <f t="array" ref="BH41">IF(TbTradesBinance[[#This Row],[Tipo]]="EMPTY",0,BH40+IF(TbTradesBinance[[#This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Row],[Par]]))),$1:$1,0)),-(BG40-BG41)/BG40*BH40),0),0)+IF(TbTradesBinance[[#This Row],[Tipo]]="SELL",IF(ISNUMBER(FIND(MID(BH$1,10,5),TbTradesBinance[[#This Row],[Par]])),IF(FIND(MID(BH$1,10,5),TbTradesBinance[[#This Row],[Par]])=1, -(BG40-BG41)/BG40*BH40,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Row],[Par]])),(-(BG40-BG41)/BG40*BH40)+IF(TbTradesBinance[[#This Row],[Resultado]]&gt;0,0,TbTradesBinance[[#This Row],[Taxa]]),0),0))</f>
        <v>0</v>
      </c>
      <c r="BI41" s="145">
        <f t="shared" si="16"/>
        <v>0</v>
      </c>
      <c r="BJ4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Row],[Tipo]]="DROP"),BJ40+TbTradesBinance[[#This Row],[Qtt]],BJ40-TbTradesBinance[[#This Row],[Qtt]]),IF(TbTradesBinance[[#This Row],[Tipo]]="BUY",BJ40-TbTradesBinance[[#This Row],[Qtt]]*TbTradesBinance[[#This Row],[Preço]],BJ40+TbTradesBinance[[#This Row],[Qtt]]*TbTradesBinance[[#This Row],[Preço]])),BJ40)-IF(TbTradesBinance[[#This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Row],[Tipo]]="DROP"),BJ40+TbTradesBinance[[#This Row],[Qtt]],BJ40-TbTradesBinance[[#This Row],[Qtt]]),IF(TbTradesBinance[[#This Row],[Tipo]]="BUY",BJ40-TbTradesBinance[[#This Row],[Qtt]]*TbTradesBinance[[#This Row],[Preço]],BJ40+TbTradesBinance[[#This Row],[Qtt]]*TbTradesBinance[[#This Row],[Preço]])),BJ40)-IF(TbTradesBinance[[#This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Row],[Tipo]]="DROP"),BJ40+TbTradesBinance[[#This Row],[Qtt]],BJ40-TbTradesBinance[[#This Row],[Qtt]]),IF(TbTradesBinance[[#This Row],[Tipo]]="BUY",BJ40-TbTradesBinance[[#This Row],[Qtt]]*TbTradesBinance[[#This Row],[Preço]],BJ40+TbTradesBinance[[#This Row],[Qtt]]*TbTradesBinance[[#This Row],[Preço]])),BJ40)-IF(TbTradesBinance[[#This Row],[Moeda da Taxa]]=MID(BJ$1,9,5),TbTradesBinance[[#This Row],[Taxa]],0),8)))</f>
        <v>0</v>
      </c>
      <c r="BK41" s="145" cm="1">
        <f t="array" ref="BK41">IF(TbTradesBinance[[#This Row],[Tipo]]="EMPTY",0,BK40+IF(TbTradesBinance[[#This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Row],[Par]]))),$1:$1,0)),-(BJ40-BJ41)/BJ40*BK40),0),0)+IF(TbTradesBinance[[#This Row],[Tipo]]="SELL",IF(ISNUMBER(FIND(MID(BK$1,10,5),TbTradesBinance[[#This Row],[Par]])),IF(FIND(MID(BK$1,10,5),TbTradesBinance[[#This Row],[Par]])=1, -(BJ40-BJ41)/BJ40*BK40,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Row],[Par]])),(-(BJ40-BJ41)/BJ40*BK40)+IF(TbTradesBinance[[#This Row],[Resultado]]&gt;0,0,TbTradesBinance[[#This Row],[Taxa]]),0),0))</f>
        <v>0</v>
      </c>
      <c r="BL41" s="145">
        <f t="shared" si="17"/>
        <v>0</v>
      </c>
      <c r="BM4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Row],[Tipo]]="DROP"),BM40+TbTradesBinance[[#This Row],[Qtt]],BM40-TbTradesBinance[[#This Row],[Qtt]]),IF(TbTradesBinance[[#This Row],[Tipo]]="BUY",BM40-TbTradesBinance[[#This Row],[Qtt]]*TbTradesBinance[[#This Row],[Preço]],BM40+TbTradesBinance[[#This Row],[Qtt]]*TbTradesBinance[[#This Row],[Preço]])),BM40)-IF(TbTradesBinance[[#This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Row],[Tipo]]="DROP"),BM40+TbTradesBinance[[#This Row],[Qtt]],BM40-TbTradesBinance[[#This Row],[Qtt]]),IF(TbTradesBinance[[#This Row],[Tipo]]="BUY",BM40-TbTradesBinance[[#This Row],[Qtt]]*TbTradesBinance[[#This Row],[Preço]],BM40+TbTradesBinance[[#This Row],[Qtt]]*TbTradesBinance[[#This Row],[Preço]])),BM40)-IF(TbTradesBinance[[#This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Row],[Tipo]]="DROP"),BM40+TbTradesBinance[[#This Row],[Qtt]],BM40-TbTradesBinance[[#This Row],[Qtt]]),IF(TbTradesBinance[[#This Row],[Tipo]]="BUY",BM40-TbTradesBinance[[#This Row],[Qtt]]*TbTradesBinance[[#This Row],[Preço]],BM40+TbTradesBinance[[#This Row],[Qtt]]*TbTradesBinance[[#This Row],[Preço]])),BM40)-IF(TbTradesBinance[[#This Row],[Moeda da Taxa]]=MID(BM$1,9,5),TbTradesBinance[[#This Row],[Taxa]],0),8)))</f>
        <v>0</v>
      </c>
      <c r="BN41" s="145" cm="1">
        <f t="array" ref="BN41">IF(TbTradesBinance[[#This Row],[Tipo]]="EMPTY",0,BN40+IF(TbTradesBinance[[#This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Row],[Par]]))),$1:$1,0)),-(BM40-BM41)/BM40*BN40),0),0)+IF(TbTradesBinance[[#This Row],[Tipo]]="SELL",IF(ISNUMBER(FIND(MID(BN$1,10,5),TbTradesBinance[[#This Row],[Par]])),IF(FIND(MID(BN$1,10,5),TbTradesBinance[[#This Row],[Par]])=1, -(BM40-BM41)/BM40*BN40,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Row],[Par]])),(-(BM40-BM41)/BM40*BN40)+IF(TbTradesBinance[[#This Row],[Resultado]]&gt;0,0,TbTradesBinance[[#This Row],[Taxa]]),0),0))</f>
        <v>0</v>
      </c>
      <c r="BO41" s="145">
        <f t="shared" si="18"/>
        <v>0</v>
      </c>
    </row>
    <row r="42" spans="2:67" x14ac:dyDescent="0.3">
      <c r="B42" s="51"/>
      <c r="C42" s="40">
        <f>TRUNC(IF(AND(TbTradesBinance[[#This Row],[Tipo]]="SEND",TbTradesBinance[[#This Row],[Par]]="BRL"),TbTradesBinance[[#This Row],[Qtt]]*(1-P40)-IF(TbTradesBinance[[#This Row],[Moeda da Taxa]]="BRL",TbTradesBinance[[#This Row],[Taxa]],0),0)+IF(AND(TbTradesBinance[[#This Row],[Tipo]]="BURN",TbTradesBinance[[#This Row],[Par]]="BRL"),-TbTradesBinance[[#This Row],[Qtt]]*P40,0),2)</f>
        <v>0</v>
      </c>
      <c r="D42" s="53">
        <v>44262.869791666664</v>
      </c>
      <c r="E42" s="37" t="s">
        <v>138</v>
      </c>
      <c r="F42" s="47" t="s">
        <v>140</v>
      </c>
      <c r="G42" s="38">
        <v>291000</v>
      </c>
      <c r="H42" s="38">
        <v>4.0499999999999998E-4</v>
      </c>
      <c r="I42" s="38">
        <v>0</v>
      </c>
      <c r="J42" s="37" t="s">
        <v>50</v>
      </c>
      <c r="K42" s="52">
        <v>1</v>
      </c>
      <c r="L42" s="40">
        <f t="shared" si="0"/>
        <v>291000</v>
      </c>
      <c r="M42" s="40">
        <f>IF(OR(TbTradesBinance[[#This Row],[Tipo]]="BUY",TbTradesBinance[[#This Row],[Tipo]]="RECEIVE",TbTradesBinance[[#This Row],[Tipo]]="DROP"),L42*H42,-L42*H42)</f>
        <v>-117.85499999999999</v>
      </c>
      <c r="N4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Row],[Tipo]]="DROP"),N41+TbTradesBinance[[#This Row],[Qtt]],N41-TbTradesBinance[[#This Row],[Qtt]]),IF(TbTradesBinance[[#This Row],[Tipo]]="BUY",N41-TbTradesBinance[[#This Row],[Qtt]]*TbTradesBinance[[#This Row],[Preço]],N41+TbTradesBinance[[#This Row],[Qtt]]*TbTradesBinance[[#This Row],[Preço]])),N41)-IF(TbTradesBinance[[#This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Row],[Tipo]]="DROP"),N41+TbTradesBinance[[#This Row],[Qtt]],N41-TbTradesBinance[[#This Row],[Qtt]]),IF(TbTradesBinance[[#This Row],[Tipo]]="BUY",N41-TbTradesBinance[[#This Row],[Qtt]]*TbTradesBinance[[#This Row],[Preço]],N41+TbTradesBinance[[#This Row],[Qtt]]*TbTradesBinance[[#This Row],[Preço]])),N41)-IF(TbTradesBinance[[#This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Row],[Tipo]]="DROP"),N41+TbTradesBinance[[#This Row],[Qtt]],N41-TbTradesBinance[[#This Row],[Qtt]]),IF(TbTradesBinance[[#This Row],[Tipo]]="BUY",N41-TbTradesBinance[[#This Row],[Qtt]]*TbTradesBinance[[#This Row],[Preço]],N41+TbTradesBinance[[#This Row],[Qtt]]*TbTradesBinance[[#This Row],[Preço]])),N41)-IF(TbTradesBinance[[#This Row],[Moeda da Taxa]]=MID(N$1,9,5),TbTradesBinance[[#This Row],[Taxa]],0),8)))</f>
        <v>119863.28204689</v>
      </c>
      <c r="O42" s="145" cm="1">
        <f t="array" ref="O42">IF(TbTradesBinance[[#This Row],[Tipo]]="EMPTY",0,O41+IF(TbTradesBinance[[#This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Row],[Par]]))),$1:$1,0)),-(N41-N42)/N41*O41),0),0)+IF(TbTradesBinance[[#This Row],[Tipo]]="SELL",IF(ISNUMBER(FIND(MID(O$1,10,5),TbTradesBinance[[#This Row],[Par]])),IF(FIND(MID(O$1,10,5),TbTradesBinance[[#This Row],[Par]])=1, -(N41-N42)/N41*O41,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Row],[Par]])),(-(N41-N42)/N41*O41)+IF(TbTradesBinance[[#This Row],[Resultado]]&gt;0,0,TbTradesBinance[[#This Row],[Taxa]]),0),0))</f>
        <v>119787.72908775849</v>
      </c>
      <c r="P42" s="145">
        <f t="shared" si="1"/>
        <v>0.99936967386641429</v>
      </c>
      <c r="Q4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Row],[Tipo]]="DROP"),Q41+TbTradesBinance[[#This Row],[Qtt]],Q41-TbTradesBinance[[#This Row],[Qtt]]),IF(TbTradesBinance[[#This Row],[Tipo]]="BUY",Q41-TbTradesBinance[[#This Row],[Qtt]]*TbTradesBinance[[#This Row],[Preço]],Q41+TbTradesBinance[[#This Row],[Qtt]]*TbTradesBinance[[#This Row],[Preço]])),Q41)-IF(TbTradesBinance[[#This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Row],[Tipo]]="DROP"),Q41+TbTradesBinance[[#This Row],[Qtt]],Q41-TbTradesBinance[[#This Row],[Qtt]]),IF(TbTradesBinance[[#This Row],[Tipo]]="BUY",Q41-TbTradesBinance[[#This Row],[Qtt]]*TbTradesBinance[[#This Row],[Preço]],Q41+TbTradesBinance[[#This Row],[Qtt]]*TbTradesBinance[[#This Row],[Preço]])),Q41)-IF(TbTradesBinance[[#This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Row],[Tipo]]="DROP"),Q41+TbTradesBinance[[#This Row],[Qtt]],Q41-TbTradesBinance[[#This Row],[Qtt]]),IF(TbTradesBinance[[#This Row],[Tipo]]="BUY",Q41-TbTradesBinance[[#This Row],[Qtt]]*TbTradesBinance[[#This Row],[Preço]],Q41+TbTradesBinance[[#This Row],[Qtt]]*TbTradesBinance[[#This Row],[Preço]])),Q41)-IF(TbTradesBinance[[#This Row],[Moeda da Taxa]]=MID(Q$1,9,5),TbTradesBinance[[#This Row],[Taxa]],0),8)))</f>
        <v>0.27732999000000003</v>
      </c>
      <c r="R42" s="145" cm="1">
        <f t="array" ref="R42">IF(TbTradesBinance[[#This Row],[Tipo]]="EMPTY",0,R41+IF(TbTradesBinance[[#This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Row],[Par]]))),$1:$1,0)),-(Q41-Q42)/Q41*R41),0),0)+IF(TbTradesBinance[[#This Row],[Tipo]]="SELL",IF(ISNUMBER(FIND(MID(R$1,10,5),TbTradesBinance[[#This Row],[Par]])),IF(FIND(MID(R$1,10,5),TbTradesBinance[[#This Row],[Par]])=1, -(Q41-Q42)/Q41*R41,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Row],[Par]])),(-(Q41-Q42)/Q41*R41)+IF(TbTradesBinance[[#This Row],[Resultado]]&gt;0,0,TbTradesBinance[[#This Row],[Taxa]]),0),0))</f>
        <v>1.5509449279899954</v>
      </c>
      <c r="S42" s="145">
        <f t="shared" si="2"/>
        <v>5.592416918163071</v>
      </c>
      <c r="T4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Row],[Tipo]]="DROP"),T41+TbTradesBinance[[#This Row],[Qtt]],T41-TbTradesBinance[[#This Row],[Qtt]]),IF(TbTradesBinance[[#This Row],[Tipo]]="BUY",T41-TbTradesBinance[[#This Row],[Qtt]]*TbTradesBinance[[#This Row],[Preço]],T41+TbTradesBinance[[#This Row],[Qtt]]*TbTradesBinance[[#This Row],[Preço]])),T41)-IF(TbTradesBinance[[#This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Row],[Tipo]]="DROP"),T41+TbTradesBinance[[#This Row],[Qtt]],T41-TbTradesBinance[[#This Row],[Qtt]]),IF(TbTradesBinance[[#This Row],[Tipo]]="BUY",T41-TbTradesBinance[[#This Row],[Qtt]]*TbTradesBinance[[#This Row],[Preço]],T41+TbTradesBinance[[#This Row],[Qtt]]*TbTradesBinance[[#This Row],[Preço]])),T41)-IF(TbTradesBinance[[#This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Row],[Tipo]]="DROP"),T41+TbTradesBinance[[#This Row],[Qtt]],T41-TbTradesBinance[[#This Row],[Qtt]]),IF(TbTradesBinance[[#This Row],[Tipo]]="BUY",T41-TbTradesBinance[[#This Row],[Qtt]]*TbTradesBinance[[#This Row],[Preço]],T41+TbTradesBinance[[#This Row],[Qtt]]*TbTradesBinance[[#This Row],[Preço]])),T41)-IF(TbTradesBinance[[#This Row],[Moeda da Taxa]]=MID(T$1,9,5),TbTradesBinance[[#This Row],[Taxa]],0),8)))</f>
        <v>199735.34867482999</v>
      </c>
      <c r="U42" s="145" cm="1">
        <f t="array" ref="U42">IF(TbTradesBinance[[#This Row],[Tipo]]="EMPTY",0,U41+IF(TbTradesBinance[[#This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Row],[Par]]))),$1:$1,0)),-(T41-T42)/T41*U41),0),0)+IF(TbTradesBinance[[#This Row],[Tipo]]="SELL",IF(ISNUMBER(FIND(MID(U$1,10,5),TbTradesBinance[[#This Row],[Par]])),IF(FIND(MID(U$1,10,5),TbTradesBinance[[#This Row],[Par]])=1, -(T41-T42)/T41*U41,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Row],[Par]])),(-(T41-T42)/T41*U41)+IF(TbTradesBinance[[#This Row],[Resultado]]&gt;0,0,TbTradesBinance[[#This Row],[Taxa]]),0),0))</f>
        <v>1328240.0716580662</v>
      </c>
      <c r="V42" s="145">
        <f t="shared" si="3"/>
        <v>6.6500000148719129</v>
      </c>
      <c r="W4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Row],[Tipo]]="DROP"),W41+TbTradesBinance[[#This Row],[Qtt]],W41-TbTradesBinance[[#This Row],[Qtt]]),IF(TbTradesBinance[[#This Row],[Tipo]]="BUY",W41-TbTradesBinance[[#This Row],[Qtt]]*TbTradesBinance[[#This Row],[Preço]],W41+TbTradesBinance[[#This Row],[Qtt]]*TbTradesBinance[[#This Row],[Preço]])),W41)-IF(TbTradesBinance[[#This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Row],[Tipo]]="DROP"),W41+TbTradesBinance[[#This Row],[Qtt]],W41-TbTradesBinance[[#This Row],[Qtt]]),IF(TbTradesBinance[[#This Row],[Tipo]]="BUY",W41-TbTradesBinance[[#This Row],[Qtt]]*TbTradesBinance[[#This Row],[Preço]],W41+TbTradesBinance[[#This Row],[Qtt]]*TbTradesBinance[[#This Row],[Preço]])),W41)-IF(TbTradesBinance[[#This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Row],[Tipo]]="DROP"),W41+TbTradesBinance[[#This Row],[Qtt]],W41-TbTradesBinance[[#This Row],[Qtt]]),IF(TbTradesBinance[[#This Row],[Tipo]]="BUY",W41-TbTradesBinance[[#This Row],[Qtt]]*TbTradesBinance[[#This Row],[Preço]],W41+TbTradesBinance[[#This Row],[Qtt]]*TbTradesBinance[[#This Row],[Preço]])),W41)-IF(TbTradesBinance[[#This Row],[Moeda da Taxa]]=MID(W$1,9,5),TbTradesBinance[[#This Row],[Taxa]],0),8)))</f>
        <v>1.5165700000000001E-3</v>
      </c>
      <c r="X42" s="145" cm="1">
        <f t="array" ref="X42">IF(TbTradesBinance[[#This Row],[Tipo]]="EMPTY",0,X41+IF(TbTradesBinance[[#This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Row],[Par]]))),$1:$1,0)),-(W41-W42)/W41*X41),0),0)+IF(TbTradesBinance[[#This Row],[Tipo]]="SELL",IF(ISNUMBER(FIND(MID(X$1,10,5),TbTradesBinance[[#This Row],[Par]])),IF(FIND(MID(X$1,10,5),TbTradesBinance[[#This Row],[Par]])=1, -(W41-W42)/W41*X41,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Row],[Par]])),(-(W41-W42)/W41*X41)+IF(TbTradesBinance[[#This Row],[Resultado]]&gt;0,0,TbTradesBinance[[#This Row],[Taxa]]),0),0))</f>
        <v>416.92590011538164</v>
      </c>
      <c r="Y42" s="145">
        <f t="shared" si="4"/>
        <v>274913.71985162678</v>
      </c>
      <c r="Z4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Row],[Tipo]]="DROP"),Z41+TbTradesBinance[[#This Row],[Qtt]],Z41-TbTradesBinance[[#This Row],[Qtt]]),IF(TbTradesBinance[[#This Row],[Tipo]]="BUY",Z41-TbTradesBinance[[#This Row],[Qtt]]*TbTradesBinance[[#This Row],[Preço]],Z41+TbTradesBinance[[#This Row],[Qtt]]*TbTradesBinance[[#This Row],[Preço]])),Z41)-IF(TbTradesBinance[[#This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Row],[Tipo]]="DROP"),Z41+TbTradesBinance[[#This Row],[Qtt]],Z41-TbTradesBinance[[#This Row],[Qtt]]),IF(TbTradesBinance[[#This Row],[Tipo]]="BUY",Z41-TbTradesBinance[[#This Row],[Qtt]]*TbTradesBinance[[#This Row],[Preço]],Z41+TbTradesBinance[[#This Row],[Qtt]]*TbTradesBinance[[#This Row],[Preço]])),Z41)-IF(TbTradesBinance[[#This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Row],[Tipo]]="DROP"),Z41+TbTradesBinance[[#This Row],[Qtt]],Z41-TbTradesBinance[[#This Row],[Qtt]]),IF(TbTradesBinance[[#This Row],[Tipo]]="BUY",Z41-TbTradesBinance[[#This Row],[Qtt]]*TbTradesBinance[[#This Row],[Preço]],Z41+TbTradesBinance[[#This Row],[Qtt]]*TbTradesBinance[[#This Row],[Preço]])),Z41)-IF(TbTradesBinance[[#This Row],[Moeda da Taxa]]=MID(Z$1,9,5),TbTradesBinance[[#This Row],[Taxa]],0),8)))</f>
        <v>0</v>
      </c>
      <c r="AA42" s="145" cm="1">
        <f t="array" ref="AA42">IF(TbTradesBinance[[#This Row],[Tipo]]="EMPTY",0,AA41+IF(TbTradesBinance[[#This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Row],[Par]]))),$1:$1,0)),-(Z41-Z42)/Z41*AA41),0),0)+IF(TbTradesBinance[[#This Row],[Tipo]]="SELL",IF(ISNUMBER(FIND(MID(AA$1,10,5),TbTradesBinance[[#This Row],[Par]])),IF(FIND(MID(AA$1,10,5),TbTradesBinance[[#This Row],[Par]])=1, -(Z41-Z42)/Z41*AA41,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Row],[Par]])),(-(Z41-Z42)/Z41*AA41)+IF(TbTradesBinance[[#This Row],[Resultado]]&gt;0,0,TbTradesBinance[[#This Row],[Taxa]]),0),0))</f>
        <v>0</v>
      </c>
      <c r="AB42" s="145">
        <f t="shared" si="5"/>
        <v>0</v>
      </c>
      <c r="AC4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Row],[Tipo]]="DROP"),AC41+TbTradesBinance[[#This Row],[Qtt]],AC41-TbTradesBinance[[#This Row],[Qtt]]),IF(TbTradesBinance[[#This Row],[Tipo]]="BUY",AC41-TbTradesBinance[[#This Row],[Qtt]]*TbTradesBinance[[#This Row],[Preço]],AC41+TbTradesBinance[[#This Row],[Qtt]]*TbTradesBinance[[#This Row],[Preço]])),AC41)-IF(TbTradesBinance[[#This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Row],[Tipo]]="DROP"),AC41+TbTradesBinance[[#This Row],[Qtt]],AC41-TbTradesBinance[[#This Row],[Qtt]]),IF(TbTradesBinance[[#This Row],[Tipo]]="BUY",AC41-TbTradesBinance[[#This Row],[Qtt]]*TbTradesBinance[[#This Row],[Preço]],AC41+TbTradesBinance[[#This Row],[Qtt]]*TbTradesBinance[[#This Row],[Preço]])),AC41)-IF(TbTradesBinance[[#This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Row],[Tipo]]="DROP"),AC41+TbTradesBinance[[#This Row],[Qtt]],AC41-TbTradesBinance[[#This Row],[Qtt]]),IF(TbTradesBinance[[#This Row],[Tipo]]="BUY",AC41-TbTradesBinance[[#This Row],[Qtt]]*TbTradesBinance[[#This Row],[Preço]],AC41+TbTradesBinance[[#This Row],[Qtt]]*TbTradesBinance[[#This Row],[Preço]])),AC41)-IF(TbTradesBinance[[#This Row],[Moeda da Taxa]]=MID(AC$1,9,5),TbTradesBinance[[#This Row],[Taxa]],0),8)))</f>
        <v>0</v>
      </c>
      <c r="AD42" s="145" cm="1">
        <f t="array" ref="AD42">IF(TbTradesBinance[[#This Row],[Tipo]]="EMPTY",0,AD41+IF(TbTradesBinance[[#This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Row],[Par]]))),$1:$1,0)),-(AC41-AC42)/AC41*AD41),0),0)+IF(TbTradesBinance[[#This Row],[Tipo]]="SELL",IF(ISNUMBER(FIND(MID(AD$1,10,5),TbTradesBinance[[#This Row],[Par]])),IF(FIND(MID(AD$1,10,5),TbTradesBinance[[#This Row],[Par]])=1, -(AC41-AC42)/AC41*AD41,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Row],[Par]])),(-(AC41-AC42)/AC41*AD41)+IF(TbTradesBinance[[#This Row],[Resultado]]&gt;0,0,TbTradesBinance[[#This Row],[Taxa]]),0),0))</f>
        <v>0</v>
      </c>
      <c r="AE42" s="145">
        <f t="shared" si="6"/>
        <v>0</v>
      </c>
      <c r="AF4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Row],[Tipo]]="DROP"),AF41+TbTradesBinance[[#This Row],[Qtt]],AF41-TbTradesBinance[[#This Row],[Qtt]]),IF(TbTradesBinance[[#This Row],[Tipo]]="BUY",AF41-TbTradesBinance[[#This Row],[Qtt]]*TbTradesBinance[[#This Row],[Preço]],AF41+TbTradesBinance[[#This Row],[Qtt]]*TbTradesBinance[[#This Row],[Preço]])),AF41)-IF(TbTradesBinance[[#This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Row],[Tipo]]="DROP"),AF41+TbTradesBinance[[#This Row],[Qtt]],AF41-TbTradesBinance[[#This Row],[Qtt]]),IF(TbTradesBinance[[#This Row],[Tipo]]="BUY",AF41-TbTradesBinance[[#This Row],[Qtt]]*TbTradesBinance[[#This Row],[Preço]],AF41+TbTradesBinance[[#This Row],[Qtt]]*TbTradesBinance[[#This Row],[Preço]])),AF41)-IF(TbTradesBinance[[#This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Row],[Tipo]]="DROP"),AF41+TbTradesBinance[[#This Row],[Qtt]],AF41-TbTradesBinance[[#This Row],[Qtt]]),IF(TbTradesBinance[[#This Row],[Tipo]]="BUY",AF41-TbTradesBinance[[#This Row],[Qtt]]*TbTradesBinance[[#This Row],[Preço]],AF41+TbTradesBinance[[#This Row],[Qtt]]*TbTradesBinance[[#This Row],[Preço]])),AF41)-IF(TbTradesBinance[[#This Row],[Moeda da Taxa]]=MID(AF$1,9,5),TbTradesBinance[[#This Row],[Taxa]],0),8)))</f>
        <v>0</v>
      </c>
      <c r="AG42" s="145" cm="1">
        <f t="array" ref="AG42">IF(TbTradesBinance[[#This Row],[Tipo]]="EMPTY",0,AG41+IF(TbTradesBinance[[#This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Row],[Par]]))),$1:$1,0)),-(AF41-AF42)/AF41*AG41),0),0)+IF(TbTradesBinance[[#This Row],[Tipo]]="SELL",IF(ISNUMBER(FIND(MID(AG$1,10,5),TbTradesBinance[[#This Row],[Par]])),IF(FIND(MID(AG$1,10,5),TbTradesBinance[[#This Row],[Par]])=1, -(AF41-AF42)/AF41*AG41,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Row],[Par]])),(-(AF41-AF42)/AF41*AG41)+IF(TbTradesBinance[[#This Row],[Resultado]]&gt;0,0,TbTradesBinance[[#This Row],[Taxa]]),0),0))</f>
        <v>0</v>
      </c>
      <c r="AH42" s="145">
        <f t="shared" si="7"/>
        <v>0</v>
      </c>
      <c r="AI4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Row],[Tipo]]="DROP"),AI41+TbTradesBinance[[#This Row],[Qtt]],AI41-TbTradesBinance[[#This Row],[Qtt]]),IF(TbTradesBinance[[#This Row],[Tipo]]="BUY",AI41-TbTradesBinance[[#This Row],[Qtt]]*TbTradesBinance[[#This Row],[Preço]],AI41+TbTradesBinance[[#This Row],[Qtt]]*TbTradesBinance[[#This Row],[Preço]])),AI41)-IF(TbTradesBinance[[#This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Row],[Tipo]]="DROP"),AI41+TbTradesBinance[[#This Row],[Qtt]],AI41-TbTradesBinance[[#This Row],[Qtt]]),IF(TbTradesBinance[[#This Row],[Tipo]]="BUY",AI41-TbTradesBinance[[#This Row],[Qtt]]*TbTradesBinance[[#This Row],[Preço]],AI41+TbTradesBinance[[#This Row],[Qtt]]*TbTradesBinance[[#This Row],[Preço]])),AI41)-IF(TbTradesBinance[[#This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Row],[Tipo]]="DROP"),AI41+TbTradesBinance[[#This Row],[Qtt]],AI41-TbTradesBinance[[#This Row],[Qtt]]),IF(TbTradesBinance[[#This Row],[Tipo]]="BUY",AI41-TbTradesBinance[[#This Row],[Qtt]]*TbTradesBinance[[#This Row],[Preço]],AI41+TbTradesBinance[[#This Row],[Qtt]]*TbTradesBinance[[#This Row],[Preço]])),AI41)-IF(TbTradesBinance[[#This Row],[Moeda da Taxa]]=MID(AI$1,9,5),TbTradesBinance[[#This Row],[Taxa]],0),8)))</f>
        <v>0</v>
      </c>
      <c r="AJ42" s="145" cm="1">
        <f t="array" ref="AJ42">IF(TbTradesBinance[[#This Row],[Tipo]]="EMPTY",0,AJ41+IF(TbTradesBinance[[#This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Row],[Par]]))),$1:$1,0)),-(AI41-AI42)/AI41*AJ41),0),0)+IF(TbTradesBinance[[#This Row],[Tipo]]="SELL",IF(ISNUMBER(FIND(MID(AJ$1,10,5),TbTradesBinance[[#This Row],[Par]])),IF(FIND(MID(AJ$1,10,5),TbTradesBinance[[#This Row],[Par]])=1, -(AI41-AI42)/AI41*AJ41,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Row],[Par]])),(-(AI41-AI42)/AI41*AJ41)+IF(TbTradesBinance[[#This Row],[Resultado]]&gt;0,0,TbTradesBinance[[#This Row],[Taxa]]),0),0))</f>
        <v>0</v>
      </c>
      <c r="AK42" s="145">
        <f t="shared" si="8"/>
        <v>0</v>
      </c>
      <c r="AL4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Row],[Tipo]]="DROP"),AL41+TbTradesBinance[[#This Row],[Qtt]],AL41-TbTradesBinance[[#This Row],[Qtt]]),IF(TbTradesBinance[[#This Row],[Tipo]]="BUY",AL41-TbTradesBinance[[#This Row],[Qtt]]*TbTradesBinance[[#This Row],[Preço]],AL41+TbTradesBinance[[#This Row],[Qtt]]*TbTradesBinance[[#This Row],[Preço]])),AL41)-IF(TbTradesBinance[[#This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Row],[Tipo]]="DROP"),AL41+TbTradesBinance[[#This Row],[Qtt]],AL41-TbTradesBinance[[#This Row],[Qtt]]),IF(TbTradesBinance[[#This Row],[Tipo]]="BUY",AL41-TbTradesBinance[[#This Row],[Qtt]]*TbTradesBinance[[#This Row],[Preço]],AL41+TbTradesBinance[[#This Row],[Qtt]]*TbTradesBinance[[#This Row],[Preço]])),AL41)-IF(TbTradesBinance[[#This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Row],[Tipo]]="DROP"),AL41+TbTradesBinance[[#This Row],[Qtt]],AL41-TbTradesBinance[[#This Row],[Qtt]]),IF(TbTradesBinance[[#This Row],[Tipo]]="BUY",AL41-TbTradesBinance[[#This Row],[Qtt]]*TbTradesBinance[[#This Row],[Preço]],AL41+TbTradesBinance[[#This Row],[Qtt]]*TbTradesBinance[[#This Row],[Preço]])),AL41)-IF(TbTradesBinance[[#This Row],[Moeda da Taxa]]=MID(AL$1,9,5),TbTradesBinance[[#This Row],[Taxa]],0),8)))</f>
        <v>0</v>
      </c>
      <c r="AM42" s="145" cm="1">
        <f t="array" ref="AM42">IF(TbTradesBinance[[#This Row],[Tipo]]="EMPTY",0,AM41+IF(TbTradesBinance[[#This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Row],[Par]]))),$1:$1,0)),-(AL41-AL42)/AL41*AM41),0),0)+IF(TbTradesBinance[[#This Row],[Tipo]]="SELL",IF(ISNUMBER(FIND(MID(AM$1,10,5),TbTradesBinance[[#This Row],[Par]])),IF(FIND(MID(AM$1,10,5),TbTradesBinance[[#This Row],[Par]])=1, -(AL41-AL42)/AL41*AM41,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Row],[Par]])),(-(AL41-AL42)/AL41*AM41)+IF(TbTradesBinance[[#This Row],[Resultado]]&gt;0,0,TbTradesBinance[[#This Row],[Taxa]]),0),0))</f>
        <v>0</v>
      </c>
      <c r="AN42" s="145">
        <f t="shared" si="9"/>
        <v>0</v>
      </c>
      <c r="AO4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Row],[Tipo]]="DROP"),AO41+TbTradesBinance[[#This Row],[Qtt]],AO41-TbTradesBinance[[#This Row],[Qtt]]),IF(TbTradesBinance[[#This Row],[Tipo]]="BUY",AO41-TbTradesBinance[[#This Row],[Qtt]]*TbTradesBinance[[#This Row],[Preço]],AO41+TbTradesBinance[[#This Row],[Qtt]]*TbTradesBinance[[#This Row],[Preço]])),AO41)-IF(TbTradesBinance[[#This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Row],[Tipo]]="DROP"),AO41+TbTradesBinance[[#This Row],[Qtt]],AO41-TbTradesBinance[[#This Row],[Qtt]]),IF(TbTradesBinance[[#This Row],[Tipo]]="BUY",AO41-TbTradesBinance[[#This Row],[Qtt]]*TbTradesBinance[[#This Row],[Preço]],AO41+TbTradesBinance[[#This Row],[Qtt]]*TbTradesBinance[[#This Row],[Preço]])),AO41)-IF(TbTradesBinance[[#This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Row],[Tipo]]="DROP"),AO41+TbTradesBinance[[#This Row],[Qtt]],AO41-TbTradesBinance[[#This Row],[Qtt]]),IF(TbTradesBinance[[#This Row],[Tipo]]="BUY",AO41-TbTradesBinance[[#This Row],[Qtt]]*TbTradesBinance[[#This Row],[Preço]],AO41+TbTradesBinance[[#This Row],[Qtt]]*TbTradesBinance[[#This Row],[Preço]])),AO41)-IF(TbTradesBinance[[#This Row],[Moeda da Taxa]]=MID(AO$1,9,5),TbTradesBinance[[#This Row],[Taxa]],0),8)))</f>
        <v>0</v>
      </c>
      <c r="AP42" s="145" cm="1">
        <f t="array" ref="AP42">IF(TbTradesBinance[[#This Row],[Tipo]]="EMPTY",0,AP41+IF(TbTradesBinance[[#This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Row],[Par]]))),$1:$1,0)),-(AO41-AO42)/AO41*AP41),0),0)+IF(TbTradesBinance[[#This Row],[Tipo]]="SELL",IF(ISNUMBER(FIND(MID(AP$1,10,5),TbTradesBinance[[#This Row],[Par]])),IF(FIND(MID(AP$1,10,5),TbTradesBinance[[#This Row],[Par]])=1, -(AO41-AO42)/AO41*AP41,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Row],[Par]])),(-(AO41-AO42)/AO41*AP41)+IF(TbTradesBinance[[#This Row],[Resultado]]&gt;0,0,TbTradesBinance[[#This Row],[Taxa]]),0),0))</f>
        <v>0</v>
      </c>
      <c r="AQ42" s="145">
        <f t="shared" si="10"/>
        <v>0</v>
      </c>
      <c r="AR4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Row],[Tipo]]="DROP"),AR41+TbTradesBinance[[#This Row],[Qtt]],AR41-TbTradesBinance[[#This Row],[Qtt]]),IF(TbTradesBinance[[#This Row],[Tipo]]="BUY",AR41-TbTradesBinance[[#This Row],[Qtt]]*TbTradesBinance[[#This Row],[Preço]],AR41+TbTradesBinance[[#This Row],[Qtt]]*TbTradesBinance[[#This Row],[Preço]])),AR41)-IF(TbTradesBinance[[#This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Row],[Tipo]]="DROP"),AR41+TbTradesBinance[[#This Row],[Qtt]],AR41-TbTradesBinance[[#This Row],[Qtt]]),IF(TbTradesBinance[[#This Row],[Tipo]]="BUY",AR41-TbTradesBinance[[#This Row],[Qtt]]*TbTradesBinance[[#This Row],[Preço]],AR41+TbTradesBinance[[#This Row],[Qtt]]*TbTradesBinance[[#This Row],[Preço]])),AR41)-IF(TbTradesBinance[[#This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Row],[Tipo]]="DROP"),AR41+TbTradesBinance[[#This Row],[Qtt]],AR41-TbTradesBinance[[#This Row],[Qtt]]),IF(TbTradesBinance[[#This Row],[Tipo]]="BUY",AR41-TbTradesBinance[[#This Row],[Qtt]]*TbTradesBinance[[#This Row],[Preço]],AR41+TbTradesBinance[[#This Row],[Qtt]]*TbTradesBinance[[#This Row],[Preço]])),AR41)-IF(TbTradesBinance[[#This Row],[Moeda da Taxa]]=MID(AR$1,9,5),TbTradesBinance[[#This Row],[Taxa]],0),8)))</f>
        <v>0</v>
      </c>
      <c r="AS42" s="145" cm="1">
        <f t="array" ref="AS42">IF(TbTradesBinance[[#This Row],[Tipo]]="EMPTY",0,AS41+IF(TbTradesBinance[[#This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Row],[Par]]))),$1:$1,0)),-(AR41-AR42)/AR41*AS41),0),0)+IF(TbTradesBinance[[#This Row],[Tipo]]="SELL",IF(ISNUMBER(FIND(MID(AS$1,10,5),TbTradesBinance[[#This Row],[Par]])),IF(FIND(MID(AS$1,10,5),TbTradesBinance[[#This Row],[Par]])=1, -(AR41-AR42)/AR41*AS41,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Row],[Par]])),(-(AR41-AR42)/AR41*AS41)+IF(TbTradesBinance[[#This Row],[Resultado]]&gt;0,0,TbTradesBinance[[#This Row],[Taxa]]),0),0))</f>
        <v>0</v>
      </c>
      <c r="AT42" s="145">
        <f t="shared" si="11"/>
        <v>0</v>
      </c>
      <c r="AU4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Row],[Tipo]]="DROP"),AU41+TbTradesBinance[[#This Row],[Qtt]],AU41-TbTradesBinance[[#This Row],[Qtt]]),IF(TbTradesBinance[[#This Row],[Tipo]]="BUY",AU41-TbTradesBinance[[#This Row],[Qtt]]*TbTradesBinance[[#This Row],[Preço]],AU41+TbTradesBinance[[#This Row],[Qtt]]*TbTradesBinance[[#This Row],[Preço]])),AU41)-IF(TbTradesBinance[[#This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Row],[Tipo]]="DROP"),AU41+TbTradesBinance[[#This Row],[Qtt]],AU41-TbTradesBinance[[#This Row],[Qtt]]),IF(TbTradesBinance[[#This Row],[Tipo]]="BUY",AU41-TbTradesBinance[[#This Row],[Qtt]]*TbTradesBinance[[#This Row],[Preço]],AU41+TbTradesBinance[[#This Row],[Qtt]]*TbTradesBinance[[#This Row],[Preço]])),AU41)-IF(TbTradesBinance[[#This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Row],[Tipo]]="DROP"),AU41+TbTradesBinance[[#This Row],[Qtt]],AU41-TbTradesBinance[[#This Row],[Qtt]]),IF(TbTradesBinance[[#This Row],[Tipo]]="BUY",AU41-TbTradesBinance[[#This Row],[Qtt]]*TbTradesBinance[[#This Row],[Preço]],AU41+TbTradesBinance[[#This Row],[Qtt]]*TbTradesBinance[[#This Row],[Preço]])),AU41)-IF(TbTradesBinance[[#This Row],[Moeda da Taxa]]=MID(AU$1,9,5),TbTradesBinance[[#This Row],[Taxa]],0),8)))</f>
        <v>9.9900000000000003E-2</v>
      </c>
      <c r="AV42" s="145" cm="1">
        <f t="array" ref="AV42">IF(TbTradesBinance[[#This Row],[Tipo]]="EMPTY",0,AV41+IF(TbTradesBinance[[#This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Row],[Par]]))),$1:$1,0)),-(AU41-AU42)/AU41*AV41),0),0)+IF(TbTradesBinance[[#This Row],[Tipo]]="SELL",IF(ISNUMBER(FIND(MID(AV$1,10,5),TbTradesBinance[[#This Row],[Par]])),IF(FIND(MID(AV$1,10,5),TbTradesBinance[[#This Row],[Par]])=1, -(AU41-AU42)/AU41*AV41,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Row],[Par]])),(-(AU41-AU42)/AU41*AV41)+IF(TbTradesBinance[[#This Row],[Resultado]]&gt;0,0,TbTradesBinance[[#This Row],[Taxa]]),0),0))</f>
        <v>18.673922987511034</v>
      </c>
      <c r="AW42" s="145">
        <f t="shared" si="12"/>
        <v>186.92615603114149</v>
      </c>
      <c r="AX4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Row],[Tipo]]="DROP"),AX41+TbTradesBinance[[#This Row],[Qtt]],AX41-TbTradesBinance[[#This Row],[Qtt]]),IF(TbTradesBinance[[#This Row],[Tipo]]="BUY",AX41-TbTradesBinance[[#This Row],[Qtt]]*TbTradesBinance[[#This Row],[Preço]],AX41+TbTradesBinance[[#This Row],[Qtt]]*TbTradesBinance[[#This Row],[Preço]])),AX41)-IF(TbTradesBinance[[#This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Row],[Tipo]]="DROP"),AX41+TbTradesBinance[[#This Row],[Qtt]],AX41-TbTradesBinance[[#This Row],[Qtt]]),IF(TbTradesBinance[[#This Row],[Tipo]]="BUY",AX41-TbTradesBinance[[#This Row],[Qtt]]*TbTradesBinance[[#This Row],[Preço]],AX41+TbTradesBinance[[#This Row],[Qtt]]*TbTradesBinance[[#This Row],[Preço]])),AX41)-IF(TbTradesBinance[[#This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Row],[Tipo]]="DROP"),AX41+TbTradesBinance[[#This Row],[Qtt]],AX41-TbTradesBinance[[#This Row],[Qtt]]),IF(TbTradesBinance[[#This Row],[Tipo]]="BUY",AX41-TbTradesBinance[[#This Row],[Qtt]]*TbTradesBinance[[#This Row],[Preço]],AX41+TbTradesBinance[[#This Row],[Qtt]]*TbTradesBinance[[#This Row],[Preço]])),AX41)-IF(TbTradesBinance[[#This Row],[Moeda da Taxa]]=MID(AX$1,9,5),TbTradesBinance[[#This Row],[Taxa]],0),8)))</f>
        <v>0</v>
      </c>
      <c r="AY42" s="145" cm="1">
        <f t="array" ref="AY42">IF(TbTradesBinance[[#This Row],[Tipo]]="EMPTY",0,AY41+IF(TbTradesBinance[[#This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Row],[Par]]))),$1:$1,0)),-(AX41-AX42)/AX41*AY41),0),0)+IF(TbTradesBinance[[#This Row],[Tipo]]="SELL",IF(ISNUMBER(FIND(MID(AY$1,10,5),TbTradesBinance[[#This Row],[Par]])),IF(FIND(MID(AY$1,10,5),TbTradesBinance[[#This Row],[Par]])=1, -(AX41-AX42)/AX41*AY41,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Row],[Par]])),(-(AX41-AX42)/AX41*AY41)+IF(TbTradesBinance[[#This Row],[Resultado]]&gt;0,0,TbTradesBinance[[#This Row],[Taxa]]),0),0))</f>
        <v>0</v>
      </c>
      <c r="AZ42" s="145">
        <f t="shared" si="13"/>
        <v>0</v>
      </c>
      <c r="BA4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Row],[Tipo]]="DROP"),BA41+TbTradesBinance[[#This Row],[Qtt]],BA41-TbTradesBinance[[#This Row],[Qtt]]),IF(TbTradesBinance[[#This Row],[Tipo]]="BUY",BA41-TbTradesBinance[[#This Row],[Qtt]]*TbTradesBinance[[#This Row],[Preço]],BA41+TbTradesBinance[[#This Row],[Qtt]]*TbTradesBinance[[#This Row],[Preço]])),BA41)-IF(TbTradesBinance[[#This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Row],[Tipo]]="DROP"),BA41+TbTradesBinance[[#This Row],[Qtt]],BA41-TbTradesBinance[[#This Row],[Qtt]]),IF(TbTradesBinance[[#This Row],[Tipo]]="BUY",BA41-TbTradesBinance[[#This Row],[Qtt]]*TbTradesBinance[[#This Row],[Preço]],BA41+TbTradesBinance[[#This Row],[Qtt]]*TbTradesBinance[[#This Row],[Preço]])),BA41)-IF(TbTradesBinance[[#This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Row],[Tipo]]="DROP"),BA41+TbTradesBinance[[#This Row],[Qtt]],BA41-TbTradesBinance[[#This Row],[Qtt]]),IF(TbTradesBinance[[#This Row],[Tipo]]="BUY",BA41-TbTradesBinance[[#This Row],[Qtt]]*TbTradesBinance[[#This Row],[Preço]],BA41+TbTradesBinance[[#This Row],[Qtt]]*TbTradesBinance[[#This Row],[Preço]])),BA41)-IF(TbTradesBinance[[#This Row],[Moeda da Taxa]]=MID(BA$1,9,5),TbTradesBinance[[#This Row],[Taxa]],0),8)))</f>
        <v>0</v>
      </c>
      <c r="BB42" s="145" cm="1">
        <f t="array" ref="BB42">IF(TbTradesBinance[[#This Row],[Tipo]]="EMPTY",0,BB41+IF(TbTradesBinance[[#This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Row],[Par]]))),$1:$1,0)),-(BA41-BA42)/BA41*BB41),0),0)+IF(TbTradesBinance[[#This Row],[Tipo]]="SELL",IF(ISNUMBER(FIND(MID(BB$1,10,5),TbTradesBinance[[#This Row],[Par]])),IF(FIND(MID(BB$1,10,5),TbTradesBinance[[#This Row],[Par]])=1, -(BA41-BA42)/BA41*BB41,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Row],[Par]])),(-(BA41-BA42)/BA41*BB41)+IF(TbTradesBinance[[#This Row],[Resultado]]&gt;0,0,TbTradesBinance[[#This Row],[Taxa]]),0),0))</f>
        <v>0</v>
      </c>
      <c r="BC42" s="145">
        <f t="shared" si="14"/>
        <v>0</v>
      </c>
      <c r="BD4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Row],[Tipo]]="DROP"),BD41+TbTradesBinance[[#This Row],[Qtt]],BD41-TbTradesBinance[[#This Row],[Qtt]]),IF(TbTradesBinance[[#This Row],[Tipo]]="BUY",BD41-TbTradesBinance[[#This Row],[Qtt]]*TbTradesBinance[[#This Row],[Preço]],BD41+TbTradesBinance[[#This Row],[Qtt]]*TbTradesBinance[[#This Row],[Preço]])),BD41)-IF(TbTradesBinance[[#This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Row],[Tipo]]="DROP"),BD41+TbTradesBinance[[#This Row],[Qtt]],BD41-TbTradesBinance[[#This Row],[Qtt]]),IF(TbTradesBinance[[#This Row],[Tipo]]="BUY",BD41-TbTradesBinance[[#This Row],[Qtt]]*TbTradesBinance[[#This Row],[Preço]],BD41+TbTradesBinance[[#This Row],[Qtt]]*TbTradesBinance[[#This Row],[Preço]])),BD41)-IF(TbTradesBinance[[#This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Row],[Tipo]]="DROP"),BD41+TbTradesBinance[[#This Row],[Qtt]],BD41-TbTradesBinance[[#This Row],[Qtt]]),IF(TbTradesBinance[[#This Row],[Tipo]]="BUY",BD41-TbTradesBinance[[#This Row],[Qtt]]*TbTradesBinance[[#This Row],[Preço]],BD41+TbTradesBinance[[#This Row],[Qtt]]*TbTradesBinance[[#This Row],[Preço]])),BD41)-IF(TbTradesBinance[[#This Row],[Moeda da Taxa]]=MID(BD$1,9,5),TbTradesBinance[[#This Row],[Taxa]],0),8)))</f>
        <v>0.37962000000000001</v>
      </c>
      <c r="BE42" s="145" cm="1">
        <f t="array" ref="BE42">IF(TbTradesBinance[[#This Row],[Tipo]]="EMPTY",0,BE41+IF(TbTradesBinance[[#This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Row],[Par]]))),$1:$1,0)),-(BD41-BD42)/BD41*BE41),0),0)+IF(TbTradesBinance[[#This Row],[Tipo]]="SELL",IF(ISNUMBER(FIND(MID(BE$1,10,5),TbTradesBinance[[#This Row],[Par]])),IF(FIND(MID(BE$1,10,5),TbTradesBinance[[#This Row],[Par]])=1, -(BD41-BD42)/BD41*BE41,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Row],[Par]])),(-(BD41-BD42)/BD41*BE41)+IF(TbTradesBinance[[#This Row],[Resultado]]&gt;0,0,TbTradesBinance[[#This Row],[Taxa]]),0),0))</f>
        <v>63.647297001537943</v>
      </c>
      <c r="BF42" s="145">
        <f t="shared" si="15"/>
        <v>167.66054739354601</v>
      </c>
      <c r="BG4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Row],[Tipo]]="DROP"),BG41+TbTradesBinance[[#This Row],[Qtt]],BG41-TbTradesBinance[[#This Row],[Qtt]]),IF(TbTradesBinance[[#This Row],[Tipo]]="BUY",BG41-TbTradesBinance[[#This Row],[Qtt]]*TbTradesBinance[[#This Row],[Preço]],BG41+TbTradesBinance[[#This Row],[Qtt]]*TbTradesBinance[[#This Row],[Preço]])),BG41)-IF(TbTradesBinance[[#This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Row],[Tipo]]="DROP"),BG41+TbTradesBinance[[#This Row],[Qtt]],BG41-TbTradesBinance[[#This Row],[Qtt]]),IF(TbTradesBinance[[#This Row],[Tipo]]="BUY",BG41-TbTradesBinance[[#This Row],[Qtt]]*TbTradesBinance[[#This Row],[Preço]],BG41+TbTradesBinance[[#This Row],[Qtt]]*TbTradesBinance[[#This Row],[Preço]])),BG41)-IF(TbTradesBinance[[#This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Row],[Tipo]]="DROP"),BG41+TbTradesBinance[[#This Row],[Qtt]],BG41-TbTradesBinance[[#This Row],[Qtt]]),IF(TbTradesBinance[[#This Row],[Tipo]]="BUY",BG41-TbTradesBinance[[#This Row],[Qtt]]*TbTradesBinance[[#This Row],[Preço]],BG41+TbTradesBinance[[#This Row],[Qtt]]*TbTradesBinance[[#This Row],[Preço]])),BG41)-IF(TbTradesBinance[[#This Row],[Moeda da Taxa]]=MID(BG$1,9,5),TbTradesBinance[[#This Row],[Taxa]],0),8)))</f>
        <v>0</v>
      </c>
      <c r="BH42" s="145" cm="1">
        <f t="array" ref="BH42">IF(TbTradesBinance[[#This Row],[Tipo]]="EMPTY",0,BH41+IF(TbTradesBinance[[#This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Row],[Par]]))),$1:$1,0)),-(BG41-BG42)/BG41*BH41),0),0)+IF(TbTradesBinance[[#This Row],[Tipo]]="SELL",IF(ISNUMBER(FIND(MID(BH$1,10,5),TbTradesBinance[[#This Row],[Par]])),IF(FIND(MID(BH$1,10,5),TbTradesBinance[[#This Row],[Par]])=1, -(BG41-BG42)/BG41*BH41,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Row],[Par]])),(-(BG41-BG42)/BG41*BH41)+IF(TbTradesBinance[[#This Row],[Resultado]]&gt;0,0,TbTradesBinance[[#This Row],[Taxa]]),0),0))</f>
        <v>0</v>
      </c>
      <c r="BI42" s="145">
        <f t="shared" si="16"/>
        <v>0</v>
      </c>
      <c r="BJ4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Row],[Tipo]]="DROP"),BJ41+TbTradesBinance[[#This Row],[Qtt]],BJ41-TbTradesBinance[[#This Row],[Qtt]]),IF(TbTradesBinance[[#This Row],[Tipo]]="BUY",BJ41-TbTradesBinance[[#This Row],[Qtt]]*TbTradesBinance[[#This Row],[Preço]],BJ41+TbTradesBinance[[#This Row],[Qtt]]*TbTradesBinance[[#This Row],[Preço]])),BJ41)-IF(TbTradesBinance[[#This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Row],[Tipo]]="DROP"),BJ41+TbTradesBinance[[#This Row],[Qtt]],BJ41-TbTradesBinance[[#This Row],[Qtt]]),IF(TbTradesBinance[[#This Row],[Tipo]]="BUY",BJ41-TbTradesBinance[[#This Row],[Qtt]]*TbTradesBinance[[#This Row],[Preço]],BJ41+TbTradesBinance[[#This Row],[Qtt]]*TbTradesBinance[[#This Row],[Preço]])),BJ41)-IF(TbTradesBinance[[#This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Row],[Tipo]]="DROP"),BJ41+TbTradesBinance[[#This Row],[Qtt]],BJ41-TbTradesBinance[[#This Row],[Qtt]]),IF(TbTradesBinance[[#This Row],[Tipo]]="BUY",BJ41-TbTradesBinance[[#This Row],[Qtt]]*TbTradesBinance[[#This Row],[Preço]],BJ41+TbTradesBinance[[#This Row],[Qtt]]*TbTradesBinance[[#This Row],[Preço]])),BJ41)-IF(TbTradesBinance[[#This Row],[Moeda da Taxa]]=MID(BJ$1,9,5),TbTradesBinance[[#This Row],[Taxa]],0),8)))</f>
        <v>0</v>
      </c>
      <c r="BK42" s="145" cm="1">
        <f t="array" ref="BK42">IF(TbTradesBinance[[#This Row],[Tipo]]="EMPTY",0,BK41+IF(TbTradesBinance[[#This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Row],[Par]]))),$1:$1,0)),-(BJ41-BJ42)/BJ41*BK41),0),0)+IF(TbTradesBinance[[#This Row],[Tipo]]="SELL",IF(ISNUMBER(FIND(MID(BK$1,10,5),TbTradesBinance[[#This Row],[Par]])),IF(FIND(MID(BK$1,10,5),TbTradesBinance[[#This Row],[Par]])=1, -(BJ41-BJ42)/BJ41*BK41,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Row],[Par]])),(-(BJ41-BJ42)/BJ41*BK41)+IF(TbTradesBinance[[#This Row],[Resultado]]&gt;0,0,TbTradesBinance[[#This Row],[Taxa]]),0),0))</f>
        <v>0</v>
      </c>
      <c r="BL42" s="145">
        <f t="shared" si="17"/>
        <v>0</v>
      </c>
      <c r="BM4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Row],[Tipo]]="DROP"),BM41+TbTradesBinance[[#This Row],[Qtt]],BM41-TbTradesBinance[[#This Row],[Qtt]]),IF(TbTradesBinance[[#This Row],[Tipo]]="BUY",BM41-TbTradesBinance[[#This Row],[Qtt]]*TbTradesBinance[[#This Row],[Preço]],BM41+TbTradesBinance[[#This Row],[Qtt]]*TbTradesBinance[[#This Row],[Preço]])),BM41)-IF(TbTradesBinance[[#This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Row],[Tipo]]="DROP"),BM41+TbTradesBinance[[#This Row],[Qtt]],BM41-TbTradesBinance[[#This Row],[Qtt]]),IF(TbTradesBinance[[#This Row],[Tipo]]="BUY",BM41-TbTradesBinance[[#This Row],[Qtt]]*TbTradesBinance[[#This Row],[Preço]],BM41+TbTradesBinance[[#This Row],[Qtt]]*TbTradesBinance[[#This Row],[Preço]])),BM41)-IF(TbTradesBinance[[#This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Row],[Tipo]]="DROP"),BM41+TbTradesBinance[[#This Row],[Qtt]],BM41-TbTradesBinance[[#This Row],[Qtt]]),IF(TbTradesBinance[[#This Row],[Tipo]]="BUY",BM41-TbTradesBinance[[#This Row],[Qtt]]*TbTradesBinance[[#This Row],[Preço]],BM41+TbTradesBinance[[#This Row],[Qtt]]*TbTradesBinance[[#This Row],[Preço]])),BM41)-IF(TbTradesBinance[[#This Row],[Moeda da Taxa]]=MID(BM$1,9,5),TbTradesBinance[[#This Row],[Taxa]],0),8)))</f>
        <v>0</v>
      </c>
      <c r="BN42" s="145" cm="1">
        <f t="array" ref="BN42">IF(TbTradesBinance[[#This Row],[Tipo]]="EMPTY",0,BN41+IF(TbTradesBinance[[#This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Row],[Par]]))),$1:$1,0)),-(BM41-BM42)/BM41*BN41),0),0)+IF(TbTradesBinance[[#This Row],[Tipo]]="SELL",IF(ISNUMBER(FIND(MID(BN$1,10,5),TbTradesBinance[[#This Row],[Par]])),IF(FIND(MID(BN$1,10,5),TbTradesBinance[[#This Row],[Par]])=1, -(BM41-BM42)/BM41*BN41,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Row],[Par]])),(-(BM41-BM42)/BM41*BN41)+IF(TbTradesBinance[[#This Row],[Resultado]]&gt;0,0,TbTradesBinance[[#This Row],[Taxa]]),0),0))</f>
        <v>0</v>
      </c>
      <c r="BO42" s="145">
        <f t="shared" si="18"/>
        <v>0</v>
      </c>
    </row>
    <row r="43" spans="2:67" x14ac:dyDescent="0.3">
      <c r="B43" s="51"/>
      <c r="C43" s="40">
        <f>TRUNC(IF(AND(TbTradesBinance[[#This Row],[Tipo]]="SEND",TbTradesBinance[[#This Row],[Par]]="BRL"),TbTradesBinance[[#This Row],[Qtt]]*(1-P41)-IF(TbTradesBinance[[#This Row],[Moeda da Taxa]]="BRL",TbTradesBinance[[#This Row],[Taxa]],0),0)+IF(AND(TbTradesBinance[[#This Row],[Tipo]]="BURN",TbTradesBinance[[#This Row],[Par]]="BRL"),-TbTradesBinance[[#This Row],[Qtt]]*P41,0),2)</f>
        <v>0</v>
      </c>
      <c r="D43" s="53">
        <v>44262.899016203701</v>
      </c>
      <c r="E43" s="37" t="s">
        <v>138</v>
      </c>
      <c r="F43" s="47" t="s">
        <v>139</v>
      </c>
      <c r="G43" s="38">
        <v>292000</v>
      </c>
      <c r="H43" s="38">
        <v>3.4299999999999999E-4</v>
      </c>
      <c r="I43" s="38">
        <v>0</v>
      </c>
      <c r="J43" s="37" t="s">
        <v>6</v>
      </c>
      <c r="K43" s="52">
        <v>1</v>
      </c>
      <c r="L43" s="40">
        <f t="shared" si="0"/>
        <v>292000</v>
      </c>
      <c r="M43" s="40">
        <f>IF(OR(TbTradesBinance[[#This Row],[Tipo]]="BUY",TbTradesBinance[[#This Row],[Tipo]]="RECEIVE",TbTradesBinance[[#This Row],[Tipo]]="DROP"),L43*H43,-L43*H43)</f>
        <v>100.15599999999999</v>
      </c>
      <c r="N4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Row],[Tipo]]="DROP"),N42+TbTradesBinance[[#This Row],[Qtt]],N42-TbTradesBinance[[#This Row],[Qtt]]),IF(TbTradesBinance[[#This Row],[Tipo]]="BUY",N42-TbTradesBinance[[#This Row],[Qtt]]*TbTradesBinance[[#This Row],[Preço]],N42+TbTradesBinance[[#This Row],[Qtt]]*TbTradesBinance[[#This Row],[Preço]])),N42)-IF(TbTradesBinance[[#This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Row],[Tipo]]="DROP"),N42+TbTradesBinance[[#This Row],[Qtt]],N42-TbTradesBinance[[#This Row],[Qtt]]),IF(TbTradesBinance[[#This Row],[Tipo]]="BUY",N42-TbTradesBinance[[#This Row],[Qtt]]*TbTradesBinance[[#This Row],[Preço]],N42+TbTradesBinance[[#This Row],[Qtt]]*TbTradesBinance[[#This Row],[Preço]])),N42)-IF(TbTradesBinance[[#This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Row],[Tipo]]="DROP"),N42+TbTradesBinance[[#This Row],[Qtt]],N42-TbTradesBinance[[#This Row],[Qtt]]),IF(TbTradesBinance[[#This Row],[Tipo]]="BUY",N42-TbTradesBinance[[#This Row],[Qtt]]*TbTradesBinance[[#This Row],[Preço]],N42+TbTradesBinance[[#This Row],[Qtt]]*TbTradesBinance[[#This Row],[Preço]])),N42)-IF(TbTradesBinance[[#This Row],[Moeda da Taxa]]=MID(N$1,9,5),TbTradesBinance[[#This Row],[Taxa]],0),8)))</f>
        <v>119763.12604689</v>
      </c>
      <c r="O43" s="145" cm="1">
        <f t="array" ref="O43">IF(TbTradesBinance[[#This Row],[Tipo]]="EMPTY",0,O42+IF(TbTradesBinance[[#This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Row],[Par]]))),$1:$1,0)),-(N42-N43)/N42*O42),0),0)+IF(TbTradesBinance[[#This Row],[Tipo]]="SELL",IF(ISNUMBER(FIND(MID(O$1,10,5),TbTradesBinance[[#This Row],[Par]])),IF(FIND(MID(O$1,10,5),TbTradesBinance[[#This Row],[Par]])=1, -(N42-N43)/N42*O42,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Row],[Par]])),(-(N42-N43)/N42*O42)+IF(TbTradesBinance[[#This Row],[Resultado]]&gt;0,0,TbTradesBinance[[#This Row],[Taxa]]),0),0))</f>
        <v>119687.63621870273</v>
      </c>
      <c r="P43" s="145">
        <f t="shared" si="1"/>
        <v>0.99936967386641429</v>
      </c>
      <c r="Q4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Row],[Tipo]]="DROP"),Q42+TbTradesBinance[[#This Row],[Qtt]],Q42-TbTradesBinance[[#This Row],[Qtt]]),IF(TbTradesBinance[[#This Row],[Tipo]]="BUY",Q42-TbTradesBinance[[#This Row],[Qtt]]*TbTradesBinance[[#This Row],[Preço]],Q42+TbTradesBinance[[#This Row],[Qtt]]*TbTradesBinance[[#This Row],[Preço]])),Q42)-IF(TbTradesBinance[[#This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Row],[Tipo]]="DROP"),Q42+TbTradesBinance[[#This Row],[Qtt]],Q42-TbTradesBinance[[#This Row],[Qtt]]),IF(TbTradesBinance[[#This Row],[Tipo]]="BUY",Q42-TbTradesBinance[[#This Row],[Qtt]]*TbTradesBinance[[#This Row],[Preço]],Q42+TbTradesBinance[[#This Row],[Qtt]]*TbTradesBinance[[#This Row],[Preço]])),Q42)-IF(TbTradesBinance[[#This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Row],[Tipo]]="DROP"),Q42+TbTradesBinance[[#This Row],[Qtt]],Q42-TbTradesBinance[[#This Row],[Qtt]]),IF(TbTradesBinance[[#This Row],[Tipo]]="BUY",Q42-TbTradesBinance[[#This Row],[Qtt]]*TbTradesBinance[[#This Row],[Preço]],Q42+TbTradesBinance[[#This Row],[Qtt]]*TbTradesBinance[[#This Row],[Preço]])),Q42)-IF(TbTradesBinance[[#This Row],[Moeda da Taxa]]=MID(Q$1,9,5),TbTradesBinance[[#This Row],[Taxa]],0),8)))</f>
        <v>0.27732999000000003</v>
      </c>
      <c r="R43" s="145" cm="1">
        <f t="array" ref="R43">IF(TbTradesBinance[[#This Row],[Tipo]]="EMPTY",0,R42+IF(TbTradesBinance[[#This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Row],[Par]]))),$1:$1,0)),-(Q42-Q43)/Q42*R42),0),0)+IF(TbTradesBinance[[#This Row],[Tipo]]="SELL",IF(ISNUMBER(FIND(MID(R$1,10,5),TbTradesBinance[[#This Row],[Par]])),IF(FIND(MID(R$1,10,5),TbTradesBinance[[#This Row],[Par]])=1, -(Q42-Q43)/Q42*R42,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Row],[Par]])),(-(Q42-Q43)/Q42*R42)+IF(TbTradesBinance[[#This Row],[Resultado]]&gt;0,0,TbTradesBinance[[#This Row],[Taxa]]),0),0))</f>
        <v>1.5509449279899954</v>
      </c>
      <c r="S43" s="145">
        <f t="shared" si="2"/>
        <v>5.592416918163071</v>
      </c>
      <c r="T4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Row],[Tipo]]="DROP"),T42+TbTradesBinance[[#This Row],[Qtt]],T42-TbTradesBinance[[#This Row],[Qtt]]),IF(TbTradesBinance[[#This Row],[Tipo]]="BUY",T42-TbTradesBinance[[#This Row],[Qtt]]*TbTradesBinance[[#This Row],[Preço]],T42+TbTradesBinance[[#This Row],[Qtt]]*TbTradesBinance[[#This Row],[Preço]])),T42)-IF(TbTradesBinance[[#This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Row],[Tipo]]="DROP"),T42+TbTradesBinance[[#This Row],[Qtt]],T42-TbTradesBinance[[#This Row],[Qtt]]),IF(TbTradesBinance[[#This Row],[Tipo]]="BUY",T42-TbTradesBinance[[#This Row],[Qtt]]*TbTradesBinance[[#This Row],[Preço]],T42+TbTradesBinance[[#This Row],[Qtt]]*TbTradesBinance[[#This Row],[Preço]])),T42)-IF(TbTradesBinance[[#This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Row],[Tipo]]="DROP"),T42+TbTradesBinance[[#This Row],[Qtt]],T42-TbTradesBinance[[#This Row],[Qtt]]),IF(TbTradesBinance[[#This Row],[Tipo]]="BUY",T42-TbTradesBinance[[#This Row],[Qtt]]*TbTradesBinance[[#This Row],[Preço]],T42+TbTradesBinance[[#This Row],[Qtt]]*TbTradesBinance[[#This Row],[Preço]])),T42)-IF(TbTradesBinance[[#This Row],[Moeda da Taxa]]=MID(T$1,9,5),TbTradesBinance[[#This Row],[Taxa]],0),8)))</f>
        <v>199735.34867482999</v>
      </c>
      <c r="U43" s="145" cm="1">
        <f t="array" ref="U43">IF(TbTradesBinance[[#This Row],[Tipo]]="EMPTY",0,U42+IF(TbTradesBinance[[#This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Row],[Par]]))),$1:$1,0)),-(T42-T43)/T42*U42),0),0)+IF(TbTradesBinance[[#This Row],[Tipo]]="SELL",IF(ISNUMBER(FIND(MID(U$1,10,5),TbTradesBinance[[#This Row],[Par]])),IF(FIND(MID(U$1,10,5),TbTradesBinance[[#This Row],[Par]])=1, -(T42-T43)/T42*U42,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Row],[Par]])),(-(T42-T43)/T42*U42)+IF(TbTradesBinance[[#This Row],[Resultado]]&gt;0,0,TbTradesBinance[[#This Row],[Taxa]]),0),0))</f>
        <v>1328240.0716580662</v>
      </c>
      <c r="V43" s="145">
        <f t="shared" si="3"/>
        <v>6.6500000148719129</v>
      </c>
      <c r="W4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Row],[Tipo]]="DROP"),W42+TbTradesBinance[[#This Row],[Qtt]],W42-TbTradesBinance[[#This Row],[Qtt]]),IF(TbTradesBinance[[#This Row],[Tipo]]="BUY",W42-TbTradesBinance[[#This Row],[Qtt]]*TbTradesBinance[[#This Row],[Preço]],W42+TbTradesBinance[[#This Row],[Qtt]]*TbTradesBinance[[#This Row],[Preço]])),W42)-IF(TbTradesBinance[[#This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Row],[Tipo]]="DROP"),W42+TbTradesBinance[[#This Row],[Qtt]],W42-TbTradesBinance[[#This Row],[Qtt]]),IF(TbTradesBinance[[#This Row],[Tipo]]="BUY",W42-TbTradesBinance[[#This Row],[Qtt]]*TbTradesBinance[[#This Row],[Preço]],W42+TbTradesBinance[[#This Row],[Qtt]]*TbTradesBinance[[#This Row],[Preço]])),W42)-IF(TbTradesBinance[[#This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Row],[Tipo]]="DROP"),W42+TbTradesBinance[[#This Row],[Qtt]],W42-TbTradesBinance[[#This Row],[Qtt]]),IF(TbTradesBinance[[#This Row],[Tipo]]="BUY",W42-TbTradesBinance[[#This Row],[Qtt]]*TbTradesBinance[[#This Row],[Preço]],W42+TbTradesBinance[[#This Row],[Qtt]]*TbTradesBinance[[#This Row],[Preço]])),W42)-IF(TbTradesBinance[[#This Row],[Moeda da Taxa]]=MID(W$1,9,5),TbTradesBinance[[#This Row],[Taxa]],0),8)))</f>
        <v>1.8595700000000001E-3</v>
      </c>
      <c r="X43" s="145" cm="1">
        <f t="array" ref="X43">IF(TbTradesBinance[[#This Row],[Tipo]]="EMPTY",0,X42+IF(TbTradesBinance[[#This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Row],[Par]]))),$1:$1,0)),-(W42-W43)/W42*X42),0),0)+IF(TbTradesBinance[[#This Row],[Tipo]]="SELL",IF(ISNUMBER(FIND(MID(X$1,10,5),TbTradesBinance[[#This Row],[Par]])),IF(FIND(MID(X$1,10,5),TbTradesBinance[[#This Row],[Par]])=1, -(W42-W43)/W42*X42,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Row],[Par]])),(-(W42-W43)/W42*X42)+IF(TbTradesBinance[[#This Row],[Resultado]]&gt;0,0,TbTradesBinance[[#This Row],[Taxa]]),0),0))</f>
        <v>517.01876917114885</v>
      </c>
      <c r="Y43" s="145">
        <f t="shared" si="4"/>
        <v>278031.35626577586</v>
      </c>
      <c r="Z4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Row],[Tipo]]="DROP"),Z42+TbTradesBinance[[#This Row],[Qtt]],Z42-TbTradesBinance[[#This Row],[Qtt]]),IF(TbTradesBinance[[#This Row],[Tipo]]="BUY",Z42-TbTradesBinance[[#This Row],[Qtt]]*TbTradesBinance[[#This Row],[Preço]],Z42+TbTradesBinance[[#This Row],[Qtt]]*TbTradesBinance[[#This Row],[Preço]])),Z42)-IF(TbTradesBinance[[#This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Row],[Tipo]]="DROP"),Z42+TbTradesBinance[[#This Row],[Qtt]],Z42-TbTradesBinance[[#This Row],[Qtt]]),IF(TbTradesBinance[[#This Row],[Tipo]]="BUY",Z42-TbTradesBinance[[#This Row],[Qtt]]*TbTradesBinance[[#This Row],[Preço]],Z42+TbTradesBinance[[#This Row],[Qtt]]*TbTradesBinance[[#This Row],[Preço]])),Z42)-IF(TbTradesBinance[[#This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Row],[Tipo]]="DROP"),Z42+TbTradesBinance[[#This Row],[Qtt]],Z42-TbTradesBinance[[#This Row],[Qtt]]),IF(TbTradesBinance[[#This Row],[Tipo]]="BUY",Z42-TbTradesBinance[[#This Row],[Qtt]]*TbTradesBinance[[#This Row],[Preço]],Z42+TbTradesBinance[[#This Row],[Qtt]]*TbTradesBinance[[#This Row],[Preço]])),Z42)-IF(TbTradesBinance[[#This Row],[Moeda da Taxa]]=MID(Z$1,9,5),TbTradesBinance[[#This Row],[Taxa]],0),8)))</f>
        <v>0</v>
      </c>
      <c r="AA43" s="145" cm="1">
        <f t="array" ref="AA43">IF(TbTradesBinance[[#This Row],[Tipo]]="EMPTY",0,AA42+IF(TbTradesBinance[[#This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Row],[Par]]))),$1:$1,0)),-(Z42-Z43)/Z42*AA42),0),0)+IF(TbTradesBinance[[#This Row],[Tipo]]="SELL",IF(ISNUMBER(FIND(MID(AA$1,10,5),TbTradesBinance[[#This Row],[Par]])),IF(FIND(MID(AA$1,10,5),TbTradesBinance[[#This Row],[Par]])=1, -(Z42-Z43)/Z42*AA42,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Row],[Par]])),(-(Z42-Z43)/Z42*AA42)+IF(TbTradesBinance[[#This Row],[Resultado]]&gt;0,0,TbTradesBinance[[#This Row],[Taxa]]),0),0))</f>
        <v>0</v>
      </c>
      <c r="AB43" s="145">
        <f t="shared" si="5"/>
        <v>0</v>
      </c>
      <c r="AC4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Row],[Tipo]]="DROP"),AC42+TbTradesBinance[[#This Row],[Qtt]],AC42-TbTradesBinance[[#This Row],[Qtt]]),IF(TbTradesBinance[[#This Row],[Tipo]]="BUY",AC42-TbTradesBinance[[#This Row],[Qtt]]*TbTradesBinance[[#This Row],[Preço]],AC42+TbTradesBinance[[#This Row],[Qtt]]*TbTradesBinance[[#This Row],[Preço]])),AC42)-IF(TbTradesBinance[[#This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Row],[Tipo]]="DROP"),AC42+TbTradesBinance[[#This Row],[Qtt]],AC42-TbTradesBinance[[#This Row],[Qtt]]),IF(TbTradesBinance[[#This Row],[Tipo]]="BUY",AC42-TbTradesBinance[[#This Row],[Qtt]]*TbTradesBinance[[#This Row],[Preço]],AC42+TbTradesBinance[[#This Row],[Qtt]]*TbTradesBinance[[#This Row],[Preço]])),AC42)-IF(TbTradesBinance[[#This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Row],[Tipo]]="DROP"),AC42+TbTradesBinance[[#This Row],[Qtt]],AC42-TbTradesBinance[[#This Row],[Qtt]]),IF(TbTradesBinance[[#This Row],[Tipo]]="BUY",AC42-TbTradesBinance[[#This Row],[Qtt]]*TbTradesBinance[[#This Row],[Preço]],AC42+TbTradesBinance[[#This Row],[Qtt]]*TbTradesBinance[[#This Row],[Preço]])),AC42)-IF(TbTradesBinance[[#This Row],[Moeda da Taxa]]=MID(AC$1,9,5),TbTradesBinance[[#This Row],[Taxa]],0),8)))</f>
        <v>0</v>
      </c>
      <c r="AD43" s="145" cm="1">
        <f t="array" ref="AD43">IF(TbTradesBinance[[#This Row],[Tipo]]="EMPTY",0,AD42+IF(TbTradesBinance[[#This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Row],[Par]]))),$1:$1,0)),-(AC42-AC43)/AC42*AD42),0),0)+IF(TbTradesBinance[[#This Row],[Tipo]]="SELL",IF(ISNUMBER(FIND(MID(AD$1,10,5),TbTradesBinance[[#This Row],[Par]])),IF(FIND(MID(AD$1,10,5),TbTradesBinance[[#This Row],[Par]])=1, -(AC42-AC43)/AC42*AD42,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Row],[Par]])),(-(AC42-AC43)/AC42*AD42)+IF(TbTradesBinance[[#This Row],[Resultado]]&gt;0,0,TbTradesBinance[[#This Row],[Taxa]]),0),0))</f>
        <v>0</v>
      </c>
      <c r="AE43" s="145">
        <f t="shared" si="6"/>
        <v>0</v>
      </c>
      <c r="AF4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Row],[Tipo]]="DROP"),AF42+TbTradesBinance[[#This Row],[Qtt]],AF42-TbTradesBinance[[#This Row],[Qtt]]),IF(TbTradesBinance[[#This Row],[Tipo]]="BUY",AF42-TbTradesBinance[[#This Row],[Qtt]]*TbTradesBinance[[#This Row],[Preço]],AF42+TbTradesBinance[[#This Row],[Qtt]]*TbTradesBinance[[#This Row],[Preço]])),AF42)-IF(TbTradesBinance[[#This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Row],[Tipo]]="DROP"),AF42+TbTradesBinance[[#This Row],[Qtt]],AF42-TbTradesBinance[[#This Row],[Qtt]]),IF(TbTradesBinance[[#This Row],[Tipo]]="BUY",AF42-TbTradesBinance[[#This Row],[Qtt]]*TbTradesBinance[[#This Row],[Preço]],AF42+TbTradesBinance[[#This Row],[Qtt]]*TbTradesBinance[[#This Row],[Preço]])),AF42)-IF(TbTradesBinance[[#This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Row],[Tipo]]="DROP"),AF42+TbTradesBinance[[#This Row],[Qtt]],AF42-TbTradesBinance[[#This Row],[Qtt]]),IF(TbTradesBinance[[#This Row],[Tipo]]="BUY",AF42-TbTradesBinance[[#This Row],[Qtt]]*TbTradesBinance[[#This Row],[Preço]],AF42+TbTradesBinance[[#This Row],[Qtt]]*TbTradesBinance[[#This Row],[Preço]])),AF42)-IF(TbTradesBinance[[#This Row],[Moeda da Taxa]]=MID(AF$1,9,5),TbTradesBinance[[#This Row],[Taxa]],0),8)))</f>
        <v>0</v>
      </c>
      <c r="AG43" s="145" cm="1">
        <f t="array" ref="AG43">IF(TbTradesBinance[[#This Row],[Tipo]]="EMPTY",0,AG42+IF(TbTradesBinance[[#This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Row],[Par]]))),$1:$1,0)),-(AF42-AF43)/AF42*AG42),0),0)+IF(TbTradesBinance[[#This Row],[Tipo]]="SELL",IF(ISNUMBER(FIND(MID(AG$1,10,5),TbTradesBinance[[#This Row],[Par]])),IF(FIND(MID(AG$1,10,5),TbTradesBinance[[#This Row],[Par]])=1, -(AF42-AF43)/AF42*AG42,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Row],[Par]])),(-(AF42-AF43)/AF42*AG42)+IF(TbTradesBinance[[#This Row],[Resultado]]&gt;0,0,TbTradesBinance[[#This Row],[Taxa]]),0),0))</f>
        <v>0</v>
      </c>
      <c r="AH43" s="145">
        <f t="shared" si="7"/>
        <v>0</v>
      </c>
      <c r="AI4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Row],[Tipo]]="DROP"),AI42+TbTradesBinance[[#This Row],[Qtt]],AI42-TbTradesBinance[[#This Row],[Qtt]]),IF(TbTradesBinance[[#This Row],[Tipo]]="BUY",AI42-TbTradesBinance[[#This Row],[Qtt]]*TbTradesBinance[[#This Row],[Preço]],AI42+TbTradesBinance[[#This Row],[Qtt]]*TbTradesBinance[[#This Row],[Preço]])),AI42)-IF(TbTradesBinance[[#This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Row],[Tipo]]="DROP"),AI42+TbTradesBinance[[#This Row],[Qtt]],AI42-TbTradesBinance[[#This Row],[Qtt]]),IF(TbTradesBinance[[#This Row],[Tipo]]="BUY",AI42-TbTradesBinance[[#This Row],[Qtt]]*TbTradesBinance[[#This Row],[Preço]],AI42+TbTradesBinance[[#This Row],[Qtt]]*TbTradesBinance[[#This Row],[Preço]])),AI42)-IF(TbTradesBinance[[#This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Row],[Tipo]]="DROP"),AI42+TbTradesBinance[[#This Row],[Qtt]],AI42-TbTradesBinance[[#This Row],[Qtt]]),IF(TbTradesBinance[[#This Row],[Tipo]]="BUY",AI42-TbTradesBinance[[#This Row],[Qtt]]*TbTradesBinance[[#This Row],[Preço]],AI42+TbTradesBinance[[#This Row],[Qtt]]*TbTradesBinance[[#This Row],[Preço]])),AI42)-IF(TbTradesBinance[[#This Row],[Moeda da Taxa]]=MID(AI$1,9,5),TbTradesBinance[[#This Row],[Taxa]],0),8)))</f>
        <v>0</v>
      </c>
      <c r="AJ43" s="145" cm="1">
        <f t="array" ref="AJ43">IF(TbTradesBinance[[#This Row],[Tipo]]="EMPTY",0,AJ42+IF(TbTradesBinance[[#This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Row],[Par]]))),$1:$1,0)),-(AI42-AI43)/AI42*AJ42),0),0)+IF(TbTradesBinance[[#This Row],[Tipo]]="SELL",IF(ISNUMBER(FIND(MID(AJ$1,10,5),TbTradesBinance[[#This Row],[Par]])),IF(FIND(MID(AJ$1,10,5),TbTradesBinance[[#This Row],[Par]])=1, -(AI42-AI43)/AI42*AJ42,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Row],[Par]])),(-(AI42-AI43)/AI42*AJ42)+IF(TbTradesBinance[[#This Row],[Resultado]]&gt;0,0,TbTradesBinance[[#This Row],[Taxa]]),0),0))</f>
        <v>0</v>
      </c>
      <c r="AK43" s="145">
        <f t="shared" si="8"/>
        <v>0</v>
      </c>
      <c r="AL4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Row],[Tipo]]="DROP"),AL42+TbTradesBinance[[#This Row],[Qtt]],AL42-TbTradesBinance[[#This Row],[Qtt]]),IF(TbTradesBinance[[#This Row],[Tipo]]="BUY",AL42-TbTradesBinance[[#This Row],[Qtt]]*TbTradesBinance[[#This Row],[Preço]],AL42+TbTradesBinance[[#This Row],[Qtt]]*TbTradesBinance[[#This Row],[Preço]])),AL42)-IF(TbTradesBinance[[#This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Row],[Tipo]]="DROP"),AL42+TbTradesBinance[[#This Row],[Qtt]],AL42-TbTradesBinance[[#This Row],[Qtt]]),IF(TbTradesBinance[[#This Row],[Tipo]]="BUY",AL42-TbTradesBinance[[#This Row],[Qtt]]*TbTradesBinance[[#This Row],[Preço]],AL42+TbTradesBinance[[#This Row],[Qtt]]*TbTradesBinance[[#This Row],[Preço]])),AL42)-IF(TbTradesBinance[[#This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Row],[Tipo]]="DROP"),AL42+TbTradesBinance[[#This Row],[Qtt]],AL42-TbTradesBinance[[#This Row],[Qtt]]),IF(TbTradesBinance[[#This Row],[Tipo]]="BUY",AL42-TbTradesBinance[[#This Row],[Qtt]]*TbTradesBinance[[#This Row],[Preço]],AL42+TbTradesBinance[[#This Row],[Qtt]]*TbTradesBinance[[#This Row],[Preço]])),AL42)-IF(TbTradesBinance[[#This Row],[Moeda da Taxa]]=MID(AL$1,9,5),TbTradesBinance[[#This Row],[Taxa]],0),8)))</f>
        <v>0</v>
      </c>
      <c r="AM43" s="145" cm="1">
        <f t="array" ref="AM43">IF(TbTradesBinance[[#This Row],[Tipo]]="EMPTY",0,AM42+IF(TbTradesBinance[[#This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Row],[Par]]))),$1:$1,0)),-(AL42-AL43)/AL42*AM42),0),0)+IF(TbTradesBinance[[#This Row],[Tipo]]="SELL",IF(ISNUMBER(FIND(MID(AM$1,10,5),TbTradesBinance[[#This Row],[Par]])),IF(FIND(MID(AM$1,10,5),TbTradesBinance[[#This Row],[Par]])=1, -(AL42-AL43)/AL42*AM42,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Row],[Par]])),(-(AL42-AL43)/AL42*AM42)+IF(TbTradesBinance[[#This Row],[Resultado]]&gt;0,0,TbTradesBinance[[#This Row],[Taxa]]),0),0))</f>
        <v>0</v>
      </c>
      <c r="AN43" s="145">
        <f t="shared" si="9"/>
        <v>0</v>
      </c>
      <c r="AO4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Row],[Tipo]]="DROP"),AO42+TbTradesBinance[[#This Row],[Qtt]],AO42-TbTradesBinance[[#This Row],[Qtt]]),IF(TbTradesBinance[[#This Row],[Tipo]]="BUY",AO42-TbTradesBinance[[#This Row],[Qtt]]*TbTradesBinance[[#This Row],[Preço]],AO42+TbTradesBinance[[#This Row],[Qtt]]*TbTradesBinance[[#This Row],[Preço]])),AO42)-IF(TbTradesBinance[[#This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Row],[Tipo]]="DROP"),AO42+TbTradesBinance[[#This Row],[Qtt]],AO42-TbTradesBinance[[#This Row],[Qtt]]),IF(TbTradesBinance[[#This Row],[Tipo]]="BUY",AO42-TbTradesBinance[[#This Row],[Qtt]]*TbTradesBinance[[#This Row],[Preço]],AO42+TbTradesBinance[[#This Row],[Qtt]]*TbTradesBinance[[#This Row],[Preço]])),AO42)-IF(TbTradesBinance[[#This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Row],[Tipo]]="DROP"),AO42+TbTradesBinance[[#This Row],[Qtt]],AO42-TbTradesBinance[[#This Row],[Qtt]]),IF(TbTradesBinance[[#This Row],[Tipo]]="BUY",AO42-TbTradesBinance[[#This Row],[Qtt]]*TbTradesBinance[[#This Row],[Preço]],AO42+TbTradesBinance[[#This Row],[Qtt]]*TbTradesBinance[[#This Row],[Preço]])),AO42)-IF(TbTradesBinance[[#This Row],[Moeda da Taxa]]=MID(AO$1,9,5),TbTradesBinance[[#This Row],[Taxa]],0),8)))</f>
        <v>0</v>
      </c>
      <c r="AP43" s="145" cm="1">
        <f t="array" ref="AP43">IF(TbTradesBinance[[#This Row],[Tipo]]="EMPTY",0,AP42+IF(TbTradesBinance[[#This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Row],[Par]]))),$1:$1,0)),-(AO42-AO43)/AO42*AP42),0),0)+IF(TbTradesBinance[[#This Row],[Tipo]]="SELL",IF(ISNUMBER(FIND(MID(AP$1,10,5),TbTradesBinance[[#This Row],[Par]])),IF(FIND(MID(AP$1,10,5),TbTradesBinance[[#This Row],[Par]])=1, -(AO42-AO43)/AO42*AP42,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Row],[Par]])),(-(AO42-AO43)/AO42*AP42)+IF(TbTradesBinance[[#This Row],[Resultado]]&gt;0,0,TbTradesBinance[[#This Row],[Taxa]]),0),0))</f>
        <v>0</v>
      </c>
      <c r="AQ43" s="145">
        <f t="shared" si="10"/>
        <v>0</v>
      </c>
      <c r="AR4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Row],[Tipo]]="DROP"),AR42+TbTradesBinance[[#This Row],[Qtt]],AR42-TbTradesBinance[[#This Row],[Qtt]]),IF(TbTradesBinance[[#This Row],[Tipo]]="BUY",AR42-TbTradesBinance[[#This Row],[Qtt]]*TbTradesBinance[[#This Row],[Preço]],AR42+TbTradesBinance[[#This Row],[Qtt]]*TbTradesBinance[[#This Row],[Preço]])),AR42)-IF(TbTradesBinance[[#This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Row],[Tipo]]="DROP"),AR42+TbTradesBinance[[#This Row],[Qtt]],AR42-TbTradesBinance[[#This Row],[Qtt]]),IF(TbTradesBinance[[#This Row],[Tipo]]="BUY",AR42-TbTradesBinance[[#This Row],[Qtt]]*TbTradesBinance[[#This Row],[Preço]],AR42+TbTradesBinance[[#This Row],[Qtt]]*TbTradesBinance[[#This Row],[Preço]])),AR42)-IF(TbTradesBinance[[#This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Row],[Tipo]]="DROP"),AR42+TbTradesBinance[[#This Row],[Qtt]],AR42-TbTradesBinance[[#This Row],[Qtt]]),IF(TbTradesBinance[[#This Row],[Tipo]]="BUY",AR42-TbTradesBinance[[#This Row],[Qtt]]*TbTradesBinance[[#This Row],[Preço]],AR42+TbTradesBinance[[#This Row],[Qtt]]*TbTradesBinance[[#This Row],[Preço]])),AR42)-IF(TbTradesBinance[[#This Row],[Moeda da Taxa]]=MID(AR$1,9,5),TbTradesBinance[[#This Row],[Taxa]],0),8)))</f>
        <v>0</v>
      </c>
      <c r="AS43" s="145" cm="1">
        <f t="array" ref="AS43">IF(TbTradesBinance[[#This Row],[Tipo]]="EMPTY",0,AS42+IF(TbTradesBinance[[#This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Row],[Par]]))),$1:$1,0)),-(AR42-AR43)/AR42*AS42),0),0)+IF(TbTradesBinance[[#This Row],[Tipo]]="SELL",IF(ISNUMBER(FIND(MID(AS$1,10,5),TbTradesBinance[[#This Row],[Par]])),IF(FIND(MID(AS$1,10,5),TbTradesBinance[[#This Row],[Par]])=1, -(AR42-AR43)/AR42*AS42,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Row],[Par]])),(-(AR42-AR43)/AR42*AS42)+IF(TbTradesBinance[[#This Row],[Resultado]]&gt;0,0,TbTradesBinance[[#This Row],[Taxa]]),0),0))</f>
        <v>0</v>
      </c>
      <c r="AT43" s="145">
        <f t="shared" si="11"/>
        <v>0</v>
      </c>
      <c r="AU4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Row],[Tipo]]="DROP"),AU42+TbTradesBinance[[#This Row],[Qtt]],AU42-TbTradesBinance[[#This Row],[Qtt]]),IF(TbTradesBinance[[#This Row],[Tipo]]="BUY",AU42-TbTradesBinance[[#This Row],[Qtt]]*TbTradesBinance[[#This Row],[Preço]],AU42+TbTradesBinance[[#This Row],[Qtt]]*TbTradesBinance[[#This Row],[Preço]])),AU42)-IF(TbTradesBinance[[#This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Row],[Tipo]]="DROP"),AU42+TbTradesBinance[[#This Row],[Qtt]],AU42-TbTradesBinance[[#This Row],[Qtt]]),IF(TbTradesBinance[[#This Row],[Tipo]]="BUY",AU42-TbTradesBinance[[#This Row],[Qtt]]*TbTradesBinance[[#This Row],[Preço]],AU42+TbTradesBinance[[#This Row],[Qtt]]*TbTradesBinance[[#This Row],[Preço]])),AU42)-IF(TbTradesBinance[[#This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Row],[Tipo]]="DROP"),AU42+TbTradesBinance[[#This Row],[Qtt]],AU42-TbTradesBinance[[#This Row],[Qtt]]),IF(TbTradesBinance[[#This Row],[Tipo]]="BUY",AU42-TbTradesBinance[[#This Row],[Qtt]]*TbTradesBinance[[#This Row],[Preço]],AU42+TbTradesBinance[[#This Row],[Qtt]]*TbTradesBinance[[#This Row],[Preço]])),AU42)-IF(TbTradesBinance[[#This Row],[Moeda da Taxa]]=MID(AU$1,9,5),TbTradesBinance[[#This Row],[Taxa]],0),8)))</f>
        <v>9.9900000000000003E-2</v>
      </c>
      <c r="AV43" s="145" cm="1">
        <f t="array" ref="AV43">IF(TbTradesBinance[[#This Row],[Tipo]]="EMPTY",0,AV42+IF(TbTradesBinance[[#This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Row],[Par]]))),$1:$1,0)),-(AU42-AU43)/AU42*AV42),0),0)+IF(TbTradesBinance[[#This Row],[Tipo]]="SELL",IF(ISNUMBER(FIND(MID(AV$1,10,5),TbTradesBinance[[#This Row],[Par]])),IF(FIND(MID(AV$1,10,5),TbTradesBinance[[#This Row],[Par]])=1, -(AU42-AU43)/AU42*AV42,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Row],[Par]])),(-(AU42-AU43)/AU42*AV42)+IF(TbTradesBinance[[#This Row],[Resultado]]&gt;0,0,TbTradesBinance[[#This Row],[Taxa]]),0),0))</f>
        <v>18.673922987511034</v>
      </c>
      <c r="AW43" s="145">
        <f t="shared" si="12"/>
        <v>186.92615603114149</v>
      </c>
      <c r="AX4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Row],[Tipo]]="DROP"),AX42+TbTradesBinance[[#This Row],[Qtt]],AX42-TbTradesBinance[[#This Row],[Qtt]]),IF(TbTradesBinance[[#This Row],[Tipo]]="BUY",AX42-TbTradesBinance[[#This Row],[Qtt]]*TbTradesBinance[[#This Row],[Preço]],AX42+TbTradesBinance[[#This Row],[Qtt]]*TbTradesBinance[[#This Row],[Preço]])),AX42)-IF(TbTradesBinance[[#This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Row],[Tipo]]="DROP"),AX42+TbTradesBinance[[#This Row],[Qtt]],AX42-TbTradesBinance[[#This Row],[Qtt]]),IF(TbTradesBinance[[#This Row],[Tipo]]="BUY",AX42-TbTradesBinance[[#This Row],[Qtt]]*TbTradesBinance[[#This Row],[Preço]],AX42+TbTradesBinance[[#This Row],[Qtt]]*TbTradesBinance[[#This Row],[Preço]])),AX42)-IF(TbTradesBinance[[#This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Row],[Tipo]]="DROP"),AX42+TbTradesBinance[[#This Row],[Qtt]],AX42-TbTradesBinance[[#This Row],[Qtt]]),IF(TbTradesBinance[[#This Row],[Tipo]]="BUY",AX42-TbTradesBinance[[#This Row],[Qtt]]*TbTradesBinance[[#This Row],[Preço]],AX42+TbTradesBinance[[#This Row],[Qtt]]*TbTradesBinance[[#This Row],[Preço]])),AX42)-IF(TbTradesBinance[[#This Row],[Moeda da Taxa]]=MID(AX$1,9,5),TbTradesBinance[[#This Row],[Taxa]],0),8)))</f>
        <v>0</v>
      </c>
      <c r="AY43" s="145" cm="1">
        <f t="array" ref="AY43">IF(TbTradesBinance[[#This Row],[Tipo]]="EMPTY",0,AY42+IF(TbTradesBinance[[#This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Row],[Par]]))),$1:$1,0)),-(AX42-AX43)/AX42*AY42),0),0)+IF(TbTradesBinance[[#This Row],[Tipo]]="SELL",IF(ISNUMBER(FIND(MID(AY$1,10,5),TbTradesBinance[[#This Row],[Par]])),IF(FIND(MID(AY$1,10,5),TbTradesBinance[[#This Row],[Par]])=1, -(AX42-AX43)/AX42*AY42,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Row],[Par]])),(-(AX42-AX43)/AX42*AY42)+IF(TbTradesBinance[[#This Row],[Resultado]]&gt;0,0,TbTradesBinance[[#This Row],[Taxa]]),0),0))</f>
        <v>0</v>
      </c>
      <c r="AZ43" s="145">
        <f t="shared" si="13"/>
        <v>0</v>
      </c>
      <c r="BA4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Row],[Tipo]]="DROP"),BA42+TbTradesBinance[[#This Row],[Qtt]],BA42-TbTradesBinance[[#This Row],[Qtt]]),IF(TbTradesBinance[[#This Row],[Tipo]]="BUY",BA42-TbTradesBinance[[#This Row],[Qtt]]*TbTradesBinance[[#This Row],[Preço]],BA42+TbTradesBinance[[#This Row],[Qtt]]*TbTradesBinance[[#This Row],[Preço]])),BA42)-IF(TbTradesBinance[[#This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Row],[Tipo]]="DROP"),BA42+TbTradesBinance[[#This Row],[Qtt]],BA42-TbTradesBinance[[#This Row],[Qtt]]),IF(TbTradesBinance[[#This Row],[Tipo]]="BUY",BA42-TbTradesBinance[[#This Row],[Qtt]]*TbTradesBinance[[#This Row],[Preço]],BA42+TbTradesBinance[[#This Row],[Qtt]]*TbTradesBinance[[#This Row],[Preço]])),BA42)-IF(TbTradesBinance[[#This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Row],[Tipo]]="DROP"),BA42+TbTradesBinance[[#This Row],[Qtt]],BA42-TbTradesBinance[[#This Row],[Qtt]]),IF(TbTradesBinance[[#This Row],[Tipo]]="BUY",BA42-TbTradesBinance[[#This Row],[Qtt]]*TbTradesBinance[[#This Row],[Preço]],BA42+TbTradesBinance[[#This Row],[Qtt]]*TbTradesBinance[[#This Row],[Preço]])),BA42)-IF(TbTradesBinance[[#This Row],[Moeda da Taxa]]=MID(BA$1,9,5),TbTradesBinance[[#This Row],[Taxa]],0),8)))</f>
        <v>0</v>
      </c>
      <c r="BB43" s="145" cm="1">
        <f t="array" ref="BB43">IF(TbTradesBinance[[#This Row],[Tipo]]="EMPTY",0,BB42+IF(TbTradesBinance[[#This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Row],[Par]]))),$1:$1,0)),-(BA42-BA43)/BA42*BB42),0),0)+IF(TbTradesBinance[[#This Row],[Tipo]]="SELL",IF(ISNUMBER(FIND(MID(BB$1,10,5),TbTradesBinance[[#This Row],[Par]])),IF(FIND(MID(BB$1,10,5),TbTradesBinance[[#This Row],[Par]])=1, -(BA42-BA43)/BA42*BB42,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Row],[Par]])),(-(BA42-BA43)/BA42*BB42)+IF(TbTradesBinance[[#This Row],[Resultado]]&gt;0,0,TbTradesBinance[[#This Row],[Taxa]]),0),0))</f>
        <v>0</v>
      </c>
      <c r="BC43" s="145">
        <f t="shared" si="14"/>
        <v>0</v>
      </c>
      <c r="BD4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Row],[Tipo]]="DROP"),BD42+TbTradesBinance[[#This Row],[Qtt]],BD42-TbTradesBinance[[#This Row],[Qtt]]),IF(TbTradesBinance[[#This Row],[Tipo]]="BUY",BD42-TbTradesBinance[[#This Row],[Qtt]]*TbTradesBinance[[#This Row],[Preço]],BD42+TbTradesBinance[[#This Row],[Qtt]]*TbTradesBinance[[#This Row],[Preço]])),BD42)-IF(TbTradesBinance[[#This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Row],[Tipo]]="DROP"),BD42+TbTradesBinance[[#This Row],[Qtt]],BD42-TbTradesBinance[[#This Row],[Qtt]]),IF(TbTradesBinance[[#This Row],[Tipo]]="BUY",BD42-TbTradesBinance[[#This Row],[Qtt]]*TbTradesBinance[[#This Row],[Preço]],BD42+TbTradesBinance[[#This Row],[Qtt]]*TbTradesBinance[[#This Row],[Preço]])),BD42)-IF(TbTradesBinance[[#This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Row],[Tipo]]="DROP"),BD42+TbTradesBinance[[#This Row],[Qtt]],BD42-TbTradesBinance[[#This Row],[Qtt]]),IF(TbTradesBinance[[#This Row],[Tipo]]="BUY",BD42-TbTradesBinance[[#This Row],[Qtt]]*TbTradesBinance[[#This Row],[Preço]],BD42+TbTradesBinance[[#This Row],[Qtt]]*TbTradesBinance[[#This Row],[Preço]])),BD42)-IF(TbTradesBinance[[#This Row],[Moeda da Taxa]]=MID(BD$1,9,5),TbTradesBinance[[#This Row],[Taxa]],0),8)))</f>
        <v>0.37962000000000001</v>
      </c>
      <c r="BE43" s="145" cm="1">
        <f t="array" ref="BE43">IF(TbTradesBinance[[#This Row],[Tipo]]="EMPTY",0,BE42+IF(TbTradesBinance[[#This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Row],[Par]]))),$1:$1,0)),-(BD42-BD43)/BD42*BE42),0),0)+IF(TbTradesBinance[[#This Row],[Tipo]]="SELL",IF(ISNUMBER(FIND(MID(BE$1,10,5),TbTradesBinance[[#This Row],[Par]])),IF(FIND(MID(BE$1,10,5),TbTradesBinance[[#This Row],[Par]])=1, -(BD42-BD43)/BD42*BE42,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Row],[Par]])),(-(BD42-BD43)/BD42*BE42)+IF(TbTradesBinance[[#This Row],[Resultado]]&gt;0,0,TbTradesBinance[[#This Row],[Taxa]]),0),0))</f>
        <v>63.647297001537943</v>
      </c>
      <c r="BF43" s="145">
        <f t="shared" si="15"/>
        <v>167.66054739354601</v>
      </c>
      <c r="BG4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Row],[Tipo]]="DROP"),BG42+TbTradesBinance[[#This Row],[Qtt]],BG42-TbTradesBinance[[#This Row],[Qtt]]),IF(TbTradesBinance[[#This Row],[Tipo]]="BUY",BG42-TbTradesBinance[[#This Row],[Qtt]]*TbTradesBinance[[#This Row],[Preço]],BG42+TbTradesBinance[[#This Row],[Qtt]]*TbTradesBinance[[#This Row],[Preço]])),BG42)-IF(TbTradesBinance[[#This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Row],[Tipo]]="DROP"),BG42+TbTradesBinance[[#This Row],[Qtt]],BG42-TbTradesBinance[[#This Row],[Qtt]]),IF(TbTradesBinance[[#This Row],[Tipo]]="BUY",BG42-TbTradesBinance[[#This Row],[Qtt]]*TbTradesBinance[[#This Row],[Preço]],BG42+TbTradesBinance[[#This Row],[Qtt]]*TbTradesBinance[[#This Row],[Preço]])),BG42)-IF(TbTradesBinance[[#This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Row],[Tipo]]="DROP"),BG42+TbTradesBinance[[#This Row],[Qtt]],BG42-TbTradesBinance[[#This Row],[Qtt]]),IF(TbTradesBinance[[#This Row],[Tipo]]="BUY",BG42-TbTradesBinance[[#This Row],[Qtt]]*TbTradesBinance[[#This Row],[Preço]],BG42+TbTradesBinance[[#This Row],[Qtt]]*TbTradesBinance[[#This Row],[Preço]])),BG42)-IF(TbTradesBinance[[#This Row],[Moeda da Taxa]]=MID(BG$1,9,5),TbTradesBinance[[#This Row],[Taxa]],0),8)))</f>
        <v>0</v>
      </c>
      <c r="BH43" s="145" cm="1">
        <f t="array" ref="BH43">IF(TbTradesBinance[[#This Row],[Tipo]]="EMPTY",0,BH42+IF(TbTradesBinance[[#This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Row],[Par]]))),$1:$1,0)),-(BG42-BG43)/BG42*BH42),0),0)+IF(TbTradesBinance[[#This Row],[Tipo]]="SELL",IF(ISNUMBER(FIND(MID(BH$1,10,5),TbTradesBinance[[#This Row],[Par]])),IF(FIND(MID(BH$1,10,5),TbTradesBinance[[#This Row],[Par]])=1, -(BG42-BG43)/BG42*BH42,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Row],[Par]])),(-(BG42-BG43)/BG42*BH42)+IF(TbTradesBinance[[#This Row],[Resultado]]&gt;0,0,TbTradesBinance[[#This Row],[Taxa]]),0),0))</f>
        <v>0</v>
      </c>
      <c r="BI43" s="145">
        <f t="shared" si="16"/>
        <v>0</v>
      </c>
      <c r="BJ4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Row],[Tipo]]="DROP"),BJ42+TbTradesBinance[[#This Row],[Qtt]],BJ42-TbTradesBinance[[#This Row],[Qtt]]),IF(TbTradesBinance[[#This Row],[Tipo]]="BUY",BJ42-TbTradesBinance[[#This Row],[Qtt]]*TbTradesBinance[[#This Row],[Preço]],BJ42+TbTradesBinance[[#This Row],[Qtt]]*TbTradesBinance[[#This Row],[Preço]])),BJ42)-IF(TbTradesBinance[[#This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Row],[Tipo]]="DROP"),BJ42+TbTradesBinance[[#This Row],[Qtt]],BJ42-TbTradesBinance[[#This Row],[Qtt]]),IF(TbTradesBinance[[#This Row],[Tipo]]="BUY",BJ42-TbTradesBinance[[#This Row],[Qtt]]*TbTradesBinance[[#This Row],[Preço]],BJ42+TbTradesBinance[[#This Row],[Qtt]]*TbTradesBinance[[#This Row],[Preço]])),BJ42)-IF(TbTradesBinance[[#This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Row],[Tipo]]="DROP"),BJ42+TbTradesBinance[[#This Row],[Qtt]],BJ42-TbTradesBinance[[#This Row],[Qtt]]),IF(TbTradesBinance[[#This Row],[Tipo]]="BUY",BJ42-TbTradesBinance[[#This Row],[Qtt]]*TbTradesBinance[[#This Row],[Preço]],BJ42+TbTradesBinance[[#This Row],[Qtt]]*TbTradesBinance[[#This Row],[Preço]])),BJ42)-IF(TbTradesBinance[[#This Row],[Moeda da Taxa]]=MID(BJ$1,9,5),TbTradesBinance[[#This Row],[Taxa]],0),8)))</f>
        <v>0</v>
      </c>
      <c r="BK43" s="145" cm="1">
        <f t="array" ref="BK43">IF(TbTradesBinance[[#This Row],[Tipo]]="EMPTY",0,BK42+IF(TbTradesBinance[[#This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Row],[Par]]))),$1:$1,0)),-(BJ42-BJ43)/BJ42*BK42),0),0)+IF(TbTradesBinance[[#This Row],[Tipo]]="SELL",IF(ISNUMBER(FIND(MID(BK$1,10,5),TbTradesBinance[[#This Row],[Par]])),IF(FIND(MID(BK$1,10,5),TbTradesBinance[[#This Row],[Par]])=1, -(BJ42-BJ43)/BJ42*BK42,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Row],[Par]])),(-(BJ42-BJ43)/BJ42*BK42)+IF(TbTradesBinance[[#This Row],[Resultado]]&gt;0,0,TbTradesBinance[[#This Row],[Taxa]]),0),0))</f>
        <v>0</v>
      </c>
      <c r="BL43" s="145">
        <f t="shared" si="17"/>
        <v>0</v>
      </c>
      <c r="BM4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Row],[Tipo]]="DROP"),BM42+TbTradesBinance[[#This Row],[Qtt]],BM42-TbTradesBinance[[#This Row],[Qtt]]),IF(TbTradesBinance[[#This Row],[Tipo]]="BUY",BM42-TbTradesBinance[[#This Row],[Qtt]]*TbTradesBinance[[#This Row],[Preço]],BM42+TbTradesBinance[[#This Row],[Qtt]]*TbTradesBinance[[#This Row],[Preço]])),BM42)-IF(TbTradesBinance[[#This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Row],[Tipo]]="DROP"),BM42+TbTradesBinance[[#This Row],[Qtt]],BM42-TbTradesBinance[[#This Row],[Qtt]]),IF(TbTradesBinance[[#This Row],[Tipo]]="BUY",BM42-TbTradesBinance[[#This Row],[Qtt]]*TbTradesBinance[[#This Row],[Preço]],BM42+TbTradesBinance[[#This Row],[Qtt]]*TbTradesBinance[[#This Row],[Preço]])),BM42)-IF(TbTradesBinance[[#This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Row],[Tipo]]="DROP"),BM42+TbTradesBinance[[#This Row],[Qtt]],BM42-TbTradesBinance[[#This Row],[Qtt]]),IF(TbTradesBinance[[#This Row],[Tipo]]="BUY",BM42-TbTradesBinance[[#This Row],[Qtt]]*TbTradesBinance[[#This Row],[Preço]],BM42+TbTradesBinance[[#This Row],[Qtt]]*TbTradesBinance[[#This Row],[Preço]])),BM42)-IF(TbTradesBinance[[#This Row],[Moeda da Taxa]]=MID(BM$1,9,5),TbTradesBinance[[#This Row],[Taxa]],0),8)))</f>
        <v>0</v>
      </c>
      <c r="BN43" s="145" cm="1">
        <f t="array" ref="BN43">IF(TbTradesBinance[[#This Row],[Tipo]]="EMPTY",0,BN42+IF(TbTradesBinance[[#This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Row],[Par]]))),$1:$1,0)),-(BM42-BM43)/BM42*BN42),0),0)+IF(TbTradesBinance[[#This Row],[Tipo]]="SELL",IF(ISNUMBER(FIND(MID(BN$1,10,5),TbTradesBinance[[#This Row],[Par]])),IF(FIND(MID(BN$1,10,5),TbTradesBinance[[#This Row],[Par]])=1, -(BM42-BM43)/BM42*BN42,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Row],[Par]])),(-(BM42-BM43)/BM42*BN42)+IF(TbTradesBinance[[#This Row],[Resultado]]&gt;0,0,TbTradesBinance[[#This Row],[Taxa]]),0),0))</f>
        <v>0</v>
      </c>
      <c r="BO43" s="145">
        <f t="shared" si="18"/>
        <v>0</v>
      </c>
    </row>
    <row r="44" spans="2:67" x14ac:dyDescent="0.3">
      <c r="B44" s="51"/>
      <c r="C44" s="40">
        <f>TRUNC(IF(AND(TbTradesBinance[[#This Row],[Tipo]]="SEND",TbTradesBinance[[#This Row],[Par]]="BRL"),TbTradesBinance[[#This Row],[Qtt]]*(1-P42)-IF(TbTradesBinance[[#This Row],[Moeda da Taxa]]="BRL",TbTradesBinance[[#This Row],[Taxa]],0),0)+IF(AND(TbTradesBinance[[#This Row],[Tipo]]="BURN",TbTradesBinance[[#This Row],[Par]]="BRL"),-TbTradesBinance[[#This Row],[Qtt]]*P42,0),2)</f>
        <v>0</v>
      </c>
      <c r="D44" s="53">
        <v>44262.921493055554</v>
      </c>
      <c r="E44" s="37" t="s">
        <v>138</v>
      </c>
      <c r="F44" s="47" t="s">
        <v>140</v>
      </c>
      <c r="G44" s="38">
        <v>292502</v>
      </c>
      <c r="H44" s="38">
        <v>3.4299999999999999E-4</v>
      </c>
      <c r="I44" s="38">
        <v>0</v>
      </c>
      <c r="J44" s="37" t="s">
        <v>50</v>
      </c>
      <c r="K44" s="52">
        <v>1</v>
      </c>
      <c r="L44" s="40">
        <f t="shared" si="0"/>
        <v>292502</v>
      </c>
      <c r="M44" s="40">
        <f>IF(OR(TbTradesBinance[[#This Row],[Tipo]]="BUY",TbTradesBinance[[#This Row],[Tipo]]="RECEIVE",TbTradesBinance[[#This Row],[Tipo]]="DROP"),L44*H44,-L44*H44)</f>
        <v>-100.328186</v>
      </c>
      <c r="N4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Row],[Tipo]]="DROP"),N43+TbTradesBinance[[#This Row],[Qtt]],N43-TbTradesBinance[[#This Row],[Qtt]]),IF(TbTradesBinance[[#This Row],[Tipo]]="BUY",N43-TbTradesBinance[[#This Row],[Qtt]]*TbTradesBinance[[#This Row],[Preço]],N43+TbTradesBinance[[#This Row],[Qtt]]*TbTradesBinance[[#This Row],[Preço]])),N43)-IF(TbTradesBinance[[#This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Row],[Tipo]]="DROP"),N43+TbTradesBinance[[#This Row],[Qtt]],N43-TbTradesBinance[[#This Row],[Qtt]]),IF(TbTradesBinance[[#This Row],[Tipo]]="BUY",N43-TbTradesBinance[[#This Row],[Qtt]]*TbTradesBinance[[#This Row],[Preço]],N43+TbTradesBinance[[#This Row],[Qtt]]*TbTradesBinance[[#This Row],[Preço]])),N43)-IF(TbTradesBinance[[#This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Row],[Tipo]]="DROP"),N43+TbTradesBinance[[#This Row],[Qtt]],N43-TbTradesBinance[[#This Row],[Qtt]]),IF(TbTradesBinance[[#This Row],[Tipo]]="BUY",N43-TbTradesBinance[[#This Row],[Qtt]]*TbTradesBinance[[#This Row],[Preço]],N43+TbTradesBinance[[#This Row],[Qtt]]*TbTradesBinance[[#This Row],[Preço]])),N43)-IF(TbTradesBinance[[#This Row],[Moeda da Taxa]]=MID(N$1,9,5),TbTradesBinance[[#This Row],[Taxa]],0),8)))</f>
        <v>119863.45423289</v>
      </c>
      <c r="O44" s="145" cm="1">
        <f t="array" ref="O44">IF(TbTradesBinance[[#This Row],[Tipo]]="EMPTY",0,O43+IF(TbTradesBinance[[#This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Row],[Par]]))),$1:$1,0)),-(N43-N44)/N43*O43),0),0)+IF(TbTradesBinance[[#This Row],[Tipo]]="SELL",IF(ISNUMBER(FIND(MID(O$1,10,5),TbTradesBinance[[#This Row],[Par]])),IF(FIND(MID(O$1,10,5),TbTradesBinance[[#This Row],[Par]])=1, -(N43-N44)/N43*O43,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Row],[Par]])),(-(N43-N44)/N43*O43)+IF(TbTradesBinance[[#This Row],[Resultado]]&gt;0,0,TbTradesBinance[[#This Row],[Taxa]]),0),0))</f>
        <v>119783.00097390189</v>
      </c>
      <c r="P44" s="145">
        <f t="shared" si="1"/>
        <v>0.99932879242048378</v>
      </c>
      <c r="Q4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Row],[Tipo]]="DROP"),Q43+TbTradesBinance[[#This Row],[Qtt]],Q43-TbTradesBinance[[#This Row],[Qtt]]),IF(TbTradesBinance[[#This Row],[Tipo]]="BUY",Q43-TbTradesBinance[[#This Row],[Qtt]]*TbTradesBinance[[#This Row],[Preço]],Q43+TbTradesBinance[[#This Row],[Qtt]]*TbTradesBinance[[#This Row],[Preço]])),Q43)-IF(TbTradesBinance[[#This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Row],[Tipo]]="DROP"),Q43+TbTradesBinance[[#This Row],[Qtt]],Q43-TbTradesBinance[[#This Row],[Qtt]]),IF(TbTradesBinance[[#This Row],[Tipo]]="BUY",Q43-TbTradesBinance[[#This Row],[Qtt]]*TbTradesBinance[[#This Row],[Preço]],Q43+TbTradesBinance[[#This Row],[Qtt]]*TbTradesBinance[[#This Row],[Preço]])),Q43)-IF(TbTradesBinance[[#This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Row],[Tipo]]="DROP"),Q43+TbTradesBinance[[#This Row],[Qtt]],Q43-TbTradesBinance[[#This Row],[Qtt]]),IF(TbTradesBinance[[#This Row],[Tipo]]="BUY",Q43-TbTradesBinance[[#This Row],[Qtt]]*TbTradesBinance[[#This Row],[Preço]],Q43+TbTradesBinance[[#This Row],[Qtt]]*TbTradesBinance[[#This Row],[Preço]])),Q43)-IF(TbTradesBinance[[#This Row],[Moeda da Taxa]]=MID(Q$1,9,5),TbTradesBinance[[#This Row],[Taxa]],0),8)))</f>
        <v>0.27732999000000003</v>
      </c>
      <c r="R44" s="145" cm="1">
        <f t="array" ref="R44">IF(TbTradesBinance[[#This Row],[Tipo]]="EMPTY",0,R43+IF(TbTradesBinance[[#This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Row],[Par]]))),$1:$1,0)),-(Q43-Q44)/Q43*R43),0),0)+IF(TbTradesBinance[[#This Row],[Tipo]]="SELL",IF(ISNUMBER(FIND(MID(R$1,10,5),TbTradesBinance[[#This Row],[Par]])),IF(FIND(MID(R$1,10,5),TbTradesBinance[[#This Row],[Par]])=1, -(Q43-Q44)/Q43*R43,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Row],[Par]])),(-(Q43-Q44)/Q43*R43)+IF(TbTradesBinance[[#This Row],[Resultado]]&gt;0,0,TbTradesBinance[[#This Row],[Taxa]]),0),0))</f>
        <v>1.5509449279899954</v>
      </c>
      <c r="S44" s="145">
        <f t="shared" si="2"/>
        <v>5.592416918163071</v>
      </c>
      <c r="T4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Row],[Tipo]]="DROP"),T43+TbTradesBinance[[#This Row],[Qtt]],T43-TbTradesBinance[[#This Row],[Qtt]]),IF(TbTradesBinance[[#This Row],[Tipo]]="BUY",T43-TbTradesBinance[[#This Row],[Qtt]]*TbTradesBinance[[#This Row],[Preço]],T43+TbTradesBinance[[#This Row],[Qtt]]*TbTradesBinance[[#This Row],[Preço]])),T43)-IF(TbTradesBinance[[#This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Row],[Tipo]]="DROP"),T43+TbTradesBinance[[#This Row],[Qtt]],T43-TbTradesBinance[[#This Row],[Qtt]]),IF(TbTradesBinance[[#This Row],[Tipo]]="BUY",T43-TbTradesBinance[[#This Row],[Qtt]]*TbTradesBinance[[#This Row],[Preço]],T43+TbTradesBinance[[#This Row],[Qtt]]*TbTradesBinance[[#This Row],[Preço]])),T43)-IF(TbTradesBinance[[#This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Row],[Tipo]]="DROP"),T43+TbTradesBinance[[#This Row],[Qtt]],T43-TbTradesBinance[[#This Row],[Qtt]]),IF(TbTradesBinance[[#This Row],[Tipo]]="BUY",T43-TbTradesBinance[[#This Row],[Qtt]]*TbTradesBinance[[#This Row],[Preço]],T43+TbTradesBinance[[#This Row],[Qtt]]*TbTradesBinance[[#This Row],[Preço]])),T43)-IF(TbTradesBinance[[#This Row],[Moeda da Taxa]]=MID(T$1,9,5),TbTradesBinance[[#This Row],[Taxa]],0),8)))</f>
        <v>199735.34867482999</v>
      </c>
      <c r="U44" s="145" cm="1">
        <f t="array" ref="U44">IF(TbTradesBinance[[#This Row],[Tipo]]="EMPTY",0,U43+IF(TbTradesBinance[[#This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Row],[Par]]))),$1:$1,0)),-(T43-T44)/T43*U43),0),0)+IF(TbTradesBinance[[#This Row],[Tipo]]="SELL",IF(ISNUMBER(FIND(MID(U$1,10,5),TbTradesBinance[[#This Row],[Par]])),IF(FIND(MID(U$1,10,5),TbTradesBinance[[#This Row],[Par]])=1, -(T43-T44)/T43*U43,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Row],[Par]])),(-(T43-T44)/T43*U43)+IF(TbTradesBinance[[#This Row],[Resultado]]&gt;0,0,TbTradesBinance[[#This Row],[Taxa]]),0),0))</f>
        <v>1328240.0716580662</v>
      </c>
      <c r="V44" s="145">
        <f t="shared" si="3"/>
        <v>6.6500000148719129</v>
      </c>
      <c r="W4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Row],[Tipo]]="DROP"),W43+TbTradesBinance[[#This Row],[Qtt]],W43-TbTradesBinance[[#This Row],[Qtt]]),IF(TbTradesBinance[[#This Row],[Tipo]]="BUY",W43-TbTradesBinance[[#This Row],[Qtt]]*TbTradesBinance[[#This Row],[Preço]],W43+TbTradesBinance[[#This Row],[Qtt]]*TbTradesBinance[[#This Row],[Preço]])),W43)-IF(TbTradesBinance[[#This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Row],[Tipo]]="DROP"),W43+TbTradesBinance[[#This Row],[Qtt]],W43-TbTradesBinance[[#This Row],[Qtt]]),IF(TbTradesBinance[[#This Row],[Tipo]]="BUY",W43-TbTradesBinance[[#This Row],[Qtt]]*TbTradesBinance[[#This Row],[Preço]],W43+TbTradesBinance[[#This Row],[Qtt]]*TbTradesBinance[[#This Row],[Preço]])),W43)-IF(TbTradesBinance[[#This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Row],[Tipo]]="DROP"),W43+TbTradesBinance[[#This Row],[Qtt]],W43-TbTradesBinance[[#This Row],[Qtt]]),IF(TbTradesBinance[[#This Row],[Tipo]]="BUY",W43-TbTradesBinance[[#This Row],[Qtt]]*TbTradesBinance[[#This Row],[Preço]],W43+TbTradesBinance[[#This Row],[Qtt]]*TbTradesBinance[[#This Row],[Preço]])),W43)-IF(TbTradesBinance[[#This Row],[Moeda da Taxa]]=MID(W$1,9,5),TbTradesBinance[[#This Row],[Taxa]],0),8)))</f>
        <v>1.5165700000000001E-3</v>
      </c>
      <c r="X44" s="145" cm="1">
        <f t="array" ref="X44">IF(TbTradesBinance[[#This Row],[Tipo]]="EMPTY",0,X43+IF(TbTradesBinance[[#This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Row],[Par]]))),$1:$1,0)),-(W43-W44)/W43*X43),0),0)+IF(TbTradesBinance[[#This Row],[Tipo]]="SELL",IF(ISNUMBER(FIND(MID(X$1,10,5),TbTradesBinance[[#This Row],[Par]])),IF(FIND(MID(X$1,10,5),TbTradesBinance[[#This Row],[Par]])=1, -(W43-W44)/W43*X43,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Row],[Par]])),(-(W43-W44)/W43*X43)+IF(TbTradesBinance[[#This Row],[Resultado]]&gt;0,0,TbTradesBinance[[#This Row],[Taxa]]),0),0))</f>
        <v>421.65401397198775</v>
      </c>
      <c r="Y44" s="145">
        <f t="shared" si="4"/>
        <v>278031.35626577586</v>
      </c>
      <c r="Z4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Row],[Tipo]]="DROP"),Z43+TbTradesBinance[[#This Row],[Qtt]],Z43-TbTradesBinance[[#This Row],[Qtt]]),IF(TbTradesBinance[[#This Row],[Tipo]]="BUY",Z43-TbTradesBinance[[#This Row],[Qtt]]*TbTradesBinance[[#This Row],[Preço]],Z43+TbTradesBinance[[#This Row],[Qtt]]*TbTradesBinance[[#This Row],[Preço]])),Z43)-IF(TbTradesBinance[[#This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Row],[Tipo]]="DROP"),Z43+TbTradesBinance[[#This Row],[Qtt]],Z43-TbTradesBinance[[#This Row],[Qtt]]),IF(TbTradesBinance[[#This Row],[Tipo]]="BUY",Z43-TbTradesBinance[[#This Row],[Qtt]]*TbTradesBinance[[#This Row],[Preço]],Z43+TbTradesBinance[[#This Row],[Qtt]]*TbTradesBinance[[#This Row],[Preço]])),Z43)-IF(TbTradesBinance[[#This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Row],[Tipo]]="DROP"),Z43+TbTradesBinance[[#This Row],[Qtt]],Z43-TbTradesBinance[[#This Row],[Qtt]]),IF(TbTradesBinance[[#This Row],[Tipo]]="BUY",Z43-TbTradesBinance[[#This Row],[Qtt]]*TbTradesBinance[[#This Row],[Preço]],Z43+TbTradesBinance[[#This Row],[Qtt]]*TbTradesBinance[[#This Row],[Preço]])),Z43)-IF(TbTradesBinance[[#This Row],[Moeda da Taxa]]=MID(Z$1,9,5),TbTradesBinance[[#This Row],[Taxa]],0),8)))</f>
        <v>0</v>
      </c>
      <c r="AA44" s="145" cm="1">
        <f t="array" ref="AA44">IF(TbTradesBinance[[#This Row],[Tipo]]="EMPTY",0,AA43+IF(TbTradesBinance[[#This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Row],[Par]]))),$1:$1,0)),-(Z43-Z44)/Z43*AA43),0),0)+IF(TbTradesBinance[[#This Row],[Tipo]]="SELL",IF(ISNUMBER(FIND(MID(AA$1,10,5),TbTradesBinance[[#This Row],[Par]])),IF(FIND(MID(AA$1,10,5),TbTradesBinance[[#This Row],[Par]])=1, -(Z43-Z44)/Z43*AA43,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Row],[Par]])),(-(Z43-Z44)/Z43*AA43)+IF(TbTradesBinance[[#This Row],[Resultado]]&gt;0,0,TbTradesBinance[[#This Row],[Taxa]]),0),0))</f>
        <v>0</v>
      </c>
      <c r="AB44" s="145">
        <f t="shared" si="5"/>
        <v>0</v>
      </c>
      <c r="AC4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Row],[Tipo]]="DROP"),AC43+TbTradesBinance[[#This Row],[Qtt]],AC43-TbTradesBinance[[#This Row],[Qtt]]),IF(TbTradesBinance[[#This Row],[Tipo]]="BUY",AC43-TbTradesBinance[[#This Row],[Qtt]]*TbTradesBinance[[#This Row],[Preço]],AC43+TbTradesBinance[[#This Row],[Qtt]]*TbTradesBinance[[#This Row],[Preço]])),AC43)-IF(TbTradesBinance[[#This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Row],[Tipo]]="DROP"),AC43+TbTradesBinance[[#This Row],[Qtt]],AC43-TbTradesBinance[[#This Row],[Qtt]]),IF(TbTradesBinance[[#This Row],[Tipo]]="BUY",AC43-TbTradesBinance[[#This Row],[Qtt]]*TbTradesBinance[[#This Row],[Preço]],AC43+TbTradesBinance[[#This Row],[Qtt]]*TbTradesBinance[[#This Row],[Preço]])),AC43)-IF(TbTradesBinance[[#This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Row],[Tipo]]="DROP"),AC43+TbTradesBinance[[#This Row],[Qtt]],AC43-TbTradesBinance[[#This Row],[Qtt]]),IF(TbTradesBinance[[#This Row],[Tipo]]="BUY",AC43-TbTradesBinance[[#This Row],[Qtt]]*TbTradesBinance[[#This Row],[Preço]],AC43+TbTradesBinance[[#This Row],[Qtt]]*TbTradesBinance[[#This Row],[Preço]])),AC43)-IF(TbTradesBinance[[#This Row],[Moeda da Taxa]]=MID(AC$1,9,5),TbTradesBinance[[#This Row],[Taxa]],0),8)))</f>
        <v>0</v>
      </c>
      <c r="AD44" s="145" cm="1">
        <f t="array" ref="AD44">IF(TbTradesBinance[[#This Row],[Tipo]]="EMPTY",0,AD43+IF(TbTradesBinance[[#This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Row],[Par]]))),$1:$1,0)),-(AC43-AC44)/AC43*AD43),0),0)+IF(TbTradesBinance[[#This Row],[Tipo]]="SELL",IF(ISNUMBER(FIND(MID(AD$1,10,5),TbTradesBinance[[#This Row],[Par]])),IF(FIND(MID(AD$1,10,5),TbTradesBinance[[#This Row],[Par]])=1, -(AC43-AC44)/AC43*AD43,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Row],[Par]])),(-(AC43-AC44)/AC43*AD43)+IF(TbTradesBinance[[#This Row],[Resultado]]&gt;0,0,TbTradesBinance[[#This Row],[Taxa]]),0),0))</f>
        <v>0</v>
      </c>
      <c r="AE44" s="145">
        <f t="shared" si="6"/>
        <v>0</v>
      </c>
      <c r="AF4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Row],[Tipo]]="DROP"),AF43+TbTradesBinance[[#This Row],[Qtt]],AF43-TbTradesBinance[[#This Row],[Qtt]]),IF(TbTradesBinance[[#This Row],[Tipo]]="BUY",AF43-TbTradesBinance[[#This Row],[Qtt]]*TbTradesBinance[[#This Row],[Preço]],AF43+TbTradesBinance[[#This Row],[Qtt]]*TbTradesBinance[[#This Row],[Preço]])),AF43)-IF(TbTradesBinance[[#This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Row],[Tipo]]="DROP"),AF43+TbTradesBinance[[#This Row],[Qtt]],AF43-TbTradesBinance[[#This Row],[Qtt]]),IF(TbTradesBinance[[#This Row],[Tipo]]="BUY",AF43-TbTradesBinance[[#This Row],[Qtt]]*TbTradesBinance[[#This Row],[Preço]],AF43+TbTradesBinance[[#This Row],[Qtt]]*TbTradesBinance[[#This Row],[Preço]])),AF43)-IF(TbTradesBinance[[#This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Row],[Tipo]]="DROP"),AF43+TbTradesBinance[[#This Row],[Qtt]],AF43-TbTradesBinance[[#This Row],[Qtt]]),IF(TbTradesBinance[[#This Row],[Tipo]]="BUY",AF43-TbTradesBinance[[#This Row],[Qtt]]*TbTradesBinance[[#This Row],[Preço]],AF43+TbTradesBinance[[#This Row],[Qtt]]*TbTradesBinance[[#This Row],[Preço]])),AF43)-IF(TbTradesBinance[[#This Row],[Moeda da Taxa]]=MID(AF$1,9,5),TbTradesBinance[[#This Row],[Taxa]],0),8)))</f>
        <v>0</v>
      </c>
      <c r="AG44" s="145" cm="1">
        <f t="array" ref="AG44">IF(TbTradesBinance[[#This Row],[Tipo]]="EMPTY",0,AG43+IF(TbTradesBinance[[#This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Row],[Par]]))),$1:$1,0)),-(AF43-AF44)/AF43*AG43),0),0)+IF(TbTradesBinance[[#This Row],[Tipo]]="SELL",IF(ISNUMBER(FIND(MID(AG$1,10,5),TbTradesBinance[[#This Row],[Par]])),IF(FIND(MID(AG$1,10,5),TbTradesBinance[[#This Row],[Par]])=1, -(AF43-AF44)/AF43*AG43,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Row],[Par]])),(-(AF43-AF44)/AF43*AG43)+IF(TbTradesBinance[[#This Row],[Resultado]]&gt;0,0,TbTradesBinance[[#This Row],[Taxa]]),0),0))</f>
        <v>0</v>
      </c>
      <c r="AH44" s="145">
        <f t="shared" si="7"/>
        <v>0</v>
      </c>
      <c r="AI4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Row],[Tipo]]="DROP"),AI43+TbTradesBinance[[#This Row],[Qtt]],AI43-TbTradesBinance[[#This Row],[Qtt]]),IF(TbTradesBinance[[#This Row],[Tipo]]="BUY",AI43-TbTradesBinance[[#This Row],[Qtt]]*TbTradesBinance[[#This Row],[Preço]],AI43+TbTradesBinance[[#This Row],[Qtt]]*TbTradesBinance[[#This Row],[Preço]])),AI43)-IF(TbTradesBinance[[#This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Row],[Tipo]]="DROP"),AI43+TbTradesBinance[[#This Row],[Qtt]],AI43-TbTradesBinance[[#This Row],[Qtt]]),IF(TbTradesBinance[[#This Row],[Tipo]]="BUY",AI43-TbTradesBinance[[#This Row],[Qtt]]*TbTradesBinance[[#This Row],[Preço]],AI43+TbTradesBinance[[#This Row],[Qtt]]*TbTradesBinance[[#This Row],[Preço]])),AI43)-IF(TbTradesBinance[[#This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Row],[Tipo]]="DROP"),AI43+TbTradesBinance[[#This Row],[Qtt]],AI43-TbTradesBinance[[#This Row],[Qtt]]),IF(TbTradesBinance[[#This Row],[Tipo]]="BUY",AI43-TbTradesBinance[[#This Row],[Qtt]]*TbTradesBinance[[#This Row],[Preço]],AI43+TbTradesBinance[[#This Row],[Qtt]]*TbTradesBinance[[#This Row],[Preço]])),AI43)-IF(TbTradesBinance[[#This Row],[Moeda da Taxa]]=MID(AI$1,9,5),TbTradesBinance[[#This Row],[Taxa]],0),8)))</f>
        <v>0</v>
      </c>
      <c r="AJ44" s="145" cm="1">
        <f t="array" ref="AJ44">IF(TbTradesBinance[[#This Row],[Tipo]]="EMPTY",0,AJ43+IF(TbTradesBinance[[#This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Row],[Par]]))),$1:$1,0)),-(AI43-AI44)/AI43*AJ43),0),0)+IF(TbTradesBinance[[#This Row],[Tipo]]="SELL",IF(ISNUMBER(FIND(MID(AJ$1,10,5),TbTradesBinance[[#This Row],[Par]])),IF(FIND(MID(AJ$1,10,5),TbTradesBinance[[#This Row],[Par]])=1, -(AI43-AI44)/AI43*AJ43,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Row],[Par]])),(-(AI43-AI44)/AI43*AJ43)+IF(TbTradesBinance[[#This Row],[Resultado]]&gt;0,0,TbTradesBinance[[#This Row],[Taxa]]),0),0))</f>
        <v>0</v>
      </c>
      <c r="AK44" s="145">
        <f t="shared" si="8"/>
        <v>0</v>
      </c>
      <c r="AL4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Row],[Tipo]]="DROP"),AL43+TbTradesBinance[[#This Row],[Qtt]],AL43-TbTradesBinance[[#This Row],[Qtt]]),IF(TbTradesBinance[[#This Row],[Tipo]]="BUY",AL43-TbTradesBinance[[#This Row],[Qtt]]*TbTradesBinance[[#This Row],[Preço]],AL43+TbTradesBinance[[#This Row],[Qtt]]*TbTradesBinance[[#This Row],[Preço]])),AL43)-IF(TbTradesBinance[[#This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Row],[Tipo]]="DROP"),AL43+TbTradesBinance[[#This Row],[Qtt]],AL43-TbTradesBinance[[#This Row],[Qtt]]),IF(TbTradesBinance[[#This Row],[Tipo]]="BUY",AL43-TbTradesBinance[[#This Row],[Qtt]]*TbTradesBinance[[#This Row],[Preço]],AL43+TbTradesBinance[[#This Row],[Qtt]]*TbTradesBinance[[#This Row],[Preço]])),AL43)-IF(TbTradesBinance[[#This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Row],[Tipo]]="DROP"),AL43+TbTradesBinance[[#This Row],[Qtt]],AL43-TbTradesBinance[[#This Row],[Qtt]]),IF(TbTradesBinance[[#This Row],[Tipo]]="BUY",AL43-TbTradesBinance[[#This Row],[Qtt]]*TbTradesBinance[[#This Row],[Preço]],AL43+TbTradesBinance[[#This Row],[Qtt]]*TbTradesBinance[[#This Row],[Preço]])),AL43)-IF(TbTradesBinance[[#This Row],[Moeda da Taxa]]=MID(AL$1,9,5),TbTradesBinance[[#This Row],[Taxa]],0),8)))</f>
        <v>0</v>
      </c>
      <c r="AM44" s="145" cm="1">
        <f t="array" ref="AM44">IF(TbTradesBinance[[#This Row],[Tipo]]="EMPTY",0,AM43+IF(TbTradesBinance[[#This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Row],[Par]]))),$1:$1,0)),-(AL43-AL44)/AL43*AM43),0),0)+IF(TbTradesBinance[[#This Row],[Tipo]]="SELL",IF(ISNUMBER(FIND(MID(AM$1,10,5),TbTradesBinance[[#This Row],[Par]])),IF(FIND(MID(AM$1,10,5),TbTradesBinance[[#This Row],[Par]])=1, -(AL43-AL44)/AL43*AM43,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Row],[Par]])),(-(AL43-AL44)/AL43*AM43)+IF(TbTradesBinance[[#This Row],[Resultado]]&gt;0,0,TbTradesBinance[[#This Row],[Taxa]]),0),0))</f>
        <v>0</v>
      </c>
      <c r="AN44" s="145">
        <f t="shared" si="9"/>
        <v>0</v>
      </c>
      <c r="AO4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Row],[Tipo]]="DROP"),AO43+TbTradesBinance[[#This Row],[Qtt]],AO43-TbTradesBinance[[#This Row],[Qtt]]),IF(TbTradesBinance[[#This Row],[Tipo]]="BUY",AO43-TbTradesBinance[[#This Row],[Qtt]]*TbTradesBinance[[#This Row],[Preço]],AO43+TbTradesBinance[[#This Row],[Qtt]]*TbTradesBinance[[#This Row],[Preço]])),AO43)-IF(TbTradesBinance[[#This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Row],[Tipo]]="DROP"),AO43+TbTradesBinance[[#This Row],[Qtt]],AO43-TbTradesBinance[[#This Row],[Qtt]]),IF(TbTradesBinance[[#This Row],[Tipo]]="BUY",AO43-TbTradesBinance[[#This Row],[Qtt]]*TbTradesBinance[[#This Row],[Preço]],AO43+TbTradesBinance[[#This Row],[Qtt]]*TbTradesBinance[[#This Row],[Preço]])),AO43)-IF(TbTradesBinance[[#This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Row],[Tipo]]="DROP"),AO43+TbTradesBinance[[#This Row],[Qtt]],AO43-TbTradesBinance[[#This Row],[Qtt]]),IF(TbTradesBinance[[#This Row],[Tipo]]="BUY",AO43-TbTradesBinance[[#This Row],[Qtt]]*TbTradesBinance[[#This Row],[Preço]],AO43+TbTradesBinance[[#This Row],[Qtt]]*TbTradesBinance[[#This Row],[Preço]])),AO43)-IF(TbTradesBinance[[#This Row],[Moeda da Taxa]]=MID(AO$1,9,5),TbTradesBinance[[#This Row],[Taxa]],0),8)))</f>
        <v>0</v>
      </c>
      <c r="AP44" s="145" cm="1">
        <f t="array" ref="AP44">IF(TbTradesBinance[[#This Row],[Tipo]]="EMPTY",0,AP43+IF(TbTradesBinance[[#This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Row],[Par]]))),$1:$1,0)),-(AO43-AO44)/AO43*AP43),0),0)+IF(TbTradesBinance[[#This Row],[Tipo]]="SELL",IF(ISNUMBER(FIND(MID(AP$1,10,5),TbTradesBinance[[#This Row],[Par]])),IF(FIND(MID(AP$1,10,5),TbTradesBinance[[#This Row],[Par]])=1, -(AO43-AO44)/AO43*AP43,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Row],[Par]])),(-(AO43-AO44)/AO43*AP43)+IF(TbTradesBinance[[#This Row],[Resultado]]&gt;0,0,TbTradesBinance[[#This Row],[Taxa]]),0),0))</f>
        <v>0</v>
      </c>
      <c r="AQ44" s="145">
        <f t="shared" si="10"/>
        <v>0</v>
      </c>
      <c r="AR4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Row],[Tipo]]="DROP"),AR43+TbTradesBinance[[#This Row],[Qtt]],AR43-TbTradesBinance[[#This Row],[Qtt]]),IF(TbTradesBinance[[#This Row],[Tipo]]="BUY",AR43-TbTradesBinance[[#This Row],[Qtt]]*TbTradesBinance[[#This Row],[Preço]],AR43+TbTradesBinance[[#This Row],[Qtt]]*TbTradesBinance[[#This Row],[Preço]])),AR43)-IF(TbTradesBinance[[#This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Row],[Tipo]]="DROP"),AR43+TbTradesBinance[[#This Row],[Qtt]],AR43-TbTradesBinance[[#This Row],[Qtt]]),IF(TbTradesBinance[[#This Row],[Tipo]]="BUY",AR43-TbTradesBinance[[#This Row],[Qtt]]*TbTradesBinance[[#This Row],[Preço]],AR43+TbTradesBinance[[#This Row],[Qtt]]*TbTradesBinance[[#This Row],[Preço]])),AR43)-IF(TbTradesBinance[[#This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Row],[Tipo]]="DROP"),AR43+TbTradesBinance[[#This Row],[Qtt]],AR43-TbTradesBinance[[#This Row],[Qtt]]),IF(TbTradesBinance[[#This Row],[Tipo]]="BUY",AR43-TbTradesBinance[[#This Row],[Qtt]]*TbTradesBinance[[#This Row],[Preço]],AR43+TbTradesBinance[[#This Row],[Qtt]]*TbTradesBinance[[#This Row],[Preço]])),AR43)-IF(TbTradesBinance[[#This Row],[Moeda da Taxa]]=MID(AR$1,9,5),TbTradesBinance[[#This Row],[Taxa]],0),8)))</f>
        <v>0</v>
      </c>
      <c r="AS44" s="145" cm="1">
        <f t="array" ref="AS44">IF(TbTradesBinance[[#This Row],[Tipo]]="EMPTY",0,AS43+IF(TbTradesBinance[[#This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Row],[Par]]))),$1:$1,0)),-(AR43-AR44)/AR43*AS43),0),0)+IF(TbTradesBinance[[#This Row],[Tipo]]="SELL",IF(ISNUMBER(FIND(MID(AS$1,10,5),TbTradesBinance[[#This Row],[Par]])),IF(FIND(MID(AS$1,10,5),TbTradesBinance[[#This Row],[Par]])=1, -(AR43-AR44)/AR43*AS43,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Row],[Par]])),(-(AR43-AR44)/AR43*AS43)+IF(TbTradesBinance[[#This Row],[Resultado]]&gt;0,0,TbTradesBinance[[#This Row],[Taxa]]),0),0))</f>
        <v>0</v>
      </c>
      <c r="AT44" s="145">
        <f t="shared" si="11"/>
        <v>0</v>
      </c>
      <c r="AU4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Row],[Tipo]]="DROP"),AU43+TbTradesBinance[[#This Row],[Qtt]],AU43-TbTradesBinance[[#This Row],[Qtt]]),IF(TbTradesBinance[[#This Row],[Tipo]]="BUY",AU43-TbTradesBinance[[#This Row],[Qtt]]*TbTradesBinance[[#This Row],[Preço]],AU43+TbTradesBinance[[#This Row],[Qtt]]*TbTradesBinance[[#This Row],[Preço]])),AU43)-IF(TbTradesBinance[[#This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Row],[Tipo]]="DROP"),AU43+TbTradesBinance[[#This Row],[Qtt]],AU43-TbTradesBinance[[#This Row],[Qtt]]),IF(TbTradesBinance[[#This Row],[Tipo]]="BUY",AU43-TbTradesBinance[[#This Row],[Qtt]]*TbTradesBinance[[#This Row],[Preço]],AU43+TbTradesBinance[[#This Row],[Qtt]]*TbTradesBinance[[#This Row],[Preço]])),AU43)-IF(TbTradesBinance[[#This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Row],[Tipo]]="DROP"),AU43+TbTradesBinance[[#This Row],[Qtt]],AU43-TbTradesBinance[[#This Row],[Qtt]]),IF(TbTradesBinance[[#This Row],[Tipo]]="BUY",AU43-TbTradesBinance[[#This Row],[Qtt]]*TbTradesBinance[[#This Row],[Preço]],AU43+TbTradesBinance[[#This Row],[Qtt]]*TbTradesBinance[[#This Row],[Preço]])),AU43)-IF(TbTradesBinance[[#This Row],[Moeda da Taxa]]=MID(AU$1,9,5),TbTradesBinance[[#This Row],[Taxa]],0),8)))</f>
        <v>9.9900000000000003E-2</v>
      </c>
      <c r="AV44" s="145" cm="1">
        <f t="array" ref="AV44">IF(TbTradesBinance[[#This Row],[Tipo]]="EMPTY",0,AV43+IF(TbTradesBinance[[#This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Row],[Par]]))),$1:$1,0)),-(AU43-AU44)/AU43*AV43),0),0)+IF(TbTradesBinance[[#This Row],[Tipo]]="SELL",IF(ISNUMBER(FIND(MID(AV$1,10,5),TbTradesBinance[[#This Row],[Par]])),IF(FIND(MID(AV$1,10,5),TbTradesBinance[[#This Row],[Par]])=1, -(AU43-AU44)/AU43*AV43,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Row],[Par]])),(-(AU43-AU44)/AU43*AV43)+IF(TbTradesBinance[[#This Row],[Resultado]]&gt;0,0,TbTradesBinance[[#This Row],[Taxa]]),0),0))</f>
        <v>18.673922987511034</v>
      </c>
      <c r="AW44" s="145">
        <f t="shared" si="12"/>
        <v>186.92615603114149</v>
      </c>
      <c r="AX4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Row],[Tipo]]="DROP"),AX43+TbTradesBinance[[#This Row],[Qtt]],AX43-TbTradesBinance[[#This Row],[Qtt]]),IF(TbTradesBinance[[#This Row],[Tipo]]="BUY",AX43-TbTradesBinance[[#This Row],[Qtt]]*TbTradesBinance[[#This Row],[Preço]],AX43+TbTradesBinance[[#This Row],[Qtt]]*TbTradesBinance[[#This Row],[Preço]])),AX43)-IF(TbTradesBinance[[#This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Row],[Tipo]]="DROP"),AX43+TbTradesBinance[[#This Row],[Qtt]],AX43-TbTradesBinance[[#This Row],[Qtt]]),IF(TbTradesBinance[[#This Row],[Tipo]]="BUY",AX43-TbTradesBinance[[#This Row],[Qtt]]*TbTradesBinance[[#This Row],[Preço]],AX43+TbTradesBinance[[#This Row],[Qtt]]*TbTradesBinance[[#This Row],[Preço]])),AX43)-IF(TbTradesBinance[[#This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Row],[Tipo]]="DROP"),AX43+TbTradesBinance[[#This Row],[Qtt]],AX43-TbTradesBinance[[#This Row],[Qtt]]),IF(TbTradesBinance[[#This Row],[Tipo]]="BUY",AX43-TbTradesBinance[[#This Row],[Qtt]]*TbTradesBinance[[#This Row],[Preço]],AX43+TbTradesBinance[[#This Row],[Qtt]]*TbTradesBinance[[#This Row],[Preço]])),AX43)-IF(TbTradesBinance[[#This Row],[Moeda da Taxa]]=MID(AX$1,9,5),TbTradesBinance[[#This Row],[Taxa]],0),8)))</f>
        <v>0</v>
      </c>
      <c r="AY44" s="145" cm="1">
        <f t="array" ref="AY44">IF(TbTradesBinance[[#This Row],[Tipo]]="EMPTY",0,AY43+IF(TbTradesBinance[[#This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Row],[Par]]))),$1:$1,0)),-(AX43-AX44)/AX43*AY43),0),0)+IF(TbTradesBinance[[#This Row],[Tipo]]="SELL",IF(ISNUMBER(FIND(MID(AY$1,10,5),TbTradesBinance[[#This Row],[Par]])),IF(FIND(MID(AY$1,10,5),TbTradesBinance[[#This Row],[Par]])=1, -(AX43-AX44)/AX43*AY43,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Row],[Par]])),(-(AX43-AX44)/AX43*AY43)+IF(TbTradesBinance[[#This Row],[Resultado]]&gt;0,0,TbTradesBinance[[#This Row],[Taxa]]),0),0))</f>
        <v>0</v>
      </c>
      <c r="AZ44" s="145">
        <f t="shared" si="13"/>
        <v>0</v>
      </c>
      <c r="BA4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Row],[Tipo]]="DROP"),BA43+TbTradesBinance[[#This Row],[Qtt]],BA43-TbTradesBinance[[#This Row],[Qtt]]),IF(TbTradesBinance[[#This Row],[Tipo]]="BUY",BA43-TbTradesBinance[[#This Row],[Qtt]]*TbTradesBinance[[#This Row],[Preço]],BA43+TbTradesBinance[[#This Row],[Qtt]]*TbTradesBinance[[#This Row],[Preço]])),BA43)-IF(TbTradesBinance[[#This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Row],[Tipo]]="DROP"),BA43+TbTradesBinance[[#This Row],[Qtt]],BA43-TbTradesBinance[[#This Row],[Qtt]]),IF(TbTradesBinance[[#This Row],[Tipo]]="BUY",BA43-TbTradesBinance[[#This Row],[Qtt]]*TbTradesBinance[[#This Row],[Preço]],BA43+TbTradesBinance[[#This Row],[Qtt]]*TbTradesBinance[[#This Row],[Preço]])),BA43)-IF(TbTradesBinance[[#This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Row],[Tipo]]="DROP"),BA43+TbTradesBinance[[#This Row],[Qtt]],BA43-TbTradesBinance[[#This Row],[Qtt]]),IF(TbTradesBinance[[#This Row],[Tipo]]="BUY",BA43-TbTradesBinance[[#This Row],[Qtt]]*TbTradesBinance[[#This Row],[Preço]],BA43+TbTradesBinance[[#This Row],[Qtt]]*TbTradesBinance[[#This Row],[Preço]])),BA43)-IF(TbTradesBinance[[#This Row],[Moeda da Taxa]]=MID(BA$1,9,5),TbTradesBinance[[#This Row],[Taxa]],0),8)))</f>
        <v>0</v>
      </c>
      <c r="BB44" s="145" cm="1">
        <f t="array" ref="BB44">IF(TbTradesBinance[[#This Row],[Tipo]]="EMPTY",0,BB43+IF(TbTradesBinance[[#This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Row],[Par]]))),$1:$1,0)),-(BA43-BA44)/BA43*BB43),0),0)+IF(TbTradesBinance[[#This Row],[Tipo]]="SELL",IF(ISNUMBER(FIND(MID(BB$1,10,5),TbTradesBinance[[#This Row],[Par]])),IF(FIND(MID(BB$1,10,5),TbTradesBinance[[#This Row],[Par]])=1, -(BA43-BA44)/BA43*BB43,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Row],[Par]])),(-(BA43-BA44)/BA43*BB43)+IF(TbTradesBinance[[#This Row],[Resultado]]&gt;0,0,TbTradesBinance[[#This Row],[Taxa]]),0),0))</f>
        <v>0</v>
      </c>
      <c r="BC44" s="145">
        <f t="shared" si="14"/>
        <v>0</v>
      </c>
      <c r="BD4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Row],[Tipo]]="DROP"),BD43+TbTradesBinance[[#This Row],[Qtt]],BD43-TbTradesBinance[[#This Row],[Qtt]]),IF(TbTradesBinance[[#This Row],[Tipo]]="BUY",BD43-TbTradesBinance[[#This Row],[Qtt]]*TbTradesBinance[[#This Row],[Preço]],BD43+TbTradesBinance[[#This Row],[Qtt]]*TbTradesBinance[[#This Row],[Preço]])),BD43)-IF(TbTradesBinance[[#This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Row],[Tipo]]="DROP"),BD43+TbTradesBinance[[#This Row],[Qtt]],BD43-TbTradesBinance[[#This Row],[Qtt]]),IF(TbTradesBinance[[#This Row],[Tipo]]="BUY",BD43-TbTradesBinance[[#This Row],[Qtt]]*TbTradesBinance[[#This Row],[Preço]],BD43+TbTradesBinance[[#This Row],[Qtt]]*TbTradesBinance[[#This Row],[Preço]])),BD43)-IF(TbTradesBinance[[#This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Row],[Tipo]]="DROP"),BD43+TbTradesBinance[[#This Row],[Qtt]],BD43-TbTradesBinance[[#This Row],[Qtt]]),IF(TbTradesBinance[[#This Row],[Tipo]]="BUY",BD43-TbTradesBinance[[#This Row],[Qtt]]*TbTradesBinance[[#This Row],[Preço]],BD43+TbTradesBinance[[#This Row],[Qtt]]*TbTradesBinance[[#This Row],[Preço]])),BD43)-IF(TbTradesBinance[[#This Row],[Moeda da Taxa]]=MID(BD$1,9,5),TbTradesBinance[[#This Row],[Taxa]],0),8)))</f>
        <v>0.37962000000000001</v>
      </c>
      <c r="BE44" s="145" cm="1">
        <f t="array" ref="BE44">IF(TbTradesBinance[[#This Row],[Tipo]]="EMPTY",0,BE43+IF(TbTradesBinance[[#This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Row],[Par]]))),$1:$1,0)),-(BD43-BD44)/BD43*BE43),0),0)+IF(TbTradesBinance[[#This Row],[Tipo]]="SELL",IF(ISNUMBER(FIND(MID(BE$1,10,5),TbTradesBinance[[#This Row],[Par]])),IF(FIND(MID(BE$1,10,5),TbTradesBinance[[#This Row],[Par]])=1, -(BD43-BD44)/BD43*BE43,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Row],[Par]])),(-(BD43-BD44)/BD43*BE43)+IF(TbTradesBinance[[#This Row],[Resultado]]&gt;0,0,TbTradesBinance[[#This Row],[Taxa]]),0),0))</f>
        <v>63.647297001537943</v>
      </c>
      <c r="BF44" s="145">
        <f t="shared" si="15"/>
        <v>167.66054739354601</v>
      </c>
      <c r="BG4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Row],[Tipo]]="DROP"),BG43+TbTradesBinance[[#This Row],[Qtt]],BG43-TbTradesBinance[[#This Row],[Qtt]]),IF(TbTradesBinance[[#This Row],[Tipo]]="BUY",BG43-TbTradesBinance[[#This Row],[Qtt]]*TbTradesBinance[[#This Row],[Preço]],BG43+TbTradesBinance[[#This Row],[Qtt]]*TbTradesBinance[[#This Row],[Preço]])),BG43)-IF(TbTradesBinance[[#This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Row],[Tipo]]="DROP"),BG43+TbTradesBinance[[#This Row],[Qtt]],BG43-TbTradesBinance[[#This Row],[Qtt]]),IF(TbTradesBinance[[#This Row],[Tipo]]="BUY",BG43-TbTradesBinance[[#This Row],[Qtt]]*TbTradesBinance[[#This Row],[Preço]],BG43+TbTradesBinance[[#This Row],[Qtt]]*TbTradesBinance[[#This Row],[Preço]])),BG43)-IF(TbTradesBinance[[#This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Row],[Tipo]]="DROP"),BG43+TbTradesBinance[[#This Row],[Qtt]],BG43-TbTradesBinance[[#This Row],[Qtt]]),IF(TbTradesBinance[[#This Row],[Tipo]]="BUY",BG43-TbTradesBinance[[#This Row],[Qtt]]*TbTradesBinance[[#This Row],[Preço]],BG43+TbTradesBinance[[#This Row],[Qtt]]*TbTradesBinance[[#This Row],[Preço]])),BG43)-IF(TbTradesBinance[[#This Row],[Moeda da Taxa]]=MID(BG$1,9,5),TbTradesBinance[[#This Row],[Taxa]],0),8)))</f>
        <v>0</v>
      </c>
      <c r="BH44" s="145" cm="1">
        <f t="array" ref="BH44">IF(TbTradesBinance[[#This Row],[Tipo]]="EMPTY",0,BH43+IF(TbTradesBinance[[#This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Row],[Par]]))),$1:$1,0)),-(BG43-BG44)/BG43*BH43),0),0)+IF(TbTradesBinance[[#This Row],[Tipo]]="SELL",IF(ISNUMBER(FIND(MID(BH$1,10,5),TbTradesBinance[[#This Row],[Par]])),IF(FIND(MID(BH$1,10,5),TbTradesBinance[[#This Row],[Par]])=1, -(BG43-BG44)/BG43*BH43,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Row],[Par]])),(-(BG43-BG44)/BG43*BH43)+IF(TbTradesBinance[[#This Row],[Resultado]]&gt;0,0,TbTradesBinance[[#This Row],[Taxa]]),0),0))</f>
        <v>0</v>
      </c>
      <c r="BI44" s="145">
        <f t="shared" si="16"/>
        <v>0</v>
      </c>
      <c r="BJ4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Row],[Tipo]]="DROP"),BJ43+TbTradesBinance[[#This Row],[Qtt]],BJ43-TbTradesBinance[[#This Row],[Qtt]]),IF(TbTradesBinance[[#This Row],[Tipo]]="BUY",BJ43-TbTradesBinance[[#This Row],[Qtt]]*TbTradesBinance[[#This Row],[Preço]],BJ43+TbTradesBinance[[#This Row],[Qtt]]*TbTradesBinance[[#This Row],[Preço]])),BJ43)-IF(TbTradesBinance[[#This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Row],[Tipo]]="DROP"),BJ43+TbTradesBinance[[#This Row],[Qtt]],BJ43-TbTradesBinance[[#This Row],[Qtt]]),IF(TbTradesBinance[[#This Row],[Tipo]]="BUY",BJ43-TbTradesBinance[[#This Row],[Qtt]]*TbTradesBinance[[#This Row],[Preço]],BJ43+TbTradesBinance[[#This Row],[Qtt]]*TbTradesBinance[[#This Row],[Preço]])),BJ43)-IF(TbTradesBinance[[#This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Row],[Tipo]]="DROP"),BJ43+TbTradesBinance[[#This Row],[Qtt]],BJ43-TbTradesBinance[[#This Row],[Qtt]]),IF(TbTradesBinance[[#This Row],[Tipo]]="BUY",BJ43-TbTradesBinance[[#This Row],[Qtt]]*TbTradesBinance[[#This Row],[Preço]],BJ43+TbTradesBinance[[#This Row],[Qtt]]*TbTradesBinance[[#This Row],[Preço]])),BJ43)-IF(TbTradesBinance[[#This Row],[Moeda da Taxa]]=MID(BJ$1,9,5),TbTradesBinance[[#This Row],[Taxa]],0),8)))</f>
        <v>0</v>
      </c>
      <c r="BK44" s="145" cm="1">
        <f t="array" ref="BK44">IF(TbTradesBinance[[#This Row],[Tipo]]="EMPTY",0,BK43+IF(TbTradesBinance[[#This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Row],[Par]]))),$1:$1,0)),-(BJ43-BJ44)/BJ43*BK43),0),0)+IF(TbTradesBinance[[#This Row],[Tipo]]="SELL",IF(ISNUMBER(FIND(MID(BK$1,10,5),TbTradesBinance[[#This Row],[Par]])),IF(FIND(MID(BK$1,10,5),TbTradesBinance[[#This Row],[Par]])=1, -(BJ43-BJ44)/BJ43*BK43,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Row],[Par]])),(-(BJ43-BJ44)/BJ43*BK43)+IF(TbTradesBinance[[#This Row],[Resultado]]&gt;0,0,TbTradesBinance[[#This Row],[Taxa]]),0),0))</f>
        <v>0</v>
      </c>
      <c r="BL44" s="145">
        <f t="shared" si="17"/>
        <v>0</v>
      </c>
      <c r="BM4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Row],[Tipo]]="DROP"),BM43+TbTradesBinance[[#This Row],[Qtt]],BM43-TbTradesBinance[[#This Row],[Qtt]]),IF(TbTradesBinance[[#This Row],[Tipo]]="BUY",BM43-TbTradesBinance[[#This Row],[Qtt]]*TbTradesBinance[[#This Row],[Preço]],BM43+TbTradesBinance[[#This Row],[Qtt]]*TbTradesBinance[[#This Row],[Preço]])),BM43)-IF(TbTradesBinance[[#This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Row],[Tipo]]="DROP"),BM43+TbTradesBinance[[#This Row],[Qtt]],BM43-TbTradesBinance[[#This Row],[Qtt]]),IF(TbTradesBinance[[#This Row],[Tipo]]="BUY",BM43-TbTradesBinance[[#This Row],[Qtt]]*TbTradesBinance[[#This Row],[Preço]],BM43+TbTradesBinance[[#This Row],[Qtt]]*TbTradesBinance[[#This Row],[Preço]])),BM43)-IF(TbTradesBinance[[#This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Row],[Tipo]]="DROP"),BM43+TbTradesBinance[[#This Row],[Qtt]],BM43-TbTradesBinance[[#This Row],[Qtt]]),IF(TbTradesBinance[[#This Row],[Tipo]]="BUY",BM43-TbTradesBinance[[#This Row],[Qtt]]*TbTradesBinance[[#This Row],[Preço]],BM43+TbTradesBinance[[#This Row],[Qtt]]*TbTradesBinance[[#This Row],[Preço]])),BM43)-IF(TbTradesBinance[[#This Row],[Moeda da Taxa]]=MID(BM$1,9,5),TbTradesBinance[[#This Row],[Taxa]],0),8)))</f>
        <v>0</v>
      </c>
      <c r="BN44" s="145" cm="1">
        <f t="array" ref="BN44">IF(TbTradesBinance[[#This Row],[Tipo]]="EMPTY",0,BN43+IF(TbTradesBinance[[#This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Row],[Par]]))),$1:$1,0)),-(BM43-BM44)/BM43*BN43),0),0)+IF(TbTradesBinance[[#This Row],[Tipo]]="SELL",IF(ISNUMBER(FIND(MID(BN$1,10,5),TbTradesBinance[[#This Row],[Par]])),IF(FIND(MID(BN$1,10,5),TbTradesBinance[[#This Row],[Par]])=1, -(BM43-BM44)/BM43*BN43,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Row],[Par]])),(-(BM43-BM44)/BM43*BN43)+IF(TbTradesBinance[[#This Row],[Resultado]]&gt;0,0,TbTradesBinance[[#This Row],[Taxa]]),0),0))</f>
        <v>0</v>
      </c>
      <c r="BO44" s="145">
        <f t="shared" si="18"/>
        <v>0</v>
      </c>
    </row>
    <row r="45" spans="2:67" x14ac:dyDescent="0.3">
      <c r="B45" s="51"/>
      <c r="C45" s="40">
        <f>TRUNC(IF(AND(TbTradesBinance[[#This Row],[Tipo]]="SEND",TbTradesBinance[[#This Row],[Par]]="BRL"),TbTradesBinance[[#This Row],[Qtt]]*(1-P43)-IF(TbTradesBinance[[#This Row],[Moeda da Taxa]]="BRL",TbTradesBinance[[#This Row],[Taxa]],0),0)+IF(AND(TbTradesBinance[[#This Row],[Tipo]]="BURN",TbTradesBinance[[#This Row],[Par]]="BRL"),-TbTradesBinance[[#This Row],[Qtt]]*P43,0),2)</f>
        <v>0</v>
      </c>
      <c r="D45" s="53">
        <v>44263.728182870371</v>
      </c>
      <c r="E45" s="37" t="s">
        <v>242</v>
      </c>
      <c r="F45" s="47" t="s">
        <v>139</v>
      </c>
      <c r="G45" s="38">
        <v>2.1699999999999999E-5</v>
      </c>
      <c r="H45" s="38">
        <v>10</v>
      </c>
      <c r="I45" s="38">
        <v>0.01</v>
      </c>
      <c r="J45" s="37" t="s">
        <v>43</v>
      </c>
      <c r="K45" s="52">
        <v>303373</v>
      </c>
      <c r="L45" s="40">
        <f t="shared" si="0"/>
        <v>6.58</v>
      </c>
      <c r="M45" s="40">
        <f>IF(OR(TbTradesBinance[[#This Row],[Tipo]]="BUY",TbTradesBinance[[#This Row],[Tipo]]="RECEIVE",TbTradesBinance[[#This Row],[Tipo]]="DROP"),L45*H45,-L45*H45)</f>
        <v>65.8</v>
      </c>
      <c r="N4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Row],[Tipo]]="DROP"),N44+TbTradesBinance[[#This Row],[Qtt]],N44-TbTradesBinance[[#This Row],[Qtt]]),IF(TbTradesBinance[[#This Row],[Tipo]]="BUY",N44-TbTradesBinance[[#This Row],[Qtt]]*TbTradesBinance[[#This Row],[Preço]],N44+TbTradesBinance[[#This Row],[Qtt]]*TbTradesBinance[[#This Row],[Preço]])),N44)-IF(TbTradesBinance[[#This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Row],[Tipo]]="DROP"),N44+TbTradesBinance[[#This Row],[Qtt]],N44-TbTradesBinance[[#This Row],[Qtt]]),IF(TbTradesBinance[[#This Row],[Tipo]]="BUY",N44-TbTradesBinance[[#This Row],[Qtt]]*TbTradesBinance[[#This Row],[Preço]],N44+TbTradesBinance[[#This Row],[Qtt]]*TbTradesBinance[[#This Row],[Preço]])),N44)-IF(TbTradesBinance[[#This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Row],[Tipo]]="DROP"),N44+TbTradesBinance[[#This Row],[Qtt]],N44-TbTradesBinance[[#This Row],[Qtt]]),IF(TbTradesBinance[[#This Row],[Tipo]]="BUY",N44-TbTradesBinance[[#This Row],[Qtt]]*TbTradesBinance[[#This Row],[Preço]],N44+TbTradesBinance[[#This Row],[Qtt]]*TbTradesBinance[[#This Row],[Preço]])),N44)-IF(TbTradesBinance[[#This Row],[Moeda da Taxa]]=MID(N$1,9,5),TbTradesBinance[[#This Row],[Taxa]],0),8)))</f>
        <v>119863.45423289</v>
      </c>
      <c r="O45" s="145" cm="1">
        <f t="array" ref="O45">IF(TbTradesBinance[[#This Row],[Tipo]]="EMPTY",0,O44+IF(TbTradesBinance[[#This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Row],[Par]]))),$1:$1,0)),-(N44-N45)/N44*O44),0),0)+IF(TbTradesBinance[[#This Row],[Tipo]]="SELL",IF(ISNUMBER(FIND(MID(O$1,10,5),TbTradesBinance[[#This Row],[Par]])),IF(FIND(MID(O$1,10,5),TbTradesBinance[[#This Row],[Par]])=1, -(N44-N45)/N44*O44,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Row],[Par]])),(-(N44-N45)/N44*O44)+IF(TbTradesBinance[[#This Row],[Resultado]]&gt;0,0,TbTradesBinance[[#This Row],[Taxa]]),0),0))</f>
        <v>119783.00097390189</v>
      </c>
      <c r="P45" s="145">
        <f t="shared" si="1"/>
        <v>0.99932879242048378</v>
      </c>
      <c r="Q4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Row],[Tipo]]="DROP"),Q44+TbTradesBinance[[#This Row],[Qtt]],Q44-TbTradesBinance[[#This Row],[Qtt]]),IF(TbTradesBinance[[#This Row],[Tipo]]="BUY",Q44-TbTradesBinance[[#This Row],[Qtt]]*TbTradesBinance[[#This Row],[Preço]],Q44+TbTradesBinance[[#This Row],[Qtt]]*TbTradesBinance[[#This Row],[Preço]])),Q44)-IF(TbTradesBinance[[#This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Row],[Tipo]]="DROP"),Q44+TbTradesBinance[[#This Row],[Qtt]],Q44-TbTradesBinance[[#This Row],[Qtt]]),IF(TbTradesBinance[[#This Row],[Tipo]]="BUY",Q44-TbTradesBinance[[#This Row],[Qtt]]*TbTradesBinance[[#This Row],[Preço]],Q44+TbTradesBinance[[#This Row],[Qtt]]*TbTradesBinance[[#This Row],[Preço]])),Q44)-IF(TbTradesBinance[[#This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Row],[Tipo]]="DROP"),Q44+TbTradesBinance[[#This Row],[Qtt]],Q44-TbTradesBinance[[#This Row],[Qtt]]),IF(TbTradesBinance[[#This Row],[Tipo]]="BUY",Q44-TbTradesBinance[[#This Row],[Qtt]]*TbTradesBinance[[#This Row],[Preço]],Q44+TbTradesBinance[[#This Row],[Qtt]]*TbTradesBinance[[#This Row],[Preço]])),Q44)-IF(TbTradesBinance[[#This Row],[Moeda da Taxa]]=MID(Q$1,9,5),TbTradesBinance[[#This Row],[Taxa]],0),8)))</f>
        <v>0.27732999000000003</v>
      </c>
      <c r="R45" s="145" cm="1">
        <f t="array" ref="R45">IF(TbTradesBinance[[#This Row],[Tipo]]="EMPTY",0,R44+IF(TbTradesBinance[[#This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Row],[Par]]))),$1:$1,0)),-(Q44-Q45)/Q44*R44),0),0)+IF(TbTradesBinance[[#This Row],[Tipo]]="SELL",IF(ISNUMBER(FIND(MID(R$1,10,5),TbTradesBinance[[#This Row],[Par]])),IF(FIND(MID(R$1,10,5),TbTradesBinance[[#This Row],[Par]])=1, -(Q44-Q45)/Q44*R44,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Row],[Par]])),(-(Q44-Q45)/Q44*R44)+IF(TbTradesBinance[[#This Row],[Resultado]]&gt;0,0,TbTradesBinance[[#This Row],[Taxa]]),0),0))</f>
        <v>1.5509449279899954</v>
      </c>
      <c r="S45" s="145">
        <f t="shared" si="2"/>
        <v>5.592416918163071</v>
      </c>
      <c r="T4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Row],[Tipo]]="DROP"),T44+TbTradesBinance[[#This Row],[Qtt]],T44-TbTradesBinance[[#This Row],[Qtt]]),IF(TbTradesBinance[[#This Row],[Tipo]]="BUY",T44-TbTradesBinance[[#This Row],[Qtt]]*TbTradesBinance[[#This Row],[Preço]],T44+TbTradesBinance[[#This Row],[Qtt]]*TbTradesBinance[[#This Row],[Preço]])),T44)-IF(TbTradesBinance[[#This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Row],[Tipo]]="DROP"),T44+TbTradesBinance[[#This Row],[Qtt]],T44-TbTradesBinance[[#This Row],[Qtt]]),IF(TbTradesBinance[[#This Row],[Tipo]]="BUY",T44-TbTradesBinance[[#This Row],[Qtt]]*TbTradesBinance[[#This Row],[Preço]],T44+TbTradesBinance[[#This Row],[Qtt]]*TbTradesBinance[[#This Row],[Preço]])),T44)-IF(TbTradesBinance[[#This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Row],[Tipo]]="DROP"),T44+TbTradesBinance[[#This Row],[Qtt]],T44-TbTradesBinance[[#This Row],[Qtt]]),IF(TbTradesBinance[[#This Row],[Tipo]]="BUY",T44-TbTradesBinance[[#This Row],[Qtt]]*TbTradesBinance[[#This Row],[Preço]],T44+TbTradesBinance[[#This Row],[Qtt]]*TbTradesBinance[[#This Row],[Preço]])),T44)-IF(TbTradesBinance[[#This Row],[Moeda da Taxa]]=MID(T$1,9,5),TbTradesBinance[[#This Row],[Taxa]],0),8)))</f>
        <v>199735.34867482999</v>
      </c>
      <c r="U45" s="145" cm="1">
        <f t="array" ref="U45">IF(TbTradesBinance[[#This Row],[Tipo]]="EMPTY",0,U44+IF(TbTradesBinance[[#This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Row],[Par]]))),$1:$1,0)),-(T44-T45)/T44*U44),0),0)+IF(TbTradesBinance[[#This Row],[Tipo]]="SELL",IF(ISNUMBER(FIND(MID(U$1,10,5),TbTradesBinance[[#This Row],[Par]])),IF(FIND(MID(U$1,10,5),TbTradesBinance[[#This Row],[Par]])=1, -(T44-T45)/T44*U44,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Row],[Par]])),(-(T44-T45)/T44*U44)+IF(TbTradesBinance[[#This Row],[Resultado]]&gt;0,0,TbTradesBinance[[#This Row],[Taxa]]),0),0))</f>
        <v>1328240.0716580662</v>
      </c>
      <c r="V45" s="145">
        <f t="shared" si="3"/>
        <v>6.6500000148719129</v>
      </c>
      <c r="W4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Row],[Tipo]]="DROP"),W44+TbTradesBinance[[#This Row],[Qtt]],W44-TbTradesBinance[[#This Row],[Qtt]]),IF(TbTradesBinance[[#This Row],[Tipo]]="BUY",W44-TbTradesBinance[[#This Row],[Qtt]]*TbTradesBinance[[#This Row],[Preço]],W44+TbTradesBinance[[#This Row],[Qtt]]*TbTradesBinance[[#This Row],[Preço]])),W44)-IF(TbTradesBinance[[#This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Row],[Tipo]]="DROP"),W44+TbTradesBinance[[#This Row],[Qtt]],W44-TbTradesBinance[[#This Row],[Qtt]]),IF(TbTradesBinance[[#This Row],[Tipo]]="BUY",W44-TbTradesBinance[[#This Row],[Qtt]]*TbTradesBinance[[#This Row],[Preço]],W44+TbTradesBinance[[#This Row],[Qtt]]*TbTradesBinance[[#This Row],[Preço]])),W44)-IF(TbTradesBinance[[#This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Row],[Tipo]]="DROP"),W44+TbTradesBinance[[#This Row],[Qtt]],W44-TbTradesBinance[[#This Row],[Qtt]]),IF(TbTradesBinance[[#This Row],[Tipo]]="BUY",W44-TbTradesBinance[[#This Row],[Qtt]]*TbTradesBinance[[#This Row],[Preço]],W44+TbTradesBinance[[#This Row],[Qtt]]*TbTradesBinance[[#This Row],[Preço]])),W44)-IF(TbTradesBinance[[#This Row],[Moeda da Taxa]]=MID(W$1,9,5),TbTradesBinance[[#This Row],[Taxa]],0),8)))</f>
        <v>1.2995699999999999E-3</v>
      </c>
      <c r="X45" s="145" cm="1">
        <f t="array" ref="X45">IF(TbTradesBinance[[#This Row],[Tipo]]="EMPTY",0,X44+IF(TbTradesBinance[[#This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Row],[Par]]))),$1:$1,0)),-(W44-W45)/W44*X44),0),0)+IF(TbTradesBinance[[#This Row],[Tipo]]="SELL",IF(ISNUMBER(FIND(MID(X$1,10,5),TbTradesBinance[[#This Row],[Par]])),IF(FIND(MID(X$1,10,5),TbTradesBinance[[#This Row],[Par]])=1, -(W44-W45)/W44*X44,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Row],[Par]])),(-(W44-W45)/W44*X44)+IF(TbTradesBinance[[#This Row],[Resultado]]&gt;0,0,TbTradesBinance[[#This Row],[Taxa]]),0),0))</f>
        <v>361.32120966231435</v>
      </c>
      <c r="Y45" s="145">
        <f t="shared" si="4"/>
        <v>278031.35626577592</v>
      </c>
      <c r="Z4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Row],[Tipo]]="DROP"),Z44+TbTradesBinance[[#This Row],[Qtt]],Z44-TbTradesBinance[[#This Row],[Qtt]]),IF(TbTradesBinance[[#This Row],[Tipo]]="BUY",Z44-TbTradesBinance[[#This Row],[Qtt]]*TbTradesBinance[[#This Row],[Preço]],Z44+TbTradesBinance[[#This Row],[Qtt]]*TbTradesBinance[[#This Row],[Preço]])),Z44)-IF(TbTradesBinance[[#This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Row],[Tipo]]="DROP"),Z44+TbTradesBinance[[#This Row],[Qtt]],Z44-TbTradesBinance[[#This Row],[Qtt]]),IF(TbTradesBinance[[#This Row],[Tipo]]="BUY",Z44-TbTradesBinance[[#This Row],[Qtt]]*TbTradesBinance[[#This Row],[Preço]],Z44+TbTradesBinance[[#This Row],[Qtt]]*TbTradesBinance[[#This Row],[Preço]])),Z44)-IF(TbTradesBinance[[#This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Row],[Tipo]]="DROP"),Z44+TbTradesBinance[[#This Row],[Qtt]],Z44-TbTradesBinance[[#This Row],[Qtt]]),IF(TbTradesBinance[[#This Row],[Tipo]]="BUY",Z44-TbTradesBinance[[#This Row],[Qtt]]*TbTradesBinance[[#This Row],[Preço]],Z44+TbTradesBinance[[#This Row],[Qtt]]*TbTradesBinance[[#This Row],[Preço]])),Z44)-IF(TbTradesBinance[[#This Row],[Moeda da Taxa]]=MID(Z$1,9,5),TbTradesBinance[[#This Row],[Taxa]],0),8)))</f>
        <v>0</v>
      </c>
      <c r="AA45" s="145" cm="1">
        <f t="array" ref="AA45">IF(TbTradesBinance[[#This Row],[Tipo]]="EMPTY",0,AA44+IF(TbTradesBinance[[#This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Row],[Par]]))),$1:$1,0)),-(Z44-Z45)/Z44*AA44),0),0)+IF(TbTradesBinance[[#This Row],[Tipo]]="SELL",IF(ISNUMBER(FIND(MID(AA$1,10,5),TbTradesBinance[[#This Row],[Par]])),IF(FIND(MID(AA$1,10,5),TbTradesBinance[[#This Row],[Par]])=1, -(Z44-Z45)/Z44*AA44,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Row],[Par]])),(-(Z44-Z45)/Z44*AA44)+IF(TbTradesBinance[[#This Row],[Resultado]]&gt;0,0,TbTradesBinance[[#This Row],[Taxa]]),0),0))</f>
        <v>0</v>
      </c>
      <c r="AB45" s="145">
        <f t="shared" si="5"/>
        <v>0</v>
      </c>
      <c r="AC4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Row],[Tipo]]="DROP"),AC44+TbTradesBinance[[#This Row],[Qtt]],AC44-TbTradesBinance[[#This Row],[Qtt]]),IF(TbTradesBinance[[#This Row],[Tipo]]="BUY",AC44-TbTradesBinance[[#This Row],[Qtt]]*TbTradesBinance[[#This Row],[Preço]],AC44+TbTradesBinance[[#This Row],[Qtt]]*TbTradesBinance[[#This Row],[Preço]])),AC44)-IF(TbTradesBinance[[#This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Row],[Tipo]]="DROP"),AC44+TbTradesBinance[[#This Row],[Qtt]],AC44-TbTradesBinance[[#This Row],[Qtt]]),IF(TbTradesBinance[[#This Row],[Tipo]]="BUY",AC44-TbTradesBinance[[#This Row],[Qtt]]*TbTradesBinance[[#This Row],[Preço]],AC44+TbTradesBinance[[#This Row],[Qtt]]*TbTradesBinance[[#This Row],[Preço]])),AC44)-IF(TbTradesBinance[[#This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Row],[Tipo]]="DROP"),AC44+TbTradesBinance[[#This Row],[Qtt]],AC44-TbTradesBinance[[#This Row],[Qtt]]),IF(TbTradesBinance[[#This Row],[Tipo]]="BUY",AC44-TbTradesBinance[[#This Row],[Qtt]]*TbTradesBinance[[#This Row],[Preço]],AC44+TbTradesBinance[[#This Row],[Qtt]]*TbTradesBinance[[#This Row],[Preço]])),AC44)-IF(TbTradesBinance[[#This Row],[Moeda da Taxa]]=MID(AC$1,9,5),TbTradesBinance[[#This Row],[Taxa]],0),8)))</f>
        <v>0</v>
      </c>
      <c r="AD45" s="145" cm="1">
        <f t="array" ref="AD45">IF(TbTradesBinance[[#This Row],[Tipo]]="EMPTY",0,AD44+IF(TbTradesBinance[[#This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Row],[Par]]))),$1:$1,0)),-(AC44-AC45)/AC44*AD44),0),0)+IF(TbTradesBinance[[#This Row],[Tipo]]="SELL",IF(ISNUMBER(FIND(MID(AD$1,10,5),TbTradesBinance[[#This Row],[Par]])),IF(FIND(MID(AD$1,10,5),TbTradesBinance[[#This Row],[Par]])=1, -(AC44-AC45)/AC44*AD44,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Row],[Par]])),(-(AC44-AC45)/AC44*AD44)+IF(TbTradesBinance[[#This Row],[Resultado]]&gt;0,0,TbTradesBinance[[#This Row],[Taxa]]),0),0))</f>
        <v>0</v>
      </c>
      <c r="AE45" s="145">
        <f t="shared" si="6"/>
        <v>0</v>
      </c>
      <c r="AF4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Row],[Tipo]]="DROP"),AF44+TbTradesBinance[[#This Row],[Qtt]],AF44-TbTradesBinance[[#This Row],[Qtt]]),IF(TbTradesBinance[[#This Row],[Tipo]]="BUY",AF44-TbTradesBinance[[#This Row],[Qtt]]*TbTradesBinance[[#This Row],[Preço]],AF44+TbTradesBinance[[#This Row],[Qtt]]*TbTradesBinance[[#This Row],[Preço]])),AF44)-IF(TbTradesBinance[[#This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Row],[Tipo]]="DROP"),AF44+TbTradesBinance[[#This Row],[Qtt]],AF44-TbTradesBinance[[#This Row],[Qtt]]),IF(TbTradesBinance[[#This Row],[Tipo]]="BUY",AF44-TbTradesBinance[[#This Row],[Qtt]]*TbTradesBinance[[#This Row],[Preço]],AF44+TbTradesBinance[[#This Row],[Qtt]]*TbTradesBinance[[#This Row],[Preço]])),AF44)-IF(TbTradesBinance[[#This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Row],[Tipo]]="DROP"),AF44+TbTradesBinance[[#This Row],[Qtt]],AF44-TbTradesBinance[[#This Row],[Qtt]]),IF(TbTradesBinance[[#This Row],[Tipo]]="BUY",AF44-TbTradesBinance[[#This Row],[Qtt]]*TbTradesBinance[[#This Row],[Preço]],AF44+TbTradesBinance[[#This Row],[Qtt]]*TbTradesBinance[[#This Row],[Preço]])),AF44)-IF(TbTradesBinance[[#This Row],[Moeda da Taxa]]=MID(AF$1,9,5),TbTradesBinance[[#This Row],[Taxa]],0),8)))</f>
        <v>9.99</v>
      </c>
      <c r="AG45" s="145" cm="1">
        <f t="array" ref="AG45">IF(TbTradesBinance[[#This Row],[Tipo]]="EMPTY",0,AG44+IF(TbTradesBinance[[#This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Row],[Par]]))),$1:$1,0)),-(AF44-AF45)/AF44*AG44),0),0)+IF(TbTradesBinance[[#This Row],[Tipo]]="SELL",IF(ISNUMBER(FIND(MID(AG$1,10,5),TbTradesBinance[[#This Row],[Par]])),IF(FIND(MID(AG$1,10,5),TbTradesBinance[[#This Row],[Par]])=1, -(AF44-AF45)/AF44*AG44,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Row],[Par]])),(-(AF44-AF45)/AF44*AG44)+IF(TbTradesBinance[[#This Row],[Resultado]]&gt;0,0,TbTradesBinance[[#This Row],[Taxa]]),0),0))</f>
        <v>60.332804309673421</v>
      </c>
      <c r="AH45" s="145">
        <f t="shared" si="7"/>
        <v>6.03931975071806</v>
      </c>
      <c r="AI4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Row],[Tipo]]="DROP"),AI44+TbTradesBinance[[#This Row],[Qtt]],AI44-TbTradesBinance[[#This Row],[Qtt]]),IF(TbTradesBinance[[#This Row],[Tipo]]="BUY",AI44-TbTradesBinance[[#This Row],[Qtt]]*TbTradesBinance[[#This Row],[Preço]],AI44+TbTradesBinance[[#This Row],[Qtt]]*TbTradesBinance[[#This Row],[Preço]])),AI44)-IF(TbTradesBinance[[#This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Row],[Tipo]]="DROP"),AI44+TbTradesBinance[[#This Row],[Qtt]],AI44-TbTradesBinance[[#This Row],[Qtt]]),IF(TbTradesBinance[[#This Row],[Tipo]]="BUY",AI44-TbTradesBinance[[#This Row],[Qtt]]*TbTradesBinance[[#This Row],[Preço]],AI44+TbTradesBinance[[#This Row],[Qtt]]*TbTradesBinance[[#This Row],[Preço]])),AI44)-IF(TbTradesBinance[[#This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Row],[Tipo]]="DROP"),AI44+TbTradesBinance[[#This Row],[Qtt]],AI44-TbTradesBinance[[#This Row],[Qtt]]),IF(TbTradesBinance[[#This Row],[Tipo]]="BUY",AI44-TbTradesBinance[[#This Row],[Qtt]]*TbTradesBinance[[#This Row],[Preço]],AI44+TbTradesBinance[[#This Row],[Qtt]]*TbTradesBinance[[#This Row],[Preço]])),AI44)-IF(TbTradesBinance[[#This Row],[Moeda da Taxa]]=MID(AI$1,9,5),TbTradesBinance[[#This Row],[Taxa]],0),8)))</f>
        <v>0</v>
      </c>
      <c r="AJ45" s="145" cm="1">
        <f t="array" ref="AJ45">IF(TbTradesBinance[[#This Row],[Tipo]]="EMPTY",0,AJ44+IF(TbTradesBinance[[#This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Row],[Par]]))),$1:$1,0)),-(AI44-AI45)/AI44*AJ44),0),0)+IF(TbTradesBinance[[#This Row],[Tipo]]="SELL",IF(ISNUMBER(FIND(MID(AJ$1,10,5),TbTradesBinance[[#This Row],[Par]])),IF(FIND(MID(AJ$1,10,5),TbTradesBinance[[#This Row],[Par]])=1, -(AI44-AI45)/AI44*AJ44,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Row],[Par]])),(-(AI44-AI45)/AI44*AJ44)+IF(TbTradesBinance[[#This Row],[Resultado]]&gt;0,0,TbTradesBinance[[#This Row],[Taxa]]),0),0))</f>
        <v>0</v>
      </c>
      <c r="AK45" s="145">
        <f t="shared" si="8"/>
        <v>0</v>
      </c>
      <c r="AL4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Row],[Tipo]]="DROP"),AL44+TbTradesBinance[[#This Row],[Qtt]],AL44-TbTradesBinance[[#This Row],[Qtt]]),IF(TbTradesBinance[[#This Row],[Tipo]]="BUY",AL44-TbTradesBinance[[#This Row],[Qtt]]*TbTradesBinance[[#This Row],[Preço]],AL44+TbTradesBinance[[#This Row],[Qtt]]*TbTradesBinance[[#This Row],[Preço]])),AL44)-IF(TbTradesBinance[[#This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Row],[Tipo]]="DROP"),AL44+TbTradesBinance[[#This Row],[Qtt]],AL44-TbTradesBinance[[#This Row],[Qtt]]),IF(TbTradesBinance[[#This Row],[Tipo]]="BUY",AL44-TbTradesBinance[[#This Row],[Qtt]]*TbTradesBinance[[#This Row],[Preço]],AL44+TbTradesBinance[[#This Row],[Qtt]]*TbTradesBinance[[#This Row],[Preço]])),AL44)-IF(TbTradesBinance[[#This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Row],[Tipo]]="DROP"),AL44+TbTradesBinance[[#This Row],[Qtt]],AL44-TbTradesBinance[[#This Row],[Qtt]]),IF(TbTradesBinance[[#This Row],[Tipo]]="BUY",AL44-TbTradesBinance[[#This Row],[Qtt]]*TbTradesBinance[[#This Row],[Preço]],AL44+TbTradesBinance[[#This Row],[Qtt]]*TbTradesBinance[[#This Row],[Preço]])),AL44)-IF(TbTradesBinance[[#This Row],[Moeda da Taxa]]=MID(AL$1,9,5),TbTradesBinance[[#This Row],[Taxa]],0),8)))</f>
        <v>0</v>
      </c>
      <c r="AM45" s="145" cm="1">
        <f t="array" ref="AM45">IF(TbTradesBinance[[#This Row],[Tipo]]="EMPTY",0,AM44+IF(TbTradesBinance[[#This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Row],[Par]]))),$1:$1,0)),-(AL44-AL45)/AL44*AM44),0),0)+IF(TbTradesBinance[[#This Row],[Tipo]]="SELL",IF(ISNUMBER(FIND(MID(AM$1,10,5),TbTradesBinance[[#This Row],[Par]])),IF(FIND(MID(AM$1,10,5),TbTradesBinance[[#This Row],[Par]])=1, -(AL44-AL45)/AL44*AM44,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Row],[Par]])),(-(AL44-AL45)/AL44*AM44)+IF(TbTradesBinance[[#This Row],[Resultado]]&gt;0,0,TbTradesBinance[[#This Row],[Taxa]]),0),0))</f>
        <v>0</v>
      </c>
      <c r="AN45" s="145">
        <f t="shared" si="9"/>
        <v>0</v>
      </c>
      <c r="AO4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Row],[Tipo]]="DROP"),AO44+TbTradesBinance[[#This Row],[Qtt]],AO44-TbTradesBinance[[#This Row],[Qtt]]),IF(TbTradesBinance[[#This Row],[Tipo]]="BUY",AO44-TbTradesBinance[[#This Row],[Qtt]]*TbTradesBinance[[#This Row],[Preço]],AO44+TbTradesBinance[[#This Row],[Qtt]]*TbTradesBinance[[#This Row],[Preço]])),AO44)-IF(TbTradesBinance[[#This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Row],[Tipo]]="DROP"),AO44+TbTradesBinance[[#This Row],[Qtt]],AO44-TbTradesBinance[[#This Row],[Qtt]]),IF(TbTradesBinance[[#This Row],[Tipo]]="BUY",AO44-TbTradesBinance[[#This Row],[Qtt]]*TbTradesBinance[[#This Row],[Preço]],AO44+TbTradesBinance[[#This Row],[Qtt]]*TbTradesBinance[[#This Row],[Preço]])),AO44)-IF(TbTradesBinance[[#This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Row],[Tipo]]="DROP"),AO44+TbTradesBinance[[#This Row],[Qtt]],AO44-TbTradesBinance[[#This Row],[Qtt]]),IF(TbTradesBinance[[#This Row],[Tipo]]="BUY",AO44-TbTradesBinance[[#This Row],[Qtt]]*TbTradesBinance[[#This Row],[Preço]],AO44+TbTradesBinance[[#This Row],[Qtt]]*TbTradesBinance[[#This Row],[Preço]])),AO44)-IF(TbTradesBinance[[#This Row],[Moeda da Taxa]]=MID(AO$1,9,5),TbTradesBinance[[#This Row],[Taxa]],0),8)))</f>
        <v>0</v>
      </c>
      <c r="AP45" s="145" cm="1">
        <f t="array" ref="AP45">IF(TbTradesBinance[[#This Row],[Tipo]]="EMPTY",0,AP44+IF(TbTradesBinance[[#This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Row],[Par]]))),$1:$1,0)),-(AO44-AO45)/AO44*AP44),0),0)+IF(TbTradesBinance[[#This Row],[Tipo]]="SELL",IF(ISNUMBER(FIND(MID(AP$1,10,5),TbTradesBinance[[#This Row],[Par]])),IF(FIND(MID(AP$1,10,5),TbTradesBinance[[#This Row],[Par]])=1, -(AO44-AO45)/AO44*AP44,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Row],[Par]])),(-(AO44-AO45)/AO44*AP44)+IF(TbTradesBinance[[#This Row],[Resultado]]&gt;0,0,TbTradesBinance[[#This Row],[Taxa]]),0),0))</f>
        <v>0</v>
      </c>
      <c r="AQ45" s="145">
        <f t="shared" si="10"/>
        <v>0</v>
      </c>
      <c r="AR4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Row],[Tipo]]="DROP"),AR44+TbTradesBinance[[#This Row],[Qtt]],AR44-TbTradesBinance[[#This Row],[Qtt]]),IF(TbTradesBinance[[#This Row],[Tipo]]="BUY",AR44-TbTradesBinance[[#This Row],[Qtt]]*TbTradesBinance[[#This Row],[Preço]],AR44+TbTradesBinance[[#This Row],[Qtt]]*TbTradesBinance[[#This Row],[Preço]])),AR44)-IF(TbTradesBinance[[#This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Row],[Tipo]]="DROP"),AR44+TbTradesBinance[[#This Row],[Qtt]],AR44-TbTradesBinance[[#This Row],[Qtt]]),IF(TbTradesBinance[[#This Row],[Tipo]]="BUY",AR44-TbTradesBinance[[#This Row],[Qtt]]*TbTradesBinance[[#This Row],[Preço]],AR44+TbTradesBinance[[#This Row],[Qtt]]*TbTradesBinance[[#This Row],[Preço]])),AR44)-IF(TbTradesBinance[[#This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Row],[Tipo]]="DROP"),AR44+TbTradesBinance[[#This Row],[Qtt]],AR44-TbTradesBinance[[#This Row],[Qtt]]),IF(TbTradesBinance[[#This Row],[Tipo]]="BUY",AR44-TbTradesBinance[[#This Row],[Qtt]]*TbTradesBinance[[#This Row],[Preço]],AR44+TbTradesBinance[[#This Row],[Qtt]]*TbTradesBinance[[#This Row],[Preço]])),AR44)-IF(TbTradesBinance[[#This Row],[Moeda da Taxa]]=MID(AR$1,9,5),TbTradesBinance[[#This Row],[Taxa]],0),8)))</f>
        <v>0</v>
      </c>
      <c r="AS45" s="145" cm="1">
        <f t="array" ref="AS45">IF(TbTradesBinance[[#This Row],[Tipo]]="EMPTY",0,AS44+IF(TbTradesBinance[[#This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Row],[Par]]))),$1:$1,0)),-(AR44-AR45)/AR44*AS44),0),0)+IF(TbTradesBinance[[#This Row],[Tipo]]="SELL",IF(ISNUMBER(FIND(MID(AS$1,10,5),TbTradesBinance[[#This Row],[Par]])),IF(FIND(MID(AS$1,10,5),TbTradesBinance[[#This Row],[Par]])=1, -(AR44-AR45)/AR44*AS44,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Row],[Par]])),(-(AR44-AR45)/AR44*AS44)+IF(TbTradesBinance[[#This Row],[Resultado]]&gt;0,0,TbTradesBinance[[#This Row],[Taxa]]),0),0))</f>
        <v>0</v>
      </c>
      <c r="AT45" s="145">
        <f t="shared" si="11"/>
        <v>0</v>
      </c>
      <c r="AU4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Row],[Tipo]]="DROP"),AU44+TbTradesBinance[[#This Row],[Qtt]],AU44-TbTradesBinance[[#This Row],[Qtt]]),IF(TbTradesBinance[[#This Row],[Tipo]]="BUY",AU44-TbTradesBinance[[#This Row],[Qtt]]*TbTradesBinance[[#This Row],[Preço]],AU44+TbTradesBinance[[#This Row],[Qtt]]*TbTradesBinance[[#This Row],[Preço]])),AU44)-IF(TbTradesBinance[[#This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Row],[Tipo]]="DROP"),AU44+TbTradesBinance[[#This Row],[Qtt]],AU44-TbTradesBinance[[#This Row],[Qtt]]),IF(TbTradesBinance[[#This Row],[Tipo]]="BUY",AU44-TbTradesBinance[[#This Row],[Qtt]]*TbTradesBinance[[#This Row],[Preço]],AU44+TbTradesBinance[[#This Row],[Qtt]]*TbTradesBinance[[#This Row],[Preço]])),AU44)-IF(TbTradesBinance[[#This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Row],[Tipo]]="DROP"),AU44+TbTradesBinance[[#This Row],[Qtt]],AU44-TbTradesBinance[[#This Row],[Qtt]]),IF(TbTradesBinance[[#This Row],[Tipo]]="BUY",AU44-TbTradesBinance[[#This Row],[Qtt]]*TbTradesBinance[[#This Row],[Preço]],AU44+TbTradesBinance[[#This Row],[Qtt]]*TbTradesBinance[[#This Row],[Preço]])),AU44)-IF(TbTradesBinance[[#This Row],[Moeda da Taxa]]=MID(AU$1,9,5),TbTradesBinance[[#This Row],[Taxa]],0),8)))</f>
        <v>9.9900000000000003E-2</v>
      </c>
      <c r="AV45" s="145" cm="1">
        <f t="array" ref="AV45">IF(TbTradesBinance[[#This Row],[Tipo]]="EMPTY",0,AV44+IF(TbTradesBinance[[#This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Row],[Par]]))),$1:$1,0)),-(AU44-AU45)/AU44*AV44),0),0)+IF(TbTradesBinance[[#This Row],[Tipo]]="SELL",IF(ISNUMBER(FIND(MID(AV$1,10,5),TbTradesBinance[[#This Row],[Par]])),IF(FIND(MID(AV$1,10,5),TbTradesBinance[[#This Row],[Par]])=1, -(AU44-AU45)/AU44*AV44,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Row],[Par]])),(-(AU44-AU45)/AU44*AV44)+IF(TbTradesBinance[[#This Row],[Resultado]]&gt;0,0,TbTradesBinance[[#This Row],[Taxa]]),0),0))</f>
        <v>18.673922987511034</v>
      </c>
      <c r="AW45" s="145">
        <f t="shared" si="12"/>
        <v>186.92615603114149</v>
      </c>
      <c r="AX4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Row],[Tipo]]="DROP"),AX44+TbTradesBinance[[#This Row],[Qtt]],AX44-TbTradesBinance[[#This Row],[Qtt]]),IF(TbTradesBinance[[#This Row],[Tipo]]="BUY",AX44-TbTradesBinance[[#This Row],[Qtt]]*TbTradesBinance[[#This Row],[Preço]],AX44+TbTradesBinance[[#This Row],[Qtt]]*TbTradesBinance[[#This Row],[Preço]])),AX44)-IF(TbTradesBinance[[#This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Row],[Tipo]]="DROP"),AX44+TbTradesBinance[[#This Row],[Qtt]],AX44-TbTradesBinance[[#This Row],[Qtt]]),IF(TbTradesBinance[[#This Row],[Tipo]]="BUY",AX44-TbTradesBinance[[#This Row],[Qtt]]*TbTradesBinance[[#This Row],[Preço]],AX44+TbTradesBinance[[#This Row],[Qtt]]*TbTradesBinance[[#This Row],[Preço]])),AX44)-IF(TbTradesBinance[[#This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Row],[Tipo]]="DROP"),AX44+TbTradesBinance[[#This Row],[Qtt]],AX44-TbTradesBinance[[#This Row],[Qtt]]),IF(TbTradesBinance[[#This Row],[Tipo]]="BUY",AX44-TbTradesBinance[[#This Row],[Qtt]]*TbTradesBinance[[#This Row],[Preço]],AX44+TbTradesBinance[[#This Row],[Qtt]]*TbTradesBinance[[#This Row],[Preço]])),AX44)-IF(TbTradesBinance[[#This Row],[Moeda da Taxa]]=MID(AX$1,9,5),TbTradesBinance[[#This Row],[Taxa]],0),8)))</f>
        <v>0</v>
      </c>
      <c r="AY45" s="145" cm="1">
        <f t="array" ref="AY45">IF(TbTradesBinance[[#This Row],[Tipo]]="EMPTY",0,AY44+IF(TbTradesBinance[[#This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Row],[Par]]))),$1:$1,0)),-(AX44-AX45)/AX44*AY44),0),0)+IF(TbTradesBinance[[#This Row],[Tipo]]="SELL",IF(ISNUMBER(FIND(MID(AY$1,10,5),TbTradesBinance[[#This Row],[Par]])),IF(FIND(MID(AY$1,10,5),TbTradesBinance[[#This Row],[Par]])=1, -(AX44-AX45)/AX44*AY44,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Row],[Par]])),(-(AX44-AX45)/AX44*AY44)+IF(TbTradesBinance[[#This Row],[Resultado]]&gt;0,0,TbTradesBinance[[#This Row],[Taxa]]),0),0))</f>
        <v>0</v>
      </c>
      <c r="AZ45" s="145">
        <f t="shared" si="13"/>
        <v>0</v>
      </c>
      <c r="BA4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Row],[Tipo]]="DROP"),BA44+TbTradesBinance[[#This Row],[Qtt]],BA44-TbTradesBinance[[#This Row],[Qtt]]),IF(TbTradesBinance[[#This Row],[Tipo]]="BUY",BA44-TbTradesBinance[[#This Row],[Qtt]]*TbTradesBinance[[#This Row],[Preço]],BA44+TbTradesBinance[[#This Row],[Qtt]]*TbTradesBinance[[#This Row],[Preço]])),BA44)-IF(TbTradesBinance[[#This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Row],[Tipo]]="DROP"),BA44+TbTradesBinance[[#This Row],[Qtt]],BA44-TbTradesBinance[[#This Row],[Qtt]]),IF(TbTradesBinance[[#This Row],[Tipo]]="BUY",BA44-TbTradesBinance[[#This Row],[Qtt]]*TbTradesBinance[[#This Row],[Preço]],BA44+TbTradesBinance[[#This Row],[Qtt]]*TbTradesBinance[[#This Row],[Preço]])),BA44)-IF(TbTradesBinance[[#This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Row],[Tipo]]="DROP"),BA44+TbTradesBinance[[#This Row],[Qtt]],BA44-TbTradesBinance[[#This Row],[Qtt]]),IF(TbTradesBinance[[#This Row],[Tipo]]="BUY",BA44-TbTradesBinance[[#This Row],[Qtt]]*TbTradesBinance[[#This Row],[Preço]],BA44+TbTradesBinance[[#This Row],[Qtt]]*TbTradesBinance[[#This Row],[Preço]])),BA44)-IF(TbTradesBinance[[#This Row],[Moeda da Taxa]]=MID(BA$1,9,5),TbTradesBinance[[#This Row],[Taxa]],0),8)))</f>
        <v>0</v>
      </c>
      <c r="BB45" s="145" cm="1">
        <f t="array" ref="BB45">IF(TbTradesBinance[[#This Row],[Tipo]]="EMPTY",0,BB44+IF(TbTradesBinance[[#This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Row],[Par]]))),$1:$1,0)),-(BA44-BA45)/BA44*BB44),0),0)+IF(TbTradesBinance[[#This Row],[Tipo]]="SELL",IF(ISNUMBER(FIND(MID(BB$1,10,5),TbTradesBinance[[#This Row],[Par]])),IF(FIND(MID(BB$1,10,5),TbTradesBinance[[#This Row],[Par]])=1, -(BA44-BA45)/BA44*BB44,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Row],[Par]])),(-(BA44-BA45)/BA44*BB44)+IF(TbTradesBinance[[#This Row],[Resultado]]&gt;0,0,TbTradesBinance[[#This Row],[Taxa]]),0),0))</f>
        <v>0</v>
      </c>
      <c r="BC45" s="145">
        <f t="shared" si="14"/>
        <v>0</v>
      </c>
      <c r="BD4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Row],[Tipo]]="DROP"),BD44+TbTradesBinance[[#This Row],[Qtt]],BD44-TbTradesBinance[[#This Row],[Qtt]]),IF(TbTradesBinance[[#This Row],[Tipo]]="BUY",BD44-TbTradesBinance[[#This Row],[Qtt]]*TbTradesBinance[[#This Row],[Preço]],BD44+TbTradesBinance[[#This Row],[Qtt]]*TbTradesBinance[[#This Row],[Preço]])),BD44)-IF(TbTradesBinance[[#This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Row],[Tipo]]="DROP"),BD44+TbTradesBinance[[#This Row],[Qtt]],BD44-TbTradesBinance[[#This Row],[Qtt]]),IF(TbTradesBinance[[#This Row],[Tipo]]="BUY",BD44-TbTradesBinance[[#This Row],[Qtt]]*TbTradesBinance[[#This Row],[Preço]],BD44+TbTradesBinance[[#This Row],[Qtt]]*TbTradesBinance[[#This Row],[Preço]])),BD44)-IF(TbTradesBinance[[#This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Row],[Tipo]]="DROP"),BD44+TbTradesBinance[[#This Row],[Qtt]],BD44-TbTradesBinance[[#This Row],[Qtt]]),IF(TbTradesBinance[[#This Row],[Tipo]]="BUY",BD44-TbTradesBinance[[#This Row],[Qtt]]*TbTradesBinance[[#This Row],[Preço]],BD44+TbTradesBinance[[#This Row],[Qtt]]*TbTradesBinance[[#This Row],[Preço]])),BD44)-IF(TbTradesBinance[[#This Row],[Moeda da Taxa]]=MID(BD$1,9,5),TbTradesBinance[[#This Row],[Taxa]],0),8)))</f>
        <v>0.37962000000000001</v>
      </c>
      <c r="BE45" s="145" cm="1">
        <f t="array" ref="BE45">IF(TbTradesBinance[[#This Row],[Tipo]]="EMPTY",0,BE44+IF(TbTradesBinance[[#This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Row],[Par]]))),$1:$1,0)),-(BD44-BD45)/BD44*BE44),0),0)+IF(TbTradesBinance[[#This Row],[Tipo]]="SELL",IF(ISNUMBER(FIND(MID(BE$1,10,5),TbTradesBinance[[#This Row],[Par]])),IF(FIND(MID(BE$1,10,5),TbTradesBinance[[#This Row],[Par]])=1, -(BD44-BD45)/BD44*BE44,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Row],[Par]])),(-(BD44-BD45)/BD44*BE44)+IF(TbTradesBinance[[#This Row],[Resultado]]&gt;0,0,TbTradesBinance[[#This Row],[Taxa]]),0),0))</f>
        <v>63.647297001537943</v>
      </c>
      <c r="BF45" s="145">
        <f t="shared" si="15"/>
        <v>167.66054739354601</v>
      </c>
      <c r="BG4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Row],[Tipo]]="DROP"),BG44+TbTradesBinance[[#This Row],[Qtt]],BG44-TbTradesBinance[[#This Row],[Qtt]]),IF(TbTradesBinance[[#This Row],[Tipo]]="BUY",BG44-TbTradesBinance[[#This Row],[Qtt]]*TbTradesBinance[[#This Row],[Preço]],BG44+TbTradesBinance[[#This Row],[Qtt]]*TbTradesBinance[[#This Row],[Preço]])),BG44)-IF(TbTradesBinance[[#This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Row],[Tipo]]="DROP"),BG44+TbTradesBinance[[#This Row],[Qtt]],BG44-TbTradesBinance[[#This Row],[Qtt]]),IF(TbTradesBinance[[#This Row],[Tipo]]="BUY",BG44-TbTradesBinance[[#This Row],[Qtt]]*TbTradesBinance[[#This Row],[Preço]],BG44+TbTradesBinance[[#This Row],[Qtt]]*TbTradesBinance[[#This Row],[Preço]])),BG44)-IF(TbTradesBinance[[#This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Row],[Tipo]]="DROP"),BG44+TbTradesBinance[[#This Row],[Qtt]],BG44-TbTradesBinance[[#This Row],[Qtt]]),IF(TbTradesBinance[[#This Row],[Tipo]]="BUY",BG44-TbTradesBinance[[#This Row],[Qtt]]*TbTradesBinance[[#This Row],[Preço]],BG44+TbTradesBinance[[#This Row],[Qtt]]*TbTradesBinance[[#This Row],[Preço]])),BG44)-IF(TbTradesBinance[[#This Row],[Moeda da Taxa]]=MID(BG$1,9,5),TbTradesBinance[[#This Row],[Taxa]],0),8)))</f>
        <v>0</v>
      </c>
      <c r="BH45" s="145" cm="1">
        <f t="array" ref="BH45">IF(TbTradesBinance[[#This Row],[Tipo]]="EMPTY",0,BH44+IF(TbTradesBinance[[#This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Row],[Par]]))),$1:$1,0)),-(BG44-BG45)/BG44*BH44),0),0)+IF(TbTradesBinance[[#This Row],[Tipo]]="SELL",IF(ISNUMBER(FIND(MID(BH$1,10,5),TbTradesBinance[[#This Row],[Par]])),IF(FIND(MID(BH$1,10,5),TbTradesBinance[[#This Row],[Par]])=1, -(BG44-BG45)/BG44*BH44,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Row],[Par]])),(-(BG44-BG45)/BG44*BH44)+IF(TbTradesBinance[[#This Row],[Resultado]]&gt;0,0,TbTradesBinance[[#This Row],[Taxa]]),0),0))</f>
        <v>0</v>
      </c>
      <c r="BI45" s="145">
        <f t="shared" si="16"/>
        <v>0</v>
      </c>
      <c r="BJ4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Row],[Tipo]]="DROP"),BJ44+TbTradesBinance[[#This Row],[Qtt]],BJ44-TbTradesBinance[[#This Row],[Qtt]]),IF(TbTradesBinance[[#This Row],[Tipo]]="BUY",BJ44-TbTradesBinance[[#This Row],[Qtt]]*TbTradesBinance[[#This Row],[Preço]],BJ44+TbTradesBinance[[#This Row],[Qtt]]*TbTradesBinance[[#This Row],[Preço]])),BJ44)-IF(TbTradesBinance[[#This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Row],[Tipo]]="DROP"),BJ44+TbTradesBinance[[#This Row],[Qtt]],BJ44-TbTradesBinance[[#This Row],[Qtt]]),IF(TbTradesBinance[[#This Row],[Tipo]]="BUY",BJ44-TbTradesBinance[[#This Row],[Qtt]]*TbTradesBinance[[#This Row],[Preço]],BJ44+TbTradesBinance[[#This Row],[Qtt]]*TbTradesBinance[[#This Row],[Preço]])),BJ44)-IF(TbTradesBinance[[#This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Row],[Tipo]]="DROP"),BJ44+TbTradesBinance[[#This Row],[Qtt]],BJ44-TbTradesBinance[[#This Row],[Qtt]]),IF(TbTradesBinance[[#This Row],[Tipo]]="BUY",BJ44-TbTradesBinance[[#This Row],[Qtt]]*TbTradesBinance[[#This Row],[Preço]],BJ44+TbTradesBinance[[#This Row],[Qtt]]*TbTradesBinance[[#This Row],[Preço]])),BJ44)-IF(TbTradesBinance[[#This Row],[Moeda da Taxa]]=MID(BJ$1,9,5),TbTradesBinance[[#This Row],[Taxa]],0),8)))</f>
        <v>0</v>
      </c>
      <c r="BK45" s="145" cm="1">
        <f t="array" ref="BK45">IF(TbTradesBinance[[#This Row],[Tipo]]="EMPTY",0,BK44+IF(TbTradesBinance[[#This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Row],[Par]]))),$1:$1,0)),-(BJ44-BJ45)/BJ44*BK44),0),0)+IF(TbTradesBinance[[#This Row],[Tipo]]="SELL",IF(ISNUMBER(FIND(MID(BK$1,10,5),TbTradesBinance[[#This Row],[Par]])),IF(FIND(MID(BK$1,10,5),TbTradesBinance[[#This Row],[Par]])=1, -(BJ44-BJ45)/BJ44*BK44,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Row],[Par]])),(-(BJ44-BJ45)/BJ44*BK44)+IF(TbTradesBinance[[#This Row],[Resultado]]&gt;0,0,TbTradesBinance[[#This Row],[Taxa]]),0),0))</f>
        <v>0</v>
      </c>
      <c r="BL45" s="145">
        <f t="shared" si="17"/>
        <v>0</v>
      </c>
      <c r="BM4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Row],[Tipo]]="DROP"),BM44+TbTradesBinance[[#This Row],[Qtt]],BM44-TbTradesBinance[[#This Row],[Qtt]]),IF(TbTradesBinance[[#This Row],[Tipo]]="BUY",BM44-TbTradesBinance[[#This Row],[Qtt]]*TbTradesBinance[[#This Row],[Preço]],BM44+TbTradesBinance[[#This Row],[Qtt]]*TbTradesBinance[[#This Row],[Preço]])),BM44)-IF(TbTradesBinance[[#This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Row],[Tipo]]="DROP"),BM44+TbTradesBinance[[#This Row],[Qtt]],BM44-TbTradesBinance[[#This Row],[Qtt]]),IF(TbTradesBinance[[#This Row],[Tipo]]="BUY",BM44-TbTradesBinance[[#This Row],[Qtt]]*TbTradesBinance[[#This Row],[Preço]],BM44+TbTradesBinance[[#This Row],[Qtt]]*TbTradesBinance[[#This Row],[Preço]])),BM44)-IF(TbTradesBinance[[#This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Row],[Tipo]]="DROP"),BM44+TbTradesBinance[[#This Row],[Qtt]],BM44-TbTradesBinance[[#This Row],[Qtt]]),IF(TbTradesBinance[[#This Row],[Tipo]]="BUY",BM44-TbTradesBinance[[#This Row],[Qtt]]*TbTradesBinance[[#This Row],[Preço]],BM44+TbTradesBinance[[#This Row],[Qtt]]*TbTradesBinance[[#This Row],[Preço]])),BM44)-IF(TbTradesBinance[[#This Row],[Moeda da Taxa]]=MID(BM$1,9,5),TbTradesBinance[[#This Row],[Taxa]],0),8)))</f>
        <v>0</v>
      </c>
      <c r="BN45" s="145" cm="1">
        <f t="array" ref="BN45">IF(TbTradesBinance[[#This Row],[Tipo]]="EMPTY",0,BN44+IF(TbTradesBinance[[#This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Row],[Par]]))),$1:$1,0)),-(BM44-BM45)/BM44*BN44),0),0)+IF(TbTradesBinance[[#This Row],[Tipo]]="SELL",IF(ISNUMBER(FIND(MID(BN$1,10,5),TbTradesBinance[[#This Row],[Par]])),IF(FIND(MID(BN$1,10,5),TbTradesBinance[[#This Row],[Par]])=1, -(BM44-BM45)/BM44*BN44,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Row],[Par]])),(-(BM44-BM45)/BM44*BN44)+IF(TbTradesBinance[[#This Row],[Resultado]]&gt;0,0,TbTradesBinance[[#This Row],[Taxa]]),0),0))</f>
        <v>0</v>
      </c>
      <c r="BO45" s="145">
        <f t="shared" si="18"/>
        <v>0</v>
      </c>
    </row>
    <row r="46" spans="2:67" x14ac:dyDescent="0.3">
      <c r="B46" s="51"/>
      <c r="C46" s="40">
        <f>TRUNC(IF(AND(TbTradesBinance[[#This Row],[Tipo]]="SEND",TbTradesBinance[[#This Row],[Par]]="BRL"),TbTradesBinance[[#This Row],[Qtt]]*(1-P44)-IF(TbTradesBinance[[#This Row],[Moeda da Taxa]]="BRL",TbTradesBinance[[#This Row],[Taxa]],0),0)+IF(AND(TbTradesBinance[[#This Row],[Tipo]]="BURN",TbTradesBinance[[#This Row],[Par]]="BRL"),-TbTradesBinance[[#This Row],[Qtt]]*P44,0),2)</f>
        <v>0</v>
      </c>
      <c r="D46" s="53">
        <v>44263.731840277775</v>
      </c>
      <c r="E46" s="37" t="s">
        <v>242</v>
      </c>
      <c r="F46" s="47" t="s">
        <v>139</v>
      </c>
      <c r="G46" s="38">
        <v>2.1650000000000001E-5</v>
      </c>
      <c r="H46" s="38">
        <v>5</v>
      </c>
      <c r="I46" s="38">
        <v>5.0000000000000001E-3</v>
      </c>
      <c r="J46" s="37" t="s">
        <v>43</v>
      </c>
      <c r="K46" s="52">
        <v>303373</v>
      </c>
      <c r="L46" s="40">
        <f t="shared" si="0"/>
        <v>6.56</v>
      </c>
      <c r="M46" s="40">
        <f>IF(OR(TbTradesBinance[[#This Row],[Tipo]]="BUY",TbTradesBinance[[#This Row],[Tipo]]="RECEIVE",TbTradesBinance[[#This Row],[Tipo]]="DROP"),L46*H46,-L46*H46)</f>
        <v>32.799999999999997</v>
      </c>
      <c r="N4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Row],[Tipo]]="DROP"),N45+TbTradesBinance[[#This Row],[Qtt]],N45-TbTradesBinance[[#This Row],[Qtt]]),IF(TbTradesBinance[[#This Row],[Tipo]]="BUY",N45-TbTradesBinance[[#This Row],[Qtt]]*TbTradesBinance[[#This Row],[Preço]],N45+TbTradesBinance[[#This Row],[Qtt]]*TbTradesBinance[[#This Row],[Preço]])),N45)-IF(TbTradesBinance[[#This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Row],[Tipo]]="DROP"),N45+TbTradesBinance[[#This Row],[Qtt]],N45-TbTradesBinance[[#This Row],[Qtt]]),IF(TbTradesBinance[[#This Row],[Tipo]]="BUY",N45-TbTradesBinance[[#This Row],[Qtt]]*TbTradesBinance[[#This Row],[Preço]],N45+TbTradesBinance[[#This Row],[Qtt]]*TbTradesBinance[[#This Row],[Preço]])),N45)-IF(TbTradesBinance[[#This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Row],[Tipo]]="DROP"),N45+TbTradesBinance[[#This Row],[Qtt]],N45-TbTradesBinance[[#This Row],[Qtt]]),IF(TbTradesBinance[[#This Row],[Tipo]]="BUY",N45-TbTradesBinance[[#This Row],[Qtt]]*TbTradesBinance[[#This Row],[Preço]],N45+TbTradesBinance[[#This Row],[Qtt]]*TbTradesBinance[[#This Row],[Preço]])),N45)-IF(TbTradesBinance[[#This Row],[Moeda da Taxa]]=MID(N$1,9,5),TbTradesBinance[[#This Row],[Taxa]],0),8)))</f>
        <v>119863.45423289</v>
      </c>
      <c r="O46" s="145" cm="1">
        <f t="array" ref="O46">IF(TbTradesBinance[[#This Row],[Tipo]]="EMPTY",0,O45+IF(TbTradesBinance[[#This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Row],[Par]]))),$1:$1,0)),-(N45-N46)/N45*O45),0),0)+IF(TbTradesBinance[[#This Row],[Tipo]]="SELL",IF(ISNUMBER(FIND(MID(O$1,10,5),TbTradesBinance[[#This Row],[Par]])),IF(FIND(MID(O$1,10,5),TbTradesBinance[[#This Row],[Par]])=1, -(N45-N46)/N45*O45,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Row],[Par]])),(-(N45-N46)/N45*O45)+IF(TbTradesBinance[[#This Row],[Resultado]]&gt;0,0,TbTradesBinance[[#This Row],[Taxa]]),0),0))</f>
        <v>119783.00097390189</v>
      </c>
      <c r="P46" s="145">
        <f t="shared" si="1"/>
        <v>0.99932879242048378</v>
      </c>
      <c r="Q4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Row],[Tipo]]="DROP"),Q45+TbTradesBinance[[#This Row],[Qtt]],Q45-TbTradesBinance[[#This Row],[Qtt]]),IF(TbTradesBinance[[#This Row],[Tipo]]="BUY",Q45-TbTradesBinance[[#This Row],[Qtt]]*TbTradesBinance[[#This Row],[Preço]],Q45+TbTradesBinance[[#This Row],[Qtt]]*TbTradesBinance[[#This Row],[Preço]])),Q45)-IF(TbTradesBinance[[#This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Row],[Tipo]]="DROP"),Q45+TbTradesBinance[[#This Row],[Qtt]],Q45-TbTradesBinance[[#This Row],[Qtt]]),IF(TbTradesBinance[[#This Row],[Tipo]]="BUY",Q45-TbTradesBinance[[#This Row],[Qtt]]*TbTradesBinance[[#This Row],[Preço]],Q45+TbTradesBinance[[#This Row],[Qtt]]*TbTradesBinance[[#This Row],[Preço]])),Q45)-IF(TbTradesBinance[[#This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Row],[Tipo]]="DROP"),Q45+TbTradesBinance[[#This Row],[Qtt]],Q45-TbTradesBinance[[#This Row],[Qtt]]),IF(TbTradesBinance[[#This Row],[Tipo]]="BUY",Q45-TbTradesBinance[[#This Row],[Qtt]]*TbTradesBinance[[#This Row],[Preço]],Q45+TbTradesBinance[[#This Row],[Qtt]]*TbTradesBinance[[#This Row],[Preço]])),Q45)-IF(TbTradesBinance[[#This Row],[Moeda da Taxa]]=MID(Q$1,9,5),TbTradesBinance[[#This Row],[Taxa]],0),8)))</f>
        <v>0.27732999000000003</v>
      </c>
      <c r="R46" s="145" cm="1">
        <f t="array" ref="R46">IF(TbTradesBinance[[#This Row],[Tipo]]="EMPTY",0,R45+IF(TbTradesBinance[[#This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Row],[Par]]))),$1:$1,0)),-(Q45-Q46)/Q45*R45),0),0)+IF(TbTradesBinance[[#This Row],[Tipo]]="SELL",IF(ISNUMBER(FIND(MID(R$1,10,5),TbTradesBinance[[#This Row],[Par]])),IF(FIND(MID(R$1,10,5),TbTradesBinance[[#This Row],[Par]])=1, -(Q45-Q46)/Q45*R45,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Row],[Par]])),(-(Q45-Q46)/Q45*R45)+IF(TbTradesBinance[[#This Row],[Resultado]]&gt;0,0,TbTradesBinance[[#This Row],[Taxa]]),0),0))</f>
        <v>1.5509449279899954</v>
      </c>
      <c r="S46" s="145">
        <f t="shared" si="2"/>
        <v>5.592416918163071</v>
      </c>
      <c r="T4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Row],[Tipo]]="DROP"),T45+TbTradesBinance[[#This Row],[Qtt]],T45-TbTradesBinance[[#This Row],[Qtt]]),IF(TbTradesBinance[[#This Row],[Tipo]]="BUY",T45-TbTradesBinance[[#This Row],[Qtt]]*TbTradesBinance[[#This Row],[Preço]],T45+TbTradesBinance[[#This Row],[Qtt]]*TbTradesBinance[[#This Row],[Preço]])),T45)-IF(TbTradesBinance[[#This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Row],[Tipo]]="DROP"),T45+TbTradesBinance[[#This Row],[Qtt]],T45-TbTradesBinance[[#This Row],[Qtt]]),IF(TbTradesBinance[[#This Row],[Tipo]]="BUY",T45-TbTradesBinance[[#This Row],[Qtt]]*TbTradesBinance[[#This Row],[Preço]],T45+TbTradesBinance[[#This Row],[Qtt]]*TbTradesBinance[[#This Row],[Preço]])),T45)-IF(TbTradesBinance[[#This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Row],[Tipo]]="DROP"),T45+TbTradesBinance[[#This Row],[Qtt]],T45-TbTradesBinance[[#This Row],[Qtt]]),IF(TbTradesBinance[[#This Row],[Tipo]]="BUY",T45-TbTradesBinance[[#This Row],[Qtt]]*TbTradesBinance[[#This Row],[Preço]],T45+TbTradesBinance[[#This Row],[Qtt]]*TbTradesBinance[[#This Row],[Preço]])),T45)-IF(TbTradesBinance[[#This Row],[Moeda da Taxa]]=MID(T$1,9,5),TbTradesBinance[[#This Row],[Taxa]],0),8)))</f>
        <v>199735.34867482999</v>
      </c>
      <c r="U46" s="145" cm="1">
        <f t="array" ref="U46">IF(TbTradesBinance[[#This Row],[Tipo]]="EMPTY",0,U45+IF(TbTradesBinance[[#This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Row],[Par]]))),$1:$1,0)),-(T45-T46)/T45*U45),0),0)+IF(TbTradesBinance[[#This Row],[Tipo]]="SELL",IF(ISNUMBER(FIND(MID(U$1,10,5),TbTradesBinance[[#This Row],[Par]])),IF(FIND(MID(U$1,10,5),TbTradesBinance[[#This Row],[Par]])=1, -(T45-T46)/T45*U45,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Row],[Par]])),(-(T45-T46)/T45*U45)+IF(TbTradesBinance[[#This Row],[Resultado]]&gt;0,0,TbTradesBinance[[#This Row],[Taxa]]),0),0))</f>
        <v>1328240.0716580662</v>
      </c>
      <c r="V46" s="145">
        <f t="shared" si="3"/>
        <v>6.6500000148719129</v>
      </c>
      <c r="W4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Row],[Tipo]]="DROP"),W45+TbTradesBinance[[#This Row],[Qtt]],W45-TbTradesBinance[[#This Row],[Qtt]]),IF(TbTradesBinance[[#This Row],[Tipo]]="BUY",W45-TbTradesBinance[[#This Row],[Qtt]]*TbTradesBinance[[#This Row],[Preço]],W45+TbTradesBinance[[#This Row],[Qtt]]*TbTradesBinance[[#This Row],[Preço]])),W45)-IF(TbTradesBinance[[#This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Row],[Tipo]]="DROP"),W45+TbTradesBinance[[#This Row],[Qtt]],W45-TbTradesBinance[[#This Row],[Qtt]]),IF(TbTradesBinance[[#This Row],[Tipo]]="BUY",W45-TbTradesBinance[[#This Row],[Qtt]]*TbTradesBinance[[#This Row],[Preço]],W45+TbTradesBinance[[#This Row],[Qtt]]*TbTradesBinance[[#This Row],[Preço]])),W45)-IF(TbTradesBinance[[#This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Row],[Tipo]]="DROP"),W45+TbTradesBinance[[#This Row],[Qtt]],W45-TbTradesBinance[[#This Row],[Qtt]]),IF(TbTradesBinance[[#This Row],[Tipo]]="BUY",W45-TbTradesBinance[[#This Row],[Qtt]]*TbTradesBinance[[#This Row],[Preço]],W45+TbTradesBinance[[#This Row],[Qtt]]*TbTradesBinance[[#This Row],[Preço]])),W45)-IF(TbTradesBinance[[#This Row],[Moeda da Taxa]]=MID(W$1,9,5),TbTradesBinance[[#This Row],[Taxa]],0),8)))</f>
        <v>1.1913200000000001E-3</v>
      </c>
      <c r="X46" s="145" cm="1">
        <f t="array" ref="X46">IF(TbTradesBinance[[#This Row],[Tipo]]="EMPTY",0,X45+IF(TbTradesBinance[[#This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Row],[Par]]))),$1:$1,0)),-(W45-W46)/W45*X45),0),0)+IF(TbTradesBinance[[#This Row],[Tipo]]="SELL",IF(ISNUMBER(FIND(MID(X$1,10,5),TbTradesBinance[[#This Row],[Par]])),IF(FIND(MID(X$1,10,5),TbTradesBinance[[#This Row],[Par]])=1, -(W45-W46)/W45*X45,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Row],[Par]])),(-(W45-W46)/W45*X45)+IF(TbTradesBinance[[#This Row],[Resultado]]&gt;0,0,TbTradesBinance[[#This Row],[Taxa]]),0),0))</f>
        <v>331.22431534654413</v>
      </c>
      <c r="Y46" s="145">
        <f t="shared" si="4"/>
        <v>278031.35626577586</v>
      </c>
      <c r="Z4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Row],[Tipo]]="DROP"),Z45+TbTradesBinance[[#This Row],[Qtt]],Z45-TbTradesBinance[[#This Row],[Qtt]]),IF(TbTradesBinance[[#This Row],[Tipo]]="BUY",Z45-TbTradesBinance[[#This Row],[Qtt]]*TbTradesBinance[[#This Row],[Preço]],Z45+TbTradesBinance[[#This Row],[Qtt]]*TbTradesBinance[[#This Row],[Preço]])),Z45)-IF(TbTradesBinance[[#This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Row],[Tipo]]="DROP"),Z45+TbTradesBinance[[#This Row],[Qtt]],Z45-TbTradesBinance[[#This Row],[Qtt]]),IF(TbTradesBinance[[#This Row],[Tipo]]="BUY",Z45-TbTradesBinance[[#This Row],[Qtt]]*TbTradesBinance[[#This Row],[Preço]],Z45+TbTradesBinance[[#This Row],[Qtt]]*TbTradesBinance[[#This Row],[Preço]])),Z45)-IF(TbTradesBinance[[#This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Row],[Tipo]]="DROP"),Z45+TbTradesBinance[[#This Row],[Qtt]],Z45-TbTradesBinance[[#This Row],[Qtt]]),IF(TbTradesBinance[[#This Row],[Tipo]]="BUY",Z45-TbTradesBinance[[#This Row],[Qtt]]*TbTradesBinance[[#This Row],[Preço]],Z45+TbTradesBinance[[#This Row],[Qtt]]*TbTradesBinance[[#This Row],[Preço]])),Z45)-IF(TbTradesBinance[[#This Row],[Moeda da Taxa]]=MID(Z$1,9,5),TbTradesBinance[[#This Row],[Taxa]],0),8)))</f>
        <v>0</v>
      </c>
      <c r="AA46" s="145" cm="1">
        <f t="array" ref="AA46">IF(TbTradesBinance[[#This Row],[Tipo]]="EMPTY",0,AA45+IF(TbTradesBinance[[#This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Row],[Par]]))),$1:$1,0)),-(Z45-Z46)/Z45*AA45),0),0)+IF(TbTradesBinance[[#This Row],[Tipo]]="SELL",IF(ISNUMBER(FIND(MID(AA$1,10,5),TbTradesBinance[[#This Row],[Par]])),IF(FIND(MID(AA$1,10,5),TbTradesBinance[[#This Row],[Par]])=1, -(Z45-Z46)/Z45*AA45,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Row],[Par]])),(-(Z45-Z46)/Z45*AA45)+IF(TbTradesBinance[[#This Row],[Resultado]]&gt;0,0,TbTradesBinance[[#This Row],[Taxa]]),0),0))</f>
        <v>0</v>
      </c>
      <c r="AB46" s="145">
        <f t="shared" si="5"/>
        <v>0</v>
      </c>
      <c r="AC4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Row],[Tipo]]="DROP"),AC45+TbTradesBinance[[#This Row],[Qtt]],AC45-TbTradesBinance[[#This Row],[Qtt]]),IF(TbTradesBinance[[#This Row],[Tipo]]="BUY",AC45-TbTradesBinance[[#This Row],[Qtt]]*TbTradesBinance[[#This Row],[Preço]],AC45+TbTradesBinance[[#This Row],[Qtt]]*TbTradesBinance[[#This Row],[Preço]])),AC45)-IF(TbTradesBinance[[#This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Row],[Tipo]]="DROP"),AC45+TbTradesBinance[[#This Row],[Qtt]],AC45-TbTradesBinance[[#This Row],[Qtt]]),IF(TbTradesBinance[[#This Row],[Tipo]]="BUY",AC45-TbTradesBinance[[#This Row],[Qtt]]*TbTradesBinance[[#This Row],[Preço]],AC45+TbTradesBinance[[#This Row],[Qtt]]*TbTradesBinance[[#This Row],[Preço]])),AC45)-IF(TbTradesBinance[[#This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Row],[Tipo]]="DROP"),AC45+TbTradesBinance[[#This Row],[Qtt]],AC45-TbTradesBinance[[#This Row],[Qtt]]),IF(TbTradesBinance[[#This Row],[Tipo]]="BUY",AC45-TbTradesBinance[[#This Row],[Qtt]]*TbTradesBinance[[#This Row],[Preço]],AC45+TbTradesBinance[[#This Row],[Qtt]]*TbTradesBinance[[#This Row],[Preço]])),AC45)-IF(TbTradesBinance[[#This Row],[Moeda da Taxa]]=MID(AC$1,9,5),TbTradesBinance[[#This Row],[Taxa]],0),8)))</f>
        <v>0</v>
      </c>
      <c r="AD46" s="145" cm="1">
        <f t="array" ref="AD46">IF(TbTradesBinance[[#This Row],[Tipo]]="EMPTY",0,AD45+IF(TbTradesBinance[[#This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Row],[Par]]))),$1:$1,0)),-(AC45-AC46)/AC45*AD45),0),0)+IF(TbTradesBinance[[#This Row],[Tipo]]="SELL",IF(ISNUMBER(FIND(MID(AD$1,10,5),TbTradesBinance[[#This Row],[Par]])),IF(FIND(MID(AD$1,10,5),TbTradesBinance[[#This Row],[Par]])=1, -(AC45-AC46)/AC45*AD45,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Row],[Par]])),(-(AC45-AC46)/AC45*AD45)+IF(TbTradesBinance[[#This Row],[Resultado]]&gt;0,0,TbTradesBinance[[#This Row],[Taxa]]),0),0))</f>
        <v>0</v>
      </c>
      <c r="AE46" s="145">
        <f t="shared" si="6"/>
        <v>0</v>
      </c>
      <c r="AF4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Row],[Tipo]]="DROP"),AF45+TbTradesBinance[[#This Row],[Qtt]],AF45-TbTradesBinance[[#This Row],[Qtt]]),IF(TbTradesBinance[[#This Row],[Tipo]]="BUY",AF45-TbTradesBinance[[#This Row],[Qtt]]*TbTradesBinance[[#This Row],[Preço]],AF45+TbTradesBinance[[#This Row],[Qtt]]*TbTradesBinance[[#This Row],[Preço]])),AF45)-IF(TbTradesBinance[[#This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Row],[Tipo]]="DROP"),AF45+TbTradesBinance[[#This Row],[Qtt]],AF45-TbTradesBinance[[#This Row],[Qtt]]),IF(TbTradesBinance[[#This Row],[Tipo]]="BUY",AF45-TbTradesBinance[[#This Row],[Qtt]]*TbTradesBinance[[#This Row],[Preço]],AF45+TbTradesBinance[[#This Row],[Qtt]]*TbTradesBinance[[#This Row],[Preço]])),AF45)-IF(TbTradesBinance[[#This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Row],[Tipo]]="DROP"),AF45+TbTradesBinance[[#This Row],[Qtt]],AF45-TbTradesBinance[[#This Row],[Qtt]]),IF(TbTradesBinance[[#This Row],[Tipo]]="BUY",AF45-TbTradesBinance[[#This Row],[Qtt]]*TbTradesBinance[[#This Row],[Preço]],AF45+TbTradesBinance[[#This Row],[Qtt]]*TbTradesBinance[[#This Row],[Preço]])),AF45)-IF(TbTradesBinance[[#This Row],[Moeda da Taxa]]=MID(AF$1,9,5),TbTradesBinance[[#This Row],[Taxa]],0),8)))</f>
        <v>14.984999999999999</v>
      </c>
      <c r="AG46" s="145" cm="1">
        <f t="array" ref="AG46">IF(TbTradesBinance[[#This Row],[Tipo]]="EMPTY",0,AG45+IF(TbTradesBinance[[#This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Row],[Par]]))),$1:$1,0)),-(AF45-AF46)/AF45*AG45),0),0)+IF(TbTradesBinance[[#This Row],[Tipo]]="SELL",IF(ISNUMBER(FIND(MID(AG$1,10,5),TbTradesBinance[[#This Row],[Par]])),IF(FIND(MID(AG$1,10,5),TbTradesBinance[[#This Row],[Par]])=1, -(AF45-AF46)/AF45*AG45,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Row],[Par]])),(-(AF45-AF46)/AF45*AG45)+IF(TbTradesBinance[[#This Row],[Resultado]]&gt;0,0,TbTradesBinance[[#This Row],[Taxa]]),0),0))</f>
        <v>90.429698625443621</v>
      </c>
      <c r="AH46" s="145">
        <f t="shared" si="7"/>
        <v>6.0346812562858609</v>
      </c>
      <c r="AI4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Row],[Tipo]]="DROP"),AI45+TbTradesBinance[[#This Row],[Qtt]],AI45-TbTradesBinance[[#This Row],[Qtt]]),IF(TbTradesBinance[[#This Row],[Tipo]]="BUY",AI45-TbTradesBinance[[#This Row],[Qtt]]*TbTradesBinance[[#This Row],[Preço]],AI45+TbTradesBinance[[#This Row],[Qtt]]*TbTradesBinance[[#This Row],[Preço]])),AI45)-IF(TbTradesBinance[[#This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Row],[Tipo]]="DROP"),AI45+TbTradesBinance[[#This Row],[Qtt]],AI45-TbTradesBinance[[#This Row],[Qtt]]),IF(TbTradesBinance[[#This Row],[Tipo]]="BUY",AI45-TbTradesBinance[[#This Row],[Qtt]]*TbTradesBinance[[#This Row],[Preço]],AI45+TbTradesBinance[[#This Row],[Qtt]]*TbTradesBinance[[#This Row],[Preço]])),AI45)-IF(TbTradesBinance[[#This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Row],[Tipo]]="DROP"),AI45+TbTradesBinance[[#This Row],[Qtt]],AI45-TbTradesBinance[[#This Row],[Qtt]]),IF(TbTradesBinance[[#This Row],[Tipo]]="BUY",AI45-TbTradesBinance[[#This Row],[Qtt]]*TbTradesBinance[[#This Row],[Preço]],AI45+TbTradesBinance[[#This Row],[Qtt]]*TbTradesBinance[[#This Row],[Preço]])),AI45)-IF(TbTradesBinance[[#This Row],[Moeda da Taxa]]=MID(AI$1,9,5),TbTradesBinance[[#This Row],[Taxa]],0),8)))</f>
        <v>0</v>
      </c>
      <c r="AJ46" s="145" cm="1">
        <f t="array" ref="AJ46">IF(TbTradesBinance[[#This Row],[Tipo]]="EMPTY",0,AJ45+IF(TbTradesBinance[[#This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Row],[Par]]))),$1:$1,0)),-(AI45-AI46)/AI45*AJ45),0),0)+IF(TbTradesBinance[[#This Row],[Tipo]]="SELL",IF(ISNUMBER(FIND(MID(AJ$1,10,5),TbTradesBinance[[#This Row],[Par]])),IF(FIND(MID(AJ$1,10,5),TbTradesBinance[[#This Row],[Par]])=1, -(AI45-AI46)/AI45*AJ45,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Row],[Par]])),(-(AI45-AI46)/AI45*AJ45)+IF(TbTradesBinance[[#This Row],[Resultado]]&gt;0,0,TbTradesBinance[[#This Row],[Taxa]]),0),0))</f>
        <v>0</v>
      </c>
      <c r="AK46" s="145">
        <f t="shared" si="8"/>
        <v>0</v>
      </c>
      <c r="AL4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Row],[Tipo]]="DROP"),AL45+TbTradesBinance[[#This Row],[Qtt]],AL45-TbTradesBinance[[#This Row],[Qtt]]),IF(TbTradesBinance[[#This Row],[Tipo]]="BUY",AL45-TbTradesBinance[[#This Row],[Qtt]]*TbTradesBinance[[#This Row],[Preço]],AL45+TbTradesBinance[[#This Row],[Qtt]]*TbTradesBinance[[#This Row],[Preço]])),AL45)-IF(TbTradesBinance[[#This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Row],[Tipo]]="DROP"),AL45+TbTradesBinance[[#This Row],[Qtt]],AL45-TbTradesBinance[[#This Row],[Qtt]]),IF(TbTradesBinance[[#This Row],[Tipo]]="BUY",AL45-TbTradesBinance[[#This Row],[Qtt]]*TbTradesBinance[[#This Row],[Preço]],AL45+TbTradesBinance[[#This Row],[Qtt]]*TbTradesBinance[[#This Row],[Preço]])),AL45)-IF(TbTradesBinance[[#This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Row],[Tipo]]="DROP"),AL45+TbTradesBinance[[#This Row],[Qtt]],AL45-TbTradesBinance[[#This Row],[Qtt]]),IF(TbTradesBinance[[#This Row],[Tipo]]="BUY",AL45-TbTradesBinance[[#This Row],[Qtt]]*TbTradesBinance[[#This Row],[Preço]],AL45+TbTradesBinance[[#This Row],[Qtt]]*TbTradesBinance[[#This Row],[Preço]])),AL45)-IF(TbTradesBinance[[#This Row],[Moeda da Taxa]]=MID(AL$1,9,5),TbTradesBinance[[#This Row],[Taxa]],0),8)))</f>
        <v>0</v>
      </c>
      <c r="AM46" s="145" cm="1">
        <f t="array" ref="AM46">IF(TbTradesBinance[[#This Row],[Tipo]]="EMPTY",0,AM45+IF(TbTradesBinance[[#This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Row],[Par]]))),$1:$1,0)),-(AL45-AL46)/AL45*AM45),0),0)+IF(TbTradesBinance[[#This Row],[Tipo]]="SELL",IF(ISNUMBER(FIND(MID(AM$1,10,5),TbTradesBinance[[#This Row],[Par]])),IF(FIND(MID(AM$1,10,5),TbTradesBinance[[#This Row],[Par]])=1, -(AL45-AL46)/AL45*AM45,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Row],[Par]])),(-(AL45-AL46)/AL45*AM45)+IF(TbTradesBinance[[#This Row],[Resultado]]&gt;0,0,TbTradesBinance[[#This Row],[Taxa]]),0),0))</f>
        <v>0</v>
      </c>
      <c r="AN46" s="145">
        <f t="shared" si="9"/>
        <v>0</v>
      </c>
      <c r="AO4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Row],[Tipo]]="DROP"),AO45+TbTradesBinance[[#This Row],[Qtt]],AO45-TbTradesBinance[[#This Row],[Qtt]]),IF(TbTradesBinance[[#This Row],[Tipo]]="BUY",AO45-TbTradesBinance[[#This Row],[Qtt]]*TbTradesBinance[[#This Row],[Preço]],AO45+TbTradesBinance[[#This Row],[Qtt]]*TbTradesBinance[[#This Row],[Preço]])),AO45)-IF(TbTradesBinance[[#This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Row],[Tipo]]="DROP"),AO45+TbTradesBinance[[#This Row],[Qtt]],AO45-TbTradesBinance[[#This Row],[Qtt]]),IF(TbTradesBinance[[#This Row],[Tipo]]="BUY",AO45-TbTradesBinance[[#This Row],[Qtt]]*TbTradesBinance[[#This Row],[Preço]],AO45+TbTradesBinance[[#This Row],[Qtt]]*TbTradesBinance[[#This Row],[Preço]])),AO45)-IF(TbTradesBinance[[#This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Row],[Tipo]]="DROP"),AO45+TbTradesBinance[[#This Row],[Qtt]],AO45-TbTradesBinance[[#This Row],[Qtt]]),IF(TbTradesBinance[[#This Row],[Tipo]]="BUY",AO45-TbTradesBinance[[#This Row],[Qtt]]*TbTradesBinance[[#This Row],[Preço]],AO45+TbTradesBinance[[#This Row],[Qtt]]*TbTradesBinance[[#This Row],[Preço]])),AO45)-IF(TbTradesBinance[[#This Row],[Moeda da Taxa]]=MID(AO$1,9,5),TbTradesBinance[[#This Row],[Taxa]],0),8)))</f>
        <v>0</v>
      </c>
      <c r="AP46" s="145" cm="1">
        <f t="array" ref="AP46">IF(TbTradesBinance[[#This Row],[Tipo]]="EMPTY",0,AP45+IF(TbTradesBinance[[#This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Row],[Par]]))),$1:$1,0)),-(AO45-AO46)/AO45*AP45),0),0)+IF(TbTradesBinance[[#This Row],[Tipo]]="SELL",IF(ISNUMBER(FIND(MID(AP$1,10,5),TbTradesBinance[[#This Row],[Par]])),IF(FIND(MID(AP$1,10,5),TbTradesBinance[[#This Row],[Par]])=1, -(AO45-AO46)/AO45*AP45,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Row],[Par]])),(-(AO45-AO46)/AO45*AP45)+IF(TbTradesBinance[[#This Row],[Resultado]]&gt;0,0,TbTradesBinance[[#This Row],[Taxa]]),0),0))</f>
        <v>0</v>
      </c>
      <c r="AQ46" s="145">
        <f t="shared" si="10"/>
        <v>0</v>
      </c>
      <c r="AR4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Row],[Tipo]]="DROP"),AR45+TbTradesBinance[[#This Row],[Qtt]],AR45-TbTradesBinance[[#This Row],[Qtt]]),IF(TbTradesBinance[[#This Row],[Tipo]]="BUY",AR45-TbTradesBinance[[#This Row],[Qtt]]*TbTradesBinance[[#This Row],[Preço]],AR45+TbTradesBinance[[#This Row],[Qtt]]*TbTradesBinance[[#This Row],[Preço]])),AR45)-IF(TbTradesBinance[[#This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Row],[Tipo]]="DROP"),AR45+TbTradesBinance[[#This Row],[Qtt]],AR45-TbTradesBinance[[#This Row],[Qtt]]),IF(TbTradesBinance[[#This Row],[Tipo]]="BUY",AR45-TbTradesBinance[[#This Row],[Qtt]]*TbTradesBinance[[#This Row],[Preço]],AR45+TbTradesBinance[[#This Row],[Qtt]]*TbTradesBinance[[#This Row],[Preço]])),AR45)-IF(TbTradesBinance[[#This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Row],[Tipo]]="DROP"),AR45+TbTradesBinance[[#This Row],[Qtt]],AR45-TbTradesBinance[[#This Row],[Qtt]]),IF(TbTradesBinance[[#This Row],[Tipo]]="BUY",AR45-TbTradesBinance[[#This Row],[Qtt]]*TbTradesBinance[[#This Row],[Preço]],AR45+TbTradesBinance[[#This Row],[Qtt]]*TbTradesBinance[[#This Row],[Preço]])),AR45)-IF(TbTradesBinance[[#This Row],[Moeda da Taxa]]=MID(AR$1,9,5),TbTradesBinance[[#This Row],[Taxa]],0),8)))</f>
        <v>0</v>
      </c>
      <c r="AS46" s="145" cm="1">
        <f t="array" ref="AS46">IF(TbTradesBinance[[#This Row],[Tipo]]="EMPTY",0,AS45+IF(TbTradesBinance[[#This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Row],[Par]]))),$1:$1,0)),-(AR45-AR46)/AR45*AS45),0),0)+IF(TbTradesBinance[[#This Row],[Tipo]]="SELL",IF(ISNUMBER(FIND(MID(AS$1,10,5),TbTradesBinance[[#This Row],[Par]])),IF(FIND(MID(AS$1,10,5),TbTradesBinance[[#This Row],[Par]])=1, -(AR45-AR46)/AR45*AS45,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Row],[Par]])),(-(AR45-AR46)/AR45*AS45)+IF(TbTradesBinance[[#This Row],[Resultado]]&gt;0,0,TbTradesBinance[[#This Row],[Taxa]]),0),0))</f>
        <v>0</v>
      </c>
      <c r="AT46" s="145">
        <f t="shared" si="11"/>
        <v>0</v>
      </c>
      <c r="AU4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Row],[Tipo]]="DROP"),AU45+TbTradesBinance[[#This Row],[Qtt]],AU45-TbTradesBinance[[#This Row],[Qtt]]),IF(TbTradesBinance[[#This Row],[Tipo]]="BUY",AU45-TbTradesBinance[[#This Row],[Qtt]]*TbTradesBinance[[#This Row],[Preço]],AU45+TbTradesBinance[[#This Row],[Qtt]]*TbTradesBinance[[#This Row],[Preço]])),AU45)-IF(TbTradesBinance[[#This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Row],[Tipo]]="DROP"),AU45+TbTradesBinance[[#This Row],[Qtt]],AU45-TbTradesBinance[[#This Row],[Qtt]]),IF(TbTradesBinance[[#This Row],[Tipo]]="BUY",AU45-TbTradesBinance[[#This Row],[Qtt]]*TbTradesBinance[[#This Row],[Preço]],AU45+TbTradesBinance[[#This Row],[Qtt]]*TbTradesBinance[[#This Row],[Preço]])),AU45)-IF(TbTradesBinance[[#This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Row],[Tipo]]="DROP"),AU45+TbTradesBinance[[#This Row],[Qtt]],AU45-TbTradesBinance[[#This Row],[Qtt]]),IF(TbTradesBinance[[#This Row],[Tipo]]="BUY",AU45-TbTradesBinance[[#This Row],[Qtt]]*TbTradesBinance[[#This Row],[Preço]],AU45+TbTradesBinance[[#This Row],[Qtt]]*TbTradesBinance[[#This Row],[Preço]])),AU45)-IF(TbTradesBinance[[#This Row],[Moeda da Taxa]]=MID(AU$1,9,5),TbTradesBinance[[#This Row],[Taxa]],0),8)))</f>
        <v>9.9900000000000003E-2</v>
      </c>
      <c r="AV46" s="145" cm="1">
        <f t="array" ref="AV46">IF(TbTradesBinance[[#This Row],[Tipo]]="EMPTY",0,AV45+IF(TbTradesBinance[[#This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Row],[Par]]))),$1:$1,0)),-(AU45-AU46)/AU45*AV45),0),0)+IF(TbTradesBinance[[#This Row],[Tipo]]="SELL",IF(ISNUMBER(FIND(MID(AV$1,10,5),TbTradesBinance[[#This Row],[Par]])),IF(FIND(MID(AV$1,10,5),TbTradesBinance[[#This Row],[Par]])=1, -(AU45-AU46)/AU45*AV45,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Row],[Par]])),(-(AU45-AU46)/AU45*AV45)+IF(TbTradesBinance[[#This Row],[Resultado]]&gt;0,0,TbTradesBinance[[#This Row],[Taxa]]),0),0))</f>
        <v>18.673922987511034</v>
      </c>
      <c r="AW46" s="145">
        <f t="shared" si="12"/>
        <v>186.92615603114149</v>
      </c>
      <c r="AX4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Row],[Tipo]]="DROP"),AX45+TbTradesBinance[[#This Row],[Qtt]],AX45-TbTradesBinance[[#This Row],[Qtt]]),IF(TbTradesBinance[[#This Row],[Tipo]]="BUY",AX45-TbTradesBinance[[#This Row],[Qtt]]*TbTradesBinance[[#This Row],[Preço]],AX45+TbTradesBinance[[#This Row],[Qtt]]*TbTradesBinance[[#This Row],[Preço]])),AX45)-IF(TbTradesBinance[[#This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Row],[Tipo]]="DROP"),AX45+TbTradesBinance[[#This Row],[Qtt]],AX45-TbTradesBinance[[#This Row],[Qtt]]),IF(TbTradesBinance[[#This Row],[Tipo]]="BUY",AX45-TbTradesBinance[[#This Row],[Qtt]]*TbTradesBinance[[#This Row],[Preço]],AX45+TbTradesBinance[[#This Row],[Qtt]]*TbTradesBinance[[#This Row],[Preço]])),AX45)-IF(TbTradesBinance[[#This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Row],[Tipo]]="DROP"),AX45+TbTradesBinance[[#This Row],[Qtt]],AX45-TbTradesBinance[[#This Row],[Qtt]]),IF(TbTradesBinance[[#This Row],[Tipo]]="BUY",AX45-TbTradesBinance[[#This Row],[Qtt]]*TbTradesBinance[[#This Row],[Preço]],AX45+TbTradesBinance[[#This Row],[Qtt]]*TbTradesBinance[[#This Row],[Preço]])),AX45)-IF(TbTradesBinance[[#This Row],[Moeda da Taxa]]=MID(AX$1,9,5),TbTradesBinance[[#This Row],[Taxa]],0),8)))</f>
        <v>0</v>
      </c>
      <c r="AY46" s="145" cm="1">
        <f t="array" ref="AY46">IF(TbTradesBinance[[#This Row],[Tipo]]="EMPTY",0,AY45+IF(TbTradesBinance[[#This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Row],[Par]]))),$1:$1,0)),-(AX45-AX46)/AX45*AY45),0),0)+IF(TbTradesBinance[[#This Row],[Tipo]]="SELL",IF(ISNUMBER(FIND(MID(AY$1,10,5),TbTradesBinance[[#This Row],[Par]])),IF(FIND(MID(AY$1,10,5),TbTradesBinance[[#This Row],[Par]])=1, -(AX45-AX46)/AX45*AY45,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Row],[Par]])),(-(AX45-AX46)/AX45*AY45)+IF(TbTradesBinance[[#This Row],[Resultado]]&gt;0,0,TbTradesBinance[[#This Row],[Taxa]]),0),0))</f>
        <v>0</v>
      </c>
      <c r="AZ46" s="145">
        <f t="shared" si="13"/>
        <v>0</v>
      </c>
      <c r="BA4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Row],[Tipo]]="DROP"),BA45+TbTradesBinance[[#This Row],[Qtt]],BA45-TbTradesBinance[[#This Row],[Qtt]]),IF(TbTradesBinance[[#This Row],[Tipo]]="BUY",BA45-TbTradesBinance[[#This Row],[Qtt]]*TbTradesBinance[[#This Row],[Preço]],BA45+TbTradesBinance[[#This Row],[Qtt]]*TbTradesBinance[[#This Row],[Preço]])),BA45)-IF(TbTradesBinance[[#This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Row],[Tipo]]="DROP"),BA45+TbTradesBinance[[#This Row],[Qtt]],BA45-TbTradesBinance[[#This Row],[Qtt]]),IF(TbTradesBinance[[#This Row],[Tipo]]="BUY",BA45-TbTradesBinance[[#This Row],[Qtt]]*TbTradesBinance[[#This Row],[Preço]],BA45+TbTradesBinance[[#This Row],[Qtt]]*TbTradesBinance[[#This Row],[Preço]])),BA45)-IF(TbTradesBinance[[#This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Row],[Tipo]]="DROP"),BA45+TbTradesBinance[[#This Row],[Qtt]],BA45-TbTradesBinance[[#This Row],[Qtt]]),IF(TbTradesBinance[[#This Row],[Tipo]]="BUY",BA45-TbTradesBinance[[#This Row],[Qtt]]*TbTradesBinance[[#This Row],[Preço]],BA45+TbTradesBinance[[#This Row],[Qtt]]*TbTradesBinance[[#This Row],[Preço]])),BA45)-IF(TbTradesBinance[[#This Row],[Moeda da Taxa]]=MID(BA$1,9,5),TbTradesBinance[[#This Row],[Taxa]],0),8)))</f>
        <v>0</v>
      </c>
      <c r="BB46" s="145" cm="1">
        <f t="array" ref="BB46">IF(TbTradesBinance[[#This Row],[Tipo]]="EMPTY",0,BB45+IF(TbTradesBinance[[#This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Row],[Par]]))),$1:$1,0)),-(BA45-BA46)/BA45*BB45),0),0)+IF(TbTradesBinance[[#This Row],[Tipo]]="SELL",IF(ISNUMBER(FIND(MID(BB$1,10,5),TbTradesBinance[[#This Row],[Par]])),IF(FIND(MID(BB$1,10,5),TbTradesBinance[[#This Row],[Par]])=1, -(BA45-BA46)/BA45*BB45,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Row],[Par]])),(-(BA45-BA46)/BA45*BB45)+IF(TbTradesBinance[[#This Row],[Resultado]]&gt;0,0,TbTradesBinance[[#This Row],[Taxa]]),0),0))</f>
        <v>0</v>
      </c>
      <c r="BC46" s="145">
        <f t="shared" si="14"/>
        <v>0</v>
      </c>
      <c r="BD4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Row],[Tipo]]="DROP"),BD45+TbTradesBinance[[#This Row],[Qtt]],BD45-TbTradesBinance[[#This Row],[Qtt]]),IF(TbTradesBinance[[#This Row],[Tipo]]="BUY",BD45-TbTradesBinance[[#This Row],[Qtt]]*TbTradesBinance[[#This Row],[Preço]],BD45+TbTradesBinance[[#This Row],[Qtt]]*TbTradesBinance[[#This Row],[Preço]])),BD45)-IF(TbTradesBinance[[#This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Row],[Tipo]]="DROP"),BD45+TbTradesBinance[[#This Row],[Qtt]],BD45-TbTradesBinance[[#This Row],[Qtt]]),IF(TbTradesBinance[[#This Row],[Tipo]]="BUY",BD45-TbTradesBinance[[#This Row],[Qtt]]*TbTradesBinance[[#This Row],[Preço]],BD45+TbTradesBinance[[#This Row],[Qtt]]*TbTradesBinance[[#This Row],[Preço]])),BD45)-IF(TbTradesBinance[[#This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Row],[Tipo]]="DROP"),BD45+TbTradesBinance[[#This Row],[Qtt]],BD45-TbTradesBinance[[#This Row],[Qtt]]),IF(TbTradesBinance[[#This Row],[Tipo]]="BUY",BD45-TbTradesBinance[[#This Row],[Qtt]]*TbTradesBinance[[#This Row],[Preço]],BD45+TbTradesBinance[[#This Row],[Qtt]]*TbTradesBinance[[#This Row],[Preço]])),BD45)-IF(TbTradesBinance[[#This Row],[Moeda da Taxa]]=MID(BD$1,9,5),TbTradesBinance[[#This Row],[Taxa]],0),8)))</f>
        <v>0.37962000000000001</v>
      </c>
      <c r="BE46" s="145" cm="1">
        <f t="array" ref="BE46">IF(TbTradesBinance[[#This Row],[Tipo]]="EMPTY",0,BE45+IF(TbTradesBinance[[#This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Row],[Par]]))),$1:$1,0)),-(BD45-BD46)/BD45*BE45),0),0)+IF(TbTradesBinance[[#This Row],[Tipo]]="SELL",IF(ISNUMBER(FIND(MID(BE$1,10,5),TbTradesBinance[[#This Row],[Par]])),IF(FIND(MID(BE$1,10,5),TbTradesBinance[[#This Row],[Par]])=1, -(BD45-BD46)/BD45*BE45,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Row],[Par]])),(-(BD45-BD46)/BD45*BE45)+IF(TbTradesBinance[[#This Row],[Resultado]]&gt;0,0,TbTradesBinance[[#This Row],[Taxa]]),0),0))</f>
        <v>63.647297001537943</v>
      </c>
      <c r="BF46" s="145">
        <f t="shared" si="15"/>
        <v>167.66054739354601</v>
      </c>
      <c r="BG4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Row],[Tipo]]="DROP"),BG45+TbTradesBinance[[#This Row],[Qtt]],BG45-TbTradesBinance[[#This Row],[Qtt]]),IF(TbTradesBinance[[#This Row],[Tipo]]="BUY",BG45-TbTradesBinance[[#This Row],[Qtt]]*TbTradesBinance[[#This Row],[Preço]],BG45+TbTradesBinance[[#This Row],[Qtt]]*TbTradesBinance[[#This Row],[Preço]])),BG45)-IF(TbTradesBinance[[#This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Row],[Tipo]]="DROP"),BG45+TbTradesBinance[[#This Row],[Qtt]],BG45-TbTradesBinance[[#This Row],[Qtt]]),IF(TbTradesBinance[[#This Row],[Tipo]]="BUY",BG45-TbTradesBinance[[#This Row],[Qtt]]*TbTradesBinance[[#This Row],[Preço]],BG45+TbTradesBinance[[#This Row],[Qtt]]*TbTradesBinance[[#This Row],[Preço]])),BG45)-IF(TbTradesBinance[[#This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Row],[Tipo]]="DROP"),BG45+TbTradesBinance[[#This Row],[Qtt]],BG45-TbTradesBinance[[#This Row],[Qtt]]),IF(TbTradesBinance[[#This Row],[Tipo]]="BUY",BG45-TbTradesBinance[[#This Row],[Qtt]]*TbTradesBinance[[#This Row],[Preço]],BG45+TbTradesBinance[[#This Row],[Qtt]]*TbTradesBinance[[#This Row],[Preço]])),BG45)-IF(TbTradesBinance[[#This Row],[Moeda da Taxa]]=MID(BG$1,9,5),TbTradesBinance[[#This Row],[Taxa]],0),8)))</f>
        <v>0</v>
      </c>
      <c r="BH46" s="145" cm="1">
        <f t="array" ref="BH46">IF(TbTradesBinance[[#This Row],[Tipo]]="EMPTY",0,BH45+IF(TbTradesBinance[[#This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Row],[Par]]))),$1:$1,0)),-(BG45-BG46)/BG45*BH45),0),0)+IF(TbTradesBinance[[#This Row],[Tipo]]="SELL",IF(ISNUMBER(FIND(MID(BH$1,10,5),TbTradesBinance[[#This Row],[Par]])),IF(FIND(MID(BH$1,10,5),TbTradesBinance[[#This Row],[Par]])=1, -(BG45-BG46)/BG45*BH45,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Row],[Par]])),(-(BG45-BG46)/BG45*BH45)+IF(TbTradesBinance[[#This Row],[Resultado]]&gt;0,0,TbTradesBinance[[#This Row],[Taxa]]),0),0))</f>
        <v>0</v>
      </c>
      <c r="BI46" s="145">
        <f t="shared" si="16"/>
        <v>0</v>
      </c>
      <c r="BJ4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Row],[Tipo]]="DROP"),BJ45+TbTradesBinance[[#This Row],[Qtt]],BJ45-TbTradesBinance[[#This Row],[Qtt]]),IF(TbTradesBinance[[#This Row],[Tipo]]="BUY",BJ45-TbTradesBinance[[#This Row],[Qtt]]*TbTradesBinance[[#This Row],[Preço]],BJ45+TbTradesBinance[[#This Row],[Qtt]]*TbTradesBinance[[#This Row],[Preço]])),BJ45)-IF(TbTradesBinance[[#This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Row],[Tipo]]="DROP"),BJ45+TbTradesBinance[[#This Row],[Qtt]],BJ45-TbTradesBinance[[#This Row],[Qtt]]),IF(TbTradesBinance[[#This Row],[Tipo]]="BUY",BJ45-TbTradesBinance[[#This Row],[Qtt]]*TbTradesBinance[[#This Row],[Preço]],BJ45+TbTradesBinance[[#This Row],[Qtt]]*TbTradesBinance[[#This Row],[Preço]])),BJ45)-IF(TbTradesBinance[[#This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Row],[Tipo]]="DROP"),BJ45+TbTradesBinance[[#This Row],[Qtt]],BJ45-TbTradesBinance[[#This Row],[Qtt]]),IF(TbTradesBinance[[#This Row],[Tipo]]="BUY",BJ45-TbTradesBinance[[#This Row],[Qtt]]*TbTradesBinance[[#This Row],[Preço]],BJ45+TbTradesBinance[[#This Row],[Qtt]]*TbTradesBinance[[#This Row],[Preço]])),BJ45)-IF(TbTradesBinance[[#This Row],[Moeda da Taxa]]=MID(BJ$1,9,5),TbTradesBinance[[#This Row],[Taxa]],0),8)))</f>
        <v>0</v>
      </c>
      <c r="BK46" s="145" cm="1">
        <f t="array" ref="BK46">IF(TbTradesBinance[[#This Row],[Tipo]]="EMPTY",0,BK45+IF(TbTradesBinance[[#This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Row],[Par]]))),$1:$1,0)),-(BJ45-BJ46)/BJ45*BK45),0),0)+IF(TbTradesBinance[[#This Row],[Tipo]]="SELL",IF(ISNUMBER(FIND(MID(BK$1,10,5),TbTradesBinance[[#This Row],[Par]])),IF(FIND(MID(BK$1,10,5),TbTradesBinance[[#This Row],[Par]])=1, -(BJ45-BJ46)/BJ45*BK45,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Row],[Par]])),(-(BJ45-BJ46)/BJ45*BK45)+IF(TbTradesBinance[[#This Row],[Resultado]]&gt;0,0,TbTradesBinance[[#This Row],[Taxa]]),0),0))</f>
        <v>0</v>
      </c>
      <c r="BL46" s="145">
        <f t="shared" si="17"/>
        <v>0</v>
      </c>
      <c r="BM4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Row],[Tipo]]="DROP"),BM45+TbTradesBinance[[#This Row],[Qtt]],BM45-TbTradesBinance[[#This Row],[Qtt]]),IF(TbTradesBinance[[#This Row],[Tipo]]="BUY",BM45-TbTradesBinance[[#This Row],[Qtt]]*TbTradesBinance[[#This Row],[Preço]],BM45+TbTradesBinance[[#This Row],[Qtt]]*TbTradesBinance[[#This Row],[Preço]])),BM45)-IF(TbTradesBinance[[#This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Row],[Tipo]]="DROP"),BM45+TbTradesBinance[[#This Row],[Qtt]],BM45-TbTradesBinance[[#This Row],[Qtt]]),IF(TbTradesBinance[[#This Row],[Tipo]]="BUY",BM45-TbTradesBinance[[#This Row],[Qtt]]*TbTradesBinance[[#This Row],[Preço]],BM45+TbTradesBinance[[#This Row],[Qtt]]*TbTradesBinance[[#This Row],[Preço]])),BM45)-IF(TbTradesBinance[[#This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Row],[Tipo]]="DROP"),BM45+TbTradesBinance[[#This Row],[Qtt]],BM45-TbTradesBinance[[#This Row],[Qtt]]),IF(TbTradesBinance[[#This Row],[Tipo]]="BUY",BM45-TbTradesBinance[[#This Row],[Qtt]]*TbTradesBinance[[#This Row],[Preço]],BM45+TbTradesBinance[[#This Row],[Qtt]]*TbTradesBinance[[#This Row],[Preço]])),BM45)-IF(TbTradesBinance[[#This Row],[Moeda da Taxa]]=MID(BM$1,9,5),TbTradesBinance[[#This Row],[Taxa]],0),8)))</f>
        <v>0</v>
      </c>
      <c r="BN46" s="145" cm="1">
        <f t="array" ref="BN46">IF(TbTradesBinance[[#This Row],[Tipo]]="EMPTY",0,BN45+IF(TbTradesBinance[[#This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Row],[Par]]))),$1:$1,0)),-(BM45-BM46)/BM45*BN45),0),0)+IF(TbTradesBinance[[#This Row],[Tipo]]="SELL",IF(ISNUMBER(FIND(MID(BN$1,10,5),TbTradesBinance[[#This Row],[Par]])),IF(FIND(MID(BN$1,10,5),TbTradesBinance[[#This Row],[Par]])=1, -(BM45-BM46)/BM45*BN45,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Row],[Par]])),(-(BM45-BM46)/BM45*BN45)+IF(TbTradesBinance[[#This Row],[Resultado]]&gt;0,0,TbTradesBinance[[#This Row],[Taxa]]),0),0))</f>
        <v>0</v>
      </c>
      <c r="BO46" s="145">
        <f t="shared" si="18"/>
        <v>0</v>
      </c>
    </row>
    <row r="47" spans="2:67" x14ac:dyDescent="0.3">
      <c r="B47" s="51" t="s">
        <v>107</v>
      </c>
      <c r="C47" s="40">
        <f>TRUNC(IF(AND(TbTradesBinance[[#This Row],[Tipo]]="SEND",TbTradesBinance[[#This Row],[Par]]="BRL"),TbTradesBinance[[#This Row],[Qtt]]*(1-P45)-IF(TbTradesBinance[[#This Row],[Moeda da Taxa]]="BRL",TbTradesBinance[[#This Row],[Taxa]],0),0)+IF(AND(TbTradesBinance[[#This Row],[Tipo]]="BURN",TbTradesBinance[[#This Row],[Par]]="BRL"),-TbTradesBinance[[#This Row],[Qtt]]*P45,0),2)</f>
        <v>0</v>
      </c>
      <c r="D47" s="53">
        <v>44263.75990740741</v>
      </c>
      <c r="E47" s="37" t="s">
        <v>243</v>
      </c>
      <c r="F47" s="47" t="s">
        <v>139</v>
      </c>
      <c r="G47" s="38">
        <v>235.96127011999999</v>
      </c>
      <c r="H47" s="38">
        <v>1.1753200000000001E-3</v>
      </c>
      <c r="I47" s="38">
        <v>2.351E-5</v>
      </c>
      <c r="J47" s="37" t="s">
        <v>45</v>
      </c>
      <c r="K47" s="52">
        <v>5.7359999999999998</v>
      </c>
      <c r="L47" s="40">
        <f t="shared" si="0"/>
        <v>1353.47</v>
      </c>
      <c r="M47" s="40">
        <f>IF(OR(TbTradesBinance[[#This Row],[Tipo]]="BUY",TbTradesBinance[[#This Row],[Tipo]]="RECEIVE",TbTradesBinance[[#This Row],[Tipo]]="DROP"),L47*H47,-L47*H47)</f>
        <v>1.5907603604000002</v>
      </c>
      <c r="N4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Row],[Tipo]]="DROP"),N46+TbTradesBinance[[#This Row],[Qtt]],N46-TbTradesBinance[[#This Row],[Qtt]]),IF(TbTradesBinance[[#This Row],[Tipo]]="BUY",N46-TbTradesBinance[[#This Row],[Qtt]]*TbTradesBinance[[#This Row],[Preço]],N46+TbTradesBinance[[#This Row],[Qtt]]*TbTradesBinance[[#This Row],[Preço]])),N46)-IF(TbTradesBinance[[#This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Row],[Tipo]]="DROP"),N46+TbTradesBinance[[#This Row],[Qtt]],N46-TbTradesBinance[[#This Row],[Qtt]]),IF(TbTradesBinance[[#This Row],[Tipo]]="BUY",N46-TbTradesBinance[[#This Row],[Qtt]]*TbTradesBinance[[#This Row],[Preço]],N46+TbTradesBinance[[#This Row],[Qtt]]*TbTradesBinance[[#This Row],[Preço]])),N46)-IF(TbTradesBinance[[#This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Row],[Tipo]]="DROP"),N46+TbTradesBinance[[#This Row],[Qtt]],N46-TbTradesBinance[[#This Row],[Qtt]]),IF(TbTradesBinance[[#This Row],[Tipo]]="BUY",N46-TbTradesBinance[[#This Row],[Qtt]]*TbTradesBinance[[#This Row],[Preço]],N46+TbTradesBinance[[#This Row],[Qtt]]*TbTradesBinance[[#This Row],[Preço]])),N46)-IF(TbTradesBinance[[#This Row],[Moeda da Taxa]]=MID(N$1,9,5),TbTradesBinance[[#This Row],[Taxa]],0),8)))</f>
        <v>119863.45423289</v>
      </c>
      <c r="O47" s="145" cm="1">
        <f t="array" ref="O47">IF(TbTradesBinance[[#This Row],[Tipo]]="EMPTY",0,O46+IF(TbTradesBinance[[#This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Row],[Par]]))),$1:$1,0)),-(N46-N47)/N46*O46),0),0)+IF(TbTradesBinance[[#This Row],[Tipo]]="SELL",IF(ISNUMBER(FIND(MID(O$1,10,5),TbTradesBinance[[#This Row],[Par]])),IF(FIND(MID(O$1,10,5),TbTradesBinance[[#This Row],[Par]])=1, -(N46-N47)/N46*O46,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Row],[Par]])),(-(N46-N47)/N46*O46)+IF(TbTradesBinance[[#This Row],[Resultado]]&gt;0,0,TbTradesBinance[[#This Row],[Taxa]]),0),0))</f>
        <v>119783.00097390189</v>
      </c>
      <c r="P47" s="145">
        <f t="shared" si="1"/>
        <v>0.99932879242048378</v>
      </c>
      <c r="Q4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Row],[Tipo]]="DROP"),Q46+TbTradesBinance[[#This Row],[Qtt]],Q46-TbTradesBinance[[#This Row],[Qtt]]),IF(TbTradesBinance[[#This Row],[Tipo]]="BUY",Q46-TbTradesBinance[[#This Row],[Qtt]]*TbTradesBinance[[#This Row],[Preço]],Q46+TbTradesBinance[[#This Row],[Qtt]]*TbTradesBinance[[#This Row],[Preço]])),Q46)-IF(TbTradesBinance[[#This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Row],[Tipo]]="DROP"),Q46+TbTradesBinance[[#This Row],[Qtt]],Q46-TbTradesBinance[[#This Row],[Qtt]]),IF(TbTradesBinance[[#This Row],[Tipo]]="BUY",Q46-TbTradesBinance[[#This Row],[Qtt]]*TbTradesBinance[[#This Row],[Preço]],Q46+TbTradesBinance[[#This Row],[Qtt]]*TbTradesBinance[[#This Row],[Preço]])),Q46)-IF(TbTradesBinance[[#This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Row],[Tipo]]="DROP"),Q46+TbTradesBinance[[#This Row],[Qtt]],Q46-TbTradesBinance[[#This Row],[Qtt]]),IF(TbTradesBinance[[#This Row],[Tipo]]="BUY",Q46-TbTradesBinance[[#This Row],[Qtt]]*TbTradesBinance[[#This Row],[Preço]],Q46+TbTradesBinance[[#This Row],[Qtt]]*TbTradesBinance[[#This Row],[Preço]])),Q46)-IF(TbTradesBinance[[#This Row],[Moeda da Taxa]]=MID(Q$1,9,5),TbTradesBinance[[#This Row],[Taxa]],0),8)))</f>
        <v>0</v>
      </c>
      <c r="R47" s="145" cm="1">
        <f t="array" ref="R47">IF(TbTradesBinance[[#This Row],[Tipo]]="EMPTY",0,R46+IF(TbTradesBinance[[#This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Row],[Par]]))),$1:$1,0)),-(Q46-Q47)/Q46*R46),0),0)+IF(TbTradesBinance[[#This Row],[Tipo]]="SELL",IF(ISNUMBER(FIND(MID(R$1,10,5),TbTradesBinance[[#This Row],[Par]])),IF(FIND(MID(R$1,10,5),TbTradesBinance[[#This Row],[Par]])=1, -(Q46-Q47)/Q46*R46,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Row],[Par]])),(-(Q46-Q47)/Q46*R46)+IF(TbTradesBinance[[#This Row],[Resultado]]&gt;0,0,TbTradesBinance[[#This Row],[Taxa]]),0),0))</f>
        <v>0</v>
      </c>
      <c r="S47" s="145">
        <f t="shared" si="2"/>
        <v>0</v>
      </c>
      <c r="T4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Row],[Tipo]]="DROP"),T46+TbTradesBinance[[#This Row],[Qtt]],T46-TbTradesBinance[[#This Row],[Qtt]]),IF(TbTradesBinance[[#This Row],[Tipo]]="BUY",T46-TbTradesBinance[[#This Row],[Qtt]]*TbTradesBinance[[#This Row],[Preço]],T46+TbTradesBinance[[#This Row],[Qtt]]*TbTradesBinance[[#This Row],[Preço]])),T46)-IF(TbTradesBinance[[#This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Row],[Tipo]]="DROP"),T46+TbTradesBinance[[#This Row],[Qtt]],T46-TbTradesBinance[[#This Row],[Qtt]]),IF(TbTradesBinance[[#This Row],[Tipo]]="BUY",T46-TbTradesBinance[[#This Row],[Qtt]]*TbTradesBinance[[#This Row],[Preço]],T46+TbTradesBinance[[#This Row],[Qtt]]*TbTradesBinance[[#This Row],[Preço]])),T46)-IF(TbTradesBinance[[#This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Row],[Tipo]]="DROP"),T46+TbTradesBinance[[#This Row],[Qtt]],T46-TbTradesBinance[[#This Row],[Qtt]]),IF(TbTradesBinance[[#This Row],[Tipo]]="BUY",T46-TbTradesBinance[[#This Row],[Qtt]]*TbTradesBinance[[#This Row],[Preço]],T46+TbTradesBinance[[#This Row],[Qtt]]*TbTradesBinance[[#This Row],[Preço]])),T46)-IF(TbTradesBinance[[#This Row],[Moeda da Taxa]]=MID(T$1,9,5),TbTradesBinance[[#This Row],[Taxa]],0),8)))</f>
        <v>199735.34867482999</v>
      </c>
      <c r="U47" s="145" cm="1">
        <f t="array" ref="U47">IF(TbTradesBinance[[#This Row],[Tipo]]="EMPTY",0,U46+IF(TbTradesBinance[[#This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Row],[Par]]))),$1:$1,0)),-(T46-T47)/T46*U46),0),0)+IF(TbTradesBinance[[#This Row],[Tipo]]="SELL",IF(ISNUMBER(FIND(MID(U$1,10,5),TbTradesBinance[[#This Row],[Par]])),IF(FIND(MID(U$1,10,5),TbTradesBinance[[#This Row],[Par]])=1, -(T46-T47)/T46*U46,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Row],[Par]])),(-(T46-T47)/T46*U46)+IF(TbTradesBinance[[#This Row],[Resultado]]&gt;0,0,TbTradesBinance[[#This Row],[Taxa]]),0),0))</f>
        <v>1328240.0716580662</v>
      </c>
      <c r="V47" s="145">
        <f t="shared" si="3"/>
        <v>6.6500000148719129</v>
      </c>
      <c r="W4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Row],[Tipo]]="DROP"),W46+TbTradesBinance[[#This Row],[Qtt]],W46-TbTradesBinance[[#This Row],[Qtt]]),IF(TbTradesBinance[[#This Row],[Tipo]]="BUY",W46-TbTradesBinance[[#This Row],[Qtt]]*TbTradesBinance[[#This Row],[Preço]],W46+TbTradesBinance[[#This Row],[Qtt]]*TbTradesBinance[[#This Row],[Preço]])),W46)-IF(TbTradesBinance[[#This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Row],[Tipo]]="DROP"),W46+TbTradesBinance[[#This Row],[Qtt]],W46-TbTradesBinance[[#This Row],[Qtt]]),IF(TbTradesBinance[[#This Row],[Tipo]]="BUY",W46-TbTradesBinance[[#This Row],[Qtt]]*TbTradesBinance[[#This Row],[Preço]],W46+TbTradesBinance[[#This Row],[Qtt]]*TbTradesBinance[[#This Row],[Preço]])),W46)-IF(TbTradesBinance[[#This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Row],[Tipo]]="DROP"),W46+TbTradesBinance[[#This Row],[Qtt]],W46-TbTradesBinance[[#This Row],[Qtt]]),IF(TbTradesBinance[[#This Row],[Tipo]]="BUY",W46-TbTradesBinance[[#This Row],[Qtt]]*TbTradesBinance[[#This Row],[Preço]],W46+TbTradesBinance[[#This Row],[Qtt]]*TbTradesBinance[[#This Row],[Preço]])),W46)-IF(TbTradesBinance[[#This Row],[Moeda da Taxa]]=MID(W$1,9,5),TbTradesBinance[[#This Row],[Taxa]],0),8)))</f>
        <v>1.1913200000000001E-3</v>
      </c>
      <c r="X47" s="145" cm="1">
        <f t="array" ref="X47">IF(TbTradesBinance[[#This Row],[Tipo]]="EMPTY",0,X46+IF(TbTradesBinance[[#This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Row],[Par]]))),$1:$1,0)),-(W46-W47)/W46*X46),0),0)+IF(TbTradesBinance[[#This Row],[Tipo]]="SELL",IF(ISNUMBER(FIND(MID(X$1,10,5),TbTradesBinance[[#This Row],[Par]])),IF(FIND(MID(X$1,10,5),TbTradesBinance[[#This Row],[Par]])=1, -(W46-W47)/W46*X46,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Row],[Par]])),(-(W46-W47)/W46*X46)+IF(TbTradesBinance[[#This Row],[Resultado]]&gt;0,0,TbTradesBinance[[#This Row],[Taxa]]),0),0))</f>
        <v>331.22431534654413</v>
      </c>
      <c r="Y47" s="145">
        <f t="shared" si="4"/>
        <v>278031.35626577586</v>
      </c>
      <c r="Z4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Row],[Tipo]]="DROP"),Z46+TbTradesBinance[[#This Row],[Qtt]],Z46-TbTradesBinance[[#This Row],[Qtt]]),IF(TbTradesBinance[[#This Row],[Tipo]]="BUY",Z46-TbTradesBinance[[#This Row],[Qtt]]*TbTradesBinance[[#This Row],[Preço]],Z46+TbTradesBinance[[#This Row],[Qtt]]*TbTradesBinance[[#This Row],[Preço]])),Z46)-IF(TbTradesBinance[[#This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Row],[Tipo]]="DROP"),Z46+TbTradesBinance[[#This Row],[Qtt]],Z46-TbTradesBinance[[#This Row],[Qtt]]),IF(TbTradesBinance[[#This Row],[Tipo]]="BUY",Z46-TbTradesBinance[[#This Row],[Qtt]]*TbTradesBinance[[#This Row],[Preço]],Z46+TbTradesBinance[[#This Row],[Qtt]]*TbTradesBinance[[#This Row],[Preço]])),Z46)-IF(TbTradesBinance[[#This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Row],[Tipo]]="DROP"),Z46+TbTradesBinance[[#This Row],[Qtt]],Z46-TbTradesBinance[[#This Row],[Qtt]]),IF(TbTradesBinance[[#This Row],[Tipo]]="BUY",Z46-TbTradesBinance[[#This Row],[Qtt]]*TbTradesBinance[[#This Row],[Preço]],Z46+TbTradesBinance[[#This Row],[Qtt]]*TbTradesBinance[[#This Row],[Preço]])),Z46)-IF(TbTradesBinance[[#This Row],[Moeda da Taxa]]=MID(Z$1,9,5),TbTradesBinance[[#This Row],[Taxa]],0),8)))</f>
        <v>0</v>
      </c>
      <c r="AA47" s="145" cm="1">
        <f t="array" ref="AA47">IF(TbTradesBinance[[#This Row],[Tipo]]="EMPTY",0,AA46+IF(TbTradesBinance[[#This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Row],[Par]]))),$1:$1,0)),-(Z46-Z47)/Z46*AA46),0),0)+IF(TbTradesBinance[[#This Row],[Tipo]]="SELL",IF(ISNUMBER(FIND(MID(AA$1,10,5),TbTradesBinance[[#This Row],[Par]])),IF(FIND(MID(AA$1,10,5),TbTradesBinance[[#This Row],[Par]])=1, -(Z46-Z47)/Z46*AA46,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Row],[Par]])),(-(Z46-Z47)/Z46*AA46)+IF(TbTradesBinance[[#This Row],[Resultado]]&gt;0,0,TbTradesBinance[[#This Row],[Taxa]]),0),0))</f>
        <v>0</v>
      </c>
      <c r="AB47" s="145">
        <f t="shared" si="5"/>
        <v>0</v>
      </c>
      <c r="AC4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Row],[Tipo]]="DROP"),AC46+TbTradesBinance[[#This Row],[Qtt]],AC46-TbTradesBinance[[#This Row],[Qtt]]),IF(TbTradesBinance[[#This Row],[Tipo]]="BUY",AC46-TbTradesBinance[[#This Row],[Qtt]]*TbTradesBinance[[#This Row],[Preço]],AC46+TbTradesBinance[[#This Row],[Qtt]]*TbTradesBinance[[#This Row],[Preço]])),AC46)-IF(TbTradesBinance[[#This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Row],[Tipo]]="DROP"),AC46+TbTradesBinance[[#This Row],[Qtt]],AC46-TbTradesBinance[[#This Row],[Qtt]]),IF(TbTradesBinance[[#This Row],[Tipo]]="BUY",AC46-TbTradesBinance[[#This Row],[Qtt]]*TbTradesBinance[[#This Row],[Preço]],AC46+TbTradesBinance[[#This Row],[Qtt]]*TbTradesBinance[[#This Row],[Preço]])),AC46)-IF(TbTradesBinance[[#This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Row],[Tipo]]="DROP"),AC46+TbTradesBinance[[#This Row],[Qtt]],AC46-TbTradesBinance[[#This Row],[Qtt]]),IF(TbTradesBinance[[#This Row],[Tipo]]="BUY",AC46-TbTradesBinance[[#This Row],[Qtt]]*TbTradesBinance[[#This Row],[Preço]],AC46+TbTradesBinance[[#This Row],[Qtt]]*TbTradesBinance[[#This Row],[Preço]])),AC46)-IF(TbTradesBinance[[#This Row],[Moeda da Taxa]]=MID(AC$1,9,5),TbTradesBinance[[#This Row],[Taxa]],0),8)))</f>
        <v>0</v>
      </c>
      <c r="AD47" s="145" cm="1">
        <f t="array" ref="AD47">IF(TbTradesBinance[[#This Row],[Tipo]]="EMPTY",0,AD46+IF(TbTradesBinance[[#This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Row],[Par]]))),$1:$1,0)),-(AC46-AC47)/AC46*AD46),0),0)+IF(TbTradesBinance[[#This Row],[Tipo]]="SELL",IF(ISNUMBER(FIND(MID(AD$1,10,5),TbTradesBinance[[#This Row],[Par]])),IF(FIND(MID(AD$1,10,5),TbTradesBinance[[#This Row],[Par]])=1, -(AC46-AC47)/AC46*AD46,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Row],[Par]])),(-(AC46-AC47)/AC46*AD46)+IF(TbTradesBinance[[#This Row],[Resultado]]&gt;0,0,TbTradesBinance[[#This Row],[Taxa]]),0),0))</f>
        <v>0</v>
      </c>
      <c r="AE47" s="145">
        <f t="shared" si="6"/>
        <v>0</v>
      </c>
      <c r="AF4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Row],[Tipo]]="DROP"),AF46+TbTradesBinance[[#This Row],[Qtt]],AF46-TbTradesBinance[[#This Row],[Qtt]]),IF(TbTradesBinance[[#This Row],[Tipo]]="BUY",AF46-TbTradesBinance[[#This Row],[Qtt]]*TbTradesBinance[[#This Row],[Preço]],AF46+TbTradesBinance[[#This Row],[Qtt]]*TbTradesBinance[[#This Row],[Preço]])),AF46)-IF(TbTradesBinance[[#This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Row],[Tipo]]="DROP"),AF46+TbTradesBinance[[#This Row],[Qtt]],AF46-TbTradesBinance[[#This Row],[Qtt]]),IF(TbTradesBinance[[#This Row],[Tipo]]="BUY",AF46-TbTradesBinance[[#This Row],[Qtt]]*TbTradesBinance[[#This Row],[Preço]],AF46+TbTradesBinance[[#This Row],[Qtt]]*TbTradesBinance[[#This Row],[Preço]])),AF46)-IF(TbTradesBinance[[#This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Row],[Tipo]]="DROP"),AF46+TbTradesBinance[[#This Row],[Qtt]],AF46-TbTradesBinance[[#This Row],[Qtt]]),IF(TbTradesBinance[[#This Row],[Tipo]]="BUY",AF46-TbTradesBinance[[#This Row],[Qtt]]*TbTradesBinance[[#This Row],[Preço]],AF46+TbTradesBinance[[#This Row],[Qtt]]*TbTradesBinance[[#This Row],[Preço]])),AF46)-IF(TbTradesBinance[[#This Row],[Moeda da Taxa]]=MID(AF$1,9,5),TbTradesBinance[[#This Row],[Taxa]],0),8)))</f>
        <v>14.984999999999999</v>
      </c>
      <c r="AG47" s="145" cm="1">
        <f t="array" ref="AG47">IF(TbTradesBinance[[#This Row],[Tipo]]="EMPTY",0,AG46+IF(TbTradesBinance[[#This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Row],[Par]]))),$1:$1,0)),-(AF46-AF47)/AF46*AG46),0),0)+IF(TbTradesBinance[[#This Row],[Tipo]]="SELL",IF(ISNUMBER(FIND(MID(AG$1,10,5),TbTradesBinance[[#This Row],[Par]])),IF(FIND(MID(AG$1,10,5),TbTradesBinance[[#This Row],[Par]])=1, -(AF46-AF47)/AF46*AG46,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Row],[Par]])),(-(AF46-AF47)/AF46*AG46)+IF(TbTradesBinance[[#This Row],[Resultado]]&gt;0,0,TbTradesBinance[[#This Row],[Taxa]]),0),0))</f>
        <v>90.429698625443621</v>
      </c>
      <c r="AH47" s="145">
        <f t="shared" si="7"/>
        <v>6.0346812562858609</v>
      </c>
      <c r="AI4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Row],[Tipo]]="DROP"),AI46+TbTradesBinance[[#This Row],[Qtt]],AI46-TbTradesBinance[[#This Row],[Qtt]]),IF(TbTradesBinance[[#This Row],[Tipo]]="BUY",AI46-TbTradesBinance[[#This Row],[Qtt]]*TbTradesBinance[[#This Row],[Preço]],AI46+TbTradesBinance[[#This Row],[Qtt]]*TbTradesBinance[[#This Row],[Preço]])),AI46)-IF(TbTradesBinance[[#This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Row],[Tipo]]="DROP"),AI46+TbTradesBinance[[#This Row],[Qtt]],AI46-TbTradesBinance[[#This Row],[Qtt]]),IF(TbTradesBinance[[#This Row],[Tipo]]="BUY",AI46-TbTradesBinance[[#This Row],[Qtt]]*TbTradesBinance[[#This Row],[Preço]],AI46+TbTradesBinance[[#This Row],[Qtt]]*TbTradesBinance[[#This Row],[Preço]])),AI46)-IF(TbTradesBinance[[#This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Row],[Tipo]]="DROP"),AI46+TbTradesBinance[[#This Row],[Qtt]],AI46-TbTradesBinance[[#This Row],[Qtt]]),IF(TbTradesBinance[[#This Row],[Tipo]]="BUY",AI46-TbTradesBinance[[#This Row],[Qtt]]*TbTradesBinance[[#This Row],[Preço]],AI46+TbTradesBinance[[#This Row],[Qtt]]*TbTradesBinance[[#This Row],[Preço]])),AI46)-IF(TbTradesBinance[[#This Row],[Moeda da Taxa]]=MID(AI$1,9,5),TbTradesBinance[[#This Row],[Taxa]],0),8)))</f>
        <v>0</v>
      </c>
      <c r="AJ47" s="145" cm="1">
        <f t="array" ref="AJ47">IF(TbTradesBinance[[#This Row],[Tipo]]="EMPTY",0,AJ46+IF(TbTradesBinance[[#This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Row],[Par]]))),$1:$1,0)),-(AI46-AI47)/AI46*AJ46),0),0)+IF(TbTradesBinance[[#This Row],[Tipo]]="SELL",IF(ISNUMBER(FIND(MID(AJ$1,10,5),TbTradesBinance[[#This Row],[Par]])),IF(FIND(MID(AJ$1,10,5),TbTradesBinance[[#This Row],[Par]])=1, -(AI46-AI47)/AI46*AJ46,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Row],[Par]])),(-(AI46-AI47)/AI46*AJ46)+IF(TbTradesBinance[[#This Row],[Resultado]]&gt;0,0,TbTradesBinance[[#This Row],[Taxa]]),0),0))</f>
        <v>0</v>
      </c>
      <c r="AK47" s="145">
        <f t="shared" si="8"/>
        <v>0</v>
      </c>
      <c r="AL4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Row],[Tipo]]="DROP"),AL46+TbTradesBinance[[#This Row],[Qtt]],AL46-TbTradesBinance[[#This Row],[Qtt]]),IF(TbTradesBinance[[#This Row],[Tipo]]="BUY",AL46-TbTradesBinance[[#This Row],[Qtt]]*TbTradesBinance[[#This Row],[Preço]],AL46+TbTradesBinance[[#This Row],[Qtt]]*TbTradesBinance[[#This Row],[Preço]])),AL46)-IF(TbTradesBinance[[#This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Row],[Tipo]]="DROP"),AL46+TbTradesBinance[[#This Row],[Qtt]],AL46-TbTradesBinance[[#This Row],[Qtt]]),IF(TbTradesBinance[[#This Row],[Tipo]]="BUY",AL46-TbTradesBinance[[#This Row],[Qtt]]*TbTradesBinance[[#This Row],[Preço]],AL46+TbTradesBinance[[#This Row],[Qtt]]*TbTradesBinance[[#This Row],[Preço]])),AL46)-IF(TbTradesBinance[[#This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Row],[Tipo]]="DROP"),AL46+TbTradesBinance[[#This Row],[Qtt]],AL46-TbTradesBinance[[#This Row],[Qtt]]),IF(TbTradesBinance[[#This Row],[Tipo]]="BUY",AL46-TbTradesBinance[[#This Row],[Qtt]]*TbTradesBinance[[#This Row],[Preço]],AL46+TbTradesBinance[[#This Row],[Qtt]]*TbTradesBinance[[#This Row],[Preço]])),AL46)-IF(TbTradesBinance[[#This Row],[Moeda da Taxa]]=MID(AL$1,9,5),TbTradesBinance[[#This Row],[Taxa]],0),8)))</f>
        <v>0</v>
      </c>
      <c r="AM47" s="145" cm="1">
        <f t="array" ref="AM47">IF(TbTradesBinance[[#This Row],[Tipo]]="EMPTY",0,AM46+IF(TbTradesBinance[[#This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Row],[Par]]))),$1:$1,0)),-(AL46-AL47)/AL46*AM46),0),0)+IF(TbTradesBinance[[#This Row],[Tipo]]="SELL",IF(ISNUMBER(FIND(MID(AM$1,10,5),TbTradesBinance[[#This Row],[Par]])),IF(FIND(MID(AM$1,10,5),TbTradesBinance[[#This Row],[Par]])=1, -(AL46-AL47)/AL46*AM46,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Row],[Par]])),(-(AL46-AL47)/AL46*AM46)+IF(TbTradesBinance[[#This Row],[Resultado]]&gt;0,0,TbTradesBinance[[#This Row],[Taxa]]),0),0))</f>
        <v>0</v>
      </c>
      <c r="AN47" s="145">
        <f t="shared" si="9"/>
        <v>0</v>
      </c>
      <c r="AO4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Row],[Tipo]]="DROP"),AO46+TbTradesBinance[[#This Row],[Qtt]],AO46-TbTradesBinance[[#This Row],[Qtt]]),IF(TbTradesBinance[[#This Row],[Tipo]]="BUY",AO46-TbTradesBinance[[#This Row],[Qtt]]*TbTradesBinance[[#This Row],[Preço]],AO46+TbTradesBinance[[#This Row],[Qtt]]*TbTradesBinance[[#This Row],[Preço]])),AO46)-IF(TbTradesBinance[[#This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Row],[Tipo]]="DROP"),AO46+TbTradesBinance[[#This Row],[Qtt]],AO46-TbTradesBinance[[#This Row],[Qtt]]),IF(TbTradesBinance[[#This Row],[Tipo]]="BUY",AO46-TbTradesBinance[[#This Row],[Qtt]]*TbTradesBinance[[#This Row],[Preço]],AO46+TbTradesBinance[[#This Row],[Qtt]]*TbTradesBinance[[#This Row],[Preço]])),AO46)-IF(TbTradesBinance[[#This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Row],[Tipo]]="DROP"),AO46+TbTradesBinance[[#This Row],[Qtt]],AO46-TbTradesBinance[[#This Row],[Qtt]]),IF(TbTradesBinance[[#This Row],[Tipo]]="BUY",AO46-TbTradesBinance[[#This Row],[Qtt]]*TbTradesBinance[[#This Row],[Preço]],AO46+TbTradesBinance[[#This Row],[Qtt]]*TbTradesBinance[[#This Row],[Preço]])),AO46)-IF(TbTradesBinance[[#This Row],[Moeda da Taxa]]=MID(AO$1,9,5),TbTradesBinance[[#This Row],[Taxa]],0),8)))</f>
        <v>1.1518100000000001E-3</v>
      </c>
      <c r="AP47" s="145" cm="1">
        <f t="array" ref="AP47">IF(TbTradesBinance[[#This Row],[Tipo]]="EMPTY",0,AP46+IF(TbTradesBinance[[#This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Row],[Par]]))),$1:$1,0)),-(AO46-AO47)/AO46*AP46),0),0)+IF(TbTradesBinance[[#This Row],[Tipo]]="SELL",IF(ISNUMBER(FIND(MID(AP$1,10,5),TbTradesBinance[[#This Row],[Par]])),IF(FIND(MID(AP$1,10,5),TbTradesBinance[[#This Row],[Par]])=1, -(AO46-AO47)/AO46*AP46,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Row],[Par]])),(-(AO46-AO47)/AO46*AP46)+IF(TbTradesBinance[[#This Row],[Resultado]]&gt;0,0,TbTradesBinance[[#This Row],[Taxa]]),0),0))</f>
        <v>1.5509449279899954</v>
      </c>
      <c r="AQ47" s="145">
        <f t="shared" si="10"/>
        <v>1346.5284447868964</v>
      </c>
      <c r="AR4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Row],[Tipo]]="DROP"),AR46+TbTradesBinance[[#This Row],[Qtt]],AR46-TbTradesBinance[[#This Row],[Qtt]]),IF(TbTradesBinance[[#This Row],[Tipo]]="BUY",AR46-TbTradesBinance[[#This Row],[Qtt]]*TbTradesBinance[[#This Row],[Preço]],AR46+TbTradesBinance[[#This Row],[Qtt]]*TbTradesBinance[[#This Row],[Preço]])),AR46)-IF(TbTradesBinance[[#This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Row],[Tipo]]="DROP"),AR46+TbTradesBinance[[#This Row],[Qtt]],AR46-TbTradesBinance[[#This Row],[Qtt]]),IF(TbTradesBinance[[#This Row],[Tipo]]="BUY",AR46-TbTradesBinance[[#This Row],[Qtt]]*TbTradesBinance[[#This Row],[Preço]],AR46+TbTradesBinance[[#This Row],[Qtt]]*TbTradesBinance[[#This Row],[Preço]])),AR46)-IF(TbTradesBinance[[#This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Row],[Tipo]]="DROP"),AR46+TbTradesBinance[[#This Row],[Qtt]],AR46-TbTradesBinance[[#This Row],[Qtt]]),IF(TbTradesBinance[[#This Row],[Tipo]]="BUY",AR46-TbTradesBinance[[#This Row],[Qtt]]*TbTradesBinance[[#This Row],[Preço]],AR46+TbTradesBinance[[#This Row],[Qtt]]*TbTradesBinance[[#This Row],[Preço]])),AR46)-IF(TbTradesBinance[[#This Row],[Moeda da Taxa]]=MID(AR$1,9,5),TbTradesBinance[[#This Row],[Taxa]],0),8)))</f>
        <v>0</v>
      </c>
      <c r="AS47" s="145" cm="1">
        <f t="array" ref="AS47">IF(TbTradesBinance[[#This Row],[Tipo]]="EMPTY",0,AS46+IF(TbTradesBinance[[#This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Row],[Par]]))),$1:$1,0)),-(AR46-AR47)/AR46*AS46),0),0)+IF(TbTradesBinance[[#This Row],[Tipo]]="SELL",IF(ISNUMBER(FIND(MID(AS$1,10,5),TbTradesBinance[[#This Row],[Par]])),IF(FIND(MID(AS$1,10,5),TbTradesBinance[[#This Row],[Par]])=1, -(AR46-AR47)/AR46*AS46,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Row],[Par]])),(-(AR46-AR47)/AR46*AS46)+IF(TbTradesBinance[[#This Row],[Resultado]]&gt;0,0,TbTradesBinance[[#This Row],[Taxa]]),0),0))</f>
        <v>0</v>
      </c>
      <c r="AT47" s="145">
        <f t="shared" si="11"/>
        <v>0</v>
      </c>
      <c r="AU4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Row],[Tipo]]="DROP"),AU46+TbTradesBinance[[#This Row],[Qtt]],AU46-TbTradesBinance[[#This Row],[Qtt]]),IF(TbTradesBinance[[#This Row],[Tipo]]="BUY",AU46-TbTradesBinance[[#This Row],[Qtt]]*TbTradesBinance[[#This Row],[Preço]],AU46+TbTradesBinance[[#This Row],[Qtt]]*TbTradesBinance[[#This Row],[Preço]])),AU46)-IF(TbTradesBinance[[#This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Row],[Tipo]]="DROP"),AU46+TbTradesBinance[[#This Row],[Qtt]],AU46-TbTradesBinance[[#This Row],[Qtt]]),IF(TbTradesBinance[[#This Row],[Tipo]]="BUY",AU46-TbTradesBinance[[#This Row],[Qtt]]*TbTradesBinance[[#This Row],[Preço]],AU46+TbTradesBinance[[#This Row],[Qtt]]*TbTradesBinance[[#This Row],[Preço]])),AU46)-IF(TbTradesBinance[[#This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Row],[Tipo]]="DROP"),AU46+TbTradesBinance[[#This Row],[Qtt]],AU46-TbTradesBinance[[#This Row],[Qtt]]),IF(TbTradesBinance[[#This Row],[Tipo]]="BUY",AU46-TbTradesBinance[[#This Row],[Qtt]]*TbTradesBinance[[#This Row],[Preço]],AU46+TbTradesBinance[[#This Row],[Qtt]]*TbTradesBinance[[#This Row],[Preço]])),AU46)-IF(TbTradesBinance[[#This Row],[Moeda da Taxa]]=MID(AU$1,9,5),TbTradesBinance[[#This Row],[Taxa]],0),8)))</f>
        <v>9.9900000000000003E-2</v>
      </c>
      <c r="AV47" s="145" cm="1">
        <f t="array" ref="AV47">IF(TbTradesBinance[[#This Row],[Tipo]]="EMPTY",0,AV46+IF(TbTradesBinance[[#This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Row],[Par]]))),$1:$1,0)),-(AU46-AU47)/AU46*AV46),0),0)+IF(TbTradesBinance[[#This Row],[Tipo]]="SELL",IF(ISNUMBER(FIND(MID(AV$1,10,5),TbTradesBinance[[#This Row],[Par]])),IF(FIND(MID(AV$1,10,5),TbTradesBinance[[#This Row],[Par]])=1, -(AU46-AU47)/AU46*AV46,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Row],[Par]])),(-(AU46-AU47)/AU46*AV46)+IF(TbTradesBinance[[#This Row],[Resultado]]&gt;0,0,TbTradesBinance[[#This Row],[Taxa]]),0),0))</f>
        <v>18.673922987511034</v>
      </c>
      <c r="AW47" s="145">
        <f t="shared" si="12"/>
        <v>186.92615603114149</v>
      </c>
      <c r="AX4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Row],[Tipo]]="DROP"),AX46+TbTradesBinance[[#This Row],[Qtt]],AX46-TbTradesBinance[[#This Row],[Qtt]]),IF(TbTradesBinance[[#This Row],[Tipo]]="BUY",AX46-TbTradesBinance[[#This Row],[Qtt]]*TbTradesBinance[[#This Row],[Preço]],AX46+TbTradesBinance[[#This Row],[Qtt]]*TbTradesBinance[[#This Row],[Preço]])),AX46)-IF(TbTradesBinance[[#This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Row],[Tipo]]="DROP"),AX46+TbTradesBinance[[#This Row],[Qtt]],AX46-TbTradesBinance[[#This Row],[Qtt]]),IF(TbTradesBinance[[#This Row],[Tipo]]="BUY",AX46-TbTradesBinance[[#This Row],[Qtt]]*TbTradesBinance[[#This Row],[Preço]],AX46+TbTradesBinance[[#This Row],[Qtt]]*TbTradesBinance[[#This Row],[Preço]])),AX46)-IF(TbTradesBinance[[#This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Row],[Tipo]]="DROP"),AX46+TbTradesBinance[[#This Row],[Qtt]],AX46-TbTradesBinance[[#This Row],[Qtt]]),IF(TbTradesBinance[[#This Row],[Tipo]]="BUY",AX46-TbTradesBinance[[#This Row],[Qtt]]*TbTradesBinance[[#This Row],[Preço]],AX46+TbTradesBinance[[#This Row],[Qtt]]*TbTradesBinance[[#This Row],[Preço]])),AX46)-IF(TbTradesBinance[[#This Row],[Moeda da Taxa]]=MID(AX$1,9,5),TbTradesBinance[[#This Row],[Taxa]],0),8)))</f>
        <v>0</v>
      </c>
      <c r="AY47" s="145" cm="1">
        <f t="array" ref="AY47">IF(TbTradesBinance[[#This Row],[Tipo]]="EMPTY",0,AY46+IF(TbTradesBinance[[#This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Row],[Par]]))),$1:$1,0)),-(AX46-AX47)/AX46*AY46),0),0)+IF(TbTradesBinance[[#This Row],[Tipo]]="SELL",IF(ISNUMBER(FIND(MID(AY$1,10,5),TbTradesBinance[[#This Row],[Par]])),IF(FIND(MID(AY$1,10,5),TbTradesBinance[[#This Row],[Par]])=1, -(AX46-AX47)/AX46*AY46,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Row],[Par]])),(-(AX46-AX47)/AX46*AY46)+IF(TbTradesBinance[[#This Row],[Resultado]]&gt;0,0,TbTradesBinance[[#This Row],[Taxa]]),0),0))</f>
        <v>0</v>
      </c>
      <c r="AZ47" s="145">
        <f t="shared" si="13"/>
        <v>0</v>
      </c>
      <c r="BA4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Row],[Tipo]]="DROP"),BA46+TbTradesBinance[[#This Row],[Qtt]],BA46-TbTradesBinance[[#This Row],[Qtt]]),IF(TbTradesBinance[[#This Row],[Tipo]]="BUY",BA46-TbTradesBinance[[#This Row],[Qtt]]*TbTradesBinance[[#This Row],[Preço]],BA46+TbTradesBinance[[#This Row],[Qtt]]*TbTradesBinance[[#This Row],[Preço]])),BA46)-IF(TbTradesBinance[[#This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Row],[Tipo]]="DROP"),BA46+TbTradesBinance[[#This Row],[Qtt]],BA46-TbTradesBinance[[#This Row],[Qtt]]),IF(TbTradesBinance[[#This Row],[Tipo]]="BUY",BA46-TbTradesBinance[[#This Row],[Qtt]]*TbTradesBinance[[#This Row],[Preço]],BA46+TbTradesBinance[[#This Row],[Qtt]]*TbTradesBinance[[#This Row],[Preço]])),BA46)-IF(TbTradesBinance[[#This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Row],[Tipo]]="DROP"),BA46+TbTradesBinance[[#This Row],[Qtt]],BA46-TbTradesBinance[[#This Row],[Qtt]]),IF(TbTradesBinance[[#This Row],[Tipo]]="BUY",BA46-TbTradesBinance[[#This Row],[Qtt]]*TbTradesBinance[[#This Row],[Preço]],BA46+TbTradesBinance[[#This Row],[Qtt]]*TbTradesBinance[[#This Row],[Preço]])),BA46)-IF(TbTradesBinance[[#This Row],[Moeda da Taxa]]=MID(BA$1,9,5),TbTradesBinance[[#This Row],[Taxa]],0),8)))</f>
        <v>0</v>
      </c>
      <c r="BB47" s="145" cm="1">
        <f t="array" ref="BB47">IF(TbTradesBinance[[#This Row],[Tipo]]="EMPTY",0,BB46+IF(TbTradesBinance[[#This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Row],[Par]]))),$1:$1,0)),-(BA46-BA47)/BA46*BB46),0),0)+IF(TbTradesBinance[[#This Row],[Tipo]]="SELL",IF(ISNUMBER(FIND(MID(BB$1,10,5),TbTradesBinance[[#This Row],[Par]])),IF(FIND(MID(BB$1,10,5),TbTradesBinance[[#This Row],[Par]])=1, -(BA46-BA47)/BA46*BB46,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Row],[Par]])),(-(BA46-BA47)/BA46*BB46)+IF(TbTradesBinance[[#This Row],[Resultado]]&gt;0,0,TbTradesBinance[[#This Row],[Taxa]]),0),0))</f>
        <v>0</v>
      </c>
      <c r="BC47" s="145">
        <f t="shared" si="14"/>
        <v>0</v>
      </c>
      <c r="BD4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Row],[Tipo]]="DROP"),BD46+TbTradesBinance[[#This Row],[Qtt]],BD46-TbTradesBinance[[#This Row],[Qtt]]),IF(TbTradesBinance[[#This Row],[Tipo]]="BUY",BD46-TbTradesBinance[[#This Row],[Qtt]]*TbTradesBinance[[#This Row],[Preço]],BD46+TbTradesBinance[[#This Row],[Qtt]]*TbTradesBinance[[#This Row],[Preço]])),BD46)-IF(TbTradesBinance[[#This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Row],[Tipo]]="DROP"),BD46+TbTradesBinance[[#This Row],[Qtt]],BD46-TbTradesBinance[[#This Row],[Qtt]]),IF(TbTradesBinance[[#This Row],[Tipo]]="BUY",BD46-TbTradesBinance[[#This Row],[Qtt]]*TbTradesBinance[[#This Row],[Preço]],BD46+TbTradesBinance[[#This Row],[Qtt]]*TbTradesBinance[[#This Row],[Preço]])),BD46)-IF(TbTradesBinance[[#This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Row],[Tipo]]="DROP"),BD46+TbTradesBinance[[#This Row],[Qtt]],BD46-TbTradesBinance[[#This Row],[Qtt]]),IF(TbTradesBinance[[#This Row],[Tipo]]="BUY",BD46-TbTradesBinance[[#This Row],[Qtt]]*TbTradesBinance[[#This Row],[Preço]],BD46+TbTradesBinance[[#This Row],[Qtt]]*TbTradesBinance[[#This Row],[Preço]])),BD46)-IF(TbTradesBinance[[#This Row],[Moeda da Taxa]]=MID(BD$1,9,5),TbTradesBinance[[#This Row],[Taxa]],0),8)))</f>
        <v>0.37962000000000001</v>
      </c>
      <c r="BE47" s="145" cm="1">
        <f t="array" ref="BE47">IF(TbTradesBinance[[#This Row],[Tipo]]="EMPTY",0,BE46+IF(TbTradesBinance[[#This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Row],[Par]]))),$1:$1,0)),-(BD46-BD47)/BD46*BE46),0),0)+IF(TbTradesBinance[[#This Row],[Tipo]]="SELL",IF(ISNUMBER(FIND(MID(BE$1,10,5),TbTradesBinance[[#This Row],[Par]])),IF(FIND(MID(BE$1,10,5),TbTradesBinance[[#This Row],[Par]])=1, -(BD46-BD47)/BD46*BE46,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Row],[Par]])),(-(BD46-BD47)/BD46*BE46)+IF(TbTradesBinance[[#This Row],[Resultado]]&gt;0,0,TbTradesBinance[[#This Row],[Taxa]]),0),0))</f>
        <v>63.647297001537943</v>
      </c>
      <c r="BF47" s="145">
        <f t="shared" si="15"/>
        <v>167.66054739354601</v>
      </c>
      <c r="BG4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Row],[Tipo]]="DROP"),BG46+TbTradesBinance[[#This Row],[Qtt]],BG46-TbTradesBinance[[#This Row],[Qtt]]),IF(TbTradesBinance[[#This Row],[Tipo]]="BUY",BG46-TbTradesBinance[[#This Row],[Qtt]]*TbTradesBinance[[#This Row],[Preço]],BG46+TbTradesBinance[[#This Row],[Qtt]]*TbTradesBinance[[#This Row],[Preço]])),BG46)-IF(TbTradesBinance[[#This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Row],[Tipo]]="DROP"),BG46+TbTradesBinance[[#This Row],[Qtt]],BG46-TbTradesBinance[[#This Row],[Qtt]]),IF(TbTradesBinance[[#This Row],[Tipo]]="BUY",BG46-TbTradesBinance[[#This Row],[Qtt]]*TbTradesBinance[[#This Row],[Preço]],BG46+TbTradesBinance[[#This Row],[Qtt]]*TbTradesBinance[[#This Row],[Preço]])),BG46)-IF(TbTradesBinance[[#This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Row],[Tipo]]="DROP"),BG46+TbTradesBinance[[#This Row],[Qtt]],BG46-TbTradesBinance[[#This Row],[Qtt]]),IF(TbTradesBinance[[#This Row],[Tipo]]="BUY",BG46-TbTradesBinance[[#This Row],[Qtt]]*TbTradesBinance[[#This Row],[Preço]],BG46+TbTradesBinance[[#This Row],[Qtt]]*TbTradesBinance[[#This Row],[Preço]])),BG46)-IF(TbTradesBinance[[#This Row],[Moeda da Taxa]]=MID(BG$1,9,5),TbTradesBinance[[#This Row],[Taxa]],0),8)))</f>
        <v>0</v>
      </c>
      <c r="BH47" s="145" cm="1">
        <f t="array" ref="BH47">IF(TbTradesBinance[[#This Row],[Tipo]]="EMPTY",0,BH46+IF(TbTradesBinance[[#This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Row],[Par]]))),$1:$1,0)),-(BG46-BG47)/BG46*BH46),0),0)+IF(TbTradesBinance[[#This Row],[Tipo]]="SELL",IF(ISNUMBER(FIND(MID(BH$1,10,5),TbTradesBinance[[#This Row],[Par]])),IF(FIND(MID(BH$1,10,5),TbTradesBinance[[#This Row],[Par]])=1, -(BG46-BG47)/BG46*BH46,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Row],[Par]])),(-(BG46-BG47)/BG46*BH46)+IF(TbTradesBinance[[#This Row],[Resultado]]&gt;0,0,TbTradesBinance[[#This Row],[Taxa]]),0),0))</f>
        <v>0</v>
      </c>
      <c r="BI47" s="145">
        <f t="shared" si="16"/>
        <v>0</v>
      </c>
      <c r="BJ4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Row],[Tipo]]="DROP"),BJ46+TbTradesBinance[[#This Row],[Qtt]],BJ46-TbTradesBinance[[#This Row],[Qtt]]),IF(TbTradesBinance[[#This Row],[Tipo]]="BUY",BJ46-TbTradesBinance[[#This Row],[Qtt]]*TbTradesBinance[[#This Row],[Preço]],BJ46+TbTradesBinance[[#This Row],[Qtt]]*TbTradesBinance[[#This Row],[Preço]])),BJ46)-IF(TbTradesBinance[[#This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Row],[Tipo]]="DROP"),BJ46+TbTradesBinance[[#This Row],[Qtt]],BJ46-TbTradesBinance[[#This Row],[Qtt]]),IF(TbTradesBinance[[#This Row],[Tipo]]="BUY",BJ46-TbTradesBinance[[#This Row],[Qtt]]*TbTradesBinance[[#This Row],[Preço]],BJ46+TbTradesBinance[[#This Row],[Qtt]]*TbTradesBinance[[#This Row],[Preço]])),BJ46)-IF(TbTradesBinance[[#This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Row],[Tipo]]="DROP"),BJ46+TbTradesBinance[[#This Row],[Qtt]],BJ46-TbTradesBinance[[#This Row],[Qtt]]),IF(TbTradesBinance[[#This Row],[Tipo]]="BUY",BJ46-TbTradesBinance[[#This Row],[Qtt]]*TbTradesBinance[[#This Row],[Preço]],BJ46+TbTradesBinance[[#This Row],[Qtt]]*TbTradesBinance[[#This Row],[Preço]])),BJ46)-IF(TbTradesBinance[[#This Row],[Moeda da Taxa]]=MID(BJ$1,9,5),TbTradesBinance[[#This Row],[Taxa]],0),8)))</f>
        <v>0</v>
      </c>
      <c r="BK47" s="145" cm="1">
        <f t="array" ref="BK47">IF(TbTradesBinance[[#This Row],[Tipo]]="EMPTY",0,BK46+IF(TbTradesBinance[[#This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Row],[Par]]))),$1:$1,0)),-(BJ46-BJ47)/BJ46*BK46),0),0)+IF(TbTradesBinance[[#This Row],[Tipo]]="SELL",IF(ISNUMBER(FIND(MID(BK$1,10,5),TbTradesBinance[[#This Row],[Par]])),IF(FIND(MID(BK$1,10,5),TbTradesBinance[[#This Row],[Par]])=1, -(BJ46-BJ47)/BJ46*BK46,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Row],[Par]])),(-(BJ46-BJ47)/BJ46*BK46)+IF(TbTradesBinance[[#This Row],[Resultado]]&gt;0,0,TbTradesBinance[[#This Row],[Taxa]]),0),0))</f>
        <v>0</v>
      </c>
      <c r="BL47" s="145">
        <f t="shared" si="17"/>
        <v>0</v>
      </c>
      <c r="BM4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Row],[Tipo]]="DROP"),BM46+TbTradesBinance[[#This Row],[Qtt]],BM46-TbTradesBinance[[#This Row],[Qtt]]),IF(TbTradesBinance[[#This Row],[Tipo]]="BUY",BM46-TbTradesBinance[[#This Row],[Qtt]]*TbTradesBinance[[#This Row],[Preço]],BM46+TbTradesBinance[[#This Row],[Qtt]]*TbTradesBinance[[#This Row],[Preço]])),BM46)-IF(TbTradesBinance[[#This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Row],[Tipo]]="DROP"),BM46+TbTradesBinance[[#This Row],[Qtt]],BM46-TbTradesBinance[[#This Row],[Qtt]]),IF(TbTradesBinance[[#This Row],[Tipo]]="BUY",BM46-TbTradesBinance[[#This Row],[Qtt]]*TbTradesBinance[[#This Row],[Preço]],BM46+TbTradesBinance[[#This Row],[Qtt]]*TbTradesBinance[[#This Row],[Preço]])),BM46)-IF(TbTradesBinance[[#This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Row],[Tipo]]="DROP"),BM46+TbTradesBinance[[#This Row],[Qtt]],BM46-TbTradesBinance[[#This Row],[Qtt]]),IF(TbTradesBinance[[#This Row],[Tipo]]="BUY",BM46-TbTradesBinance[[#This Row],[Qtt]]*TbTradesBinance[[#This Row],[Preço]],BM46+TbTradesBinance[[#This Row],[Qtt]]*TbTradesBinance[[#This Row],[Preço]])),BM46)-IF(TbTradesBinance[[#This Row],[Moeda da Taxa]]=MID(BM$1,9,5),TbTradesBinance[[#This Row],[Taxa]],0),8)))</f>
        <v>0</v>
      </c>
      <c r="BN47" s="145" cm="1">
        <f t="array" ref="BN47">IF(TbTradesBinance[[#This Row],[Tipo]]="EMPTY",0,BN46+IF(TbTradesBinance[[#This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Row],[Par]]))),$1:$1,0)),-(BM46-BM47)/BM46*BN46),0),0)+IF(TbTradesBinance[[#This Row],[Tipo]]="SELL",IF(ISNUMBER(FIND(MID(BN$1,10,5),TbTradesBinance[[#This Row],[Par]])),IF(FIND(MID(BN$1,10,5),TbTradesBinance[[#This Row],[Par]])=1, -(BM46-BM47)/BM46*BN46,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Row],[Par]])),(-(BM46-BM47)/BM46*BN46)+IF(TbTradesBinance[[#This Row],[Resultado]]&gt;0,0,TbTradesBinance[[#This Row],[Taxa]]),0),0))</f>
        <v>0</v>
      </c>
      <c r="BO47" s="145">
        <f t="shared" si="18"/>
        <v>0</v>
      </c>
    </row>
    <row r="48" spans="2:67" x14ac:dyDescent="0.3">
      <c r="B48" s="51" t="s">
        <v>107</v>
      </c>
      <c r="C48" s="40">
        <f>TRUNC(IF(AND(TbTradesBinance[[#This Row],[Tipo]]="SEND",TbTradesBinance[[#This Row],[Par]]="BRL"),TbTradesBinance[[#This Row],[Qtt]]*(1-P46)-IF(TbTradesBinance[[#This Row],[Moeda da Taxa]]="BRL",TbTradesBinance[[#This Row],[Taxa]],0),0)+IF(AND(TbTradesBinance[[#This Row],[Tipo]]="BURN",TbTradesBinance[[#This Row],[Par]]="BRL"),-TbTradesBinance[[#This Row],[Qtt]]*P46,0),2)</f>
        <v>0</v>
      </c>
      <c r="D48" s="53">
        <v>44263.75990740741</v>
      </c>
      <c r="E48" s="37" t="s">
        <v>244</v>
      </c>
      <c r="F48" s="47" t="s">
        <v>139</v>
      </c>
      <c r="G48" s="38">
        <v>199.38203184</v>
      </c>
      <c r="H48" s="38">
        <v>1.4380999999999999E-4</v>
      </c>
      <c r="I48" s="38">
        <v>2.88E-6</v>
      </c>
      <c r="J48" s="37" t="s">
        <v>45</v>
      </c>
      <c r="K48" s="52">
        <v>6.85</v>
      </c>
      <c r="L48" s="40">
        <f t="shared" si="0"/>
        <v>1365.76</v>
      </c>
      <c r="M48" s="40">
        <f>IF(OR(TbTradesBinance[[#This Row],[Tipo]]="BUY",TbTradesBinance[[#This Row],[Tipo]]="RECEIVE",TbTradesBinance[[#This Row],[Tipo]]="DROP"),L48*H48,-L48*H48)</f>
        <v>0.1964099456</v>
      </c>
      <c r="N4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Row],[Tipo]]="DROP"),N47+TbTradesBinance[[#This Row],[Qtt]],N47-TbTradesBinance[[#This Row],[Qtt]]),IF(TbTradesBinance[[#This Row],[Tipo]]="BUY",N47-TbTradesBinance[[#This Row],[Qtt]]*TbTradesBinance[[#This Row],[Preço]],N47+TbTradesBinance[[#This Row],[Qtt]]*TbTradesBinance[[#This Row],[Preço]])),N47)-IF(TbTradesBinance[[#This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Row],[Tipo]]="DROP"),N47+TbTradesBinance[[#This Row],[Qtt]],N47-TbTradesBinance[[#This Row],[Qtt]]),IF(TbTradesBinance[[#This Row],[Tipo]]="BUY",N47-TbTradesBinance[[#This Row],[Qtt]]*TbTradesBinance[[#This Row],[Preço]],N47+TbTradesBinance[[#This Row],[Qtt]]*TbTradesBinance[[#This Row],[Preço]])),N47)-IF(TbTradesBinance[[#This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Row],[Tipo]]="DROP"),N47+TbTradesBinance[[#This Row],[Qtt]],N47-TbTradesBinance[[#This Row],[Qtt]]),IF(TbTradesBinance[[#This Row],[Tipo]]="BUY",N47-TbTradesBinance[[#This Row],[Qtt]]*TbTradesBinance[[#This Row],[Preço]],N47+TbTradesBinance[[#This Row],[Qtt]]*TbTradesBinance[[#This Row],[Preço]])),N47)-IF(TbTradesBinance[[#This Row],[Moeda da Taxa]]=MID(N$1,9,5),TbTradesBinance[[#This Row],[Taxa]],0),8)))</f>
        <v>119863.45423289</v>
      </c>
      <c r="O48" s="145" cm="1">
        <f t="array" ref="O48">IF(TbTradesBinance[[#This Row],[Tipo]]="EMPTY",0,O47+IF(TbTradesBinance[[#This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Row],[Par]]))),$1:$1,0)),-(N47-N48)/N47*O47),0),0)+IF(TbTradesBinance[[#This Row],[Tipo]]="SELL",IF(ISNUMBER(FIND(MID(O$1,10,5),TbTradesBinance[[#This Row],[Par]])),IF(FIND(MID(O$1,10,5),TbTradesBinance[[#This Row],[Par]])=1, -(N47-N48)/N47*O47,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Row],[Par]])),(-(N47-N48)/N47*O47)+IF(TbTradesBinance[[#This Row],[Resultado]]&gt;0,0,TbTradesBinance[[#This Row],[Taxa]]),0),0))</f>
        <v>119783.00097390189</v>
      </c>
      <c r="P48" s="145">
        <f t="shared" si="1"/>
        <v>0.99932879242048378</v>
      </c>
      <c r="Q4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Row],[Tipo]]="DROP"),Q47+TbTradesBinance[[#This Row],[Qtt]],Q47-TbTradesBinance[[#This Row],[Qtt]]),IF(TbTradesBinance[[#This Row],[Tipo]]="BUY",Q47-TbTradesBinance[[#This Row],[Qtt]]*TbTradesBinance[[#This Row],[Preço]],Q47+TbTradesBinance[[#This Row],[Qtt]]*TbTradesBinance[[#This Row],[Preço]])),Q47)-IF(TbTradesBinance[[#This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Row],[Tipo]]="DROP"),Q47+TbTradesBinance[[#This Row],[Qtt]],Q47-TbTradesBinance[[#This Row],[Qtt]]),IF(TbTradesBinance[[#This Row],[Tipo]]="BUY",Q47-TbTradesBinance[[#This Row],[Qtt]]*TbTradesBinance[[#This Row],[Preço]],Q47+TbTradesBinance[[#This Row],[Qtt]]*TbTradesBinance[[#This Row],[Preço]])),Q47)-IF(TbTradesBinance[[#This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Row],[Tipo]]="DROP"),Q47+TbTradesBinance[[#This Row],[Qtt]],Q47-TbTradesBinance[[#This Row],[Qtt]]),IF(TbTradesBinance[[#This Row],[Tipo]]="BUY",Q47-TbTradesBinance[[#This Row],[Qtt]]*TbTradesBinance[[#This Row],[Preço]],Q47+TbTradesBinance[[#This Row],[Qtt]]*TbTradesBinance[[#This Row],[Preço]])),Q47)-IF(TbTradesBinance[[#This Row],[Moeda da Taxa]]=MID(Q$1,9,5),TbTradesBinance[[#This Row],[Taxa]],0),8)))</f>
        <v>0</v>
      </c>
      <c r="R48" s="145" cm="1">
        <f t="array" ref="R48">IF(TbTradesBinance[[#This Row],[Tipo]]="EMPTY",0,R47+IF(TbTradesBinance[[#This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Row],[Par]]))),$1:$1,0)),-(Q47-Q48)/Q47*R47),0),0)+IF(TbTradesBinance[[#This Row],[Tipo]]="SELL",IF(ISNUMBER(FIND(MID(R$1,10,5),TbTradesBinance[[#This Row],[Par]])),IF(FIND(MID(R$1,10,5),TbTradesBinance[[#This Row],[Par]])=1, -(Q47-Q48)/Q47*R47,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Row],[Par]])),(-(Q47-Q48)/Q47*R47)+IF(TbTradesBinance[[#This Row],[Resultado]]&gt;0,0,TbTradesBinance[[#This Row],[Taxa]]),0),0))</f>
        <v>0</v>
      </c>
      <c r="S48" s="145">
        <f t="shared" si="2"/>
        <v>0</v>
      </c>
      <c r="T4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Row],[Tipo]]="DROP"),T47+TbTradesBinance[[#This Row],[Qtt]],T47-TbTradesBinance[[#This Row],[Qtt]]),IF(TbTradesBinance[[#This Row],[Tipo]]="BUY",T47-TbTradesBinance[[#This Row],[Qtt]]*TbTradesBinance[[#This Row],[Preço]],T47+TbTradesBinance[[#This Row],[Qtt]]*TbTradesBinance[[#This Row],[Preço]])),T47)-IF(TbTradesBinance[[#This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Row],[Tipo]]="DROP"),T47+TbTradesBinance[[#This Row],[Qtt]],T47-TbTradesBinance[[#This Row],[Qtt]]),IF(TbTradesBinance[[#This Row],[Tipo]]="BUY",T47-TbTradesBinance[[#This Row],[Qtt]]*TbTradesBinance[[#This Row],[Preço]],T47+TbTradesBinance[[#This Row],[Qtt]]*TbTradesBinance[[#This Row],[Preço]])),T47)-IF(TbTradesBinance[[#This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Row],[Tipo]]="DROP"),T47+TbTradesBinance[[#This Row],[Qtt]],T47-TbTradesBinance[[#This Row],[Qtt]]),IF(TbTradesBinance[[#This Row],[Tipo]]="BUY",T47-TbTradesBinance[[#This Row],[Qtt]]*TbTradesBinance[[#This Row],[Preço]],T47+TbTradesBinance[[#This Row],[Qtt]]*TbTradesBinance[[#This Row],[Preço]])),T47)-IF(TbTradesBinance[[#This Row],[Moeda da Taxa]]=MID(T$1,9,5),TbTradesBinance[[#This Row],[Taxa]],0),8)))</f>
        <v>199735.32000169999</v>
      </c>
      <c r="U48" s="145" cm="1">
        <f t="array" ref="U48">IF(TbTradesBinance[[#This Row],[Tipo]]="EMPTY",0,U47+IF(TbTradesBinance[[#This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Row],[Par]]))),$1:$1,0)),-(T47-T48)/T47*U47),0),0)+IF(TbTradesBinance[[#This Row],[Tipo]]="SELL",IF(ISNUMBER(FIND(MID(U$1,10,5),TbTradesBinance[[#This Row],[Par]])),IF(FIND(MID(U$1,10,5),TbTradesBinance[[#This Row],[Par]])=1, -(T47-T48)/T47*U47,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Row],[Par]])),(-(T47-T48)/T47*U47)+IF(TbTradesBinance[[#This Row],[Resultado]]&gt;0,0,TbTradesBinance[[#This Row],[Taxa]]),0),0))</f>
        <v>1328239.8809817513</v>
      </c>
      <c r="V48" s="145">
        <f t="shared" si="3"/>
        <v>6.6500000148719129</v>
      </c>
      <c r="W4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Row],[Tipo]]="DROP"),W47+TbTradesBinance[[#This Row],[Qtt]],W47-TbTradesBinance[[#This Row],[Qtt]]),IF(TbTradesBinance[[#This Row],[Tipo]]="BUY",W47-TbTradesBinance[[#This Row],[Qtt]]*TbTradesBinance[[#This Row],[Preço]],W47+TbTradesBinance[[#This Row],[Qtt]]*TbTradesBinance[[#This Row],[Preço]])),W47)-IF(TbTradesBinance[[#This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Row],[Tipo]]="DROP"),W47+TbTradesBinance[[#This Row],[Qtt]],W47-TbTradesBinance[[#This Row],[Qtt]]),IF(TbTradesBinance[[#This Row],[Tipo]]="BUY",W47-TbTradesBinance[[#This Row],[Qtt]]*TbTradesBinance[[#This Row],[Preço]],W47+TbTradesBinance[[#This Row],[Qtt]]*TbTradesBinance[[#This Row],[Preço]])),W47)-IF(TbTradesBinance[[#This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Row],[Tipo]]="DROP"),W47+TbTradesBinance[[#This Row],[Qtt]],W47-TbTradesBinance[[#This Row],[Qtt]]),IF(TbTradesBinance[[#This Row],[Tipo]]="BUY",W47-TbTradesBinance[[#This Row],[Qtt]]*TbTradesBinance[[#This Row],[Preço]],W47+TbTradesBinance[[#This Row],[Qtt]]*TbTradesBinance[[#This Row],[Preço]])),W47)-IF(TbTradesBinance[[#This Row],[Moeda da Taxa]]=MID(W$1,9,5),TbTradesBinance[[#This Row],[Taxa]],0),8)))</f>
        <v>1.1913200000000001E-3</v>
      </c>
      <c r="X48" s="145" cm="1">
        <f t="array" ref="X48">IF(TbTradesBinance[[#This Row],[Tipo]]="EMPTY",0,X47+IF(TbTradesBinance[[#This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Row],[Par]]))),$1:$1,0)),-(W47-W48)/W47*X47),0),0)+IF(TbTradesBinance[[#This Row],[Tipo]]="SELL",IF(ISNUMBER(FIND(MID(X$1,10,5),TbTradesBinance[[#This Row],[Par]])),IF(FIND(MID(X$1,10,5),TbTradesBinance[[#This Row],[Par]])=1, -(W47-W48)/W47*X47,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Row],[Par]])),(-(W47-W48)/W47*X47)+IF(TbTradesBinance[[#This Row],[Resultado]]&gt;0,0,TbTradesBinance[[#This Row],[Taxa]]),0),0))</f>
        <v>331.22431534654413</v>
      </c>
      <c r="Y48" s="145">
        <f t="shared" si="4"/>
        <v>278031.35626577586</v>
      </c>
      <c r="Z4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Row],[Tipo]]="DROP"),Z47+TbTradesBinance[[#This Row],[Qtt]],Z47-TbTradesBinance[[#This Row],[Qtt]]),IF(TbTradesBinance[[#This Row],[Tipo]]="BUY",Z47-TbTradesBinance[[#This Row],[Qtt]]*TbTradesBinance[[#This Row],[Preço]],Z47+TbTradesBinance[[#This Row],[Qtt]]*TbTradesBinance[[#This Row],[Preço]])),Z47)-IF(TbTradesBinance[[#This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Row],[Tipo]]="DROP"),Z47+TbTradesBinance[[#This Row],[Qtt]],Z47-TbTradesBinance[[#This Row],[Qtt]]),IF(TbTradesBinance[[#This Row],[Tipo]]="BUY",Z47-TbTradesBinance[[#This Row],[Qtt]]*TbTradesBinance[[#This Row],[Preço]],Z47+TbTradesBinance[[#This Row],[Qtt]]*TbTradesBinance[[#This Row],[Preço]])),Z47)-IF(TbTradesBinance[[#This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Row],[Tipo]]="DROP"),Z47+TbTradesBinance[[#This Row],[Qtt]],Z47-TbTradesBinance[[#This Row],[Qtt]]),IF(TbTradesBinance[[#This Row],[Tipo]]="BUY",Z47-TbTradesBinance[[#This Row],[Qtt]]*TbTradesBinance[[#This Row],[Preço]],Z47+TbTradesBinance[[#This Row],[Qtt]]*TbTradesBinance[[#This Row],[Preço]])),Z47)-IF(TbTradesBinance[[#This Row],[Moeda da Taxa]]=MID(Z$1,9,5),TbTradesBinance[[#This Row],[Taxa]],0),8)))</f>
        <v>0</v>
      </c>
      <c r="AA48" s="145" cm="1">
        <f t="array" ref="AA48">IF(TbTradesBinance[[#This Row],[Tipo]]="EMPTY",0,AA47+IF(TbTradesBinance[[#This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Row],[Par]]))),$1:$1,0)),-(Z47-Z48)/Z47*AA47),0),0)+IF(TbTradesBinance[[#This Row],[Tipo]]="SELL",IF(ISNUMBER(FIND(MID(AA$1,10,5),TbTradesBinance[[#This Row],[Par]])),IF(FIND(MID(AA$1,10,5),TbTradesBinance[[#This Row],[Par]])=1, -(Z47-Z48)/Z47*AA47,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Row],[Par]])),(-(Z47-Z48)/Z47*AA47)+IF(TbTradesBinance[[#This Row],[Resultado]]&gt;0,0,TbTradesBinance[[#This Row],[Taxa]]),0),0))</f>
        <v>0</v>
      </c>
      <c r="AB48" s="145">
        <f t="shared" si="5"/>
        <v>0</v>
      </c>
      <c r="AC4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Row],[Tipo]]="DROP"),AC47+TbTradesBinance[[#This Row],[Qtt]],AC47-TbTradesBinance[[#This Row],[Qtt]]),IF(TbTradesBinance[[#This Row],[Tipo]]="BUY",AC47-TbTradesBinance[[#This Row],[Qtt]]*TbTradesBinance[[#This Row],[Preço]],AC47+TbTradesBinance[[#This Row],[Qtt]]*TbTradesBinance[[#This Row],[Preço]])),AC47)-IF(TbTradesBinance[[#This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Row],[Tipo]]="DROP"),AC47+TbTradesBinance[[#This Row],[Qtt]],AC47-TbTradesBinance[[#This Row],[Qtt]]),IF(TbTradesBinance[[#This Row],[Tipo]]="BUY",AC47-TbTradesBinance[[#This Row],[Qtt]]*TbTradesBinance[[#This Row],[Preço]],AC47+TbTradesBinance[[#This Row],[Qtt]]*TbTradesBinance[[#This Row],[Preço]])),AC47)-IF(TbTradesBinance[[#This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Row],[Tipo]]="DROP"),AC47+TbTradesBinance[[#This Row],[Qtt]],AC47-TbTradesBinance[[#This Row],[Qtt]]),IF(TbTradesBinance[[#This Row],[Tipo]]="BUY",AC47-TbTradesBinance[[#This Row],[Qtt]]*TbTradesBinance[[#This Row],[Preço]],AC47+TbTradesBinance[[#This Row],[Qtt]]*TbTradesBinance[[#This Row],[Preço]])),AC47)-IF(TbTradesBinance[[#This Row],[Moeda da Taxa]]=MID(AC$1,9,5),TbTradesBinance[[#This Row],[Taxa]],0),8)))</f>
        <v>0</v>
      </c>
      <c r="AD48" s="145" cm="1">
        <f t="array" ref="AD48">IF(TbTradesBinance[[#This Row],[Tipo]]="EMPTY",0,AD47+IF(TbTradesBinance[[#This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Row],[Par]]))),$1:$1,0)),-(AC47-AC48)/AC47*AD47),0),0)+IF(TbTradesBinance[[#This Row],[Tipo]]="SELL",IF(ISNUMBER(FIND(MID(AD$1,10,5),TbTradesBinance[[#This Row],[Par]])),IF(FIND(MID(AD$1,10,5),TbTradesBinance[[#This Row],[Par]])=1, -(AC47-AC48)/AC47*AD47,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Row],[Par]])),(-(AC47-AC48)/AC47*AD47)+IF(TbTradesBinance[[#This Row],[Resultado]]&gt;0,0,TbTradesBinance[[#This Row],[Taxa]]),0),0))</f>
        <v>0</v>
      </c>
      <c r="AE48" s="145">
        <f t="shared" si="6"/>
        <v>0</v>
      </c>
      <c r="AF4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Row],[Tipo]]="DROP"),AF47+TbTradesBinance[[#This Row],[Qtt]],AF47-TbTradesBinance[[#This Row],[Qtt]]),IF(TbTradesBinance[[#This Row],[Tipo]]="BUY",AF47-TbTradesBinance[[#This Row],[Qtt]]*TbTradesBinance[[#This Row],[Preço]],AF47+TbTradesBinance[[#This Row],[Qtt]]*TbTradesBinance[[#This Row],[Preço]])),AF47)-IF(TbTradesBinance[[#This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Row],[Tipo]]="DROP"),AF47+TbTradesBinance[[#This Row],[Qtt]],AF47-TbTradesBinance[[#This Row],[Qtt]]),IF(TbTradesBinance[[#This Row],[Tipo]]="BUY",AF47-TbTradesBinance[[#This Row],[Qtt]]*TbTradesBinance[[#This Row],[Preço]],AF47+TbTradesBinance[[#This Row],[Qtt]]*TbTradesBinance[[#This Row],[Preço]])),AF47)-IF(TbTradesBinance[[#This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Row],[Tipo]]="DROP"),AF47+TbTradesBinance[[#This Row],[Qtt]],AF47-TbTradesBinance[[#This Row],[Qtt]]),IF(TbTradesBinance[[#This Row],[Tipo]]="BUY",AF47-TbTradesBinance[[#This Row],[Qtt]]*TbTradesBinance[[#This Row],[Preço]],AF47+TbTradesBinance[[#This Row],[Qtt]]*TbTradesBinance[[#This Row],[Preço]])),AF47)-IF(TbTradesBinance[[#This Row],[Moeda da Taxa]]=MID(AF$1,9,5),TbTradesBinance[[#This Row],[Taxa]],0),8)))</f>
        <v>14.984999999999999</v>
      </c>
      <c r="AG48" s="145" cm="1">
        <f t="array" ref="AG48">IF(TbTradesBinance[[#This Row],[Tipo]]="EMPTY",0,AG47+IF(TbTradesBinance[[#This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Row],[Par]]))),$1:$1,0)),-(AF47-AF48)/AF47*AG47),0),0)+IF(TbTradesBinance[[#This Row],[Tipo]]="SELL",IF(ISNUMBER(FIND(MID(AG$1,10,5),TbTradesBinance[[#This Row],[Par]])),IF(FIND(MID(AG$1,10,5),TbTradesBinance[[#This Row],[Par]])=1, -(AF47-AF48)/AF47*AG47,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Row],[Par]])),(-(AF47-AF48)/AF47*AG47)+IF(TbTradesBinance[[#This Row],[Resultado]]&gt;0,0,TbTradesBinance[[#This Row],[Taxa]]),0),0))</f>
        <v>90.429698625443621</v>
      </c>
      <c r="AH48" s="145">
        <f t="shared" si="7"/>
        <v>6.0346812562858609</v>
      </c>
      <c r="AI4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Row],[Tipo]]="DROP"),AI47+TbTradesBinance[[#This Row],[Qtt]],AI47-TbTradesBinance[[#This Row],[Qtt]]),IF(TbTradesBinance[[#This Row],[Tipo]]="BUY",AI47-TbTradesBinance[[#This Row],[Qtt]]*TbTradesBinance[[#This Row],[Preço]],AI47+TbTradesBinance[[#This Row],[Qtt]]*TbTradesBinance[[#This Row],[Preço]])),AI47)-IF(TbTradesBinance[[#This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Row],[Tipo]]="DROP"),AI47+TbTradesBinance[[#This Row],[Qtt]],AI47-TbTradesBinance[[#This Row],[Qtt]]),IF(TbTradesBinance[[#This Row],[Tipo]]="BUY",AI47-TbTradesBinance[[#This Row],[Qtt]]*TbTradesBinance[[#This Row],[Preço]],AI47+TbTradesBinance[[#This Row],[Qtt]]*TbTradesBinance[[#This Row],[Preço]])),AI47)-IF(TbTradesBinance[[#This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Row],[Tipo]]="DROP"),AI47+TbTradesBinance[[#This Row],[Qtt]],AI47-TbTradesBinance[[#This Row],[Qtt]]),IF(TbTradesBinance[[#This Row],[Tipo]]="BUY",AI47-TbTradesBinance[[#This Row],[Qtt]]*TbTradesBinance[[#This Row],[Preço]],AI47+TbTradesBinance[[#This Row],[Qtt]]*TbTradesBinance[[#This Row],[Preço]])),AI47)-IF(TbTradesBinance[[#This Row],[Moeda da Taxa]]=MID(AI$1,9,5),TbTradesBinance[[#This Row],[Taxa]],0),8)))</f>
        <v>0</v>
      </c>
      <c r="AJ48" s="145" cm="1">
        <f t="array" ref="AJ48">IF(TbTradesBinance[[#This Row],[Tipo]]="EMPTY",0,AJ47+IF(TbTradesBinance[[#This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Row],[Par]]))),$1:$1,0)),-(AI47-AI48)/AI47*AJ47),0),0)+IF(TbTradesBinance[[#This Row],[Tipo]]="SELL",IF(ISNUMBER(FIND(MID(AJ$1,10,5),TbTradesBinance[[#This Row],[Par]])),IF(FIND(MID(AJ$1,10,5),TbTradesBinance[[#This Row],[Par]])=1, -(AI47-AI48)/AI47*AJ47,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Row],[Par]])),(-(AI47-AI48)/AI47*AJ47)+IF(TbTradesBinance[[#This Row],[Resultado]]&gt;0,0,TbTradesBinance[[#This Row],[Taxa]]),0),0))</f>
        <v>0</v>
      </c>
      <c r="AK48" s="145">
        <f t="shared" si="8"/>
        <v>0</v>
      </c>
      <c r="AL4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Row],[Tipo]]="DROP"),AL47+TbTradesBinance[[#This Row],[Qtt]],AL47-TbTradesBinance[[#This Row],[Qtt]]),IF(TbTradesBinance[[#This Row],[Tipo]]="BUY",AL47-TbTradesBinance[[#This Row],[Qtt]]*TbTradesBinance[[#This Row],[Preço]],AL47+TbTradesBinance[[#This Row],[Qtt]]*TbTradesBinance[[#This Row],[Preço]])),AL47)-IF(TbTradesBinance[[#This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Row],[Tipo]]="DROP"),AL47+TbTradesBinance[[#This Row],[Qtt]],AL47-TbTradesBinance[[#This Row],[Qtt]]),IF(TbTradesBinance[[#This Row],[Tipo]]="BUY",AL47-TbTradesBinance[[#This Row],[Qtt]]*TbTradesBinance[[#This Row],[Preço]],AL47+TbTradesBinance[[#This Row],[Qtt]]*TbTradesBinance[[#This Row],[Preço]])),AL47)-IF(TbTradesBinance[[#This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Row],[Tipo]]="DROP"),AL47+TbTradesBinance[[#This Row],[Qtt]],AL47-TbTradesBinance[[#This Row],[Qtt]]),IF(TbTradesBinance[[#This Row],[Tipo]]="BUY",AL47-TbTradesBinance[[#This Row],[Qtt]]*TbTradesBinance[[#This Row],[Preço]],AL47+TbTradesBinance[[#This Row],[Qtt]]*TbTradesBinance[[#This Row],[Preço]])),AL47)-IF(TbTradesBinance[[#This Row],[Moeda da Taxa]]=MID(AL$1,9,5),TbTradesBinance[[#This Row],[Taxa]],0),8)))</f>
        <v>0</v>
      </c>
      <c r="AM48" s="145" cm="1">
        <f t="array" ref="AM48">IF(TbTradesBinance[[#This Row],[Tipo]]="EMPTY",0,AM47+IF(TbTradesBinance[[#This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Row],[Par]]))),$1:$1,0)),-(AL47-AL48)/AL47*AM47),0),0)+IF(TbTradesBinance[[#This Row],[Tipo]]="SELL",IF(ISNUMBER(FIND(MID(AM$1,10,5),TbTradesBinance[[#This Row],[Par]])),IF(FIND(MID(AM$1,10,5),TbTradesBinance[[#This Row],[Par]])=1, -(AL47-AL48)/AL47*AM47,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Row],[Par]])),(-(AL47-AL48)/AL47*AM47)+IF(TbTradesBinance[[#This Row],[Resultado]]&gt;0,0,TbTradesBinance[[#This Row],[Taxa]]),0),0))</f>
        <v>0</v>
      </c>
      <c r="AN48" s="145">
        <f t="shared" si="9"/>
        <v>0</v>
      </c>
      <c r="AO4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Row],[Tipo]]="DROP"),AO47+TbTradesBinance[[#This Row],[Qtt]],AO47-TbTradesBinance[[#This Row],[Qtt]]),IF(TbTradesBinance[[#This Row],[Tipo]]="BUY",AO47-TbTradesBinance[[#This Row],[Qtt]]*TbTradesBinance[[#This Row],[Preço]],AO47+TbTradesBinance[[#This Row],[Qtt]]*TbTradesBinance[[#This Row],[Preço]])),AO47)-IF(TbTradesBinance[[#This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Row],[Tipo]]="DROP"),AO47+TbTradesBinance[[#This Row],[Qtt]],AO47-TbTradesBinance[[#This Row],[Qtt]]),IF(TbTradesBinance[[#This Row],[Tipo]]="BUY",AO47-TbTradesBinance[[#This Row],[Qtt]]*TbTradesBinance[[#This Row],[Preço]],AO47+TbTradesBinance[[#This Row],[Qtt]]*TbTradesBinance[[#This Row],[Preço]])),AO47)-IF(TbTradesBinance[[#This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Row],[Tipo]]="DROP"),AO47+TbTradesBinance[[#This Row],[Qtt]],AO47-TbTradesBinance[[#This Row],[Qtt]]),IF(TbTradesBinance[[#This Row],[Tipo]]="BUY",AO47-TbTradesBinance[[#This Row],[Qtt]]*TbTradesBinance[[#This Row],[Preço]],AO47+TbTradesBinance[[#This Row],[Qtt]]*TbTradesBinance[[#This Row],[Preço]])),AO47)-IF(TbTradesBinance[[#This Row],[Moeda da Taxa]]=MID(AO$1,9,5),TbTradesBinance[[#This Row],[Taxa]],0),8)))</f>
        <v>1.2927399999999999E-3</v>
      </c>
      <c r="AP48" s="145" cm="1">
        <f t="array" ref="AP48">IF(TbTradesBinance[[#This Row],[Tipo]]="EMPTY",0,AP47+IF(TbTradesBinance[[#This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Row],[Par]]))),$1:$1,0)),-(AO47-AO48)/AO47*AP47),0),0)+IF(TbTradesBinance[[#This Row],[Tipo]]="SELL",IF(ISNUMBER(FIND(MID(AP$1,10,5),TbTradesBinance[[#This Row],[Par]])),IF(FIND(MID(AP$1,10,5),TbTradesBinance[[#This Row],[Par]])=1, -(AO47-AO48)/AO47*AP47,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Row],[Par]])),(-(AO47-AO48)/AO47*AP47)+IF(TbTradesBinance[[#This Row],[Resultado]]&gt;0,0,TbTradesBinance[[#This Row],[Taxa]]),0),0))</f>
        <v>1.7416212429180353</v>
      </c>
      <c r="AQ48" s="145">
        <f t="shared" si="10"/>
        <v>1347.2324233163943</v>
      </c>
      <c r="AR4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Row],[Tipo]]="DROP"),AR47+TbTradesBinance[[#This Row],[Qtt]],AR47-TbTradesBinance[[#This Row],[Qtt]]),IF(TbTradesBinance[[#This Row],[Tipo]]="BUY",AR47-TbTradesBinance[[#This Row],[Qtt]]*TbTradesBinance[[#This Row],[Preço]],AR47+TbTradesBinance[[#This Row],[Qtt]]*TbTradesBinance[[#This Row],[Preço]])),AR47)-IF(TbTradesBinance[[#This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Row],[Tipo]]="DROP"),AR47+TbTradesBinance[[#This Row],[Qtt]],AR47-TbTradesBinance[[#This Row],[Qtt]]),IF(TbTradesBinance[[#This Row],[Tipo]]="BUY",AR47-TbTradesBinance[[#This Row],[Qtt]]*TbTradesBinance[[#This Row],[Preço]],AR47+TbTradesBinance[[#This Row],[Qtt]]*TbTradesBinance[[#This Row],[Preço]])),AR47)-IF(TbTradesBinance[[#This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Row],[Tipo]]="DROP"),AR47+TbTradesBinance[[#This Row],[Qtt]],AR47-TbTradesBinance[[#This Row],[Qtt]]),IF(TbTradesBinance[[#This Row],[Tipo]]="BUY",AR47-TbTradesBinance[[#This Row],[Qtt]]*TbTradesBinance[[#This Row],[Preço]],AR47+TbTradesBinance[[#This Row],[Qtt]]*TbTradesBinance[[#This Row],[Preço]])),AR47)-IF(TbTradesBinance[[#This Row],[Moeda da Taxa]]=MID(AR$1,9,5),TbTradesBinance[[#This Row],[Taxa]],0),8)))</f>
        <v>0</v>
      </c>
      <c r="AS48" s="145" cm="1">
        <f t="array" ref="AS48">IF(TbTradesBinance[[#This Row],[Tipo]]="EMPTY",0,AS47+IF(TbTradesBinance[[#This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Row],[Par]]))),$1:$1,0)),-(AR47-AR48)/AR47*AS47),0),0)+IF(TbTradesBinance[[#This Row],[Tipo]]="SELL",IF(ISNUMBER(FIND(MID(AS$1,10,5),TbTradesBinance[[#This Row],[Par]])),IF(FIND(MID(AS$1,10,5),TbTradesBinance[[#This Row],[Par]])=1, -(AR47-AR48)/AR47*AS47,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Row],[Par]])),(-(AR47-AR48)/AR47*AS47)+IF(TbTradesBinance[[#This Row],[Resultado]]&gt;0,0,TbTradesBinance[[#This Row],[Taxa]]),0),0))</f>
        <v>0</v>
      </c>
      <c r="AT48" s="145">
        <f t="shared" si="11"/>
        <v>0</v>
      </c>
      <c r="AU4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Row],[Tipo]]="DROP"),AU47+TbTradesBinance[[#This Row],[Qtt]],AU47-TbTradesBinance[[#This Row],[Qtt]]),IF(TbTradesBinance[[#This Row],[Tipo]]="BUY",AU47-TbTradesBinance[[#This Row],[Qtt]]*TbTradesBinance[[#This Row],[Preço]],AU47+TbTradesBinance[[#This Row],[Qtt]]*TbTradesBinance[[#This Row],[Preço]])),AU47)-IF(TbTradesBinance[[#This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Row],[Tipo]]="DROP"),AU47+TbTradesBinance[[#This Row],[Qtt]],AU47-TbTradesBinance[[#This Row],[Qtt]]),IF(TbTradesBinance[[#This Row],[Tipo]]="BUY",AU47-TbTradesBinance[[#This Row],[Qtt]]*TbTradesBinance[[#This Row],[Preço]],AU47+TbTradesBinance[[#This Row],[Qtt]]*TbTradesBinance[[#This Row],[Preço]])),AU47)-IF(TbTradesBinance[[#This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Row],[Tipo]]="DROP"),AU47+TbTradesBinance[[#This Row],[Qtt]],AU47-TbTradesBinance[[#This Row],[Qtt]]),IF(TbTradesBinance[[#This Row],[Tipo]]="BUY",AU47-TbTradesBinance[[#This Row],[Qtt]]*TbTradesBinance[[#This Row],[Preço]],AU47+TbTradesBinance[[#This Row],[Qtt]]*TbTradesBinance[[#This Row],[Preço]])),AU47)-IF(TbTradesBinance[[#This Row],[Moeda da Taxa]]=MID(AU$1,9,5),TbTradesBinance[[#This Row],[Taxa]],0),8)))</f>
        <v>9.9900000000000003E-2</v>
      </c>
      <c r="AV48" s="145" cm="1">
        <f t="array" ref="AV48">IF(TbTradesBinance[[#This Row],[Tipo]]="EMPTY",0,AV47+IF(TbTradesBinance[[#This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Row],[Par]]))),$1:$1,0)),-(AU47-AU48)/AU47*AV47),0),0)+IF(TbTradesBinance[[#This Row],[Tipo]]="SELL",IF(ISNUMBER(FIND(MID(AV$1,10,5),TbTradesBinance[[#This Row],[Par]])),IF(FIND(MID(AV$1,10,5),TbTradesBinance[[#This Row],[Par]])=1, -(AU47-AU48)/AU47*AV47,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Row],[Par]])),(-(AU47-AU48)/AU47*AV47)+IF(TbTradesBinance[[#This Row],[Resultado]]&gt;0,0,TbTradesBinance[[#This Row],[Taxa]]),0),0))</f>
        <v>18.673922987511034</v>
      </c>
      <c r="AW48" s="145">
        <f t="shared" si="12"/>
        <v>186.92615603114149</v>
      </c>
      <c r="AX4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Row],[Tipo]]="DROP"),AX47+TbTradesBinance[[#This Row],[Qtt]],AX47-TbTradesBinance[[#This Row],[Qtt]]),IF(TbTradesBinance[[#This Row],[Tipo]]="BUY",AX47-TbTradesBinance[[#This Row],[Qtt]]*TbTradesBinance[[#This Row],[Preço]],AX47+TbTradesBinance[[#This Row],[Qtt]]*TbTradesBinance[[#This Row],[Preço]])),AX47)-IF(TbTradesBinance[[#This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Row],[Tipo]]="DROP"),AX47+TbTradesBinance[[#This Row],[Qtt]],AX47-TbTradesBinance[[#This Row],[Qtt]]),IF(TbTradesBinance[[#This Row],[Tipo]]="BUY",AX47-TbTradesBinance[[#This Row],[Qtt]]*TbTradesBinance[[#This Row],[Preço]],AX47+TbTradesBinance[[#This Row],[Qtt]]*TbTradesBinance[[#This Row],[Preço]])),AX47)-IF(TbTradesBinance[[#This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Row],[Tipo]]="DROP"),AX47+TbTradesBinance[[#This Row],[Qtt]],AX47-TbTradesBinance[[#This Row],[Qtt]]),IF(TbTradesBinance[[#This Row],[Tipo]]="BUY",AX47-TbTradesBinance[[#This Row],[Qtt]]*TbTradesBinance[[#This Row],[Preço]],AX47+TbTradesBinance[[#This Row],[Qtt]]*TbTradesBinance[[#This Row],[Preço]])),AX47)-IF(TbTradesBinance[[#This Row],[Moeda da Taxa]]=MID(AX$1,9,5),TbTradesBinance[[#This Row],[Taxa]],0),8)))</f>
        <v>0</v>
      </c>
      <c r="AY48" s="145" cm="1">
        <f t="array" ref="AY48">IF(TbTradesBinance[[#This Row],[Tipo]]="EMPTY",0,AY47+IF(TbTradesBinance[[#This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Row],[Par]]))),$1:$1,0)),-(AX47-AX48)/AX47*AY47),0),0)+IF(TbTradesBinance[[#This Row],[Tipo]]="SELL",IF(ISNUMBER(FIND(MID(AY$1,10,5),TbTradesBinance[[#This Row],[Par]])),IF(FIND(MID(AY$1,10,5),TbTradesBinance[[#This Row],[Par]])=1, -(AX47-AX48)/AX47*AY47,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Row],[Par]])),(-(AX47-AX48)/AX47*AY47)+IF(TbTradesBinance[[#This Row],[Resultado]]&gt;0,0,TbTradesBinance[[#This Row],[Taxa]]),0),0))</f>
        <v>0</v>
      </c>
      <c r="AZ48" s="145">
        <f t="shared" si="13"/>
        <v>0</v>
      </c>
      <c r="BA4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Row],[Tipo]]="DROP"),BA47+TbTradesBinance[[#This Row],[Qtt]],BA47-TbTradesBinance[[#This Row],[Qtt]]),IF(TbTradesBinance[[#This Row],[Tipo]]="BUY",BA47-TbTradesBinance[[#This Row],[Qtt]]*TbTradesBinance[[#This Row],[Preço]],BA47+TbTradesBinance[[#This Row],[Qtt]]*TbTradesBinance[[#This Row],[Preço]])),BA47)-IF(TbTradesBinance[[#This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Row],[Tipo]]="DROP"),BA47+TbTradesBinance[[#This Row],[Qtt]],BA47-TbTradesBinance[[#This Row],[Qtt]]),IF(TbTradesBinance[[#This Row],[Tipo]]="BUY",BA47-TbTradesBinance[[#This Row],[Qtt]]*TbTradesBinance[[#This Row],[Preço]],BA47+TbTradesBinance[[#This Row],[Qtt]]*TbTradesBinance[[#This Row],[Preço]])),BA47)-IF(TbTradesBinance[[#This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Row],[Tipo]]="DROP"),BA47+TbTradesBinance[[#This Row],[Qtt]],BA47-TbTradesBinance[[#This Row],[Qtt]]),IF(TbTradesBinance[[#This Row],[Tipo]]="BUY",BA47-TbTradesBinance[[#This Row],[Qtt]]*TbTradesBinance[[#This Row],[Preço]],BA47+TbTradesBinance[[#This Row],[Qtt]]*TbTradesBinance[[#This Row],[Preço]])),BA47)-IF(TbTradesBinance[[#This Row],[Moeda da Taxa]]=MID(BA$1,9,5),TbTradesBinance[[#This Row],[Taxa]],0),8)))</f>
        <v>0</v>
      </c>
      <c r="BB48" s="145" cm="1">
        <f t="array" ref="BB48">IF(TbTradesBinance[[#This Row],[Tipo]]="EMPTY",0,BB47+IF(TbTradesBinance[[#This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Row],[Par]]))),$1:$1,0)),-(BA47-BA48)/BA47*BB47),0),0)+IF(TbTradesBinance[[#This Row],[Tipo]]="SELL",IF(ISNUMBER(FIND(MID(BB$1,10,5),TbTradesBinance[[#This Row],[Par]])),IF(FIND(MID(BB$1,10,5),TbTradesBinance[[#This Row],[Par]])=1, -(BA47-BA48)/BA47*BB47,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Row],[Par]])),(-(BA47-BA48)/BA47*BB47)+IF(TbTradesBinance[[#This Row],[Resultado]]&gt;0,0,TbTradesBinance[[#This Row],[Taxa]]),0),0))</f>
        <v>0</v>
      </c>
      <c r="BC48" s="145">
        <f t="shared" si="14"/>
        <v>0</v>
      </c>
      <c r="BD4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Row],[Tipo]]="DROP"),BD47+TbTradesBinance[[#This Row],[Qtt]],BD47-TbTradesBinance[[#This Row],[Qtt]]),IF(TbTradesBinance[[#This Row],[Tipo]]="BUY",BD47-TbTradesBinance[[#This Row],[Qtt]]*TbTradesBinance[[#This Row],[Preço]],BD47+TbTradesBinance[[#This Row],[Qtt]]*TbTradesBinance[[#This Row],[Preço]])),BD47)-IF(TbTradesBinance[[#This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Row],[Tipo]]="DROP"),BD47+TbTradesBinance[[#This Row],[Qtt]],BD47-TbTradesBinance[[#This Row],[Qtt]]),IF(TbTradesBinance[[#This Row],[Tipo]]="BUY",BD47-TbTradesBinance[[#This Row],[Qtt]]*TbTradesBinance[[#This Row],[Preço]],BD47+TbTradesBinance[[#This Row],[Qtt]]*TbTradesBinance[[#This Row],[Preço]])),BD47)-IF(TbTradesBinance[[#This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Row],[Tipo]]="DROP"),BD47+TbTradesBinance[[#This Row],[Qtt]],BD47-TbTradesBinance[[#This Row],[Qtt]]),IF(TbTradesBinance[[#This Row],[Tipo]]="BUY",BD47-TbTradesBinance[[#This Row],[Qtt]]*TbTradesBinance[[#This Row],[Preço]],BD47+TbTradesBinance[[#This Row],[Qtt]]*TbTradesBinance[[#This Row],[Preço]])),BD47)-IF(TbTradesBinance[[#This Row],[Moeda da Taxa]]=MID(BD$1,9,5),TbTradesBinance[[#This Row],[Taxa]],0),8)))</f>
        <v>0.37962000000000001</v>
      </c>
      <c r="BE48" s="145" cm="1">
        <f t="array" ref="BE48">IF(TbTradesBinance[[#This Row],[Tipo]]="EMPTY",0,BE47+IF(TbTradesBinance[[#This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Row],[Par]]))),$1:$1,0)),-(BD47-BD48)/BD47*BE47),0),0)+IF(TbTradesBinance[[#This Row],[Tipo]]="SELL",IF(ISNUMBER(FIND(MID(BE$1,10,5),TbTradesBinance[[#This Row],[Par]])),IF(FIND(MID(BE$1,10,5),TbTradesBinance[[#This Row],[Par]])=1, -(BD47-BD48)/BD47*BE47,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Row],[Par]])),(-(BD47-BD48)/BD47*BE47)+IF(TbTradesBinance[[#This Row],[Resultado]]&gt;0,0,TbTradesBinance[[#This Row],[Taxa]]),0),0))</f>
        <v>63.647297001537943</v>
      </c>
      <c r="BF48" s="145">
        <f t="shared" si="15"/>
        <v>167.66054739354601</v>
      </c>
      <c r="BG4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Row],[Tipo]]="DROP"),BG47+TbTradesBinance[[#This Row],[Qtt]],BG47-TbTradesBinance[[#This Row],[Qtt]]),IF(TbTradesBinance[[#This Row],[Tipo]]="BUY",BG47-TbTradesBinance[[#This Row],[Qtt]]*TbTradesBinance[[#This Row],[Preço]],BG47+TbTradesBinance[[#This Row],[Qtt]]*TbTradesBinance[[#This Row],[Preço]])),BG47)-IF(TbTradesBinance[[#This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Row],[Tipo]]="DROP"),BG47+TbTradesBinance[[#This Row],[Qtt]],BG47-TbTradesBinance[[#This Row],[Qtt]]),IF(TbTradesBinance[[#This Row],[Tipo]]="BUY",BG47-TbTradesBinance[[#This Row],[Qtt]]*TbTradesBinance[[#This Row],[Preço]],BG47+TbTradesBinance[[#This Row],[Qtt]]*TbTradesBinance[[#This Row],[Preço]])),BG47)-IF(TbTradesBinance[[#This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Row],[Tipo]]="DROP"),BG47+TbTradesBinance[[#This Row],[Qtt]],BG47-TbTradesBinance[[#This Row],[Qtt]]),IF(TbTradesBinance[[#This Row],[Tipo]]="BUY",BG47-TbTradesBinance[[#This Row],[Qtt]]*TbTradesBinance[[#This Row],[Preço]],BG47+TbTradesBinance[[#This Row],[Qtt]]*TbTradesBinance[[#This Row],[Preço]])),BG47)-IF(TbTradesBinance[[#This Row],[Moeda da Taxa]]=MID(BG$1,9,5),TbTradesBinance[[#This Row],[Taxa]],0),8)))</f>
        <v>0</v>
      </c>
      <c r="BH48" s="145" cm="1">
        <f t="array" ref="BH48">IF(TbTradesBinance[[#This Row],[Tipo]]="EMPTY",0,BH47+IF(TbTradesBinance[[#This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Row],[Par]]))),$1:$1,0)),-(BG47-BG48)/BG47*BH47),0),0)+IF(TbTradesBinance[[#This Row],[Tipo]]="SELL",IF(ISNUMBER(FIND(MID(BH$1,10,5),TbTradesBinance[[#This Row],[Par]])),IF(FIND(MID(BH$1,10,5),TbTradesBinance[[#This Row],[Par]])=1, -(BG47-BG48)/BG47*BH47,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Row],[Par]])),(-(BG47-BG48)/BG47*BH47)+IF(TbTradesBinance[[#This Row],[Resultado]]&gt;0,0,TbTradesBinance[[#This Row],[Taxa]]),0),0))</f>
        <v>0</v>
      </c>
      <c r="BI48" s="145">
        <f t="shared" si="16"/>
        <v>0</v>
      </c>
      <c r="BJ4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Row],[Tipo]]="DROP"),BJ47+TbTradesBinance[[#This Row],[Qtt]],BJ47-TbTradesBinance[[#This Row],[Qtt]]),IF(TbTradesBinance[[#This Row],[Tipo]]="BUY",BJ47-TbTradesBinance[[#This Row],[Qtt]]*TbTradesBinance[[#This Row],[Preço]],BJ47+TbTradesBinance[[#This Row],[Qtt]]*TbTradesBinance[[#This Row],[Preço]])),BJ47)-IF(TbTradesBinance[[#This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Row],[Tipo]]="DROP"),BJ47+TbTradesBinance[[#This Row],[Qtt]],BJ47-TbTradesBinance[[#This Row],[Qtt]]),IF(TbTradesBinance[[#This Row],[Tipo]]="BUY",BJ47-TbTradesBinance[[#This Row],[Qtt]]*TbTradesBinance[[#This Row],[Preço]],BJ47+TbTradesBinance[[#This Row],[Qtt]]*TbTradesBinance[[#This Row],[Preço]])),BJ47)-IF(TbTradesBinance[[#This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Row],[Tipo]]="DROP"),BJ47+TbTradesBinance[[#This Row],[Qtt]],BJ47-TbTradesBinance[[#This Row],[Qtt]]),IF(TbTradesBinance[[#This Row],[Tipo]]="BUY",BJ47-TbTradesBinance[[#This Row],[Qtt]]*TbTradesBinance[[#This Row],[Preço]],BJ47+TbTradesBinance[[#This Row],[Qtt]]*TbTradesBinance[[#This Row],[Preço]])),BJ47)-IF(TbTradesBinance[[#This Row],[Moeda da Taxa]]=MID(BJ$1,9,5),TbTradesBinance[[#This Row],[Taxa]],0),8)))</f>
        <v>0</v>
      </c>
      <c r="BK48" s="145" cm="1">
        <f t="array" ref="BK48">IF(TbTradesBinance[[#This Row],[Tipo]]="EMPTY",0,BK47+IF(TbTradesBinance[[#This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Row],[Par]]))),$1:$1,0)),-(BJ47-BJ48)/BJ47*BK47),0),0)+IF(TbTradesBinance[[#This Row],[Tipo]]="SELL",IF(ISNUMBER(FIND(MID(BK$1,10,5),TbTradesBinance[[#This Row],[Par]])),IF(FIND(MID(BK$1,10,5),TbTradesBinance[[#This Row],[Par]])=1, -(BJ47-BJ48)/BJ47*BK47,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Row],[Par]])),(-(BJ47-BJ48)/BJ47*BK47)+IF(TbTradesBinance[[#This Row],[Resultado]]&gt;0,0,TbTradesBinance[[#This Row],[Taxa]]),0),0))</f>
        <v>0</v>
      </c>
      <c r="BL48" s="145">
        <f t="shared" si="17"/>
        <v>0</v>
      </c>
      <c r="BM4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Row],[Tipo]]="DROP"),BM47+TbTradesBinance[[#This Row],[Qtt]],BM47-TbTradesBinance[[#This Row],[Qtt]]),IF(TbTradesBinance[[#This Row],[Tipo]]="BUY",BM47-TbTradesBinance[[#This Row],[Qtt]]*TbTradesBinance[[#This Row],[Preço]],BM47+TbTradesBinance[[#This Row],[Qtt]]*TbTradesBinance[[#This Row],[Preço]])),BM47)-IF(TbTradesBinance[[#This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Row],[Tipo]]="DROP"),BM47+TbTradesBinance[[#This Row],[Qtt]],BM47-TbTradesBinance[[#This Row],[Qtt]]),IF(TbTradesBinance[[#This Row],[Tipo]]="BUY",BM47-TbTradesBinance[[#This Row],[Qtt]]*TbTradesBinance[[#This Row],[Preço]],BM47+TbTradesBinance[[#This Row],[Qtt]]*TbTradesBinance[[#This Row],[Preço]])),BM47)-IF(TbTradesBinance[[#This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Row],[Tipo]]="DROP"),BM47+TbTradesBinance[[#This Row],[Qtt]],BM47-TbTradesBinance[[#This Row],[Qtt]]),IF(TbTradesBinance[[#This Row],[Tipo]]="BUY",BM47-TbTradesBinance[[#This Row],[Qtt]]*TbTradesBinance[[#This Row],[Preço]],BM47+TbTradesBinance[[#This Row],[Qtt]]*TbTradesBinance[[#This Row],[Preço]])),BM47)-IF(TbTradesBinance[[#This Row],[Moeda da Taxa]]=MID(BM$1,9,5),TbTradesBinance[[#This Row],[Taxa]],0),8)))</f>
        <v>0</v>
      </c>
      <c r="BN48" s="145" cm="1">
        <f t="array" ref="BN48">IF(TbTradesBinance[[#This Row],[Tipo]]="EMPTY",0,BN47+IF(TbTradesBinance[[#This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Row],[Par]]))),$1:$1,0)),-(BM47-BM48)/BM47*BN47),0),0)+IF(TbTradesBinance[[#This Row],[Tipo]]="SELL",IF(ISNUMBER(FIND(MID(BN$1,10,5),TbTradesBinance[[#This Row],[Par]])),IF(FIND(MID(BN$1,10,5),TbTradesBinance[[#This Row],[Par]])=1, -(BM47-BM48)/BM47*BN47,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Row],[Par]])),(-(BM47-BM48)/BM47*BN47)+IF(TbTradesBinance[[#This Row],[Resultado]]&gt;0,0,TbTradesBinance[[#This Row],[Taxa]]),0),0))</f>
        <v>0</v>
      </c>
      <c r="BO48" s="145">
        <f t="shared" si="18"/>
        <v>0</v>
      </c>
    </row>
    <row r="49" spans="2:67" x14ac:dyDescent="0.3">
      <c r="B49" s="51"/>
      <c r="C49" s="40">
        <f>TRUNC(IF(AND(TbTradesBinance[[#This Row],[Tipo]]="SEND",TbTradesBinance[[#This Row],[Par]]="BRL"),TbTradesBinance[[#This Row],[Qtt]]*(1-P47)-IF(TbTradesBinance[[#This Row],[Moeda da Taxa]]="BRL",TbTradesBinance[[#This Row],[Taxa]],0),0)+IF(AND(TbTradesBinance[[#This Row],[Tipo]]="BURN",TbTradesBinance[[#This Row],[Par]]="BRL"),-TbTradesBinance[[#This Row],[Qtt]]*P47,0),2)</f>
        <v>0</v>
      </c>
      <c r="D49" s="53">
        <v>44263.76226851852</v>
      </c>
      <c r="E49" s="37" t="s">
        <v>245</v>
      </c>
      <c r="F49" s="47" t="s">
        <v>139</v>
      </c>
      <c r="G49" s="38">
        <v>3.656E-4</v>
      </c>
      <c r="H49" s="38">
        <v>0.3</v>
      </c>
      <c r="I49" s="38">
        <v>1.8E-5</v>
      </c>
      <c r="J49" s="37" t="s">
        <v>45</v>
      </c>
      <c r="K49" s="52">
        <v>301700</v>
      </c>
      <c r="L49" s="40">
        <f t="shared" si="0"/>
        <v>110.3</v>
      </c>
      <c r="M49" s="40">
        <f>IF(OR(TbTradesBinance[[#This Row],[Tipo]]="BUY",TbTradesBinance[[#This Row],[Tipo]]="RECEIVE",TbTradesBinance[[#This Row],[Tipo]]="DROP"),L49*H49,-L49*H49)</f>
        <v>33.089999999999996</v>
      </c>
      <c r="N4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Row],[Tipo]]="DROP"),N48+TbTradesBinance[[#This Row],[Qtt]],N48-TbTradesBinance[[#This Row],[Qtt]]),IF(TbTradesBinance[[#This Row],[Tipo]]="BUY",N48-TbTradesBinance[[#This Row],[Qtt]]*TbTradesBinance[[#This Row],[Preço]],N48+TbTradesBinance[[#This Row],[Qtt]]*TbTradesBinance[[#This Row],[Preço]])),N48)-IF(TbTradesBinance[[#This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Row],[Tipo]]="DROP"),N48+TbTradesBinance[[#This Row],[Qtt]],N48-TbTradesBinance[[#This Row],[Qtt]]),IF(TbTradesBinance[[#This Row],[Tipo]]="BUY",N48-TbTradesBinance[[#This Row],[Qtt]]*TbTradesBinance[[#This Row],[Preço]],N48+TbTradesBinance[[#This Row],[Qtt]]*TbTradesBinance[[#This Row],[Preço]])),N48)-IF(TbTradesBinance[[#This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Row],[Tipo]]="DROP"),N48+TbTradesBinance[[#This Row],[Qtt]],N48-TbTradesBinance[[#This Row],[Qtt]]),IF(TbTradesBinance[[#This Row],[Tipo]]="BUY",N48-TbTradesBinance[[#This Row],[Qtt]]*TbTradesBinance[[#This Row],[Preço]],N48+TbTradesBinance[[#This Row],[Qtt]]*TbTradesBinance[[#This Row],[Preço]])),N48)-IF(TbTradesBinance[[#This Row],[Moeda da Taxa]]=MID(N$1,9,5),TbTradesBinance[[#This Row],[Taxa]],0),8)))</f>
        <v>119863.45423289</v>
      </c>
      <c r="O49" s="145" cm="1">
        <f t="array" ref="O49">IF(TbTradesBinance[[#This Row],[Tipo]]="EMPTY",0,O48+IF(TbTradesBinance[[#This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Row],[Par]]))),$1:$1,0)),-(N48-N49)/N48*O48),0),0)+IF(TbTradesBinance[[#This Row],[Tipo]]="SELL",IF(ISNUMBER(FIND(MID(O$1,10,5),TbTradesBinance[[#This Row],[Par]])),IF(FIND(MID(O$1,10,5),TbTradesBinance[[#This Row],[Par]])=1, -(N48-N49)/N48*O48,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Row],[Par]])),(-(N48-N49)/N48*O48)+IF(TbTradesBinance[[#This Row],[Resultado]]&gt;0,0,TbTradesBinance[[#This Row],[Taxa]]),0),0))</f>
        <v>119783.00097390189</v>
      </c>
      <c r="P49" s="145">
        <f t="shared" si="1"/>
        <v>0.99932879242048378</v>
      </c>
      <c r="Q4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Row],[Tipo]]="DROP"),Q48+TbTradesBinance[[#This Row],[Qtt]],Q48-TbTradesBinance[[#This Row],[Qtt]]),IF(TbTradesBinance[[#This Row],[Tipo]]="BUY",Q48-TbTradesBinance[[#This Row],[Qtt]]*TbTradesBinance[[#This Row],[Preço]],Q48+TbTradesBinance[[#This Row],[Qtt]]*TbTradesBinance[[#This Row],[Preço]])),Q48)-IF(TbTradesBinance[[#This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Row],[Tipo]]="DROP"),Q48+TbTradesBinance[[#This Row],[Qtt]],Q48-TbTradesBinance[[#This Row],[Qtt]]),IF(TbTradesBinance[[#This Row],[Tipo]]="BUY",Q48-TbTradesBinance[[#This Row],[Qtt]]*TbTradesBinance[[#This Row],[Preço]],Q48+TbTradesBinance[[#This Row],[Qtt]]*TbTradesBinance[[#This Row],[Preço]])),Q48)-IF(TbTradesBinance[[#This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Row],[Tipo]]="DROP"),Q48+TbTradesBinance[[#This Row],[Qtt]],Q48-TbTradesBinance[[#This Row],[Qtt]]),IF(TbTradesBinance[[#This Row],[Tipo]]="BUY",Q48-TbTradesBinance[[#This Row],[Qtt]]*TbTradesBinance[[#This Row],[Preço]],Q48+TbTradesBinance[[#This Row],[Qtt]]*TbTradesBinance[[#This Row],[Preço]])),Q48)-IF(TbTradesBinance[[#This Row],[Moeda da Taxa]]=MID(Q$1,9,5),TbTradesBinance[[#This Row],[Taxa]],0),8)))</f>
        <v>0</v>
      </c>
      <c r="R49" s="145" cm="1">
        <f t="array" ref="R49">IF(TbTradesBinance[[#This Row],[Tipo]]="EMPTY",0,R48+IF(TbTradesBinance[[#This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Row],[Par]]))),$1:$1,0)),-(Q48-Q49)/Q48*R48),0),0)+IF(TbTradesBinance[[#This Row],[Tipo]]="SELL",IF(ISNUMBER(FIND(MID(R$1,10,5),TbTradesBinance[[#This Row],[Par]])),IF(FIND(MID(R$1,10,5),TbTradesBinance[[#This Row],[Par]])=1, -(Q48-Q49)/Q48*R48,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Row],[Par]])),(-(Q48-Q49)/Q48*R48)+IF(TbTradesBinance[[#This Row],[Resultado]]&gt;0,0,TbTradesBinance[[#This Row],[Taxa]]),0),0))</f>
        <v>0</v>
      </c>
      <c r="S49" s="145">
        <f t="shared" si="2"/>
        <v>0</v>
      </c>
      <c r="T4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Row],[Tipo]]="DROP"),T48+TbTradesBinance[[#This Row],[Qtt]],T48-TbTradesBinance[[#This Row],[Qtt]]),IF(TbTradesBinance[[#This Row],[Tipo]]="BUY",T48-TbTradesBinance[[#This Row],[Qtt]]*TbTradesBinance[[#This Row],[Preço]],T48+TbTradesBinance[[#This Row],[Qtt]]*TbTradesBinance[[#This Row],[Preço]])),T48)-IF(TbTradesBinance[[#This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Row],[Tipo]]="DROP"),T48+TbTradesBinance[[#This Row],[Qtt]],T48-TbTradesBinance[[#This Row],[Qtt]]),IF(TbTradesBinance[[#This Row],[Tipo]]="BUY",T48-TbTradesBinance[[#This Row],[Qtt]]*TbTradesBinance[[#This Row],[Preço]],T48+TbTradesBinance[[#This Row],[Qtt]]*TbTradesBinance[[#This Row],[Preço]])),T48)-IF(TbTradesBinance[[#This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Row],[Tipo]]="DROP"),T48+TbTradesBinance[[#This Row],[Qtt]],T48-TbTradesBinance[[#This Row],[Qtt]]),IF(TbTradesBinance[[#This Row],[Tipo]]="BUY",T48-TbTradesBinance[[#This Row],[Qtt]]*TbTradesBinance[[#This Row],[Preço]],T48+TbTradesBinance[[#This Row],[Qtt]]*TbTradesBinance[[#This Row],[Preço]])),T48)-IF(TbTradesBinance[[#This Row],[Moeda da Taxa]]=MID(T$1,9,5),TbTradesBinance[[#This Row],[Taxa]],0),8)))</f>
        <v>199735.32000169999</v>
      </c>
      <c r="U49" s="145" cm="1">
        <f t="array" ref="U49">IF(TbTradesBinance[[#This Row],[Tipo]]="EMPTY",0,U48+IF(TbTradesBinance[[#This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Row],[Par]]))),$1:$1,0)),-(T48-T49)/T48*U48),0),0)+IF(TbTradesBinance[[#This Row],[Tipo]]="SELL",IF(ISNUMBER(FIND(MID(U$1,10,5),TbTradesBinance[[#This Row],[Par]])),IF(FIND(MID(U$1,10,5),TbTradesBinance[[#This Row],[Par]])=1, -(T48-T49)/T48*U48,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Row],[Par]])),(-(T48-T49)/T48*U48)+IF(TbTradesBinance[[#This Row],[Resultado]]&gt;0,0,TbTradesBinance[[#This Row],[Taxa]]),0),0))</f>
        <v>1328239.8809817513</v>
      </c>
      <c r="V49" s="145">
        <f t="shared" si="3"/>
        <v>6.6500000148719129</v>
      </c>
      <c r="W4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Row],[Tipo]]="DROP"),W48+TbTradesBinance[[#This Row],[Qtt]],W48-TbTradesBinance[[#This Row],[Qtt]]),IF(TbTradesBinance[[#This Row],[Tipo]]="BUY",W48-TbTradesBinance[[#This Row],[Qtt]]*TbTradesBinance[[#This Row],[Preço]],W48+TbTradesBinance[[#This Row],[Qtt]]*TbTradesBinance[[#This Row],[Preço]])),W48)-IF(TbTradesBinance[[#This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Row],[Tipo]]="DROP"),W48+TbTradesBinance[[#This Row],[Qtt]],W48-TbTradesBinance[[#This Row],[Qtt]]),IF(TbTradesBinance[[#This Row],[Tipo]]="BUY",W48-TbTradesBinance[[#This Row],[Qtt]]*TbTradesBinance[[#This Row],[Preço]],W48+TbTradesBinance[[#This Row],[Qtt]]*TbTradesBinance[[#This Row],[Preço]])),W48)-IF(TbTradesBinance[[#This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Row],[Tipo]]="DROP"),W48+TbTradesBinance[[#This Row],[Qtt]],W48-TbTradesBinance[[#This Row],[Qtt]]),IF(TbTradesBinance[[#This Row],[Tipo]]="BUY",W48-TbTradesBinance[[#This Row],[Qtt]]*TbTradesBinance[[#This Row],[Preço]],W48+TbTradesBinance[[#This Row],[Qtt]]*TbTradesBinance[[#This Row],[Preço]])),W48)-IF(TbTradesBinance[[#This Row],[Moeda da Taxa]]=MID(W$1,9,5),TbTradesBinance[[#This Row],[Taxa]],0),8)))</f>
        <v>1.08164E-3</v>
      </c>
      <c r="X49" s="145" cm="1">
        <f t="array" ref="X49">IF(TbTradesBinance[[#This Row],[Tipo]]="EMPTY",0,X48+IF(TbTradesBinance[[#This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Row],[Par]]))),$1:$1,0)),-(W48-W49)/W48*X48),0),0)+IF(TbTradesBinance[[#This Row],[Tipo]]="SELL",IF(ISNUMBER(FIND(MID(X$1,10,5),TbTradesBinance[[#This Row],[Par]])),IF(FIND(MID(X$1,10,5),TbTradesBinance[[#This Row],[Par]])=1, -(W48-W49)/W48*X48,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Row],[Par]])),(-(W48-W49)/W48*X48)+IF(TbTradesBinance[[#This Row],[Resultado]]&gt;0,0,TbTradesBinance[[#This Row],[Taxa]]),0),0))</f>
        <v>300.72983619131384</v>
      </c>
      <c r="Y49" s="145">
        <f t="shared" si="4"/>
        <v>278031.35626577586</v>
      </c>
      <c r="Z4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Row],[Tipo]]="DROP"),Z48+TbTradesBinance[[#This Row],[Qtt]],Z48-TbTradesBinance[[#This Row],[Qtt]]),IF(TbTradesBinance[[#This Row],[Tipo]]="BUY",Z48-TbTradesBinance[[#This Row],[Qtt]]*TbTradesBinance[[#This Row],[Preço]],Z48+TbTradesBinance[[#This Row],[Qtt]]*TbTradesBinance[[#This Row],[Preço]])),Z48)-IF(TbTradesBinance[[#This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Row],[Tipo]]="DROP"),Z48+TbTradesBinance[[#This Row],[Qtt]],Z48-TbTradesBinance[[#This Row],[Qtt]]),IF(TbTradesBinance[[#This Row],[Tipo]]="BUY",Z48-TbTradesBinance[[#This Row],[Qtt]]*TbTradesBinance[[#This Row],[Preço]],Z48+TbTradesBinance[[#This Row],[Qtt]]*TbTradesBinance[[#This Row],[Preço]])),Z48)-IF(TbTradesBinance[[#This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Row],[Tipo]]="DROP"),Z48+TbTradesBinance[[#This Row],[Qtt]],Z48-TbTradesBinance[[#This Row],[Qtt]]),IF(TbTradesBinance[[#This Row],[Tipo]]="BUY",Z48-TbTradesBinance[[#This Row],[Qtt]]*TbTradesBinance[[#This Row],[Preço]],Z48+TbTradesBinance[[#This Row],[Qtt]]*TbTradesBinance[[#This Row],[Preço]])),Z48)-IF(TbTradesBinance[[#This Row],[Moeda da Taxa]]=MID(Z$1,9,5),TbTradesBinance[[#This Row],[Taxa]],0),8)))</f>
        <v>0</v>
      </c>
      <c r="AA49" s="145" cm="1">
        <f t="array" ref="AA49">IF(TbTradesBinance[[#This Row],[Tipo]]="EMPTY",0,AA48+IF(TbTradesBinance[[#This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Row],[Par]]))),$1:$1,0)),-(Z48-Z49)/Z48*AA48),0),0)+IF(TbTradesBinance[[#This Row],[Tipo]]="SELL",IF(ISNUMBER(FIND(MID(AA$1,10,5),TbTradesBinance[[#This Row],[Par]])),IF(FIND(MID(AA$1,10,5),TbTradesBinance[[#This Row],[Par]])=1, -(Z48-Z49)/Z48*AA48,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Row],[Par]])),(-(Z48-Z49)/Z48*AA48)+IF(TbTradesBinance[[#This Row],[Resultado]]&gt;0,0,TbTradesBinance[[#This Row],[Taxa]]),0),0))</f>
        <v>0</v>
      </c>
      <c r="AB49" s="145">
        <f t="shared" si="5"/>
        <v>0</v>
      </c>
      <c r="AC4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Row],[Tipo]]="DROP"),AC48+TbTradesBinance[[#This Row],[Qtt]],AC48-TbTradesBinance[[#This Row],[Qtt]]),IF(TbTradesBinance[[#This Row],[Tipo]]="BUY",AC48-TbTradesBinance[[#This Row],[Qtt]]*TbTradesBinance[[#This Row],[Preço]],AC48+TbTradesBinance[[#This Row],[Qtt]]*TbTradesBinance[[#This Row],[Preço]])),AC48)-IF(TbTradesBinance[[#This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Row],[Tipo]]="DROP"),AC48+TbTradesBinance[[#This Row],[Qtt]],AC48-TbTradesBinance[[#This Row],[Qtt]]),IF(TbTradesBinance[[#This Row],[Tipo]]="BUY",AC48-TbTradesBinance[[#This Row],[Qtt]]*TbTradesBinance[[#This Row],[Preço]],AC48+TbTradesBinance[[#This Row],[Qtt]]*TbTradesBinance[[#This Row],[Preço]])),AC48)-IF(TbTradesBinance[[#This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Row],[Tipo]]="DROP"),AC48+TbTradesBinance[[#This Row],[Qtt]],AC48-TbTradesBinance[[#This Row],[Qtt]]),IF(TbTradesBinance[[#This Row],[Tipo]]="BUY",AC48-TbTradesBinance[[#This Row],[Qtt]]*TbTradesBinance[[#This Row],[Preço]],AC48+TbTradesBinance[[#This Row],[Qtt]]*TbTradesBinance[[#This Row],[Preço]])),AC48)-IF(TbTradesBinance[[#This Row],[Moeda da Taxa]]=MID(AC$1,9,5),TbTradesBinance[[#This Row],[Taxa]],0),8)))</f>
        <v>0</v>
      </c>
      <c r="AD49" s="145" cm="1">
        <f t="array" ref="AD49">IF(TbTradesBinance[[#This Row],[Tipo]]="EMPTY",0,AD48+IF(TbTradesBinance[[#This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Row],[Par]]))),$1:$1,0)),-(AC48-AC49)/AC48*AD48),0),0)+IF(TbTradesBinance[[#This Row],[Tipo]]="SELL",IF(ISNUMBER(FIND(MID(AD$1,10,5),TbTradesBinance[[#This Row],[Par]])),IF(FIND(MID(AD$1,10,5),TbTradesBinance[[#This Row],[Par]])=1, -(AC48-AC49)/AC48*AD48,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Row],[Par]])),(-(AC48-AC49)/AC48*AD48)+IF(TbTradesBinance[[#This Row],[Resultado]]&gt;0,0,TbTradesBinance[[#This Row],[Taxa]]),0),0))</f>
        <v>0</v>
      </c>
      <c r="AE49" s="145">
        <f t="shared" si="6"/>
        <v>0</v>
      </c>
      <c r="AF4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Row],[Tipo]]="DROP"),AF48+TbTradesBinance[[#This Row],[Qtt]],AF48-TbTradesBinance[[#This Row],[Qtt]]),IF(TbTradesBinance[[#This Row],[Tipo]]="BUY",AF48-TbTradesBinance[[#This Row],[Qtt]]*TbTradesBinance[[#This Row],[Preço]],AF48+TbTradesBinance[[#This Row],[Qtt]]*TbTradesBinance[[#This Row],[Preço]])),AF48)-IF(TbTradesBinance[[#This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Row],[Tipo]]="DROP"),AF48+TbTradesBinance[[#This Row],[Qtt]],AF48-TbTradesBinance[[#This Row],[Qtt]]),IF(TbTradesBinance[[#This Row],[Tipo]]="BUY",AF48-TbTradesBinance[[#This Row],[Qtt]]*TbTradesBinance[[#This Row],[Preço]],AF48+TbTradesBinance[[#This Row],[Qtt]]*TbTradesBinance[[#This Row],[Preço]])),AF48)-IF(TbTradesBinance[[#This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Row],[Tipo]]="DROP"),AF48+TbTradesBinance[[#This Row],[Qtt]],AF48-TbTradesBinance[[#This Row],[Qtt]]),IF(TbTradesBinance[[#This Row],[Tipo]]="BUY",AF48-TbTradesBinance[[#This Row],[Qtt]]*TbTradesBinance[[#This Row],[Preço]],AF48+TbTradesBinance[[#This Row],[Qtt]]*TbTradesBinance[[#This Row],[Preço]])),AF48)-IF(TbTradesBinance[[#This Row],[Moeda da Taxa]]=MID(AF$1,9,5),TbTradesBinance[[#This Row],[Taxa]],0),8)))</f>
        <v>14.984999999999999</v>
      </c>
      <c r="AG49" s="145" cm="1">
        <f t="array" ref="AG49">IF(TbTradesBinance[[#This Row],[Tipo]]="EMPTY",0,AG48+IF(TbTradesBinance[[#This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Row],[Par]]))),$1:$1,0)),-(AF48-AF49)/AF48*AG48),0),0)+IF(TbTradesBinance[[#This Row],[Tipo]]="SELL",IF(ISNUMBER(FIND(MID(AG$1,10,5),TbTradesBinance[[#This Row],[Par]])),IF(FIND(MID(AG$1,10,5),TbTradesBinance[[#This Row],[Par]])=1, -(AF48-AF49)/AF48*AG48,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Row],[Par]])),(-(AF48-AF49)/AF48*AG48)+IF(TbTradesBinance[[#This Row],[Resultado]]&gt;0,0,TbTradesBinance[[#This Row],[Taxa]]),0),0))</f>
        <v>90.429698625443621</v>
      </c>
      <c r="AH49" s="145">
        <f t="shared" si="7"/>
        <v>6.0346812562858609</v>
      </c>
      <c r="AI4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Row],[Tipo]]="DROP"),AI48+TbTradesBinance[[#This Row],[Qtt]],AI48-TbTradesBinance[[#This Row],[Qtt]]),IF(TbTradesBinance[[#This Row],[Tipo]]="BUY",AI48-TbTradesBinance[[#This Row],[Qtt]]*TbTradesBinance[[#This Row],[Preço]],AI48+TbTradesBinance[[#This Row],[Qtt]]*TbTradesBinance[[#This Row],[Preço]])),AI48)-IF(TbTradesBinance[[#This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Row],[Tipo]]="DROP"),AI48+TbTradesBinance[[#This Row],[Qtt]],AI48-TbTradesBinance[[#This Row],[Qtt]]),IF(TbTradesBinance[[#This Row],[Tipo]]="BUY",AI48-TbTradesBinance[[#This Row],[Qtt]]*TbTradesBinance[[#This Row],[Preço]],AI48+TbTradesBinance[[#This Row],[Qtt]]*TbTradesBinance[[#This Row],[Preço]])),AI48)-IF(TbTradesBinance[[#This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Row],[Tipo]]="DROP"),AI48+TbTradesBinance[[#This Row],[Qtt]],AI48-TbTradesBinance[[#This Row],[Qtt]]),IF(TbTradesBinance[[#This Row],[Tipo]]="BUY",AI48-TbTradesBinance[[#This Row],[Qtt]]*TbTradesBinance[[#This Row],[Preço]],AI48+TbTradesBinance[[#This Row],[Qtt]]*TbTradesBinance[[#This Row],[Preço]])),AI48)-IF(TbTradesBinance[[#This Row],[Moeda da Taxa]]=MID(AI$1,9,5),TbTradesBinance[[#This Row],[Taxa]],0),8)))</f>
        <v>0.3</v>
      </c>
      <c r="AJ49" s="145" cm="1">
        <f t="array" ref="AJ49">IF(TbTradesBinance[[#This Row],[Tipo]]="EMPTY",0,AJ48+IF(TbTradesBinance[[#This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Row],[Par]]))),$1:$1,0)),-(AI48-AI49)/AI48*AJ48),0),0)+IF(TbTradesBinance[[#This Row],[Tipo]]="SELL",IF(ISNUMBER(FIND(MID(AJ$1,10,5),TbTradesBinance[[#This Row],[Par]])),IF(FIND(MID(AJ$1,10,5),TbTradesBinance[[#This Row],[Par]])=1, -(AI48-AI49)/AI48*AJ48,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Row],[Par]])),(-(AI48-AI49)/AI48*AJ48)+IF(TbTradesBinance[[#This Row],[Resultado]]&gt;0,0,TbTradesBinance[[#This Row],[Taxa]]),0),0))</f>
        <v>30.494479155230305</v>
      </c>
      <c r="AK49" s="145">
        <f t="shared" si="8"/>
        <v>101.64826385076769</v>
      </c>
      <c r="AL4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Row],[Tipo]]="DROP"),AL48+TbTradesBinance[[#This Row],[Qtt]],AL48-TbTradesBinance[[#This Row],[Qtt]]),IF(TbTradesBinance[[#This Row],[Tipo]]="BUY",AL48-TbTradesBinance[[#This Row],[Qtt]]*TbTradesBinance[[#This Row],[Preço]],AL48+TbTradesBinance[[#This Row],[Qtt]]*TbTradesBinance[[#This Row],[Preço]])),AL48)-IF(TbTradesBinance[[#This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Row],[Tipo]]="DROP"),AL48+TbTradesBinance[[#This Row],[Qtt]],AL48-TbTradesBinance[[#This Row],[Qtt]]),IF(TbTradesBinance[[#This Row],[Tipo]]="BUY",AL48-TbTradesBinance[[#This Row],[Qtt]]*TbTradesBinance[[#This Row],[Preço]],AL48+TbTradesBinance[[#This Row],[Qtt]]*TbTradesBinance[[#This Row],[Preço]])),AL48)-IF(TbTradesBinance[[#This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Row],[Tipo]]="DROP"),AL48+TbTradesBinance[[#This Row],[Qtt]],AL48-TbTradesBinance[[#This Row],[Qtt]]),IF(TbTradesBinance[[#This Row],[Tipo]]="BUY",AL48-TbTradesBinance[[#This Row],[Qtt]]*TbTradesBinance[[#This Row],[Preço]],AL48+TbTradesBinance[[#This Row],[Qtt]]*TbTradesBinance[[#This Row],[Preço]])),AL48)-IF(TbTradesBinance[[#This Row],[Moeda da Taxa]]=MID(AL$1,9,5),TbTradesBinance[[#This Row],[Taxa]],0),8)))</f>
        <v>0</v>
      </c>
      <c r="AM49" s="145" cm="1">
        <f t="array" ref="AM49">IF(TbTradesBinance[[#This Row],[Tipo]]="EMPTY",0,AM48+IF(TbTradesBinance[[#This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Row],[Par]]))),$1:$1,0)),-(AL48-AL49)/AL48*AM48),0),0)+IF(TbTradesBinance[[#This Row],[Tipo]]="SELL",IF(ISNUMBER(FIND(MID(AM$1,10,5),TbTradesBinance[[#This Row],[Par]])),IF(FIND(MID(AM$1,10,5),TbTradesBinance[[#This Row],[Par]])=1, -(AL48-AL49)/AL48*AM48,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Row],[Par]])),(-(AL48-AL49)/AL48*AM48)+IF(TbTradesBinance[[#This Row],[Resultado]]&gt;0,0,TbTradesBinance[[#This Row],[Taxa]]),0),0))</f>
        <v>0</v>
      </c>
      <c r="AN49" s="145">
        <f t="shared" si="9"/>
        <v>0</v>
      </c>
      <c r="AO4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Row],[Tipo]]="DROP"),AO48+TbTradesBinance[[#This Row],[Qtt]],AO48-TbTradesBinance[[#This Row],[Qtt]]),IF(TbTradesBinance[[#This Row],[Tipo]]="BUY",AO48-TbTradesBinance[[#This Row],[Qtt]]*TbTradesBinance[[#This Row],[Preço]],AO48+TbTradesBinance[[#This Row],[Qtt]]*TbTradesBinance[[#This Row],[Preço]])),AO48)-IF(TbTradesBinance[[#This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Row],[Tipo]]="DROP"),AO48+TbTradesBinance[[#This Row],[Qtt]],AO48-TbTradesBinance[[#This Row],[Qtt]]),IF(TbTradesBinance[[#This Row],[Tipo]]="BUY",AO48-TbTradesBinance[[#This Row],[Qtt]]*TbTradesBinance[[#This Row],[Preço]],AO48+TbTradesBinance[[#This Row],[Qtt]]*TbTradesBinance[[#This Row],[Preço]])),AO48)-IF(TbTradesBinance[[#This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Row],[Tipo]]="DROP"),AO48+TbTradesBinance[[#This Row],[Qtt]],AO48-TbTradesBinance[[#This Row],[Qtt]]),IF(TbTradesBinance[[#This Row],[Tipo]]="BUY",AO48-TbTradesBinance[[#This Row],[Qtt]]*TbTradesBinance[[#This Row],[Preço]],AO48+TbTradesBinance[[#This Row],[Qtt]]*TbTradesBinance[[#This Row],[Preço]])),AO48)-IF(TbTradesBinance[[#This Row],[Moeda da Taxa]]=MID(AO$1,9,5),TbTradesBinance[[#This Row],[Taxa]],0),8)))</f>
        <v>1.2747399999999999E-3</v>
      </c>
      <c r="AP49" s="145" cm="1">
        <f t="array" ref="AP49">IF(TbTradesBinance[[#This Row],[Tipo]]="EMPTY",0,AP48+IF(TbTradesBinance[[#This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Row],[Par]]))),$1:$1,0)),-(AO48-AO49)/AO48*AP48),0),0)+IF(TbTradesBinance[[#This Row],[Tipo]]="SELL",IF(ISNUMBER(FIND(MID(AP$1,10,5),TbTradesBinance[[#This Row],[Par]])),IF(FIND(MID(AP$1,10,5),TbTradesBinance[[#This Row],[Par]])=1, -(AO48-AO49)/AO48*AP48,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Row],[Par]])),(-(AO48-AO49)/AO48*AP48)+IF(TbTradesBinance[[#This Row],[Resultado]]&gt;0,0,TbTradesBinance[[#This Row],[Taxa]]),0),0))</f>
        <v>1.7416212429180353</v>
      </c>
      <c r="AQ49" s="145">
        <f t="shared" si="10"/>
        <v>1366.2560545036913</v>
      </c>
      <c r="AR4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Row],[Tipo]]="DROP"),AR48+TbTradesBinance[[#This Row],[Qtt]],AR48-TbTradesBinance[[#This Row],[Qtt]]),IF(TbTradesBinance[[#This Row],[Tipo]]="BUY",AR48-TbTradesBinance[[#This Row],[Qtt]]*TbTradesBinance[[#This Row],[Preço]],AR48+TbTradesBinance[[#This Row],[Qtt]]*TbTradesBinance[[#This Row],[Preço]])),AR48)-IF(TbTradesBinance[[#This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Row],[Tipo]]="DROP"),AR48+TbTradesBinance[[#This Row],[Qtt]],AR48-TbTradesBinance[[#This Row],[Qtt]]),IF(TbTradesBinance[[#This Row],[Tipo]]="BUY",AR48-TbTradesBinance[[#This Row],[Qtt]]*TbTradesBinance[[#This Row],[Preço]],AR48+TbTradesBinance[[#This Row],[Qtt]]*TbTradesBinance[[#This Row],[Preço]])),AR48)-IF(TbTradesBinance[[#This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Row],[Tipo]]="DROP"),AR48+TbTradesBinance[[#This Row],[Qtt]],AR48-TbTradesBinance[[#This Row],[Qtt]]),IF(TbTradesBinance[[#This Row],[Tipo]]="BUY",AR48-TbTradesBinance[[#This Row],[Qtt]]*TbTradesBinance[[#This Row],[Preço]],AR48+TbTradesBinance[[#This Row],[Qtt]]*TbTradesBinance[[#This Row],[Preço]])),AR48)-IF(TbTradesBinance[[#This Row],[Moeda da Taxa]]=MID(AR$1,9,5),TbTradesBinance[[#This Row],[Taxa]],0),8)))</f>
        <v>0</v>
      </c>
      <c r="AS49" s="145" cm="1">
        <f t="array" ref="AS49">IF(TbTradesBinance[[#This Row],[Tipo]]="EMPTY",0,AS48+IF(TbTradesBinance[[#This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Row],[Par]]))),$1:$1,0)),-(AR48-AR49)/AR48*AS48),0),0)+IF(TbTradesBinance[[#This Row],[Tipo]]="SELL",IF(ISNUMBER(FIND(MID(AS$1,10,5),TbTradesBinance[[#This Row],[Par]])),IF(FIND(MID(AS$1,10,5),TbTradesBinance[[#This Row],[Par]])=1, -(AR48-AR49)/AR48*AS48,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Row],[Par]])),(-(AR48-AR49)/AR48*AS48)+IF(TbTradesBinance[[#This Row],[Resultado]]&gt;0,0,TbTradesBinance[[#This Row],[Taxa]]),0),0))</f>
        <v>0</v>
      </c>
      <c r="AT49" s="145">
        <f t="shared" si="11"/>
        <v>0</v>
      </c>
      <c r="AU4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Row],[Tipo]]="DROP"),AU48+TbTradesBinance[[#This Row],[Qtt]],AU48-TbTradesBinance[[#This Row],[Qtt]]),IF(TbTradesBinance[[#This Row],[Tipo]]="BUY",AU48-TbTradesBinance[[#This Row],[Qtt]]*TbTradesBinance[[#This Row],[Preço]],AU48+TbTradesBinance[[#This Row],[Qtt]]*TbTradesBinance[[#This Row],[Preço]])),AU48)-IF(TbTradesBinance[[#This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Row],[Tipo]]="DROP"),AU48+TbTradesBinance[[#This Row],[Qtt]],AU48-TbTradesBinance[[#This Row],[Qtt]]),IF(TbTradesBinance[[#This Row],[Tipo]]="BUY",AU48-TbTradesBinance[[#This Row],[Qtt]]*TbTradesBinance[[#This Row],[Preço]],AU48+TbTradesBinance[[#This Row],[Qtt]]*TbTradesBinance[[#This Row],[Preço]])),AU48)-IF(TbTradesBinance[[#This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Row],[Tipo]]="DROP"),AU48+TbTradesBinance[[#This Row],[Qtt]],AU48-TbTradesBinance[[#This Row],[Qtt]]),IF(TbTradesBinance[[#This Row],[Tipo]]="BUY",AU48-TbTradesBinance[[#This Row],[Qtt]]*TbTradesBinance[[#This Row],[Preço]],AU48+TbTradesBinance[[#This Row],[Qtt]]*TbTradesBinance[[#This Row],[Preço]])),AU48)-IF(TbTradesBinance[[#This Row],[Moeda da Taxa]]=MID(AU$1,9,5),TbTradesBinance[[#This Row],[Taxa]],0),8)))</f>
        <v>9.9900000000000003E-2</v>
      </c>
      <c r="AV49" s="145" cm="1">
        <f t="array" ref="AV49">IF(TbTradesBinance[[#This Row],[Tipo]]="EMPTY",0,AV48+IF(TbTradesBinance[[#This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Row],[Par]]))),$1:$1,0)),-(AU48-AU49)/AU48*AV48),0),0)+IF(TbTradesBinance[[#This Row],[Tipo]]="SELL",IF(ISNUMBER(FIND(MID(AV$1,10,5),TbTradesBinance[[#This Row],[Par]])),IF(FIND(MID(AV$1,10,5),TbTradesBinance[[#This Row],[Par]])=1, -(AU48-AU49)/AU48*AV48,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Row],[Par]])),(-(AU48-AU49)/AU48*AV48)+IF(TbTradesBinance[[#This Row],[Resultado]]&gt;0,0,TbTradesBinance[[#This Row],[Taxa]]),0),0))</f>
        <v>18.673922987511034</v>
      </c>
      <c r="AW49" s="145">
        <f t="shared" si="12"/>
        <v>186.92615603114149</v>
      </c>
      <c r="AX4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Row],[Tipo]]="DROP"),AX48+TbTradesBinance[[#This Row],[Qtt]],AX48-TbTradesBinance[[#This Row],[Qtt]]),IF(TbTradesBinance[[#This Row],[Tipo]]="BUY",AX48-TbTradesBinance[[#This Row],[Qtt]]*TbTradesBinance[[#This Row],[Preço]],AX48+TbTradesBinance[[#This Row],[Qtt]]*TbTradesBinance[[#This Row],[Preço]])),AX48)-IF(TbTradesBinance[[#This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Row],[Tipo]]="DROP"),AX48+TbTradesBinance[[#This Row],[Qtt]],AX48-TbTradesBinance[[#This Row],[Qtt]]),IF(TbTradesBinance[[#This Row],[Tipo]]="BUY",AX48-TbTradesBinance[[#This Row],[Qtt]]*TbTradesBinance[[#This Row],[Preço]],AX48+TbTradesBinance[[#This Row],[Qtt]]*TbTradesBinance[[#This Row],[Preço]])),AX48)-IF(TbTradesBinance[[#This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Row],[Tipo]]="DROP"),AX48+TbTradesBinance[[#This Row],[Qtt]],AX48-TbTradesBinance[[#This Row],[Qtt]]),IF(TbTradesBinance[[#This Row],[Tipo]]="BUY",AX48-TbTradesBinance[[#This Row],[Qtt]]*TbTradesBinance[[#This Row],[Preço]],AX48+TbTradesBinance[[#This Row],[Qtt]]*TbTradesBinance[[#This Row],[Preço]])),AX48)-IF(TbTradesBinance[[#This Row],[Moeda da Taxa]]=MID(AX$1,9,5),TbTradesBinance[[#This Row],[Taxa]],0),8)))</f>
        <v>0</v>
      </c>
      <c r="AY49" s="145" cm="1">
        <f t="array" ref="AY49">IF(TbTradesBinance[[#This Row],[Tipo]]="EMPTY",0,AY48+IF(TbTradesBinance[[#This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Row],[Par]]))),$1:$1,0)),-(AX48-AX49)/AX48*AY48),0),0)+IF(TbTradesBinance[[#This Row],[Tipo]]="SELL",IF(ISNUMBER(FIND(MID(AY$1,10,5),TbTradesBinance[[#This Row],[Par]])),IF(FIND(MID(AY$1,10,5),TbTradesBinance[[#This Row],[Par]])=1, -(AX48-AX49)/AX48*AY48,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Row],[Par]])),(-(AX48-AX49)/AX48*AY48)+IF(TbTradesBinance[[#This Row],[Resultado]]&gt;0,0,TbTradesBinance[[#This Row],[Taxa]]),0),0))</f>
        <v>0</v>
      </c>
      <c r="AZ49" s="145">
        <f t="shared" si="13"/>
        <v>0</v>
      </c>
      <c r="BA4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Row],[Tipo]]="DROP"),BA48+TbTradesBinance[[#This Row],[Qtt]],BA48-TbTradesBinance[[#This Row],[Qtt]]),IF(TbTradesBinance[[#This Row],[Tipo]]="BUY",BA48-TbTradesBinance[[#This Row],[Qtt]]*TbTradesBinance[[#This Row],[Preço]],BA48+TbTradesBinance[[#This Row],[Qtt]]*TbTradesBinance[[#This Row],[Preço]])),BA48)-IF(TbTradesBinance[[#This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Row],[Tipo]]="DROP"),BA48+TbTradesBinance[[#This Row],[Qtt]],BA48-TbTradesBinance[[#This Row],[Qtt]]),IF(TbTradesBinance[[#This Row],[Tipo]]="BUY",BA48-TbTradesBinance[[#This Row],[Qtt]]*TbTradesBinance[[#This Row],[Preço]],BA48+TbTradesBinance[[#This Row],[Qtt]]*TbTradesBinance[[#This Row],[Preço]])),BA48)-IF(TbTradesBinance[[#This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Row],[Tipo]]="DROP"),BA48+TbTradesBinance[[#This Row],[Qtt]],BA48-TbTradesBinance[[#This Row],[Qtt]]),IF(TbTradesBinance[[#This Row],[Tipo]]="BUY",BA48-TbTradesBinance[[#This Row],[Qtt]]*TbTradesBinance[[#This Row],[Preço]],BA48+TbTradesBinance[[#This Row],[Qtt]]*TbTradesBinance[[#This Row],[Preço]])),BA48)-IF(TbTradesBinance[[#This Row],[Moeda da Taxa]]=MID(BA$1,9,5),TbTradesBinance[[#This Row],[Taxa]],0),8)))</f>
        <v>0</v>
      </c>
      <c r="BB49" s="145" cm="1">
        <f t="array" ref="BB49">IF(TbTradesBinance[[#This Row],[Tipo]]="EMPTY",0,BB48+IF(TbTradesBinance[[#This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Row],[Par]]))),$1:$1,0)),-(BA48-BA49)/BA48*BB48),0),0)+IF(TbTradesBinance[[#This Row],[Tipo]]="SELL",IF(ISNUMBER(FIND(MID(BB$1,10,5),TbTradesBinance[[#This Row],[Par]])),IF(FIND(MID(BB$1,10,5),TbTradesBinance[[#This Row],[Par]])=1, -(BA48-BA49)/BA48*BB48,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Row],[Par]])),(-(BA48-BA49)/BA48*BB48)+IF(TbTradesBinance[[#This Row],[Resultado]]&gt;0,0,TbTradesBinance[[#This Row],[Taxa]]),0),0))</f>
        <v>0</v>
      </c>
      <c r="BC49" s="145">
        <f t="shared" si="14"/>
        <v>0</v>
      </c>
      <c r="BD4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Row],[Tipo]]="DROP"),BD48+TbTradesBinance[[#This Row],[Qtt]],BD48-TbTradesBinance[[#This Row],[Qtt]]),IF(TbTradesBinance[[#This Row],[Tipo]]="BUY",BD48-TbTradesBinance[[#This Row],[Qtt]]*TbTradesBinance[[#This Row],[Preço]],BD48+TbTradesBinance[[#This Row],[Qtt]]*TbTradesBinance[[#This Row],[Preço]])),BD48)-IF(TbTradesBinance[[#This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Row],[Tipo]]="DROP"),BD48+TbTradesBinance[[#This Row],[Qtt]],BD48-TbTradesBinance[[#This Row],[Qtt]]),IF(TbTradesBinance[[#This Row],[Tipo]]="BUY",BD48-TbTradesBinance[[#This Row],[Qtt]]*TbTradesBinance[[#This Row],[Preço]],BD48+TbTradesBinance[[#This Row],[Qtt]]*TbTradesBinance[[#This Row],[Preço]])),BD48)-IF(TbTradesBinance[[#This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Row],[Tipo]]="DROP"),BD48+TbTradesBinance[[#This Row],[Qtt]],BD48-TbTradesBinance[[#This Row],[Qtt]]),IF(TbTradesBinance[[#This Row],[Tipo]]="BUY",BD48-TbTradesBinance[[#This Row],[Qtt]]*TbTradesBinance[[#This Row],[Preço]],BD48+TbTradesBinance[[#This Row],[Qtt]]*TbTradesBinance[[#This Row],[Preço]])),BD48)-IF(TbTradesBinance[[#This Row],[Moeda da Taxa]]=MID(BD$1,9,5),TbTradesBinance[[#This Row],[Taxa]],0),8)))</f>
        <v>0.37962000000000001</v>
      </c>
      <c r="BE49" s="145" cm="1">
        <f t="array" ref="BE49">IF(TbTradesBinance[[#This Row],[Tipo]]="EMPTY",0,BE48+IF(TbTradesBinance[[#This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Row],[Par]]))),$1:$1,0)),-(BD48-BD49)/BD48*BE48),0),0)+IF(TbTradesBinance[[#This Row],[Tipo]]="SELL",IF(ISNUMBER(FIND(MID(BE$1,10,5),TbTradesBinance[[#This Row],[Par]])),IF(FIND(MID(BE$1,10,5),TbTradesBinance[[#This Row],[Par]])=1, -(BD48-BD49)/BD48*BE48,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Row],[Par]])),(-(BD48-BD49)/BD48*BE48)+IF(TbTradesBinance[[#This Row],[Resultado]]&gt;0,0,TbTradesBinance[[#This Row],[Taxa]]),0),0))</f>
        <v>63.647297001537943</v>
      </c>
      <c r="BF49" s="145">
        <f t="shared" si="15"/>
        <v>167.66054739354601</v>
      </c>
      <c r="BG4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Row],[Tipo]]="DROP"),BG48+TbTradesBinance[[#This Row],[Qtt]],BG48-TbTradesBinance[[#This Row],[Qtt]]),IF(TbTradesBinance[[#This Row],[Tipo]]="BUY",BG48-TbTradesBinance[[#This Row],[Qtt]]*TbTradesBinance[[#This Row],[Preço]],BG48+TbTradesBinance[[#This Row],[Qtt]]*TbTradesBinance[[#This Row],[Preço]])),BG48)-IF(TbTradesBinance[[#This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Row],[Tipo]]="DROP"),BG48+TbTradesBinance[[#This Row],[Qtt]],BG48-TbTradesBinance[[#This Row],[Qtt]]),IF(TbTradesBinance[[#This Row],[Tipo]]="BUY",BG48-TbTradesBinance[[#This Row],[Qtt]]*TbTradesBinance[[#This Row],[Preço]],BG48+TbTradesBinance[[#This Row],[Qtt]]*TbTradesBinance[[#This Row],[Preço]])),BG48)-IF(TbTradesBinance[[#This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Row],[Tipo]]="DROP"),BG48+TbTradesBinance[[#This Row],[Qtt]],BG48-TbTradesBinance[[#This Row],[Qtt]]),IF(TbTradesBinance[[#This Row],[Tipo]]="BUY",BG48-TbTradesBinance[[#This Row],[Qtt]]*TbTradesBinance[[#This Row],[Preço]],BG48+TbTradesBinance[[#This Row],[Qtt]]*TbTradesBinance[[#This Row],[Preço]])),BG48)-IF(TbTradesBinance[[#This Row],[Moeda da Taxa]]=MID(BG$1,9,5),TbTradesBinance[[#This Row],[Taxa]],0),8)))</f>
        <v>0</v>
      </c>
      <c r="BH49" s="145" cm="1">
        <f t="array" ref="BH49">IF(TbTradesBinance[[#This Row],[Tipo]]="EMPTY",0,BH48+IF(TbTradesBinance[[#This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Row],[Par]]))),$1:$1,0)),-(BG48-BG49)/BG48*BH48),0),0)+IF(TbTradesBinance[[#This Row],[Tipo]]="SELL",IF(ISNUMBER(FIND(MID(BH$1,10,5),TbTradesBinance[[#This Row],[Par]])),IF(FIND(MID(BH$1,10,5),TbTradesBinance[[#This Row],[Par]])=1, -(BG48-BG49)/BG48*BH48,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Row],[Par]])),(-(BG48-BG49)/BG48*BH48)+IF(TbTradesBinance[[#This Row],[Resultado]]&gt;0,0,TbTradesBinance[[#This Row],[Taxa]]),0),0))</f>
        <v>0</v>
      </c>
      <c r="BI49" s="145">
        <f t="shared" si="16"/>
        <v>0</v>
      </c>
      <c r="BJ4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Row],[Tipo]]="DROP"),BJ48+TbTradesBinance[[#This Row],[Qtt]],BJ48-TbTradesBinance[[#This Row],[Qtt]]),IF(TbTradesBinance[[#This Row],[Tipo]]="BUY",BJ48-TbTradesBinance[[#This Row],[Qtt]]*TbTradesBinance[[#This Row],[Preço]],BJ48+TbTradesBinance[[#This Row],[Qtt]]*TbTradesBinance[[#This Row],[Preço]])),BJ48)-IF(TbTradesBinance[[#This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Row],[Tipo]]="DROP"),BJ48+TbTradesBinance[[#This Row],[Qtt]],BJ48-TbTradesBinance[[#This Row],[Qtt]]),IF(TbTradesBinance[[#This Row],[Tipo]]="BUY",BJ48-TbTradesBinance[[#This Row],[Qtt]]*TbTradesBinance[[#This Row],[Preço]],BJ48+TbTradesBinance[[#This Row],[Qtt]]*TbTradesBinance[[#This Row],[Preço]])),BJ48)-IF(TbTradesBinance[[#This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Row],[Tipo]]="DROP"),BJ48+TbTradesBinance[[#This Row],[Qtt]],BJ48-TbTradesBinance[[#This Row],[Qtt]]),IF(TbTradesBinance[[#This Row],[Tipo]]="BUY",BJ48-TbTradesBinance[[#This Row],[Qtt]]*TbTradesBinance[[#This Row],[Preço]],BJ48+TbTradesBinance[[#This Row],[Qtt]]*TbTradesBinance[[#This Row],[Preço]])),BJ48)-IF(TbTradesBinance[[#This Row],[Moeda da Taxa]]=MID(BJ$1,9,5),TbTradesBinance[[#This Row],[Taxa]],0),8)))</f>
        <v>0</v>
      </c>
      <c r="BK49" s="145" cm="1">
        <f t="array" ref="BK49">IF(TbTradesBinance[[#This Row],[Tipo]]="EMPTY",0,BK48+IF(TbTradesBinance[[#This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Row],[Par]]))),$1:$1,0)),-(BJ48-BJ49)/BJ48*BK48),0),0)+IF(TbTradesBinance[[#This Row],[Tipo]]="SELL",IF(ISNUMBER(FIND(MID(BK$1,10,5),TbTradesBinance[[#This Row],[Par]])),IF(FIND(MID(BK$1,10,5),TbTradesBinance[[#This Row],[Par]])=1, -(BJ48-BJ49)/BJ48*BK48,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Row],[Par]])),(-(BJ48-BJ49)/BJ48*BK48)+IF(TbTradesBinance[[#This Row],[Resultado]]&gt;0,0,TbTradesBinance[[#This Row],[Taxa]]),0),0))</f>
        <v>0</v>
      </c>
      <c r="BL49" s="145">
        <f t="shared" si="17"/>
        <v>0</v>
      </c>
      <c r="BM4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Row],[Tipo]]="DROP"),BM48+TbTradesBinance[[#This Row],[Qtt]],BM48-TbTradesBinance[[#This Row],[Qtt]]),IF(TbTradesBinance[[#This Row],[Tipo]]="BUY",BM48-TbTradesBinance[[#This Row],[Qtt]]*TbTradesBinance[[#This Row],[Preço]],BM48+TbTradesBinance[[#This Row],[Qtt]]*TbTradesBinance[[#This Row],[Preço]])),BM48)-IF(TbTradesBinance[[#This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Row],[Tipo]]="DROP"),BM48+TbTradesBinance[[#This Row],[Qtt]],BM48-TbTradesBinance[[#This Row],[Qtt]]),IF(TbTradesBinance[[#This Row],[Tipo]]="BUY",BM48-TbTradesBinance[[#This Row],[Qtt]]*TbTradesBinance[[#This Row],[Preço]],BM48+TbTradesBinance[[#This Row],[Qtt]]*TbTradesBinance[[#This Row],[Preço]])),BM48)-IF(TbTradesBinance[[#This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Row],[Tipo]]="DROP"),BM48+TbTradesBinance[[#This Row],[Qtt]],BM48-TbTradesBinance[[#This Row],[Qtt]]),IF(TbTradesBinance[[#This Row],[Tipo]]="BUY",BM48-TbTradesBinance[[#This Row],[Qtt]]*TbTradesBinance[[#This Row],[Preço]],BM48+TbTradesBinance[[#This Row],[Qtt]]*TbTradesBinance[[#This Row],[Preço]])),BM48)-IF(TbTradesBinance[[#This Row],[Moeda da Taxa]]=MID(BM$1,9,5),TbTradesBinance[[#This Row],[Taxa]],0),8)))</f>
        <v>0</v>
      </c>
      <c r="BN49" s="145" cm="1">
        <f t="array" ref="BN49">IF(TbTradesBinance[[#This Row],[Tipo]]="EMPTY",0,BN48+IF(TbTradesBinance[[#This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Row],[Par]]))),$1:$1,0)),-(BM48-BM49)/BM48*BN48),0),0)+IF(TbTradesBinance[[#This Row],[Tipo]]="SELL",IF(ISNUMBER(FIND(MID(BN$1,10,5),TbTradesBinance[[#This Row],[Par]])),IF(FIND(MID(BN$1,10,5),TbTradesBinance[[#This Row],[Par]])=1, -(BM48-BM49)/BM48*BN48,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Row],[Par]])),(-(BM48-BM49)/BM48*BN48)+IF(TbTradesBinance[[#This Row],[Resultado]]&gt;0,0,TbTradesBinance[[#This Row],[Taxa]]),0),0))</f>
        <v>0</v>
      </c>
      <c r="BO49" s="145">
        <f t="shared" si="18"/>
        <v>0</v>
      </c>
    </row>
    <row r="50" spans="2:67" x14ac:dyDescent="0.3">
      <c r="B50" s="144" t="s">
        <v>246</v>
      </c>
      <c r="C50" s="40">
        <f>TRUNC(IF(AND(TbTradesBinance[[#This Row],[Tipo]]="SEND",TbTradesBinance[[#This Row],[Par]]="BRL"),TbTradesBinance[[#This Row],[Qtt]]*(1-P48)-IF(TbTradesBinance[[#This Row],[Moeda da Taxa]]="BRL",TbTradesBinance[[#This Row],[Taxa]],0),0)+IF(AND(TbTradesBinance[[#This Row],[Tipo]]="BURN",TbTradesBinance[[#This Row],[Par]]="BRL"),-TbTradesBinance[[#This Row],[Qtt]]*P48,0),2)</f>
        <v>0</v>
      </c>
      <c r="D50" s="53">
        <v>44263.765277777777</v>
      </c>
      <c r="E50" s="37" t="s">
        <v>43</v>
      </c>
      <c r="F50" s="47" t="s">
        <v>142</v>
      </c>
      <c r="G50" s="38">
        <v>5.897848329415206</v>
      </c>
      <c r="H50" s="38">
        <v>14.984999999999999</v>
      </c>
      <c r="I50" s="38">
        <v>0</v>
      </c>
      <c r="J50" s="37" t="s">
        <v>43</v>
      </c>
      <c r="K50" s="52">
        <v>1</v>
      </c>
      <c r="L50" s="40">
        <f t="shared" si="0"/>
        <v>5.89</v>
      </c>
      <c r="M50" s="40">
        <f>IF(OR(TbTradesBinance[[#This Row],[Tipo]]="BUY",TbTradesBinance[[#This Row],[Tipo]]="RECEIVE",TbTradesBinance[[#This Row],[Tipo]]="DROP"),L50*H50,-L50*H50)</f>
        <v>-88.261649999999989</v>
      </c>
      <c r="N5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Row],[Tipo]]="DROP"),N49+TbTradesBinance[[#This Row],[Qtt]],N49-TbTradesBinance[[#This Row],[Qtt]]),IF(TbTradesBinance[[#This Row],[Tipo]]="BUY",N49-TbTradesBinance[[#This Row],[Qtt]]*TbTradesBinance[[#This Row],[Preço]],N49+TbTradesBinance[[#This Row],[Qtt]]*TbTradesBinance[[#This Row],[Preço]])),N49)-IF(TbTradesBinance[[#This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Row],[Tipo]]="DROP"),N49+TbTradesBinance[[#This Row],[Qtt]],N49-TbTradesBinance[[#This Row],[Qtt]]),IF(TbTradesBinance[[#This Row],[Tipo]]="BUY",N49-TbTradesBinance[[#This Row],[Qtt]]*TbTradesBinance[[#This Row],[Preço]],N49+TbTradesBinance[[#This Row],[Qtt]]*TbTradesBinance[[#This Row],[Preço]])),N49)-IF(TbTradesBinance[[#This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Row],[Tipo]]="DROP"),N49+TbTradesBinance[[#This Row],[Qtt]],N49-TbTradesBinance[[#This Row],[Qtt]]),IF(TbTradesBinance[[#This Row],[Tipo]]="BUY",N49-TbTradesBinance[[#This Row],[Qtt]]*TbTradesBinance[[#This Row],[Preço]],N49+TbTradesBinance[[#This Row],[Qtt]]*TbTradesBinance[[#This Row],[Preço]])),N49)-IF(TbTradesBinance[[#This Row],[Moeda da Taxa]]=MID(N$1,9,5),TbTradesBinance[[#This Row],[Taxa]],0),8)))</f>
        <v>119863.45423289</v>
      </c>
      <c r="O50" s="145" cm="1">
        <f t="array" ref="O50">IF(TbTradesBinance[[#This Row],[Tipo]]="EMPTY",0,O49+IF(TbTradesBinance[[#This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Row],[Par]]))),$1:$1,0)),-(N49-N50)/N49*O49),0),0)+IF(TbTradesBinance[[#This Row],[Tipo]]="SELL",IF(ISNUMBER(FIND(MID(O$1,10,5),TbTradesBinance[[#This Row],[Par]])),IF(FIND(MID(O$1,10,5),TbTradesBinance[[#This Row],[Par]])=1, -(N49-N50)/N49*O49,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Row],[Par]])),(-(N49-N50)/N49*O49)+IF(TbTradesBinance[[#This Row],[Resultado]]&gt;0,0,TbTradesBinance[[#This Row],[Taxa]]),0),0))</f>
        <v>119783.00097390189</v>
      </c>
      <c r="P50" s="145">
        <f t="shared" si="1"/>
        <v>0.99932879242048378</v>
      </c>
      <c r="Q5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Row],[Tipo]]="DROP"),Q49+TbTradesBinance[[#This Row],[Qtt]],Q49-TbTradesBinance[[#This Row],[Qtt]]),IF(TbTradesBinance[[#This Row],[Tipo]]="BUY",Q49-TbTradesBinance[[#This Row],[Qtt]]*TbTradesBinance[[#This Row],[Preço]],Q49+TbTradesBinance[[#This Row],[Qtt]]*TbTradesBinance[[#This Row],[Preço]])),Q49)-IF(TbTradesBinance[[#This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Row],[Tipo]]="DROP"),Q49+TbTradesBinance[[#This Row],[Qtt]],Q49-TbTradesBinance[[#This Row],[Qtt]]),IF(TbTradesBinance[[#This Row],[Tipo]]="BUY",Q49-TbTradesBinance[[#This Row],[Qtt]]*TbTradesBinance[[#This Row],[Preço]],Q49+TbTradesBinance[[#This Row],[Qtt]]*TbTradesBinance[[#This Row],[Preço]])),Q49)-IF(TbTradesBinance[[#This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Row],[Tipo]]="DROP"),Q49+TbTradesBinance[[#This Row],[Qtt]],Q49-TbTradesBinance[[#This Row],[Qtt]]),IF(TbTradesBinance[[#This Row],[Tipo]]="BUY",Q49-TbTradesBinance[[#This Row],[Qtt]]*TbTradesBinance[[#This Row],[Preço]],Q49+TbTradesBinance[[#This Row],[Qtt]]*TbTradesBinance[[#This Row],[Preço]])),Q49)-IF(TbTradesBinance[[#This Row],[Moeda da Taxa]]=MID(Q$1,9,5),TbTradesBinance[[#This Row],[Taxa]],0),8)))</f>
        <v>0</v>
      </c>
      <c r="R50" s="145" cm="1">
        <f t="array" ref="R50">IF(TbTradesBinance[[#This Row],[Tipo]]="EMPTY",0,R49+IF(TbTradesBinance[[#This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Row],[Par]]))),$1:$1,0)),-(Q49-Q50)/Q49*R49),0),0)+IF(TbTradesBinance[[#This Row],[Tipo]]="SELL",IF(ISNUMBER(FIND(MID(R$1,10,5),TbTradesBinance[[#This Row],[Par]])),IF(FIND(MID(R$1,10,5),TbTradesBinance[[#This Row],[Par]])=1, -(Q49-Q50)/Q49*R49,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Row],[Par]])),(-(Q49-Q50)/Q49*R49)+IF(TbTradesBinance[[#This Row],[Resultado]]&gt;0,0,TbTradesBinance[[#This Row],[Taxa]]),0),0))</f>
        <v>0</v>
      </c>
      <c r="S50" s="145">
        <f t="shared" si="2"/>
        <v>0</v>
      </c>
      <c r="T5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Row],[Tipo]]="DROP"),T49+TbTradesBinance[[#This Row],[Qtt]],T49-TbTradesBinance[[#This Row],[Qtt]]),IF(TbTradesBinance[[#This Row],[Tipo]]="BUY",T49-TbTradesBinance[[#This Row],[Qtt]]*TbTradesBinance[[#This Row],[Preço]],T49+TbTradesBinance[[#This Row],[Qtt]]*TbTradesBinance[[#This Row],[Preço]])),T49)-IF(TbTradesBinance[[#This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Row],[Tipo]]="DROP"),T49+TbTradesBinance[[#This Row],[Qtt]],T49-TbTradesBinance[[#This Row],[Qtt]]),IF(TbTradesBinance[[#This Row],[Tipo]]="BUY",T49-TbTradesBinance[[#This Row],[Qtt]]*TbTradesBinance[[#This Row],[Preço]],T49+TbTradesBinance[[#This Row],[Qtt]]*TbTradesBinance[[#This Row],[Preço]])),T49)-IF(TbTradesBinance[[#This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Row],[Tipo]]="DROP"),T49+TbTradesBinance[[#This Row],[Qtt]],T49-TbTradesBinance[[#This Row],[Qtt]]),IF(TbTradesBinance[[#This Row],[Tipo]]="BUY",T49-TbTradesBinance[[#This Row],[Qtt]]*TbTradesBinance[[#This Row],[Preço]],T49+TbTradesBinance[[#This Row],[Qtt]]*TbTradesBinance[[#This Row],[Preço]])),T49)-IF(TbTradesBinance[[#This Row],[Moeda da Taxa]]=MID(T$1,9,5),TbTradesBinance[[#This Row],[Taxa]],0),8)))</f>
        <v>199735.32000169999</v>
      </c>
      <c r="U50" s="145" cm="1">
        <f t="array" ref="U50">IF(TbTradesBinance[[#This Row],[Tipo]]="EMPTY",0,U49+IF(TbTradesBinance[[#This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Row],[Par]]))),$1:$1,0)),-(T49-T50)/T49*U49),0),0)+IF(TbTradesBinance[[#This Row],[Tipo]]="SELL",IF(ISNUMBER(FIND(MID(U$1,10,5),TbTradesBinance[[#This Row],[Par]])),IF(FIND(MID(U$1,10,5),TbTradesBinance[[#This Row],[Par]])=1, -(T49-T50)/T49*U49,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Row],[Par]])),(-(T49-T50)/T49*U49)+IF(TbTradesBinance[[#This Row],[Resultado]]&gt;0,0,TbTradesBinance[[#This Row],[Taxa]]),0),0))</f>
        <v>1328239.8809817513</v>
      </c>
      <c r="V50" s="145">
        <f t="shared" si="3"/>
        <v>6.6500000148719129</v>
      </c>
      <c r="W5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Row],[Tipo]]="DROP"),W49+TbTradesBinance[[#This Row],[Qtt]],W49-TbTradesBinance[[#This Row],[Qtt]]),IF(TbTradesBinance[[#This Row],[Tipo]]="BUY",W49-TbTradesBinance[[#This Row],[Qtt]]*TbTradesBinance[[#This Row],[Preço]],W49+TbTradesBinance[[#This Row],[Qtt]]*TbTradesBinance[[#This Row],[Preço]])),W49)-IF(TbTradesBinance[[#This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Row],[Tipo]]="DROP"),W49+TbTradesBinance[[#This Row],[Qtt]],W49-TbTradesBinance[[#This Row],[Qtt]]),IF(TbTradesBinance[[#This Row],[Tipo]]="BUY",W49-TbTradesBinance[[#This Row],[Qtt]]*TbTradesBinance[[#This Row],[Preço]],W49+TbTradesBinance[[#This Row],[Qtt]]*TbTradesBinance[[#This Row],[Preço]])),W49)-IF(TbTradesBinance[[#This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Row],[Tipo]]="DROP"),W49+TbTradesBinance[[#This Row],[Qtt]],W49-TbTradesBinance[[#This Row],[Qtt]]),IF(TbTradesBinance[[#This Row],[Tipo]]="BUY",W49-TbTradesBinance[[#This Row],[Qtt]]*TbTradesBinance[[#This Row],[Preço]],W49+TbTradesBinance[[#This Row],[Qtt]]*TbTradesBinance[[#This Row],[Preço]])),W49)-IF(TbTradesBinance[[#This Row],[Moeda da Taxa]]=MID(W$1,9,5),TbTradesBinance[[#This Row],[Taxa]],0),8)))</f>
        <v>1.08164E-3</v>
      </c>
      <c r="X50" s="145" cm="1">
        <f t="array" ref="X50">IF(TbTradesBinance[[#This Row],[Tipo]]="EMPTY",0,X49+IF(TbTradesBinance[[#This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Row],[Par]]))),$1:$1,0)),-(W49-W50)/W49*X49),0),0)+IF(TbTradesBinance[[#This Row],[Tipo]]="SELL",IF(ISNUMBER(FIND(MID(X$1,10,5),TbTradesBinance[[#This Row],[Par]])),IF(FIND(MID(X$1,10,5),TbTradesBinance[[#This Row],[Par]])=1, -(W49-W50)/W49*X49,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Row],[Par]])),(-(W49-W50)/W49*X49)+IF(TbTradesBinance[[#This Row],[Resultado]]&gt;0,0,TbTradesBinance[[#This Row],[Taxa]]),0),0))</f>
        <v>300.72983619131384</v>
      </c>
      <c r="Y50" s="145">
        <f t="shared" si="4"/>
        <v>278031.35626577586</v>
      </c>
      <c r="Z5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Row],[Tipo]]="DROP"),Z49+TbTradesBinance[[#This Row],[Qtt]],Z49-TbTradesBinance[[#This Row],[Qtt]]),IF(TbTradesBinance[[#This Row],[Tipo]]="BUY",Z49-TbTradesBinance[[#This Row],[Qtt]]*TbTradesBinance[[#This Row],[Preço]],Z49+TbTradesBinance[[#This Row],[Qtt]]*TbTradesBinance[[#This Row],[Preço]])),Z49)-IF(TbTradesBinance[[#This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Row],[Tipo]]="DROP"),Z49+TbTradesBinance[[#This Row],[Qtt]],Z49-TbTradesBinance[[#This Row],[Qtt]]),IF(TbTradesBinance[[#This Row],[Tipo]]="BUY",Z49-TbTradesBinance[[#This Row],[Qtt]]*TbTradesBinance[[#This Row],[Preço]],Z49+TbTradesBinance[[#This Row],[Qtt]]*TbTradesBinance[[#This Row],[Preço]])),Z49)-IF(TbTradesBinance[[#This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Row],[Tipo]]="DROP"),Z49+TbTradesBinance[[#This Row],[Qtt]],Z49-TbTradesBinance[[#This Row],[Qtt]]),IF(TbTradesBinance[[#This Row],[Tipo]]="BUY",Z49-TbTradesBinance[[#This Row],[Qtt]]*TbTradesBinance[[#This Row],[Preço]],Z49+TbTradesBinance[[#This Row],[Qtt]]*TbTradesBinance[[#This Row],[Preço]])),Z49)-IF(TbTradesBinance[[#This Row],[Moeda da Taxa]]=MID(Z$1,9,5),TbTradesBinance[[#This Row],[Taxa]],0),8)))</f>
        <v>0</v>
      </c>
      <c r="AA50" s="145" cm="1">
        <f t="array" ref="AA50">IF(TbTradesBinance[[#This Row],[Tipo]]="EMPTY",0,AA49+IF(TbTradesBinance[[#This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Row],[Par]]))),$1:$1,0)),-(Z49-Z50)/Z49*AA49),0),0)+IF(TbTradesBinance[[#This Row],[Tipo]]="SELL",IF(ISNUMBER(FIND(MID(AA$1,10,5),TbTradesBinance[[#This Row],[Par]])),IF(FIND(MID(AA$1,10,5),TbTradesBinance[[#This Row],[Par]])=1, -(Z49-Z50)/Z49*AA49,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Row],[Par]])),(-(Z49-Z50)/Z49*AA49)+IF(TbTradesBinance[[#This Row],[Resultado]]&gt;0,0,TbTradesBinance[[#This Row],[Taxa]]),0),0))</f>
        <v>0</v>
      </c>
      <c r="AB50" s="145">
        <f t="shared" si="5"/>
        <v>0</v>
      </c>
      <c r="AC5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Row],[Tipo]]="DROP"),AC49+TbTradesBinance[[#This Row],[Qtt]],AC49-TbTradesBinance[[#This Row],[Qtt]]),IF(TbTradesBinance[[#This Row],[Tipo]]="BUY",AC49-TbTradesBinance[[#This Row],[Qtt]]*TbTradesBinance[[#This Row],[Preço]],AC49+TbTradesBinance[[#This Row],[Qtt]]*TbTradesBinance[[#This Row],[Preço]])),AC49)-IF(TbTradesBinance[[#This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Row],[Tipo]]="DROP"),AC49+TbTradesBinance[[#This Row],[Qtt]],AC49-TbTradesBinance[[#This Row],[Qtt]]),IF(TbTradesBinance[[#This Row],[Tipo]]="BUY",AC49-TbTradesBinance[[#This Row],[Qtt]]*TbTradesBinance[[#This Row],[Preço]],AC49+TbTradesBinance[[#This Row],[Qtt]]*TbTradesBinance[[#This Row],[Preço]])),AC49)-IF(TbTradesBinance[[#This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Row],[Tipo]]="DROP"),AC49+TbTradesBinance[[#This Row],[Qtt]],AC49-TbTradesBinance[[#This Row],[Qtt]]),IF(TbTradesBinance[[#This Row],[Tipo]]="BUY",AC49-TbTradesBinance[[#This Row],[Qtt]]*TbTradesBinance[[#This Row],[Preço]],AC49+TbTradesBinance[[#This Row],[Qtt]]*TbTradesBinance[[#This Row],[Preço]])),AC49)-IF(TbTradesBinance[[#This Row],[Moeda da Taxa]]=MID(AC$1,9,5),TbTradesBinance[[#This Row],[Taxa]],0),8)))</f>
        <v>0</v>
      </c>
      <c r="AD50" s="145" cm="1">
        <f t="array" ref="AD50">IF(TbTradesBinance[[#This Row],[Tipo]]="EMPTY",0,AD49+IF(TbTradesBinance[[#This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Row],[Par]]))),$1:$1,0)),-(AC49-AC50)/AC49*AD49),0),0)+IF(TbTradesBinance[[#This Row],[Tipo]]="SELL",IF(ISNUMBER(FIND(MID(AD$1,10,5),TbTradesBinance[[#This Row],[Par]])),IF(FIND(MID(AD$1,10,5),TbTradesBinance[[#This Row],[Par]])=1, -(AC49-AC50)/AC49*AD49,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Row],[Par]])),(-(AC49-AC50)/AC49*AD49)+IF(TbTradesBinance[[#This Row],[Resultado]]&gt;0,0,TbTradesBinance[[#This Row],[Taxa]]),0),0))</f>
        <v>0</v>
      </c>
      <c r="AE50" s="145">
        <f t="shared" si="6"/>
        <v>0</v>
      </c>
      <c r="AF5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Row],[Tipo]]="DROP"),AF49+TbTradesBinance[[#This Row],[Qtt]],AF49-TbTradesBinance[[#This Row],[Qtt]]),IF(TbTradesBinance[[#This Row],[Tipo]]="BUY",AF49-TbTradesBinance[[#This Row],[Qtt]]*TbTradesBinance[[#This Row],[Preço]],AF49+TbTradesBinance[[#This Row],[Qtt]]*TbTradesBinance[[#This Row],[Preço]])),AF49)-IF(TbTradesBinance[[#This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Row],[Tipo]]="DROP"),AF49+TbTradesBinance[[#This Row],[Qtt]],AF49-TbTradesBinance[[#This Row],[Qtt]]),IF(TbTradesBinance[[#This Row],[Tipo]]="BUY",AF49-TbTradesBinance[[#This Row],[Qtt]]*TbTradesBinance[[#This Row],[Preço]],AF49+TbTradesBinance[[#This Row],[Qtt]]*TbTradesBinance[[#This Row],[Preço]])),AF49)-IF(TbTradesBinance[[#This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Row],[Tipo]]="DROP"),AF49+TbTradesBinance[[#This Row],[Qtt]],AF49-TbTradesBinance[[#This Row],[Qtt]]),IF(TbTradesBinance[[#This Row],[Tipo]]="BUY",AF49-TbTradesBinance[[#This Row],[Qtt]]*TbTradesBinance[[#This Row],[Preço]],AF49+TbTradesBinance[[#This Row],[Qtt]]*TbTradesBinance[[#This Row],[Preço]])),AF49)-IF(TbTradesBinance[[#This Row],[Moeda da Taxa]]=MID(AF$1,9,5),TbTradesBinance[[#This Row],[Taxa]],0),8)))</f>
        <v>0</v>
      </c>
      <c r="AG50" s="145" cm="1">
        <f t="array" ref="AG50">IF(TbTradesBinance[[#This Row],[Tipo]]="EMPTY",0,AG49+IF(TbTradesBinance[[#This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Row],[Par]]))),$1:$1,0)),-(AF49-AF50)/AF49*AG49),0),0)+IF(TbTradesBinance[[#This Row],[Tipo]]="SELL",IF(ISNUMBER(FIND(MID(AG$1,10,5),TbTradesBinance[[#This Row],[Par]])),IF(FIND(MID(AG$1,10,5),TbTradesBinance[[#This Row],[Par]])=1, -(AF49-AF50)/AF49*AG49,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Row],[Par]])),(-(AF49-AF50)/AF49*AG49)+IF(TbTradesBinance[[#This Row],[Resultado]]&gt;0,0,TbTradesBinance[[#This Row],[Taxa]]),0),0))</f>
        <v>0</v>
      </c>
      <c r="AH50" s="145">
        <f t="shared" si="7"/>
        <v>0</v>
      </c>
      <c r="AI5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Row],[Tipo]]="DROP"),AI49+TbTradesBinance[[#This Row],[Qtt]],AI49-TbTradesBinance[[#This Row],[Qtt]]),IF(TbTradesBinance[[#This Row],[Tipo]]="BUY",AI49-TbTradesBinance[[#This Row],[Qtt]]*TbTradesBinance[[#This Row],[Preço]],AI49+TbTradesBinance[[#This Row],[Qtt]]*TbTradesBinance[[#This Row],[Preço]])),AI49)-IF(TbTradesBinance[[#This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Row],[Tipo]]="DROP"),AI49+TbTradesBinance[[#This Row],[Qtt]],AI49-TbTradesBinance[[#This Row],[Qtt]]),IF(TbTradesBinance[[#This Row],[Tipo]]="BUY",AI49-TbTradesBinance[[#This Row],[Qtt]]*TbTradesBinance[[#This Row],[Preço]],AI49+TbTradesBinance[[#This Row],[Qtt]]*TbTradesBinance[[#This Row],[Preço]])),AI49)-IF(TbTradesBinance[[#This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Row],[Tipo]]="DROP"),AI49+TbTradesBinance[[#This Row],[Qtt]],AI49-TbTradesBinance[[#This Row],[Qtt]]),IF(TbTradesBinance[[#This Row],[Tipo]]="BUY",AI49-TbTradesBinance[[#This Row],[Qtt]]*TbTradesBinance[[#This Row],[Preço]],AI49+TbTradesBinance[[#This Row],[Qtt]]*TbTradesBinance[[#This Row],[Preço]])),AI49)-IF(TbTradesBinance[[#This Row],[Moeda da Taxa]]=MID(AI$1,9,5),TbTradesBinance[[#This Row],[Taxa]],0),8)))</f>
        <v>0.3</v>
      </c>
      <c r="AJ50" s="145" cm="1">
        <f t="array" ref="AJ50">IF(TbTradesBinance[[#This Row],[Tipo]]="EMPTY",0,AJ49+IF(TbTradesBinance[[#This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Row],[Par]]))),$1:$1,0)),-(AI49-AI50)/AI49*AJ49),0),0)+IF(TbTradesBinance[[#This Row],[Tipo]]="SELL",IF(ISNUMBER(FIND(MID(AJ$1,10,5),TbTradesBinance[[#This Row],[Par]])),IF(FIND(MID(AJ$1,10,5),TbTradesBinance[[#This Row],[Par]])=1, -(AI49-AI50)/AI49*AJ49,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Row],[Par]])),(-(AI49-AI50)/AI49*AJ49)+IF(TbTradesBinance[[#This Row],[Resultado]]&gt;0,0,TbTradesBinance[[#This Row],[Taxa]]),0),0))</f>
        <v>30.494479155230305</v>
      </c>
      <c r="AK50" s="145">
        <f t="shared" si="8"/>
        <v>101.64826385076769</v>
      </c>
      <c r="AL5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Row],[Tipo]]="DROP"),AL49+TbTradesBinance[[#This Row],[Qtt]],AL49-TbTradesBinance[[#This Row],[Qtt]]),IF(TbTradesBinance[[#This Row],[Tipo]]="BUY",AL49-TbTradesBinance[[#This Row],[Qtt]]*TbTradesBinance[[#This Row],[Preço]],AL49+TbTradesBinance[[#This Row],[Qtt]]*TbTradesBinance[[#This Row],[Preço]])),AL49)-IF(TbTradesBinance[[#This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Row],[Tipo]]="DROP"),AL49+TbTradesBinance[[#This Row],[Qtt]],AL49-TbTradesBinance[[#This Row],[Qtt]]),IF(TbTradesBinance[[#This Row],[Tipo]]="BUY",AL49-TbTradesBinance[[#This Row],[Qtt]]*TbTradesBinance[[#This Row],[Preço]],AL49+TbTradesBinance[[#This Row],[Qtt]]*TbTradesBinance[[#This Row],[Preço]])),AL49)-IF(TbTradesBinance[[#This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Row],[Tipo]]="DROP"),AL49+TbTradesBinance[[#This Row],[Qtt]],AL49-TbTradesBinance[[#This Row],[Qtt]]),IF(TbTradesBinance[[#This Row],[Tipo]]="BUY",AL49-TbTradesBinance[[#This Row],[Qtt]]*TbTradesBinance[[#This Row],[Preço]],AL49+TbTradesBinance[[#This Row],[Qtt]]*TbTradesBinance[[#This Row],[Preço]])),AL49)-IF(TbTradesBinance[[#This Row],[Moeda da Taxa]]=MID(AL$1,9,5),TbTradesBinance[[#This Row],[Taxa]],0),8)))</f>
        <v>0</v>
      </c>
      <c r="AM50" s="145" cm="1">
        <f t="array" ref="AM50">IF(TbTradesBinance[[#This Row],[Tipo]]="EMPTY",0,AM49+IF(TbTradesBinance[[#This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Row],[Par]]))),$1:$1,0)),-(AL49-AL50)/AL49*AM49),0),0)+IF(TbTradesBinance[[#This Row],[Tipo]]="SELL",IF(ISNUMBER(FIND(MID(AM$1,10,5),TbTradesBinance[[#This Row],[Par]])),IF(FIND(MID(AM$1,10,5),TbTradesBinance[[#This Row],[Par]])=1, -(AL49-AL50)/AL49*AM49,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Row],[Par]])),(-(AL49-AL50)/AL49*AM49)+IF(TbTradesBinance[[#This Row],[Resultado]]&gt;0,0,TbTradesBinance[[#This Row],[Taxa]]),0),0))</f>
        <v>0</v>
      </c>
      <c r="AN50" s="145">
        <f t="shared" si="9"/>
        <v>0</v>
      </c>
      <c r="AO5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Row],[Tipo]]="DROP"),AO49+TbTradesBinance[[#This Row],[Qtt]],AO49-TbTradesBinance[[#This Row],[Qtt]]),IF(TbTradesBinance[[#This Row],[Tipo]]="BUY",AO49-TbTradesBinance[[#This Row],[Qtt]]*TbTradesBinance[[#This Row],[Preço]],AO49+TbTradesBinance[[#This Row],[Qtt]]*TbTradesBinance[[#This Row],[Preço]])),AO49)-IF(TbTradesBinance[[#This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Row],[Tipo]]="DROP"),AO49+TbTradesBinance[[#This Row],[Qtt]],AO49-TbTradesBinance[[#This Row],[Qtt]]),IF(TbTradesBinance[[#This Row],[Tipo]]="BUY",AO49-TbTradesBinance[[#This Row],[Qtt]]*TbTradesBinance[[#This Row],[Preço]],AO49+TbTradesBinance[[#This Row],[Qtt]]*TbTradesBinance[[#This Row],[Preço]])),AO49)-IF(TbTradesBinance[[#This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Row],[Tipo]]="DROP"),AO49+TbTradesBinance[[#This Row],[Qtt]],AO49-TbTradesBinance[[#This Row],[Qtt]]),IF(TbTradesBinance[[#This Row],[Tipo]]="BUY",AO49-TbTradesBinance[[#This Row],[Qtt]]*TbTradesBinance[[#This Row],[Preço]],AO49+TbTradesBinance[[#This Row],[Qtt]]*TbTradesBinance[[#This Row],[Preço]])),AO49)-IF(TbTradesBinance[[#This Row],[Moeda da Taxa]]=MID(AO$1,9,5),TbTradesBinance[[#This Row],[Taxa]],0),8)))</f>
        <v>1.2747399999999999E-3</v>
      </c>
      <c r="AP50" s="145" cm="1">
        <f t="array" ref="AP50">IF(TbTradesBinance[[#This Row],[Tipo]]="EMPTY",0,AP49+IF(TbTradesBinance[[#This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Row],[Par]]))),$1:$1,0)),-(AO49-AO50)/AO49*AP49),0),0)+IF(TbTradesBinance[[#This Row],[Tipo]]="SELL",IF(ISNUMBER(FIND(MID(AP$1,10,5),TbTradesBinance[[#This Row],[Par]])),IF(FIND(MID(AP$1,10,5),TbTradesBinance[[#This Row],[Par]])=1, -(AO49-AO50)/AO49*AP49,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Row],[Par]])),(-(AO49-AO50)/AO49*AP49)+IF(TbTradesBinance[[#This Row],[Resultado]]&gt;0,0,TbTradesBinance[[#This Row],[Taxa]]),0),0))</f>
        <v>1.7416212429180353</v>
      </c>
      <c r="AQ50" s="145">
        <f t="shared" si="10"/>
        <v>1366.2560545036913</v>
      </c>
      <c r="AR5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Row],[Tipo]]="DROP"),AR49+TbTradesBinance[[#This Row],[Qtt]],AR49-TbTradesBinance[[#This Row],[Qtt]]),IF(TbTradesBinance[[#This Row],[Tipo]]="BUY",AR49-TbTradesBinance[[#This Row],[Qtt]]*TbTradesBinance[[#This Row],[Preço]],AR49+TbTradesBinance[[#This Row],[Qtt]]*TbTradesBinance[[#This Row],[Preço]])),AR49)-IF(TbTradesBinance[[#This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Row],[Tipo]]="DROP"),AR49+TbTradesBinance[[#This Row],[Qtt]],AR49-TbTradesBinance[[#This Row],[Qtt]]),IF(TbTradesBinance[[#This Row],[Tipo]]="BUY",AR49-TbTradesBinance[[#This Row],[Qtt]]*TbTradesBinance[[#This Row],[Preço]],AR49+TbTradesBinance[[#This Row],[Qtt]]*TbTradesBinance[[#This Row],[Preço]])),AR49)-IF(TbTradesBinance[[#This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Row],[Tipo]]="DROP"),AR49+TbTradesBinance[[#This Row],[Qtt]],AR49-TbTradesBinance[[#This Row],[Qtt]]),IF(TbTradesBinance[[#This Row],[Tipo]]="BUY",AR49-TbTradesBinance[[#This Row],[Qtt]]*TbTradesBinance[[#This Row],[Preço]],AR49+TbTradesBinance[[#This Row],[Qtt]]*TbTradesBinance[[#This Row],[Preço]])),AR49)-IF(TbTradesBinance[[#This Row],[Moeda da Taxa]]=MID(AR$1,9,5),TbTradesBinance[[#This Row],[Taxa]],0),8)))</f>
        <v>0</v>
      </c>
      <c r="AS50" s="145" cm="1">
        <f t="array" ref="AS50">IF(TbTradesBinance[[#This Row],[Tipo]]="EMPTY",0,AS49+IF(TbTradesBinance[[#This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Row],[Par]]))),$1:$1,0)),-(AR49-AR50)/AR49*AS49),0),0)+IF(TbTradesBinance[[#This Row],[Tipo]]="SELL",IF(ISNUMBER(FIND(MID(AS$1,10,5),TbTradesBinance[[#This Row],[Par]])),IF(FIND(MID(AS$1,10,5),TbTradesBinance[[#This Row],[Par]])=1, -(AR49-AR50)/AR49*AS49,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Row],[Par]])),(-(AR49-AR50)/AR49*AS49)+IF(TbTradesBinance[[#This Row],[Resultado]]&gt;0,0,TbTradesBinance[[#This Row],[Taxa]]),0),0))</f>
        <v>0</v>
      </c>
      <c r="AT50" s="145">
        <f t="shared" si="11"/>
        <v>0</v>
      </c>
      <c r="AU5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Row],[Tipo]]="DROP"),AU49+TbTradesBinance[[#This Row],[Qtt]],AU49-TbTradesBinance[[#This Row],[Qtt]]),IF(TbTradesBinance[[#This Row],[Tipo]]="BUY",AU49-TbTradesBinance[[#This Row],[Qtt]]*TbTradesBinance[[#This Row],[Preço]],AU49+TbTradesBinance[[#This Row],[Qtt]]*TbTradesBinance[[#This Row],[Preço]])),AU49)-IF(TbTradesBinance[[#This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Row],[Tipo]]="DROP"),AU49+TbTradesBinance[[#This Row],[Qtt]],AU49-TbTradesBinance[[#This Row],[Qtt]]),IF(TbTradesBinance[[#This Row],[Tipo]]="BUY",AU49-TbTradesBinance[[#This Row],[Qtt]]*TbTradesBinance[[#This Row],[Preço]],AU49+TbTradesBinance[[#This Row],[Qtt]]*TbTradesBinance[[#This Row],[Preço]])),AU49)-IF(TbTradesBinance[[#This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Row],[Tipo]]="DROP"),AU49+TbTradesBinance[[#This Row],[Qtt]],AU49-TbTradesBinance[[#This Row],[Qtt]]),IF(TbTradesBinance[[#This Row],[Tipo]]="BUY",AU49-TbTradesBinance[[#This Row],[Qtt]]*TbTradesBinance[[#This Row],[Preço]],AU49+TbTradesBinance[[#This Row],[Qtt]]*TbTradesBinance[[#This Row],[Preço]])),AU49)-IF(TbTradesBinance[[#This Row],[Moeda da Taxa]]=MID(AU$1,9,5),TbTradesBinance[[#This Row],[Taxa]],0),8)))</f>
        <v>9.9900000000000003E-2</v>
      </c>
      <c r="AV50" s="145" cm="1">
        <f t="array" ref="AV50">IF(TbTradesBinance[[#This Row],[Tipo]]="EMPTY",0,AV49+IF(TbTradesBinance[[#This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Row],[Par]]))),$1:$1,0)),-(AU49-AU50)/AU49*AV49),0),0)+IF(TbTradesBinance[[#This Row],[Tipo]]="SELL",IF(ISNUMBER(FIND(MID(AV$1,10,5),TbTradesBinance[[#This Row],[Par]])),IF(FIND(MID(AV$1,10,5),TbTradesBinance[[#This Row],[Par]])=1, -(AU49-AU50)/AU49*AV49,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Row],[Par]])),(-(AU49-AU50)/AU49*AV49)+IF(TbTradesBinance[[#This Row],[Resultado]]&gt;0,0,TbTradesBinance[[#This Row],[Taxa]]),0),0))</f>
        <v>18.673922987511034</v>
      </c>
      <c r="AW50" s="145">
        <f t="shared" si="12"/>
        <v>186.92615603114149</v>
      </c>
      <c r="AX5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Row],[Tipo]]="DROP"),AX49+TbTradesBinance[[#This Row],[Qtt]],AX49-TbTradesBinance[[#This Row],[Qtt]]),IF(TbTradesBinance[[#This Row],[Tipo]]="BUY",AX49-TbTradesBinance[[#This Row],[Qtt]]*TbTradesBinance[[#This Row],[Preço]],AX49+TbTradesBinance[[#This Row],[Qtt]]*TbTradesBinance[[#This Row],[Preço]])),AX49)-IF(TbTradesBinance[[#This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Row],[Tipo]]="DROP"),AX49+TbTradesBinance[[#This Row],[Qtt]],AX49-TbTradesBinance[[#This Row],[Qtt]]),IF(TbTradesBinance[[#This Row],[Tipo]]="BUY",AX49-TbTradesBinance[[#This Row],[Qtt]]*TbTradesBinance[[#This Row],[Preço]],AX49+TbTradesBinance[[#This Row],[Qtt]]*TbTradesBinance[[#This Row],[Preço]])),AX49)-IF(TbTradesBinance[[#This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Row],[Tipo]]="DROP"),AX49+TbTradesBinance[[#This Row],[Qtt]],AX49-TbTradesBinance[[#This Row],[Qtt]]),IF(TbTradesBinance[[#This Row],[Tipo]]="BUY",AX49-TbTradesBinance[[#This Row],[Qtt]]*TbTradesBinance[[#This Row],[Preço]],AX49+TbTradesBinance[[#This Row],[Qtt]]*TbTradesBinance[[#This Row],[Preço]])),AX49)-IF(TbTradesBinance[[#This Row],[Moeda da Taxa]]=MID(AX$1,9,5),TbTradesBinance[[#This Row],[Taxa]],0),8)))</f>
        <v>0</v>
      </c>
      <c r="AY50" s="145" cm="1">
        <f t="array" ref="AY50">IF(TbTradesBinance[[#This Row],[Tipo]]="EMPTY",0,AY49+IF(TbTradesBinance[[#This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Row],[Par]]))),$1:$1,0)),-(AX49-AX50)/AX49*AY49),0),0)+IF(TbTradesBinance[[#This Row],[Tipo]]="SELL",IF(ISNUMBER(FIND(MID(AY$1,10,5),TbTradesBinance[[#This Row],[Par]])),IF(FIND(MID(AY$1,10,5),TbTradesBinance[[#This Row],[Par]])=1, -(AX49-AX50)/AX49*AY49,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Row],[Par]])),(-(AX49-AX50)/AX49*AY49)+IF(TbTradesBinance[[#This Row],[Resultado]]&gt;0,0,TbTradesBinance[[#This Row],[Taxa]]),0),0))</f>
        <v>0</v>
      </c>
      <c r="AZ50" s="145">
        <f t="shared" si="13"/>
        <v>0</v>
      </c>
      <c r="BA5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Row],[Tipo]]="DROP"),BA49+TbTradesBinance[[#This Row],[Qtt]],BA49-TbTradesBinance[[#This Row],[Qtt]]),IF(TbTradesBinance[[#This Row],[Tipo]]="BUY",BA49-TbTradesBinance[[#This Row],[Qtt]]*TbTradesBinance[[#This Row],[Preço]],BA49+TbTradesBinance[[#This Row],[Qtt]]*TbTradesBinance[[#This Row],[Preço]])),BA49)-IF(TbTradesBinance[[#This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Row],[Tipo]]="DROP"),BA49+TbTradesBinance[[#This Row],[Qtt]],BA49-TbTradesBinance[[#This Row],[Qtt]]),IF(TbTradesBinance[[#This Row],[Tipo]]="BUY",BA49-TbTradesBinance[[#This Row],[Qtt]]*TbTradesBinance[[#This Row],[Preço]],BA49+TbTradesBinance[[#This Row],[Qtt]]*TbTradesBinance[[#This Row],[Preço]])),BA49)-IF(TbTradesBinance[[#This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Row],[Tipo]]="DROP"),BA49+TbTradesBinance[[#This Row],[Qtt]],BA49-TbTradesBinance[[#This Row],[Qtt]]),IF(TbTradesBinance[[#This Row],[Tipo]]="BUY",BA49-TbTradesBinance[[#This Row],[Qtt]]*TbTradesBinance[[#This Row],[Preço]],BA49+TbTradesBinance[[#This Row],[Qtt]]*TbTradesBinance[[#This Row],[Preço]])),BA49)-IF(TbTradesBinance[[#This Row],[Moeda da Taxa]]=MID(BA$1,9,5),TbTradesBinance[[#This Row],[Taxa]],0),8)))</f>
        <v>0</v>
      </c>
      <c r="BB50" s="145" cm="1">
        <f t="array" ref="BB50">IF(TbTradesBinance[[#This Row],[Tipo]]="EMPTY",0,BB49+IF(TbTradesBinance[[#This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Row],[Par]]))),$1:$1,0)),-(BA49-BA50)/BA49*BB49),0),0)+IF(TbTradesBinance[[#This Row],[Tipo]]="SELL",IF(ISNUMBER(FIND(MID(BB$1,10,5),TbTradesBinance[[#This Row],[Par]])),IF(FIND(MID(BB$1,10,5),TbTradesBinance[[#This Row],[Par]])=1, -(BA49-BA50)/BA49*BB49,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Row],[Par]])),(-(BA49-BA50)/BA49*BB49)+IF(TbTradesBinance[[#This Row],[Resultado]]&gt;0,0,TbTradesBinance[[#This Row],[Taxa]]),0),0))</f>
        <v>0</v>
      </c>
      <c r="BC50" s="145">
        <f t="shared" si="14"/>
        <v>0</v>
      </c>
      <c r="BD5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Row],[Tipo]]="DROP"),BD49+TbTradesBinance[[#This Row],[Qtt]],BD49-TbTradesBinance[[#This Row],[Qtt]]),IF(TbTradesBinance[[#This Row],[Tipo]]="BUY",BD49-TbTradesBinance[[#This Row],[Qtt]]*TbTradesBinance[[#This Row],[Preço]],BD49+TbTradesBinance[[#This Row],[Qtt]]*TbTradesBinance[[#This Row],[Preço]])),BD49)-IF(TbTradesBinance[[#This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Row],[Tipo]]="DROP"),BD49+TbTradesBinance[[#This Row],[Qtt]],BD49-TbTradesBinance[[#This Row],[Qtt]]),IF(TbTradesBinance[[#This Row],[Tipo]]="BUY",BD49-TbTradesBinance[[#This Row],[Qtt]]*TbTradesBinance[[#This Row],[Preço]],BD49+TbTradesBinance[[#This Row],[Qtt]]*TbTradesBinance[[#This Row],[Preço]])),BD49)-IF(TbTradesBinance[[#This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Row],[Tipo]]="DROP"),BD49+TbTradesBinance[[#This Row],[Qtt]],BD49-TbTradesBinance[[#This Row],[Qtt]]),IF(TbTradesBinance[[#This Row],[Tipo]]="BUY",BD49-TbTradesBinance[[#This Row],[Qtt]]*TbTradesBinance[[#This Row],[Preço]],BD49+TbTradesBinance[[#This Row],[Qtt]]*TbTradesBinance[[#This Row],[Preço]])),BD49)-IF(TbTradesBinance[[#This Row],[Moeda da Taxa]]=MID(BD$1,9,5),TbTradesBinance[[#This Row],[Taxa]],0),8)))</f>
        <v>0.37962000000000001</v>
      </c>
      <c r="BE50" s="145" cm="1">
        <f t="array" ref="BE50">IF(TbTradesBinance[[#This Row],[Tipo]]="EMPTY",0,BE49+IF(TbTradesBinance[[#This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Row],[Par]]))),$1:$1,0)),-(BD49-BD50)/BD49*BE49),0),0)+IF(TbTradesBinance[[#This Row],[Tipo]]="SELL",IF(ISNUMBER(FIND(MID(BE$1,10,5),TbTradesBinance[[#This Row],[Par]])),IF(FIND(MID(BE$1,10,5),TbTradesBinance[[#This Row],[Par]])=1, -(BD49-BD50)/BD49*BE49,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Row],[Par]])),(-(BD49-BD50)/BD49*BE49)+IF(TbTradesBinance[[#This Row],[Resultado]]&gt;0,0,TbTradesBinance[[#This Row],[Taxa]]),0),0))</f>
        <v>63.647297001537943</v>
      </c>
      <c r="BF50" s="145">
        <f t="shared" si="15"/>
        <v>167.66054739354601</v>
      </c>
      <c r="BG5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Row],[Tipo]]="DROP"),BG49+TbTradesBinance[[#This Row],[Qtt]],BG49-TbTradesBinance[[#This Row],[Qtt]]),IF(TbTradesBinance[[#This Row],[Tipo]]="BUY",BG49-TbTradesBinance[[#This Row],[Qtt]]*TbTradesBinance[[#This Row],[Preço]],BG49+TbTradesBinance[[#This Row],[Qtt]]*TbTradesBinance[[#This Row],[Preço]])),BG49)-IF(TbTradesBinance[[#This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Row],[Tipo]]="DROP"),BG49+TbTradesBinance[[#This Row],[Qtt]],BG49-TbTradesBinance[[#This Row],[Qtt]]),IF(TbTradesBinance[[#This Row],[Tipo]]="BUY",BG49-TbTradesBinance[[#This Row],[Qtt]]*TbTradesBinance[[#This Row],[Preço]],BG49+TbTradesBinance[[#This Row],[Qtt]]*TbTradesBinance[[#This Row],[Preço]])),BG49)-IF(TbTradesBinance[[#This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Row],[Tipo]]="DROP"),BG49+TbTradesBinance[[#This Row],[Qtt]],BG49-TbTradesBinance[[#This Row],[Qtt]]),IF(TbTradesBinance[[#This Row],[Tipo]]="BUY",BG49-TbTradesBinance[[#This Row],[Qtt]]*TbTradesBinance[[#This Row],[Preço]],BG49+TbTradesBinance[[#This Row],[Qtt]]*TbTradesBinance[[#This Row],[Preço]])),BG49)-IF(TbTradesBinance[[#This Row],[Moeda da Taxa]]=MID(BG$1,9,5),TbTradesBinance[[#This Row],[Taxa]],0),8)))</f>
        <v>0</v>
      </c>
      <c r="BH50" s="145" cm="1">
        <f t="array" ref="BH50">IF(TbTradesBinance[[#This Row],[Tipo]]="EMPTY",0,BH49+IF(TbTradesBinance[[#This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Row],[Par]]))),$1:$1,0)),-(BG49-BG50)/BG49*BH49),0),0)+IF(TbTradesBinance[[#This Row],[Tipo]]="SELL",IF(ISNUMBER(FIND(MID(BH$1,10,5),TbTradesBinance[[#This Row],[Par]])),IF(FIND(MID(BH$1,10,5),TbTradesBinance[[#This Row],[Par]])=1, -(BG49-BG50)/BG49*BH49,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Row],[Par]])),(-(BG49-BG50)/BG49*BH49)+IF(TbTradesBinance[[#This Row],[Resultado]]&gt;0,0,TbTradesBinance[[#This Row],[Taxa]]),0),0))</f>
        <v>0</v>
      </c>
      <c r="BI50" s="145">
        <f t="shared" si="16"/>
        <v>0</v>
      </c>
      <c r="BJ5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Row],[Tipo]]="DROP"),BJ49+TbTradesBinance[[#This Row],[Qtt]],BJ49-TbTradesBinance[[#This Row],[Qtt]]),IF(TbTradesBinance[[#This Row],[Tipo]]="BUY",BJ49-TbTradesBinance[[#This Row],[Qtt]]*TbTradesBinance[[#This Row],[Preço]],BJ49+TbTradesBinance[[#This Row],[Qtt]]*TbTradesBinance[[#This Row],[Preço]])),BJ49)-IF(TbTradesBinance[[#This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Row],[Tipo]]="DROP"),BJ49+TbTradesBinance[[#This Row],[Qtt]],BJ49-TbTradesBinance[[#This Row],[Qtt]]),IF(TbTradesBinance[[#This Row],[Tipo]]="BUY",BJ49-TbTradesBinance[[#This Row],[Qtt]]*TbTradesBinance[[#This Row],[Preço]],BJ49+TbTradesBinance[[#This Row],[Qtt]]*TbTradesBinance[[#This Row],[Preço]])),BJ49)-IF(TbTradesBinance[[#This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Row],[Tipo]]="DROP"),BJ49+TbTradesBinance[[#This Row],[Qtt]],BJ49-TbTradesBinance[[#This Row],[Qtt]]),IF(TbTradesBinance[[#This Row],[Tipo]]="BUY",BJ49-TbTradesBinance[[#This Row],[Qtt]]*TbTradesBinance[[#This Row],[Preço]],BJ49+TbTradesBinance[[#This Row],[Qtt]]*TbTradesBinance[[#This Row],[Preço]])),BJ49)-IF(TbTradesBinance[[#This Row],[Moeda da Taxa]]=MID(BJ$1,9,5),TbTradesBinance[[#This Row],[Taxa]],0),8)))</f>
        <v>0</v>
      </c>
      <c r="BK50" s="145" cm="1">
        <f t="array" ref="BK50">IF(TbTradesBinance[[#This Row],[Tipo]]="EMPTY",0,BK49+IF(TbTradesBinance[[#This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Row],[Par]]))),$1:$1,0)),-(BJ49-BJ50)/BJ49*BK49),0),0)+IF(TbTradesBinance[[#This Row],[Tipo]]="SELL",IF(ISNUMBER(FIND(MID(BK$1,10,5),TbTradesBinance[[#This Row],[Par]])),IF(FIND(MID(BK$1,10,5),TbTradesBinance[[#This Row],[Par]])=1, -(BJ49-BJ50)/BJ49*BK49,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Row],[Par]])),(-(BJ49-BJ50)/BJ49*BK49)+IF(TbTradesBinance[[#This Row],[Resultado]]&gt;0,0,TbTradesBinance[[#This Row],[Taxa]]),0),0))</f>
        <v>0</v>
      </c>
      <c r="BL50" s="145">
        <f t="shared" si="17"/>
        <v>0</v>
      </c>
      <c r="BM5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Row],[Tipo]]="DROP"),BM49+TbTradesBinance[[#This Row],[Qtt]],BM49-TbTradesBinance[[#This Row],[Qtt]]),IF(TbTradesBinance[[#This Row],[Tipo]]="BUY",BM49-TbTradesBinance[[#This Row],[Qtt]]*TbTradesBinance[[#This Row],[Preço]],BM49+TbTradesBinance[[#This Row],[Qtt]]*TbTradesBinance[[#This Row],[Preço]])),BM49)-IF(TbTradesBinance[[#This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Row],[Tipo]]="DROP"),BM49+TbTradesBinance[[#This Row],[Qtt]],BM49-TbTradesBinance[[#This Row],[Qtt]]),IF(TbTradesBinance[[#This Row],[Tipo]]="BUY",BM49-TbTradesBinance[[#This Row],[Qtt]]*TbTradesBinance[[#This Row],[Preço]],BM49+TbTradesBinance[[#This Row],[Qtt]]*TbTradesBinance[[#This Row],[Preço]])),BM49)-IF(TbTradesBinance[[#This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Row],[Tipo]]="DROP"),BM49+TbTradesBinance[[#This Row],[Qtt]],BM49-TbTradesBinance[[#This Row],[Qtt]]),IF(TbTradesBinance[[#This Row],[Tipo]]="BUY",BM49-TbTradesBinance[[#This Row],[Qtt]]*TbTradesBinance[[#This Row],[Preço]],BM49+TbTradesBinance[[#This Row],[Qtt]]*TbTradesBinance[[#This Row],[Preço]])),BM49)-IF(TbTradesBinance[[#This Row],[Moeda da Taxa]]=MID(BM$1,9,5),TbTradesBinance[[#This Row],[Taxa]],0),8)))</f>
        <v>0</v>
      </c>
      <c r="BN50" s="145" cm="1">
        <f t="array" ref="BN50">IF(TbTradesBinance[[#This Row],[Tipo]]="EMPTY",0,BN49+IF(TbTradesBinance[[#This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Row],[Par]]))),$1:$1,0)),-(BM49-BM50)/BM49*BN49),0),0)+IF(TbTradesBinance[[#This Row],[Tipo]]="SELL",IF(ISNUMBER(FIND(MID(BN$1,10,5),TbTradesBinance[[#This Row],[Par]])),IF(FIND(MID(BN$1,10,5),TbTradesBinance[[#This Row],[Par]])=1, -(BM49-BM50)/BM49*BN49,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Row],[Par]])),(-(BM49-BM50)/BM49*BN49)+IF(TbTradesBinance[[#This Row],[Resultado]]&gt;0,0,TbTradesBinance[[#This Row],[Taxa]]),0),0))</f>
        <v>0</v>
      </c>
      <c r="BO50" s="145">
        <f t="shared" si="18"/>
        <v>0</v>
      </c>
    </row>
    <row r="51" spans="2:67" x14ac:dyDescent="0.3">
      <c r="B51" s="144" t="s">
        <v>246</v>
      </c>
      <c r="C51" s="40">
        <f>TRUNC(IF(AND(TbTradesBinance[[#This Row],[Tipo]]="SEND",TbTradesBinance[[#This Row],[Par]]="BRL"),TbTradesBinance[[#This Row],[Qtt]]*(1-P49)-IF(TbTradesBinance[[#This Row],[Moeda da Taxa]]="BRL",TbTradesBinance[[#This Row],[Taxa]],0),0)+IF(AND(TbTradesBinance[[#This Row],[Tipo]]="BURN",TbTradesBinance[[#This Row],[Par]]="BRL"),-TbTradesBinance[[#This Row],[Qtt]]*P49,0),2)</f>
        <v>0</v>
      </c>
      <c r="D51" s="53">
        <v>44263.765277777777</v>
      </c>
      <c r="E51" s="37" t="s">
        <v>44</v>
      </c>
      <c r="F51" s="47" t="s">
        <v>142</v>
      </c>
      <c r="G51" s="38">
        <v>99.343447927054513</v>
      </c>
      <c r="H51" s="38">
        <v>0.3</v>
      </c>
      <c r="I51" s="38">
        <v>0</v>
      </c>
      <c r="J51" s="37" t="s">
        <v>44</v>
      </c>
      <c r="K51" s="52">
        <v>1</v>
      </c>
      <c r="L51" s="40">
        <f t="shared" si="0"/>
        <v>99.34</v>
      </c>
      <c r="M51" s="40">
        <f>IF(OR(TbTradesBinance[[#This Row],[Tipo]]="BUY",TbTradesBinance[[#This Row],[Tipo]]="RECEIVE",TbTradesBinance[[#This Row],[Tipo]]="DROP"),L51*H51,-L51*H51)</f>
        <v>-29.802</v>
      </c>
      <c r="N5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Row],[Tipo]]="DROP"),N50+TbTradesBinance[[#This Row],[Qtt]],N50-TbTradesBinance[[#This Row],[Qtt]]),IF(TbTradesBinance[[#This Row],[Tipo]]="BUY",N50-TbTradesBinance[[#This Row],[Qtt]]*TbTradesBinance[[#This Row],[Preço]],N50+TbTradesBinance[[#This Row],[Qtt]]*TbTradesBinance[[#This Row],[Preço]])),N50)-IF(TbTradesBinance[[#This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Row],[Tipo]]="DROP"),N50+TbTradesBinance[[#This Row],[Qtt]],N50-TbTradesBinance[[#This Row],[Qtt]]),IF(TbTradesBinance[[#This Row],[Tipo]]="BUY",N50-TbTradesBinance[[#This Row],[Qtt]]*TbTradesBinance[[#This Row],[Preço]],N50+TbTradesBinance[[#This Row],[Qtt]]*TbTradesBinance[[#This Row],[Preço]])),N50)-IF(TbTradesBinance[[#This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Row],[Tipo]]="DROP"),N50+TbTradesBinance[[#This Row],[Qtt]],N50-TbTradesBinance[[#This Row],[Qtt]]),IF(TbTradesBinance[[#This Row],[Tipo]]="BUY",N50-TbTradesBinance[[#This Row],[Qtt]]*TbTradesBinance[[#This Row],[Preço]],N50+TbTradesBinance[[#This Row],[Qtt]]*TbTradesBinance[[#This Row],[Preço]])),N50)-IF(TbTradesBinance[[#This Row],[Moeda da Taxa]]=MID(N$1,9,5),TbTradesBinance[[#This Row],[Taxa]],0),8)))</f>
        <v>119863.45423289</v>
      </c>
      <c r="O51" s="145" cm="1">
        <f t="array" ref="O51">IF(TbTradesBinance[[#This Row],[Tipo]]="EMPTY",0,O50+IF(TbTradesBinance[[#This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Row],[Par]]))),$1:$1,0)),-(N50-N51)/N50*O50),0),0)+IF(TbTradesBinance[[#This Row],[Tipo]]="SELL",IF(ISNUMBER(FIND(MID(O$1,10,5),TbTradesBinance[[#This Row],[Par]])),IF(FIND(MID(O$1,10,5),TbTradesBinance[[#This Row],[Par]])=1, -(N50-N51)/N50*O50,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Row],[Par]])),(-(N50-N51)/N50*O50)+IF(TbTradesBinance[[#This Row],[Resultado]]&gt;0,0,TbTradesBinance[[#This Row],[Taxa]]),0),0))</f>
        <v>119783.00097390189</v>
      </c>
      <c r="P51" s="145">
        <f t="shared" si="1"/>
        <v>0.99932879242048378</v>
      </c>
      <c r="Q5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Row],[Tipo]]="DROP"),Q50+TbTradesBinance[[#This Row],[Qtt]],Q50-TbTradesBinance[[#This Row],[Qtt]]),IF(TbTradesBinance[[#This Row],[Tipo]]="BUY",Q50-TbTradesBinance[[#This Row],[Qtt]]*TbTradesBinance[[#This Row],[Preço]],Q50+TbTradesBinance[[#This Row],[Qtt]]*TbTradesBinance[[#This Row],[Preço]])),Q50)-IF(TbTradesBinance[[#This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Row],[Tipo]]="DROP"),Q50+TbTradesBinance[[#This Row],[Qtt]],Q50-TbTradesBinance[[#This Row],[Qtt]]),IF(TbTradesBinance[[#This Row],[Tipo]]="BUY",Q50-TbTradesBinance[[#This Row],[Qtt]]*TbTradesBinance[[#This Row],[Preço]],Q50+TbTradesBinance[[#This Row],[Qtt]]*TbTradesBinance[[#This Row],[Preço]])),Q50)-IF(TbTradesBinance[[#This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Row],[Tipo]]="DROP"),Q50+TbTradesBinance[[#This Row],[Qtt]],Q50-TbTradesBinance[[#This Row],[Qtt]]),IF(TbTradesBinance[[#This Row],[Tipo]]="BUY",Q50-TbTradesBinance[[#This Row],[Qtt]]*TbTradesBinance[[#This Row],[Preço]],Q50+TbTradesBinance[[#This Row],[Qtt]]*TbTradesBinance[[#This Row],[Preço]])),Q50)-IF(TbTradesBinance[[#This Row],[Moeda da Taxa]]=MID(Q$1,9,5),TbTradesBinance[[#This Row],[Taxa]],0),8)))</f>
        <v>0</v>
      </c>
      <c r="R51" s="145" cm="1">
        <f t="array" ref="R51">IF(TbTradesBinance[[#This Row],[Tipo]]="EMPTY",0,R50+IF(TbTradesBinance[[#This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Row],[Par]]))),$1:$1,0)),-(Q50-Q51)/Q50*R50),0),0)+IF(TbTradesBinance[[#This Row],[Tipo]]="SELL",IF(ISNUMBER(FIND(MID(R$1,10,5),TbTradesBinance[[#This Row],[Par]])),IF(FIND(MID(R$1,10,5),TbTradesBinance[[#This Row],[Par]])=1, -(Q50-Q51)/Q50*R50,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Row],[Par]])),(-(Q50-Q51)/Q50*R50)+IF(TbTradesBinance[[#This Row],[Resultado]]&gt;0,0,TbTradesBinance[[#This Row],[Taxa]]),0),0))</f>
        <v>0</v>
      </c>
      <c r="S51" s="145">
        <f t="shared" si="2"/>
        <v>0</v>
      </c>
      <c r="T5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Row],[Tipo]]="DROP"),T50+TbTradesBinance[[#This Row],[Qtt]],T50-TbTradesBinance[[#This Row],[Qtt]]),IF(TbTradesBinance[[#This Row],[Tipo]]="BUY",T50-TbTradesBinance[[#This Row],[Qtt]]*TbTradesBinance[[#This Row],[Preço]],T50+TbTradesBinance[[#This Row],[Qtt]]*TbTradesBinance[[#This Row],[Preço]])),T50)-IF(TbTradesBinance[[#This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Row],[Tipo]]="DROP"),T50+TbTradesBinance[[#This Row],[Qtt]],T50-TbTradesBinance[[#This Row],[Qtt]]),IF(TbTradesBinance[[#This Row],[Tipo]]="BUY",T50-TbTradesBinance[[#This Row],[Qtt]]*TbTradesBinance[[#This Row],[Preço]],T50+TbTradesBinance[[#This Row],[Qtt]]*TbTradesBinance[[#This Row],[Preço]])),T50)-IF(TbTradesBinance[[#This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Row],[Tipo]]="DROP"),T50+TbTradesBinance[[#This Row],[Qtt]],T50-TbTradesBinance[[#This Row],[Qtt]]),IF(TbTradesBinance[[#This Row],[Tipo]]="BUY",T50-TbTradesBinance[[#This Row],[Qtt]]*TbTradesBinance[[#This Row],[Preço]],T50+TbTradesBinance[[#This Row],[Qtt]]*TbTradesBinance[[#This Row],[Preço]])),T50)-IF(TbTradesBinance[[#This Row],[Moeda da Taxa]]=MID(T$1,9,5),TbTradesBinance[[#This Row],[Taxa]],0),8)))</f>
        <v>199735.32000169999</v>
      </c>
      <c r="U51" s="145" cm="1">
        <f t="array" ref="U51">IF(TbTradesBinance[[#This Row],[Tipo]]="EMPTY",0,U50+IF(TbTradesBinance[[#This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Row],[Par]]))),$1:$1,0)),-(T50-T51)/T50*U50),0),0)+IF(TbTradesBinance[[#This Row],[Tipo]]="SELL",IF(ISNUMBER(FIND(MID(U$1,10,5),TbTradesBinance[[#This Row],[Par]])),IF(FIND(MID(U$1,10,5),TbTradesBinance[[#This Row],[Par]])=1, -(T50-T51)/T50*U50,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Row],[Par]])),(-(T50-T51)/T50*U50)+IF(TbTradesBinance[[#This Row],[Resultado]]&gt;0,0,TbTradesBinance[[#This Row],[Taxa]]),0),0))</f>
        <v>1328239.8809817513</v>
      </c>
      <c r="V51" s="145">
        <f t="shared" si="3"/>
        <v>6.6500000148719129</v>
      </c>
      <c r="W5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Row],[Tipo]]="DROP"),W50+TbTradesBinance[[#This Row],[Qtt]],W50-TbTradesBinance[[#This Row],[Qtt]]),IF(TbTradesBinance[[#This Row],[Tipo]]="BUY",W50-TbTradesBinance[[#This Row],[Qtt]]*TbTradesBinance[[#This Row],[Preço]],W50+TbTradesBinance[[#This Row],[Qtt]]*TbTradesBinance[[#This Row],[Preço]])),W50)-IF(TbTradesBinance[[#This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Row],[Tipo]]="DROP"),W50+TbTradesBinance[[#This Row],[Qtt]],W50-TbTradesBinance[[#This Row],[Qtt]]),IF(TbTradesBinance[[#This Row],[Tipo]]="BUY",W50-TbTradesBinance[[#This Row],[Qtt]]*TbTradesBinance[[#This Row],[Preço]],W50+TbTradesBinance[[#This Row],[Qtt]]*TbTradesBinance[[#This Row],[Preço]])),W50)-IF(TbTradesBinance[[#This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Row],[Tipo]]="DROP"),W50+TbTradesBinance[[#This Row],[Qtt]],W50-TbTradesBinance[[#This Row],[Qtt]]),IF(TbTradesBinance[[#This Row],[Tipo]]="BUY",W50-TbTradesBinance[[#This Row],[Qtt]]*TbTradesBinance[[#This Row],[Preço]],W50+TbTradesBinance[[#This Row],[Qtt]]*TbTradesBinance[[#This Row],[Preço]])),W50)-IF(TbTradesBinance[[#This Row],[Moeda da Taxa]]=MID(W$1,9,5),TbTradesBinance[[#This Row],[Taxa]],0),8)))</f>
        <v>1.08164E-3</v>
      </c>
      <c r="X51" s="145" cm="1">
        <f t="array" ref="X51">IF(TbTradesBinance[[#This Row],[Tipo]]="EMPTY",0,X50+IF(TbTradesBinance[[#This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Row],[Par]]))),$1:$1,0)),-(W50-W51)/W50*X50),0),0)+IF(TbTradesBinance[[#This Row],[Tipo]]="SELL",IF(ISNUMBER(FIND(MID(X$1,10,5),TbTradesBinance[[#This Row],[Par]])),IF(FIND(MID(X$1,10,5),TbTradesBinance[[#This Row],[Par]])=1, -(W50-W51)/W50*X50,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Row],[Par]])),(-(W50-W51)/W50*X50)+IF(TbTradesBinance[[#This Row],[Resultado]]&gt;0,0,TbTradesBinance[[#This Row],[Taxa]]),0),0))</f>
        <v>300.72983619131384</v>
      </c>
      <c r="Y51" s="145">
        <f t="shared" si="4"/>
        <v>278031.35626577586</v>
      </c>
      <c r="Z5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Row],[Tipo]]="DROP"),Z50+TbTradesBinance[[#This Row],[Qtt]],Z50-TbTradesBinance[[#This Row],[Qtt]]),IF(TbTradesBinance[[#This Row],[Tipo]]="BUY",Z50-TbTradesBinance[[#This Row],[Qtt]]*TbTradesBinance[[#This Row],[Preço]],Z50+TbTradesBinance[[#This Row],[Qtt]]*TbTradesBinance[[#This Row],[Preço]])),Z50)-IF(TbTradesBinance[[#This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Row],[Tipo]]="DROP"),Z50+TbTradesBinance[[#This Row],[Qtt]],Z50-TbTradesBinance[[#This Row],[Qtt]]),IF(TbTradesBinance[[#This Row],[Tipo]]="BUY",Z50-TbTradesBinance[[#This Row],[Qtt]]*TbTradesBinance[[#This Row],[Preço]],Z50+TbTradesBinance[[#This Row],[Qtt]]*TbTradesBinance[[#This Row],[Preço]])),Z50)-IF(TbTradesBinance[[#This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Row],[Tipo]]="DROP"),Z50+TbTradesBinance[[#This Row],[Qtt]],Z50-TbTradesBinance[[#This Row],[Qtt]]),IF(TbTradesBinance[[#This Row],[Tipo]]="BUY",Z50-TbTradesBinance[[#This Row],[Qtt]]*TbTradesBinance[[#This Row],[Preço]],Z50+TbTradesBinance[[#This Row],[Qtt]]*TbTradesBinance[[#This Row],[Preço]])),Z50)-IF(TbTradesBinance[[#This Row],[Moeda da Taxa]]=MID(Z$1,9,5),TbTradesBinance[[#This Row],[Taxa]],0),8)))</f>
        <v>0</v>
      </c>
      <c r="AA51" s="145" cm="1">
        <f t="array" ref="AA51">IF(TbTradesBinance[[#This Row],[Tipo]]="EMPTY",0,AA50+IF(TbTradesBinance[[#This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Row],[Par]]))),$1:$1,0)),-(Z50-Z51)/Z50*AA50),0),0)+IF(TbTradesBinance[[#This Row],[Tipo]]="SELL",IF(ISNUMBER(FIND(MID(AA$1,10,5),TbTradesBinance[[#This Row],[Par]])),IF(FIND(MID(AA$1,10,5),TbTradesBinance[[#This Row],[Par]])=1, -(Z50-Z51)/Z50*AA50,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Row],[Par]])),(-(Z50-Z51)/Z50*AA50)+IF(TbTradesBinance[[#This Row],[Resultado]]&gt;0,0,TbTradesBinance[[#This Row],[Taxa]]),0),0))</f>
        <v>0</v>
      </c>
      <c r="AB51" s="145">
        <f t="shared" si="5"/>
        <v>0</v>
      </c>
      <c r="AC5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Row],[Tipo]]="DROP"),AC50+TbTradesBinance[[#This Row],[Qtt]],AC50-TbTradesBinance[[#This Row],[Qtt]]),IF(TbTradesBinance[[#This Row],[Tipo]]="BUY",AC50-TbTradesBinance[[#This Row],[Qtt]]*TbTradesBinance[[#This Row],[Preço]],AC50+TbTradesBinance[[#This Row],[Qtt]]*TbTradesBinance[[#This Row],[Preço]])),AC50)-IF(TbTradesBinance[[#This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Row],[Tipo]]="DROP"),AC50+TbTradesBinance[[#This Row],[Qtt]],AC50-TbTradesBinance[[#This Row],[Qtt]]),IF(TbTradesBinance[[#This Row],[Tipo]]="BUY",AC50-TbTradesBinance[[#This Row],[Qtt]]*TbTradesBinance[[#This Row],[Preço]],AC50+TbTradesBinance[[#This Row],[Qtt]]*TbTradesBinance[[#This Row],[Preço]])),AC50)-IF(TbTradesBinance[[#This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Row],[Tipo]]="DROP"),AC50+TbTradesBinance[[#This Row],[Qtt]],AC50-TbTradesBinance[[#This Row],[Qtt]]),IF(TbTradesBinance[[#This Row],[Tipo]]="BUY",AC50-TbTradesBinance[[#This Row],[Qtt]]*TbTradesBinance[[#This Row],[Preço]],AC50+TbTradesBinance[[#This Row],[Qtt]]*TbTradesBinance[[#This Row],[Preço]])),AC50)-IF(TbTradesBinance[[#This Row],[Moeda da Taxa]]=MID(AC$1,9,5),TbTradesBinance[[#This Row],[Taxa]],0),8)))</f>
        <v>0</v>
      </c>
      <c r="AD51" s="145" cm="1">
        <f t="array" ref="AD51">IF(TbTradesBinance[[#This Row],[Tipo]]="EMPTY",0,AD50+IF(TbTradesBinance[[#This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Row],[Par]]))),$1:$1,0)),-(AC50-AC51)/AC50*AD50),0),0)+IF(TbTradesBinance[[#This Row],[Tipo]]="SELL",IF(ISNUMBER(FIND(MID(AD$1,10,5),TbTradesBinance[[#This Row],[Par]])),IF(FIND(MID(AD$1,10,5),TbTradesBinance[[#This Row],[Par]])=1, -(AC50-AC51)/AC50*AD50,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Row],[Par]])),(-(AC50-AC51)/AC50*AD50)+IF(TbTradesBinance[[#This Row],[Resultado]]&gt;0,0,TbTradesBinance[[#This Row],[Taxa]]),0),0))</f>
        <v>0</v>
      </c>
      <c r="AE51" s="145">
        <f t="shared" si="6"/>
        <v>0</v>
      </c>
      <c r="AF5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Row],[Tipo]]="DROP"),AF50+TbTradesBinance[[#This Row],[Qtt]],AF50-TbTradesBinance[[#This Row],[Qtt]]),IF(TbTradesBinance[[#This Row],[Tipo]]="BUY",AF50-TbTradesBinance[[#This Row],[Qtt]]*TbTradesBinance[[#This Row],[Preço]],AF50+TbTradesBinance[[#This Row],[Qtt]]*TbTradesBinance[[#This Row],[Preço]])),AF50)-IF(TbTradesBinance[[#This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Row],[Tipo]]="DROP"),AF50+TbTradesBinance[[#This Row],[Qtt]],AF50-TbTradesBinance[[#This Row],[Qtt]]),IF(TbTradesBinance[[#This Row],[Tipo]]="BUY",AF50-TbTradesBinance[[#This Row],[Qtt]]*TbTradesBinance[[#This Row],[Preço]],AF50+TbTradesBinance[[#This Row],[Qtt]]*TbTradesBinance[[#This Row],[Preço]])),AF50)-IF(TbTradesBinance[[#This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Row],[Tipo]]="DROP"),AF50+TbTradesBinance[[#This Row],[Qtt]],AF50-TbTradesBinance[[#This Row],[Qtt]]),IF(TbTradesBinance[[#This Row],[Tipo]]="BUY",AF50-TbTradesBinance[[#This Row],[Qtt]]*TbTradesBinance[[#This Row],[Preço]],AF50+TbTradesBinance[[#This Row],[Qtt]]*TbTradesBinance[[#This Row],[Preço]])),AF50)-IF(TbTradesBinance[[#This Row],[Moeda da Taxa]]=MID(AF$1,9,5),TbTradesBinance[[#This Row],[Taxa]],0),8)))</f>
        <v>0</v>
      </c>
      <c r="AG51" s="145" cm="1">
        <f t="array" ref="AG51">IF(TbTradesBinance[[#This Row],[Tipo]]="EMPTY",0,AG50+IF(TbTradesBinance[[#This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Row],[Par]]))),$1:$1,0)),-(AF50-AF51)/AF50*AG50),0),0)+IF(TbTradesBinance[[#This Row],[Tipo]]="SELL",IF(ISNUMBER(FIND(MID(AG$1,10,5),TbTradesBinance[[#This Row],[Par]])),IF(FIND(MID(AG$1,10,5),TbTradesBinance[[#This Row],[Par]])=1, -(AF50-AF51)/AF50*AG50,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Row],[Par]])),(-(AF50-AF51)/AF50*AG50)+IF(TbTradesBinance[[#This Row],[Resultado]]&gt;0,0,TbTradesBinance[[#This Row],[Taxa]]),0),0))</f>
        <v>0</v>
      </c>
      <c r="AH51" s="145">
        <f t="shared" si="7"/>
        <v>0</v>
      </c>
      <c r="AI5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Row],[Tipo]]="DROP"),AI50+TbTradesBinance[[#This Row],[Qtt]],AI50-TbTradesBinance[[#This Row],[Qtt]]),IF(TbTradesBinance[[#This Row],[Tipo]]="BUY",AI50-TbTradesBinance[[#This Row],[Qtt]]*TbTradesBinance[[#This Row],[Preço]],AI50+TbTradesBinance[[#This Row],[Qtt]]*TbTradesBinance[[#This Row],[Preço]])),AI50)-IF(TbTradesBinance[[#This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Row],[Tipo]]="DROP"),AI50+TbTradesBinance[[#This Row],[Qtt]],AI50-TbTradesBinance[[#This Row],[Qtt]]),IF(TbTradesBinance[[#This Row],[Tipo]]="BUY",AI50-TbTradesBinance[[#This Row],[Qtt]]*TbTradesBinance[[#This Row],[Preço]],AI50+TbTradesBinance[[#This Row],[Qtt]]*TbTradesBinance[[#This Row],[Preço]])),AI50)-IF(TbTradesBinance[[#This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Row],[Tipo]]="DROP"),AI50+TbTradesBinance[[#This Row],[Qtt]],AI50-TbTradesBinance[[#This Row],[Qtt]]),IF(TbTradesBinance[[#This Row],[Tipo]]="BUY",AI50-TbTradesBinance[[#This Row],[Qtt]]*TbTradesBinance[[#This Row],[Preço]],AI50+TbTradesBinance[[#This Row],[Qtt]]*TbTradesBinance[[#This Row],[Preço]])),AI50)-IF(TbTradesBinance[[#This Row],[Moeda da Taxa]]=MID(AI$1,9,5),TbTradesBinance[[#This Row],[Taxa]],0),8)))</f>
        <v>0</v>
      </c>
      <c r="AJ51" s="145" cm="1">
        <f t="array" ref="AJ51">IF(TbTradesBinance[[#This Row],[Tipo]]="EMPTY",0,AJ50+IF(TbTradesBinance[[#This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Row],[Par]]))),$1:$1,0)),-(AI50-AI51)/AI50*AJ50),0),0)+IF(TbTradesBinance[[#This Row],[Tipo]]="SELL",IF(ISNUMBER(FIND(MID(AJ$1,10,5),TbTradesBinance[[#This Row],[Par]])),IF(FIND(MID(AJ$1,10,5),TbTradesBinance[[#This Row],[Par]])=1, -(AI50-AI51)/AI50*AJ50,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Row],[Par]])),(-(AI50-AI51)/AI50*AJ50)+IF(TbTradesBinance[[#This Row],[Resultado]]&gt;0,0,TbTradesBinance[[#This Row],[Taxa]]),0),0))</f>
        <v>0</v>
      </c>
      <c r="AK51" s="145">
        <f t="shared" si="8"/>
        <v>0</v>
      </c>
      <c r="AL5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Row],[Tipo]]="DROP"),AL50+TbTradesBinance[[#This Row],[Qtt]],AL50-TbTradesBinance[[#This Row],[Qtt]]),IF(TbTradesBinance[[#This Row],[Tipo]]="BUY",AL50-TbTradesBinance[[#This Row],[Qtt]]*TbTradesBinance[[#This Row],[Preço]],AL50+TbTradesBinance[[#This Row],[Qtt]]*TbTradesBinance[[#This Row],[Preço]])),AL50)-IF(TbTradesBinance[[#This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Row],[Tipo]]="DROP"),AL50+TbTradesBinance[[#This Row],[Qtt]],AL50-TbTradesBinance[[#This Row],[Qtt]]),IF(TbTradesBinance[[#This Row],[Tipo]]="BUY",AL50-TbTradesBinance[[#This Row],[Qtt]]*TbTradesBinance[[#This Row],[Preço]],AL50+TbTradesBinance[[#This Row],[Qtt]]*TbTradesBinance[[#This Row],[Preço]])),AL50)-IF(TbTradesBinance[[#This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Row],[Tipo]]="DROP"),AL50+TbTradesBinance[[#This Row],[Qtt]],AL50-TbTradesBinance[[#This Row],[Qtt]]),IF(TbTradesBinance[[#This Row],[Tipo]]="BUY",AL50-TbTradesBinance[[#This Row],[Qtt]]*TbTradesBinance[[#This Row],[Preço]],AL50+TbTradesBinance[[#This Row],[Qtt]]*TbTradesBinance[[#This Row],[Preço]])),AL50)-IF(TbTradesBinance[[#This Row],[Moeda da Taxa]]=MID(AL$1,9,5),TbTradesBinance[[#This Row],[Taxa]],0),8)))</f>
        <v>0</v>
      </c>
      <c r="AM51" s="145" cm="1">
        <f t="array" ref="AM51">IF(TbTradesBinance[[#This Row],[Tipo]]="EMPTY",0,AM50+IF(TbTradesBinance[[#This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Row],[Par]]))),$1:$1,0)),-(AL50-AL51)/AL50*AM50),0),0)+IF(TbTradesBinance[[#This Row],[Tipo]]="SELL",IF(ISNUMBER(FIND(MID(AM$1,10,5),TbTradesBinance[[#This Row],[Par]])),IF(FIND(MID(AM$1,10,5),TbTradesBinance[[#This Row],[Par]])=1, -(AL50-AL51)/AL50*AM50,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Row],[Par]])),(-(AL50-AL51)/AL50*AM50)+IF(TbTradesBinance[[#This Row],[Resultado]]&gt;0,0,TbTradesBinance[[#This Row],[Taxa]]),0),0))</f>
        <v>0</v>
      </c>
      <c r="AN51" s="145">
        <f t="shared" si="9"/>
        <v>0</v>
      </c>
      <c r="AO5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Row],[Tipo]]="DROP"),AO50+TbTradesBinance[[#This Row],[Qtt]],AO50-TbTradesBinance[[#This Row],[Qtt]]),IF(TbTradesBinance[[#This Row],[Tipo]]="BUY",AO50-TbTradesBinance[[#This Row],[Qtt]]*TbTradesBinance[[#This Row],[Preço]],AO50+TbTradesBinance[[#This Row],[Qtt]]*TbTradesBinance[[#This Row],[Preço]])),AO50)-IF(TbTradesBinance[[#This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Row],[Tipo]]="DROP"),AO50+TbTradesBinance[[#This Row],[Qtt]],AO50-TbTradesBinance[[#This Row],[Qtt]]),IF(TbTradesBinance[[#This Row],[Tipo]]="BUY",AO50-TbTradesBinance[[#This Row],[Qtt]]*TbTradesBinance[[#This Row],[Preço]],AO50+TbTradesBinance[[#This Row],[Qtt]]*TbTradesBinance[[#This Row],[Preço]])),AO50)-IF(TbTradesBinance[[#This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Row],[Tipo]]="DROP"),AO50+TbTradesBinance[[#This Row],[Qtt]],AO50-TbTradesBinance[[#This Row],[Qtt]]),IF(TbTradesBinance[[#This Row],[Tipo]]="BUY",AO50-TbTradesBinance[[#This Row],[Qtt]]*TbTradesBinance[[#This Row],[Preço]],AO50+TbTradesBinance[[#This Row],[Qtt]]*TbTradesBinance[[#This Row],[Preço]])),AO50)-IF(TbTradesBinance[[#This Row],[Moeda da Taxa]]=MID(AO$1,9,5),TbTradesBinance[[#This Row],[Taxa]],0),8)))</f>
        <v>1.2747399999999999E-3</v>
      </c>
      <c r="AP51" s="145" cm="1">
        <f t="array" ref="AP51">IF(TbTradesBinance[[#This Row],[Tipo]]="EMPTY",0,AP50+IF(TbTradesBinance[[#This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Row],[Par]]))),$1:$1,0)),-(AO50-AO51)/AO50*AP50),0),0)+IF(TbTradesBinance[[#This Row],[Tipo]]="SELL",IF(ISNUMBER(FIND(MID(AP$1,10,5),TbTradesBinance[[#This Row],[Par]])),IF(FIND(MID(AP$1,10,5),TbTradesBinance[[#This Row],[Par]])=1, -(AO50-AO51)/AO50*AP50,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Row],[Par]])),(-(AO50-AO51)/AO50*AP50)+IF(TbTradesBinance[[#This Row],[Resultado]]&gt;0,0,TbTradesBinance[[#This Row],[Taxa]]),0),0))</f>
        <v>1.7416212429180353</v>
      </c>
      <c r="AQ51" s="145">
        <f t="shared" si="10"/>
        <v>1366.2560545036913</v>
      </c>
      <c r="AR5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Row],[Tipo]]="DROP"),AR50+TbTradesBinance[[#This Row],[Qtt]],AR50-TbTradesBinance[[#This Row],[Qtt]]),IF(TbTradesBinance[[#This Row],[Tipo]]="BUY",AR50-TbTradesBinance[[#This Row],[Qtt]]*TbTradesBinance[[#This Row],[Preço]],AR50+TbTradesBinance[[#This Row],[Qtt]]*TbTradesBinance[[#This Row],[Preço]])),AR50)-IF(TbTradesBinance[[#This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Row],[Tipo]]="DROP"),AR50+TbTradesBinance[[#This Row],[Qtt]],AR50-TbTradesBinance[[#This Row],[Qtt]]),IF(TbTradesBinance[[#This Row],[Tipo]]="BUY",AR50-TbTradesBinance[[#This Row],[Qtt]]*TbTradesBinance[[#This Row],[Preço]],AR50+TbTradesBinance[[#This Row],[Qtt]]*TbTradesBinance[[#This Row],[Preço]])),AR50)-IF(TbTradesBinance[[#This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Row],[Tipo]]="DROP"),AR50+TbTradesBinance[[#This Row],[Qtt]],AR50-TbTradesBinance[[#This Row],[Qtt]]),IF(TbTradesBinance[[#This Row],[Tipo]]="BUY",AR50-TbTradesBinance[[#This Row],[Qtt]]*TbTradesBinance[[#This Row],[Preço]],AR50+TbTradesBinance[[#This Row],[Qtt]]*TbTradesBinance[[#This Row],[Preço]])),AR50)-IF(TbTradesBinance[[#This Row],[Moeda da Taxa]]=MID(AR$1,9,5),TbTradesBinance[[#This Row],[Taxa]],0),8)))</f>
        <v>0</v>
      </c>
      <c r="AS51" s="145" cm="1">
        <f t="array" ref="AS51">IF(TbTradesBinance[[#This Row],[Tipo]]="EMPTY",0,AS50+IF(TbTradesBinance[[#This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Row],[Par]]))),$1:$1,0)),-(AR50-AR51)/AR50*AS50),0),0)+IF(TbTradesBinance[[#This Row],[Tipo]]="SELL",IF(ISNUMBER(FIND(MID(AS$1,10,5),TbTradesBinance[[#This Row],[Par]])),IF(FIND(MID(AS$1,10,5),TbTradesBinance[[#This Row],[Par]])=1, -(AR50-AR51)/AR50*AS50,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Row],[Par]])),(-(AR50-AR51)/AR50*AS50)+IF(TbTradesBinance[[#This Row],[Resultado]]&gt;0,0,TbTradesBinance[[#This Row],[Taxa]]),0),0))</f>
        <v>0</v>
      </c>
      <c r="AT51" s="145">
        <f t="shared" si="11"/>
        <v>0</v>
      </c>
      <c r="AU5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Row],[Tipo]]="DROP"),AU50+TbTradesBinance[[#This Row],[Qtt]],AU50-TbTradesBinance[[#This Row],[Qtt]]),IF(TbTradesBinance[[#This Row],[Tipo]]="BUY",AU50-TbTradesBinance[[#This Row],[Qtt]]*TbTradesBinance[[#This Row],[Preço]],AU50+TbTradesBinance[[#This Row],[Qtt]]*TbTradesBinance[[#This Row],[Preço]])),AU50)-IF(TbTradesBinance[[#This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Row],[Tipo]]="DROP"),AU50+TbTradesBinance[[#This Row],[Qtt]],AU50-TbTradesBinance[[#This Row],[Qtt]]),IF(TbTradesBinance[[#This Row],[Tipo]]="BUY",AU50-TbTradesBinance[[#This Row],[Qtt]]*TbTradesBinance[[#This Row],[Preço]],AU50+TbTradesBinance[[#This Row],[Qtt]]*TbTradesBinance[[#This Row],[Preço]])),AU50)-IF(TbTradesBinance[[#This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Row],[Tipo]]="DROP"),AU50+TbTradesBinance[[#This Row],[Qtt]],AU50-TbTradesBinance[[#This Row],[Qtt]]),IF(TbTradesBinance[[#This Row],[Tipo]]="BUY",AU50-TbTradesBinance[[#This Row],[Qtt]]*TbTradesBinance[[#This Row],[Preço]],AU50+TbTradesBinance[[#This Row],[Qtt]]*TbTradesBinance[[#This Row],[Preço]])),AU50)-IF(TbTradesBinance[[#This Row],[Moeda da Taxa]]=MID(AU$1,9,5),TbTradesBinance[[#This Row],[Taxa]],0),8)))</f>
        <v>9.9900000000000003E-2</v>
      </c>
      <c r="AV51" s="145" cm="1">
        <f t="array" ref="AV51">IF(TbTradesBinance[[#This Row],[Tipo]]="EMPTY",0,AV50+IF(TbTradesBinance[[#This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Row],[Par]]))),$1:$1,0)),-(AU50-AU51)/AU50*AV50),0),0)+IF(TbTradesBinance[[#This Row],[Tipo]]="SELL",IF(ISNUMBER(FIND(MID(AV$1,10,5),TbTradesBinance[[#This Row],[Par]])),IF(FIND(MID(AV$1,10,5),TbTradesBinance[[#This Row],[Par]])=1, -(AU50-AU51)/AU50*AV50,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Row],[Par]])),(-(AU50-AU51)/AU50*AV50)+IF(TbTradesBinance[[#This Row],[Resultado]]&gt;0,0,TbTradesBinance[[#This Row],[Taxa]]),0),0))</f>
        <v>18.673922987511034</v>
      </c>
      <c r="AW51" s="145">
        <f t="shared" si="12"/>
        <v>186.92615603114149</v>
      </c>
      <c r="AX5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Row],[Tipo]]="DROP"),AX50+TbTradesBinance[[#This Row],[Qtt]],AX50-TbTradesBinance[[#This Row],[Qtt]]),IF(TbTradesBinance[[#This Row],[Tipo]]="BUY",AX50-TbTradesBinance[[#This Row],[Qtt]]*TbTradesBinance[[#This Row],[Preço]],AX50+TbTradesBinance[[#This Row],[Qtt]]*TbTradesBinance[[#This Row],[Preço]])),AX50)-IF(TbTradesBinance[[#This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Row],[Tipo]]="DROP"),AX50+TbTradesBinance[[#This Row],[Qtt]],AX50-TbTradesBinance[[#This Row],[Qtt]]),IF(TbTradesBinance[[#This Row],[Tipo]]="BUY",AX50-TbTradesBinance[[#This Row],[Qtt]]*TbTradesBinance[[#This Row],[Preço]],AX50+TbTradesBinance[[#This Row],[Qtt]]*TbTradesBinance[[#This Row],[Preço]])),AX50)-IF(TbTradesBinance[[#This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Row],[Tipo]]="DROP"),AX50+TbTradesBinance[[#This Row],[Qtt]],AX50-TbTradesBinance[[#This Row],[Qtt]]),IF(TbTradesBinance[[#This Row],[Tipo]]="BUY",AX50-TbTradesBinance[[#This Row],[Qtt]]*TbTradesBinance[[#This Row],[Preço]],AX50+TbTradesBinance[[#This Row],[Qtt]]*TbTradesBinance[[#This Row],[Preço]])),AX50)-IF(TbTradesBinance[[#This Row],[Moeda da Taxa]]=MID(AX$1,9,5),TbTradesBinance[[#This Row],[Taxa]],0),8)))</f>
        <v>0</v>
      </c>
      <c r="AY51" s="145" cm="1">
        <f t="array" ref="AY51">IF(TbTradesBinance[[#This Row],[Tipo]]="EMPTY",0,AY50+IF(TbTradesBinance[[#This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Row],[Par]]))),$1:$1,0)),-(AX50-AX51)/AX50*AY50),0),0)+IF(TbTradesBinance[[#This Row],[Tipo]]="SELL",IF(ISNUMBER(FIND(MID(AY$1,10,5),TbTradesBinance[[#This Row],[Par]])),IF(FIND(MID(AY$1,10,5),TbTradesBinance[[#This Row],[Par]])=1, -(AX50-AX51)/AX50*AY50,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Row],[Par]])),(-(AX50-AX51)/AX50*AY50)+IF(TbTradesBinance[[#This Row],[Resultado]]&gt;0,0,TbTradesBinance[[#This Row],[Taxa]]),0),0))</f>
        <v>0</v>
      </c>
      <c r="AZ51" s="145">
        <f t="shared" si="13"/>
        <v>0</v>
      </c>
      <c r="BA5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Row],[Tipo]]="DROP"),BA50+TbTradesBinance[[#This Row],[Qtt]],BA50-TbTradesBinance[[#This Row],[Qtt]]),IF(TbTradesBinance[[#This Row],[Tipo]]="BUY",BA50-TbTradesBinance[[#This Row],[Qtt]]*TbTradesBinance[[#This Row],[Preço]],BA50+TbTradesBinance[[#This Row],[Qtt]]*TbTradesBinance[[#This Row],[Preço]])),BA50)-IF(TbTradesBinance[[#This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Row],[Tipo]]="DROP"),BA50+TbTradesBinance[[#This Row],[Qtt]],BA50-TbTradesBinance[[#This Row],[Qtt]]),IF(TbTradesBinance[[#This Row],[Tipo]]="BUY",BA50-TbTradesBinance[[#This Row],[Qtt]]*TbTradesBinance[[#This Row],[Preço]],BA50+TbTradesBinance[[#This Row],[Qtt]]*TbTradesBinance[[#This Row],[Preço]])),BA50)-IF(TbTradesBinance[[#This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Row],[Tipo]]="DROP"),BA50+TbTradesBinance[[#This Row],[Qtt]],BA50-TbTradesBinance[[#This Row],[Qtt]]),IF(TbTradesBinance[[#This Row],[Tipo]]="BUY",BA50-TbTradesBinance[[#This Row],[Qtt]]*TbTradesBinance[[#This Row],[Preço]],BA50+TbTradesBinance[[#This Row],[Qtt]]*TbTradesBinance[[#This Row],[Preço]])),BA50)-IF(TbTradesBinance[[#This Row],[Moeda da Taxa]]=MID(BA$1,9,5),TbTradesBinance[[#This Row],[Taxa]],0),8)))</f>
        <v>0</v>
      </c>
      <c r="BB51" s="145" cm="1">
        <f t="array" ref="BB51">IF(TbTradesBinance[[#This Row],[Tipo]]="EMPTY",0,BB50+IF(TbTradesBinance[[#This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Row],[Par]]))),$1:$1,0)),-(BA50-BA51)/BA50*BB50),0),0)+IF(TbTradesBinance[[#This Row],[Tipo]]="SELL",IF(ISNUMBER(FIND(MID(BB$1,10,5),TbTradesBinance[[#This Row],[Par]])),IF(FIND(MID(BB$1,10,5),TbTradesBinance[[#This Row],[Par]])=1, -(BA50-BA51)/BA50*BB50,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Row],[Par]])),(-(BA50-BA51)/BA50*BB50)+IF(TbTradesBinance[[#This Row],[Resultado]]&gt;0,0,TbTradesBinance[[#This Row],[Taxa]]),0),0))</f>
        <v>0</v>
      </c>
      <c r="BC51" s="145">
        <f t="shared" si="14"/>
        <v>0</v>
      </c>
      <c r="BD5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Row],[Tipo]]="DROP"),BD50+TbTradesBinance[[#This Row],[Qtt]],BD50-TbTradesBinance[[#This Row],[Qtt]]),IF(TbTradesBinance[[#This Row],[Tipo]]="BUY",BD50-TbTradesBinance[[#This Row],[Qtt]]*TbTradesBinance[[#This Row],[Preço]],BD50+TbTradesBinance[[#This Row],[Qtt]]*TbTradesBinance[[#This Row],[Preço]])),BD50)-IF(TbTradesBinance[[#This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Row],[Tipo]]="DROP"),BD50+TbTradesBinance[[#This Row],[Qtt]],BD50-TbTradesBinance[[#This Row],[Qtt]]),IF(TbTradesBinance[[#This Row],[Tipo]]="BUY",BD50-TbTradesBinance[[#This Row],[Qtt]]*TbTradesBinance[[#This Row],[Preço]],BD50+TbTradesBinance[[#This Row],[Qtt]]*TbTradesBinance[[#This Row],[Preço]])),BD50)-IF(TbTradesBinance[[#This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Row],[Tipo]]="DROP"),BD50+TbTradesBinance[[#This Row],[Qtt]],BD50-TbTradesBinance[[#This Row],[Qtt]]),IF(TbTradesBinance[[#This Row],[Tipo]]="BUY",BD50-TbTradesBinance[[#This Row],[Qtt]]*TbTradesBinance[[#This Row],[Preço]],BD50+TbTradesBinance[[#This Row],[Qtt]]*TbTradesBinance[[#This Row],[Preço]])),BD50)-IF(TbTradesBinance[[#This Row],[Moeda da Taxa]]=MID(BD$1,9,5),TbTradesBinance[[#This Row],[Taxa]],0),8)))</f>
        <v>0.37962000000000001</v>
      </c>
      <c r="BE51" s="145" cm="1">
        <f t="array" ref="BE51">IF(TbTradesBinance[[#This Row],[Tipo]]="EMPTY",0,BE50+IF(TbTradesBinance[[#This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Row],[Par]]))),$1:$1,0)),-(BD50-BD51)/BD50*BE50),0),0)+IF(TbTradesBinance[[#This Row],[Tipo]]="SELL",IF(ISNUMBER(FIND(MID(BE$1,10,5),TbTradesBinance[[#This Row],[Par]])),IF(FIND(MID(BE$1,10,5),TbTradesBinance[[#This Row],[Par]])=1, -(BD50-BD51)/BD50*BE50,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Row],[Par]])),(-(BD50-BD51)/BD50*BE50)+IF(TbTradesBinance[[#This Row],[Resultado]]&gt;0,0,TbTradesBinance[[#This Row],[Taxa]]),0),0))</f>
        <v>63.647297001537943</v>
      </c>
      <c r="BF51" s="145">
        <f t="shared" si="15"/>
        <v>167.66054739354601</v>
      </c>
      <c r="BG5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Row],[Tipo]]="DROP"),BG50+TbTradesBinance[[#This Row],[Qtt]],BG50-TbTradesBinance[[#This Row],[Qtt]]),IF(TbTradesBinance[[#This Row],[Tipo]]="BUY",BG50-TbTradesBinance[[#This Row],[Qtt]]*TbTradesBinance[[#This Row],[Preço]],BG50+TbTradesBinance[[#This Row],[Qtt]]*TbTradesBinance[[#This Row],[Preço]])),BG50)-IF(TbTradesBinance[[#This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Row],[Tipo]]="DROP"),BG50+TbTradesBinance[[#This Row],[Qtt]],BG50-TbTradesBinance[[#This Row],[Qtt]]),IF(TbTradesBinance[[#This Row],[Tipo]]="BUY",BG50-TbTradesBinance[[#This Row],[Qtt]]*TbTradesBinance[[#This Row],[Preço]],BG50+TbTradesBinance[[#This Row],[Qtt]]*TbTradesBinance[[#This Row],[Preço]])),BG50)-IF(TbTradesBinance[[#This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Row],[Tipo]]="DROP"),BG50+TbTradesBinance[[#This Row],[Qtt]],BG50-TbTradesBinance[[#This Row],[Qtt]]),IF(TbTradesBinance[[#This Row],[Tipo]]="BUY",BG50-TbTradesBinance[[#This Row],[Qtt]]*TbTradesBinance[[#This Row],[Preço]],BG50+TbTradesBinance[[#This Row],[Qtt]]*TbTradesBinance[[#This Row],[Preço]])),BG50)-IF(TbTradesBinance[[#This Row],[Moeda da Taxa]]=MID(BG$1,9,5),TbTradesBinance[[#This Row],[Taxa]],0),8)))</f>
        <v>0</v>
      </c>
      <c r="BH51" s="145" cm="1">
        <f t="array" ref="BH51">IF(TbTradesBinance[[#This Row],[Tipo]]="EMPTY",0,BH50+IF(TbTradesBinance[[#This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Row],[Par]]))),$1:$1,0)),-(BG50-BG51)/BG50*BH50),0),0)+IF(TbTradesBinance[[#This Row],[Tipo]]="SELL",IF(ISNUMBER(FIND(MID(BH$1,10,5),TbTradesBinance[[#This Row],[Par]])),IF(FIND(MID(BH$1,10,5),TbTradesBinance[[#This Row],[Par]])=1, -(BG50-BG51)/BG50*BH50,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Row],[Par]])),(-(BG50-BG51)/BG50*BH50)+IF(TbTradesBinance[[#This Row],[Resultado]]&gt;0,0,TbTradesBinance[[#This Row],[Taxa]]),0),0))</f>
        <v>0</v>
      </c>
      <c r="BI51" s="145">
        <f t="shared" si="16"/>
        <v>0</v>
      </c>
      <c r="BJ5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Row],[Tipo]]="DROP"),BJ50+TbTradesBinance[[#This Row],[Qtt]],BJ50-TbTradesBinance[[#This Row],[Qtt]]),IF(TbTradesBinance[[#This Row],[Tipo]]="BUY",BJ50-TbTradesBinance[[#This Row],[Qtt]]*TbTradesBinance[[#This Row],[Preço]],BJ50+TbTradesBinance[[#This Row],[Qtt]]*TbTradesBinance[[#This Row],[Preço]])),BJ50)-IF(TbTradesBinance[[#This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Row],[Tipo]]="DROP"),BJ50+TbTradesBinance[[#This Row],[Qtt]],BJ50-TbTradesBinance[[#This Row],[Qtt]]),IF(TbTradesBinance[[#This Row],[Tipo]]="BUY",BJ50-TbTradesBinance[[#This Row],[Qtt]]*TbTradesBinance[[#This Row],[Preço]],BJ50+TbTradesBinance[[#This Row],[Qtt]]*TbTradesBinance[[#This Row],[Preço]])),BJ50)-IF(TbTradesBinance[[#This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Row],[Tipo]]="DROP"),BJ50+TbTradesBinance[[#This Row],[Qtt]],BJ50-TbTradesBinance[[#This Row],[Qtt]]),IF(TbTradesBinance[[#This Row],[Tipo]]="BUY",BJ50-TbTradesBinance[[#This Row],[Qtt]]*TbTradesBinance[[#This Row],[Preço]],BJ50+TbTradesBinance[[#This Row],[Qtt]]*TbTradesBinance[[#This Row],[Preço]])),BJ50)-IF(TbTradesBinance[[#This Row],[Moeda da Taxa]]=MID(BJ$1,9,5),TbTradesBinance[[#This Row],[Taxa]],0),8)))</f>
        <v>0</v>
      </c>
      <c r="BK51" s="145" cm="1">
        <f t="array" ref="BK51">IF(TbTradesBinance[[#This Row],[Tipo]]="EMPTY",0,BK50+IF(TbTradesBinance[[#This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Row],[Par]]))),$1:$1,0)),-(BJ50-BJ51)/BJ50*BK50),0),0)+IF(TbTradesBinance[[#This Row],[Tipo]]="SELL",IF(ISNUMBER(FIND(MID(BK$1,10,5),TbTradesBinance[[#This Row],[Par]])),IF(FIND(MID(BK$1,10,5),TbTradesBinance[[#This Row],[Par]])=1, -(BJ50-BJ51)/BJ50*BK50,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Row],[Par]])),(-(BJ50-BJ51)/BJ50*BK50)+IF(TbTradesBinance[[#This Row],[Resultado]]&gt;0,0,TbTradesBinance[[#This Row],[Taxa]]),0),0))</f>
        <v>0</v>
      </c>
      <c r="BL51" s="145">
        <f t="shared" si="17"/>
        <v>0</v>
      </c>
      <c r="BM5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Row],[Tipo]]="DROP"),BM50+TbTradesBinance[[#This Row],[Qtt]],BM50-TbTradesBinance[[#This Row],[Qtt]]),IF(TbTradesBinance[[#This Row],[Tipo]]="BUY",BM50-TbTradesBinance[[#This Row],[Qtt]]*TbTradesBinance[[#This Row],[Preço]],BM50+TbTradesBinance[[#This Row],[Qtt]]*TbTradesBinance[[#This Row],[Preço]])),BM50)-IF(TbTradesBinance[[#This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Row],[Tipo]]="DROP"),BM50+TbTradesBinance[[#This Row],[Qtt]],BM50-TbTradesBinance[[#This Row],[Qtt]]),IF(TbTradesBinance[[#This Row],[Tipo]]="BUY",BM50-TbTradesBinance[[#This Row],[Qtt]]*TbTradesBinance[[#This Row],[Preço]],BM50+TbTradesBinance[[#This Row],[Qtt]]*TbTradesBinance[[#This Row],[Preço]])),BM50)-IF(TbTradesBinance[[#This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Row],[Tipo]]="DROP"),BM50+TbTradesBinance[[#This Row],[Qtt]],BM50-TbTradesBinance[[#This Row],[Qtt]]),IF(TbTradesBinance[[#This Row],[Tipo]]="BUY",BM50-TbTradesBinance[[#This Row],[Qtt]]*TbTradesBinance[[#This Row],[Preço]],BM50+TbTradesBinance[[#This Row],[Qtt]]*TbTradesBinance[[#This Row],[Preço]])),BM50)-IF(TbTradesBinance[[#This Row],[Moeda da Taxa]]=MID(BM$1,9,5),TbTradesBinance[[#This Row],[Taxa]],0),8)))</f>
        <v>0</v>
      </c>
      <c r="BN51" s="145" cm="1">
        <f t="array" ref="BN51">IF(TbTradesBinance[[#This Row],[Tipo]]="EMPTY",0,BN50+IF(TbTradesBinance[[#This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Row],[Par]]))),$1:$1,0)),-(BM50-BM51)/BM50*BN50),0),0)+IF(TbTradesBinance[[#This Row],[Tipo]]="SELL",IF(ISNUMBER(FIND(MID(BN$1,10,5),TbTradesBinance[[#This Row],[Par]])),IF(FIND(MID(BN$1,10,5),TbTradesBinance[[#This Row],[Par]])=1, -(BM50-BM51)/BM50*BN50,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Row],[Par]])),(-(BM50-BM51)/BM50*BN50)+IF(TbTradesBinance[[#This Row],[Resultado]]&gt;0,0,TbTradesBinance[[#This Row],[Taxa]]),0),0))</f>
        <v>0</v>
      </c>
      <c r="BO51" s="145">
        <f t="shared" si="18"/>
        <v>0</v>
      </c>
    </row>
    <row r="52" spans="2:67" x14ac:dyDescent="0.3">
      <c r="B52" s="51"/>
      <c r="C52" s="40">
        <f>TRUNC(IF(AND(TbTradesBinance[[#This Row],[Tipo]]="SEND",TbTradesBinance[[#This Row],[Par]]="BRL"),TbTradesBinance[[#This Row],[Qtt]]*(1-P50)-IF(TbTradesBinance[[#This Row],[Moeda da Taxa]]="BRL",TbTradesBinance[[#This Row],[Taxa]],0),0)+IF(AND(TbTradesBinance[[#This Row],[Tipo]]="BURN",TbTradesBinance[[#This Row],[Par]]="BRL"),-TbTradesBinance[[#This Row],[Qtt]]*P50,0),2)</f>
        <v>0</v>
      </c>
      <c r="D52" s="53">
        <v>44263.791134259256</v>
      </c>
      <c r="E52" s="37" t="s">
        <v>138</v>
      </c>
      <c r="F52" s="47" t="s">
        <v>140</v>
      </c>
      <c r="G52" s="38">
        <v>302000</v>
      </c>
      <c r="H52" s="38">
        <v>2.7E-4</v>
      </c>
      <c r="I52" s="38">
        <v>0</v>
      </c>
      <c r="J52" s="37" t="s">
        <v>45</v>
      </c>
      <c r="K52" s="52">
        <v>1</v>
      </c>
      <c r="L52" s="40">
        <f t="shared" si="0"/>
        <v>302000</v>
      </c>
      <c r="M52" s="40">
        <f>IF(OR(TbTradesBinance[[#This Row],[Tipo]]="BUY",TbTradesBinance[[#This Row],[Tipo]]="RECEIVE",TbTradesBinance[[#This Row],[Tipo]]="DROP"),L52*H52,-L52*H52)</f>
        <v>-81.540000000000006</v>
      </c>
      <c r="N5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Row],[Tipo]]="DROP"),N51+TbTradesBinance[[#This Row],[Qtt]],N51-TbTradesBinance[[#This Row],[Qtt]]),IF(TbTradesBinance[[#This Row],[Tipo]]="BUY",N51-TbTradesBinance[[#This Row],[Qtt]]*TbTradesBinance[[#This Row],[Preço]],N51+TbTradesBinance[[#This Row],[Qtt]]*TbTradesBinance[[#This Row],[Preço]])),N51)-IF(TbTradesBinance[[#This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Row],[Tipo]]="DROP"),N51+TbTradesBinance[[#This Row],[Qtt]],N51-TbTradesBinance[[#This Row],[Qtt]]),IF(TbTradesBinance[[#This Row],[Tipo]]="BUY",N51-TbTradesBinance[[#This Row],[Qtt]]*TbTradesBinance[[#This Row],[Preço]],N51+TbTradesBinance[[#This Row],[Qtt]]*TbTradesBinance[[#This Row],[Preço]])),N51)-IF(TbTradesBinance[[#This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Row],[Tipo]]="DROP"),N51+TbTradesBinance[[#This Row],[Qtt]],N51-TbTradesBinance[[#This Row],[Qtt]]),IF(TbTradesBinance[[#This Row],[Tipo]]="BUY",N51-TbTradesBinance[[#This Row],[Qtt]]*TbTradesBinance[[#This Row],[Preço]],N51+TbTradesBinance[[#This Row],[Qtt]]*TbTradesBinance[[#This Row],[Preço]])),N51)-IF(TbTradesBinance[[#This Row],[Moeda da Taxa]]=MID(N$1,9,5),TbTradesBinance[[#This Row],[Taxa]],0),8)))</f>
        <v>119944.99423289001</v>
      </c>
      <c r="O52" s="145" cm="1">
        <f t="array" ref="O52">IF(TbTradesBinance[[#This Row],[Tipo]]="EMPTY",0,O51+IF(TbTradesBinance[[#This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Row],[Par]]))),$1:$1,0)),-(N51-N52)/N51*O51),0),0)+IF(TbTradesBinance[[#This Row],[Tipo]]="SELL",IF(ISNUMBER(FIND(MID(O$1,10,5),TbTradesBinance[[#This Row],[Par]])),IF(FIND(MID(O$1,10,5),TbTradesBinance[[#This Row],[Par]])=1, -(N51-N52)/N51*O51,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Row],[Par]])),(-(N51-N52)/N51*O51)+IF(TbTradesBinance[[#This Row],[Resultado]]&gt;0,0,TbTradesBinance[[#This Row],[Taxa]]),0),0))</f>
        <v>119858.06944009365</v>
      </c>
      <c r="P52" s="145">
        <f t="shared" si="1"/>
        <v>0.99927529453519681</v>
      </c>
      <c r="Q5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Row],[Tipo]]="DROP"),Q51+TbTradesBinance[[#This Row],[Qtt]],Q51-TbTradesBinance[[#This Row],[Qtt]]),IF(TbTradesBinance[[#This Row],[Tipo]]="BUY",Q51-TbTradesBinance[[#This Row],[Qtt]]*TbTradesBinance[[#This Row],[Preço]],Q51+TbTradesBinance[[#This Row],[Qtt]]*TbTradesBinance[[#This Row],[Preço]])),Q51)-IF(TbTradesBinance[[#This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Row],[Tipo]]="DROP"),Q51+TbTradesBinance[[#This Row],[Qtt]],Q51-TbTradesBinance[[#This Row],[Qtt]]),IF(TbTradesBinance[[#This Row],[Tipo]]="BUY",Q51-TbTradesBinance[[#This Row],[Qtt]]*TbTradesBinance[[#This Row],[Preço]],Q51+TbTradesBinance[[#This Row],[Qtt]]*TbTradesBinance[[#This Row],[Preço]])),Q51)-IF(TbTradesBinance[[#This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Row],[Tipo]]="DROP"),Q51+TbTradesBinance[[#This Row],[Qtt]],Q51-TbTradesBinance[[#This Row],[Qtt]]),IF(TbTradesBinance[[#This Row],[Tipo]]="BUY",Q51-TbTradesBinance[[#This Row],[Qtt]]*TbTradesBinance[[#This Row],[Preço]],Q51+TbTradesBinance[[#This Row],[Qtt]]*TbTradesBinance[[#This Row],[Preço]])),Q51)-IF(TbTradesBinance[[#This Row],[Moeda da Taxa]]=MID(Q$1,9,5),TbTradesBinance[[#This Row],[Taxa]],0),8)))</f>
        <v>0</v>
      </c>
      <c r="R52" s="145" cm="1">
        <f t="array" ref="R52">IF(TbTradesBinance[[#This Row],[Tipo]]="EMPTY",0,R51+IF(TbTradesBinance[[#This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Row],[Par]]))),$1:$1,0)),-(Q51-Q52)/Q51*R51),0),0)+IF(TbTradesBinance[[#This Row],[Tipo]]="SELL",IF(ISNUMBER(FIND(MID(R$1,10,5),TbTradesBinance[[#This Row],[Par]])),IF(FIND(MID(R$1,10,5),TbTradesBinance[[#This Row],[Par]])=1, -(Q51-Q52)/Q51*R51,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Row],[Par]])),(-(Q51-Q52)/Q51*R51)+IF(TbTradesBinance[[#This Row],[Resultado]]&gt;0,0,TbTradesBinance[[#This Row],[Taxa]]),0),0))</f>
        <v>0</v>
      </c>
      <c r="S52" s="145">
        <f t="shared" si="2"/>
        <v>0</v>
      </c>
      <c r="T5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Row],[Tipo]]="DROP"),T51+TbTradesBinance[[#This Row],[Qtt]],T51-TbTradesBinance[[#This Row],[Qtt]]),IF(TbTradesBinance[[#This Row],[Tipo]]="BUY",T51-TbTradesBinance[[#This Row],[Qtt]]*TbTradesBinance[[#This Row],[Preço]],T51+TbTradesBinance[[#This Row],[Qtt]]*TbTradesBinance[[#This Row],[Preço]])),T51)-IF(TbTradesBinance[[#This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Row],[Tipo]]="DROP"),T51+TbTradesBinance[[#This Row],[Qtt]],T51-TbTradesBinance[[#This Row],[Qtt]]),IF(TbTradesBinance[[#This Row],[Tipo]]="BUY",T51-TbTradesBinance[[#This Row],[Qtt]]*TbTradesBinance[[#This Row],[Preço]],T51+TbTradesBinance[[#This Row],[Qtt]]*TbTradesBinance[[#This Row],[Preço]])),T51)-IF(TbTradesBinance[[#This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Row],[Tipo]]="DROP"),T51+TbTradesBinance[[#This Row],[Qtt]],T51-TbTradesBinance[[#This Row],[Qtt]]),IF(TbTradesBinance[[#This Row],[Tipo]]="BUY",T51-TbTradesBinance[[#This Row],[Qtt]]*TbTradesBinance[[#This Row],[Preço]],T51+TbTradesBinance[[#This Row],[Qtt]]*TbTradesBinance[[#This Row],[Preço]])),T51)-IF(TbTradesBinance[[#This Row],[Moeda da Taxa]]=MID(T$1,9,5),TbTradesBinance[[#This Row],[Taxa]],0),8)))</f>
        <v>199735.32000169999</v>
      </c>
      <c r="U52" s="145" cm="1">
        <f t="array" ref="U52">IF(TbTradesBinance[[#This Row],[Tipo]]="EMPTY",0,U51+IF(TbTradesBinance[[#This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Row],[Par]]))),$1:$1,0)),-(T51-T52)/T51*U51),0),0)+IF(TbTradesBinance[[#This Row],[Tipo]]="SELL",IF(ISNUMBER(FIND(MID(U$1,10,5),TbTradesBinance[[#This Row],[Par]])),IF(FIND(MID(U$1,10,5),TbTradesBinance[[#This Row],[Par]])=1, -(T51-T52)/T51*U51,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Row],[Par]])),(-(T51-T52)/T51*U51)+IF(TbTradesBinance[[#This Row],[Resultado]]&gt;0,0,TbTradesBinance[[#This Row],[Taxa]]),0),0))</f>
        <v>1328239.8809817513</v>
      </c>
      <c r="V52" s="145">
        <f t="shared" si="3"/>
        <v>6.6500000148719129</v>
      </c>
      <c r="W5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Row],[Tipo]]="DROP"),W51+TbTradesBinance[[#This Row],[Qtt]],W51-TbTradesBinance[[#This Row],[Qtt]]),IF(TbTradesBinance[[#This Row],[Tipo]]="BUY",W51-TbTradesBinance[[#This Row],[Qtt]]*TbTradesBinance[[#This Row],[Preço]],W51+TbTradesBinance[[#This Row],[Qtt]]*TbTradesBinance[[#This Row],[Preço]])),W51)-IF(TbTradesBinance[[#This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Row],[Tipo]]="DROP"),W51+TbTradesBinance[[#This Row],[Qtt]],W51-TbTradesBinance[[#This Row],[Qtt]]),IF(TbTradesBinance[[#This Row],[Tipo]]="BUY",W51-TbTradesBinance[[#This Row],[Qtt]]*TbTradesBinance[[#This Row],[Preço]],W51+TbTradesBinance[[#This Row],[Qtt]]*TbTradesBinance[[#This Row],[Preço]])),W51)-IF(TbTradesBinance[[#This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Row],[Tipo]]="DROP"),W51+TbTradesBinance[[#This Row],[Qtt]],W51-TbTradesBinance[[#This Row],[Qtt]]),IF(TbTradesBinance[[#This Row],[Tipo]]="BUY",W51-TbTradesBinance[[#This Row],[Qtt]]*TbTradesBinance[[#This Row],[Preço]],W51+TbTradesBinance[[#This Row],[Qtt]]*TbTradesBinance[[#This Row],[Preço]])),W51)-IF(TbTradesBinance[[#This Row],[Moeda da Taxa]]=MID(W$1,9,5),TbTradesBinance[[#This Row],[Taxa]],0),8)))</f>
        <v>8.1163999999999997E-4</v>
      </c>
      <c r="X52" s="145" cm="1">
        <f t="array" ref="X52">IF(TbTradesBinance[[#This Row],[Tipo]]="EMPTY",0,X51+IF(TbTradesBinance[[#This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Row],[Par]]))),$1:$1,0)),-(W51-W52)/W51*X51),0),0)+IF(TbTradesBinance[[#This Row],[Tipo]]="SELL",IF(ISNUMBER(FIND(MID(X$1,10,5),TbTradesBinance[[#This Row],[Par]])),IF(FIND(MID(X$1,10,5),TbTradesBinance[[#This Row],[Par]])=1, -(W51-W52)/W51*X51,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Row],[Par]])),(-(W51-W52)/W51*X51)+IF(TbTradesBinance[[#This Row],[Resultado]]&gt;0,0,TbTradesBinance[[#This Row],[Taxa]]),0),0))</f>
        <v>225.66136999955432</v>
      </c>
      <c r="Y52" s="145">
        <f t="shared" si="4"/>
        <v>278031.35626577586</v>
      </c>
      <c r="Z5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Row],[Tipo]]="DROP"),Z51+TbTradesBinance[[#This Row],[Qtt]],Z51-TbTradesBinance[[#This Row],[Qtt]]),IF(TbTradesBinance[[#This Row],[Tipo]]="BUY",Z51-TbTradesBinance[[#This Row],[Qtt]]*TbTradesBinance[[#This Row],[Preço]],Z51+TbTradesBinance[[#This Row],[Qtt]]*TbTradesBinance[[#This Row],[Preço]])),Z51)-IF(TbTradesBinance[[#This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Row],[Tipo]]="DROP"),Z51+TbTradesBinance[[#This Row],[Qtt]],Z51-TbTradesBinance[[#This Row],[Qtt]]),IF(TbTradesBinance[[#This Row],[Tipo]]="BUY",Z51-TbTradesBinance[[#This Row],[Qtt]]*TbTradesBinance[[#This Row],[Preço]],Z51+TbTradesBinance[[#This Row],[Qtt]]*TbTradesBinance[[#This Row],[Preço]])),Z51)-IF(TbTradesBinance[[#This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Row],[Tipo]]="DROP"),Z51+TbTradesBinance[[#This Row],[Qtt]],Z51-TbTradesBinance[[#This Row],[Qtt]]),IF(TbTradesBinance[[#This Row],[Tipo]]="BUY",Z51-TbTradesBinance[[#This Row],[Qtt]]*TbTradesBinance[[#This Row],[Preço]],Z51+TbTradesBinance[[#This Row],[Qtt]]*TbTradesBinance[[#This Row],[Preço]])),Z51)-IF(TbTradesBinance[[#This Row],[Moeda da Taxa]]=MID(Z$1,9,5),TbTradesBinance[[#This Row],[Taxa]],0),8)))</f>
        <v>0</v>
      </c>
      <c r="AA52" s="145" cm="1">
        <f t="array" ref="AA52">IF(TbTradesBinance[[#This Row],[Tipo]]="EMPTY",0,AA51+IF(TbTradesBinance[[#This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Row],[Par]]))),$1:$1,0)),-(Z51-Z52)/Z51*AA51),0),0)+IF(TbTradesBinance[[#This Row],[Tipo]]="SELL",IF(ISNUMBER(FIND(MID(AA$1,10,5),TbTradesBinance[[#This Row],[Par]])),IF(FIND(MID(AA$1,10,5),TbTradesBinance[[#This Row],[Par]])=1, -(Z51-Z52)/Z51*AA51,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Row],[Par]])),(-(Z51-Z52)/Z51*AA51)+IF(TbTradesBinance[[#This Row],[Resultado]]&gt;0,0,TbTradesBinance[[#This Row],[Taxa]]),0),0))</f>
        <v>0</v>
      </c>
      <c r="AB52" s="145">
        <f t="shared" si="5"/>
        <v>0</v>
      </c>
      <c r="AC5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Row],[Tipo]]="DROP"),AC51+TbTradesBinance[[#This Row],[Qtt]],AC51-TbTradesBinance[[#This Row],[Qtt]]),IF(TbTradesBinance[[#This Row],[Tipo]]="BUY",AC51-TbTradesBinance[[#This Row],[Qtt]]*TbTradesBinance[[#This Row],[Preço]],AC51+TbTradesBinance[[#This Row],[Qtt]]*TbTradesBinance[[#This Row],[Preço]])),AC51)-IF(TbTradesBinance[[#This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Row],[Tipo]]="DROP"),AC51+TbTradesBinance[[#This Row],[Qtt]],AC51-TbTradesBinance[[#This Row],[Qtt]]),IF(TbTradesBinance[[#This Row],[Tipo]]="BUY",AC51-TbTradesBinance[[#This Row],[Qtt]]*TbTradesBinance[[#This Row],[Preço]],AC51+TbTradesBinance[[#This Row],[Qtt]]*TbTradesBinance[[#This Row],[Preço]])),AC51)-IF(TbTradesBinance[[#This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Row],[Tipo]]="DROP"),AC51+TbTradesBinance[[#This Row],[Qtt]],AC51-TbTradesBinance[[#This Row],[Qtt]]),IF(TbTradesBinance[[#This Row],[Tipo]]="BUY",AC51-TbTradesBinance[[#This Row],[Qtt]]*TbTradesBinance[[#This Row],[Preço]],AC51+TbTradesBinance[[#This Row],[Qtt]]*TbTradesBinance[[#This Row],[Preço]])),AC51)-IF(TbTradesBinance[[#This Row],[Moeda da Taxa]]=MID(AC$1,9,5),TbTradesBinance[[#This Row],[Taxa]],0),8)))</f>
        <v>0</v>
      </c>
      <c r="AD52" s="145" cm="1">
        <f t="array" ref="AD52">IF(TbTradesBinance[[#This Row],[Tipo]]="EMPTY",0,AD51+IF(TbTradesBinance[[#This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Row],[Par]]))),$1:$1,0)),-(AC51-AC52)/AC51*AD51),0),0)+IF(TbTradesBinance[[#This Row],[Tipo]]="SELL",IF(ISNUMBER(FIND(MID(AD$1,10,5),TbTradesBinance[[#This Row],[Par]])),IF(FIND(MID(AD$1,10,5),TbTradesBinance[[#This Row],[Par]])=1, -(AC51-AC52)/AC51*AD51,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Row],[Par]])),(-(AC51-AC52)/AC51*AD51)+IF(TbTradesBinance[[#This Row],[Resultado]]&gt;0,0,TbTradesBinance[[#This Row],[Taxa]]),0),0))</f>
        <v>0</v>
      </c>
      <c r="AE52" s="145">
        <f t="shared" si="6"/>
        <v>0</v>
      </c>
      <c r="AF5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Row],[Tipo]]="DROP"),AF51+TbTradesBinance[[#This Row],[Qtt]],AF51-TbTradesBinance[[#This Row],[Qtt]]),IF(TbTradesBinance[[#This Row],[Tipo]]="BUY",AF51-TbTradesBinance[[#This Row],[Qtt]]*TbTradesBinance[[#This Row],[Preço]],AF51+TbTradesBinance[[#This Row],[Qtt]]*TbTradesBinance[[#This Row],[Preço]])),AF51)-IF(TbTradesBinance[[#This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Row],[Tipo]]="DROP"),AF51+TbTradesBinance[[#This Row],[Qtt]],AF51-TbTradesBinance[[#This Row],[Qtt]]),IF(TbTradesBinance[[#This Row],[Tipo]]="BUY",AF51-TbTradesBinance[[#This Row],[Qtt]]*TbTradesBinance[[#This Row],[Preço]],AF51+TbTradesBinance[[#This Row],[Qtt]]*TbTradesBinance[[#This Row],[Preço]])),AF51)-IF(TbTradesBinance[[#This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Row],[Tipo]]="DROP"),AF51+TbTradesBinance[[#This Row],[Qtt]],AF51-TbTradesBinance[[#This Row],[Qtt]]),IF(TbTradesBinance[[#This Row],[Tipo]]="BUY",AF51-TbTradesBinance[[#This Row],[Qtt]]*TbTradesBinance[[#This Row],[Preço]],AF51+TbTradesBinance[[#This Row],[Qtt]]*TbTradesBinance[[#This Row],[Preço]])),AF51)-IF(TbTradesBinance[[#This Row],[Moeda da Taxa]]=MID(AF$1,9,5),TbTradesBinance[[#This Row],[Taxa]],0),8)))</f>
        <v>0</v>
      </c>
      <c r="AG52" s="145" cm="1">
        <f t="array" ref="AG52">IF(TbTradesBinance[[#This Row],[Tipo]]="EMPTY",0,AG51+IF(TbTradesBinance[[#This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Row],[Par]]))),$1:$1,0)),-(AF51-AF52)/AF51*AG51),0),0)+IF(TbTradesBinance[[#This Row],[Tipo]]="SELL",IF(ISNUMBER(FIND(MID(AG$1,10,5),TbTradesBinance[[#This Row],[Par]])),IF(FIND(MID(AG$1,10,5),TbTradesBinance[[#This Row],[Par]])=1, -(AF51-AF52)/AF51*AG51,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Row],[Par]])),(-(AF51-AF52)/AF51*AG51)+IF(TbTradesBinance[[#This Row],[Resultado]]&gt;0,0,TbTradesBinance[[#This Row],[Taxa]]),0),0))</f>
        <v>0</v>
      </c>
      <c r="AH52" s="145">
        <f t="shared" si="7"/>
        <v>0</v>
      </c>
      <c r="AI5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Row],[Tipo]]="DROP"),AI51+TbTradesBinance[[#This Row],[Qtt]],AI51-TbTradesBinance[[#This Row],[Qtt]]),IF(TbTradesBinance[[#This Row],[Tipo]]="BUY",AI51-TbTradesBinance[[#This Row],[Qtt]]*TbTradesBinance[[#This Row],[Preço]],AI51+TbTradesBinance[[#This Row],[Qtt]]*TbTradesBinance[[#This Row],[Preço]])),AI51)-IF(TbTradesBinance[[#This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Row],[Tipo]]="DROP"),AI51+TbTradesBinance[[#This Row],[Qtt]],AI51-TbTradesBinance[[#This Row],[Qtt]]),IF(TbTradesBinance[[#This Row],[Tipo]]="BUY",AI51-TbTradesBinance[[#This Row],[Qtt]]*TbTradesBinance[[#This Row],[Preço]],AI51+TbTradesBinance[[#This Row],[Qtt]]*TbTradesBinance[[#This Row],[Preço]])),AI51)-IF(TbTradesBinance[[#This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Row],[Tipo]]="DROP"),AI51+TbTradesBinance[[#This Row],[Qtt]],AI51-TbTradesBinance[[#This Row],[Qtt]]),IF(TbTradesBinance[[#This Row],[Tipo]]="BUY",AI51-TbTradesBinance[[#This Row],[Qtt]]*TbTradesBinance[[#This Row],[Preço]],AI51+TbTradesBinance[[#This Row],[Qtt]]*TbTradesBinance[[#This Row],[Preço]])),AI51)-IF(TbTradesBinance[[#This Row],[Moeda da Taxa]]=MID(AI$1,9,5),TbTradesBinance[[#This Row],[Taxa]],0),8)))</f>
        <v>0</v>
      </c>
      <c r="AJ52" s="145" cm="1">
        <f t="array" ref="AJ52">IF(TbTradesBinance[[#This Row],[Tipo]]="EMPTY",0,AJ51+IF(TbTradesBinance[[#This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Row],[Par]]))),$1:$1,0)),-(AI51-AI52)/AI51*AJ51),0),0)+IF(TbTradesBinance[[#This Row],[Tipo]]="SELL",IF(ISNUMBER(FIND(MID(AJ$1,10,5),TbTradesBinance[[#This Row],[Par]])),IF(FIND(MID(AJ$1,10,5),TbTradesBinance[[#This Row],[Par]])=1, -(AI51-AI52)/AI51*AJ51,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Row],[Par]])),(-(AI51-AI52)/AI51*AJ51)+IF(TbTradesBinance[[#This Row],[Resultado]]&gt;0,0,TbTradesBinance[[#This Row],[Taxa]]),0),0))</f>
        <v>0</v>
      </c>
      <c r="AK52" s="145">
        <f t="shared" si="8"/>
        <v>0</v>
      </c>
      <c r="AL5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Row],[Tipo]]="DROP"),AL51+TbTradesBinance[[#This Row],[Qtt]],AL51-TbTradesBinance[[#This Row],[Qtt]]),IF(TbTradesBinance[[#This Row],[Tipo]]="BUY",AL51-TbTradesBinance[[#This Row],[Qtt]]*TbTradesBinance[[#This Row],[Preço]],AL51+TbTradesBinance[[#This Row],[Qtt]]*TbTradesBinance[[#This Row],[Preço]])),AL51)-IF(TbTradesBinance[[#This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Row],[Tipo]]="DROP"),AL51+TbTradesBinance[[#This Row],[Qtt]],AL51-TbTradesBinance[[#This Row],[Qtt]]),IF(TbTradesBinance[[#This Row],[Tipo]]="BUY",AL51-TbTradesBinance[[#This Row],[Qtt]]*TbTradesBinance[[#This Row],[Preço]],AL51+TbTradesBinance[[#This Row],[Qtt]]*TbTradesBinance[[#This Row],[Preço]])),AL51)-IF(TbTradesBinance[[#This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Row],[Tipo]]="DROP"),AL51+TbTradesBinance[[#This Row],[Qtt]],AL51-TbTradesBinance[[#This Row],[Qtt]]),IF(TbTradesBinance[[#This Row],[Tipo]]="BUY",AL51-TbTradesBinance[[#This Row],[Qtt]]*TbTradesBinance[[#This Row],[Preço]],AL51+TbTradesBinance[[#This Row],[Qtt]]*TbTradesBinance[[#This Row],[Preço]])),AL51)-IF(TbTradesBinance[[#This Row],[Moeda da Taxa]]=MID(AL$1,9,5),TbTradesBinance[[#This Row],[Taxa]],0),8)))</f>
        <v>0</v>
      </c>
      <c r="AM52" s="145" cm="1">
        <f t="array" ref="AM52">IF(TbTradesBinance[[#This Row],[Tipo]]="EMPTY",0,AM51+IF(TbTradesBinance[[#This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Row],[Par]]))),$1:$1,0)),-(AL51-AL52)/AL51*AM51),0),0)+IF(TbTradesBinance[[#This Row],[Tipo]]="SELL",IF(ISNUMBER(FIND(MID(AM$1,10,5),TbTradesBinance[[#This Row],[Par]])),IF(FIND(MID(AM$1,10,5),TbTradesBinance[[#This Row],[Par]])=1, -(AL51-AL52)/AL51*AM51,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Row],[Par]])),(-(AL51-AL52)/AL51*AM51)+IF(TbTradesBinance[[#This Row],[Resultado]]&gt;0,0,TbTradesBinance[[#This Row],[Taxa]]),0),0))</f>
        <v>0</v>
      </c>
      <c r="AN52" s="145">
        <f t="shared" si="9"/>
        <v>0</v>
      </c>
      <c r="AO5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Row],[Tipo]]="DROP"),AO51+TbTradesBinance[[#This Row],[Qtt]],AO51-TbTradesBinance[[#This Row],[Qtt]]),IF(TbTradesBinance[[#This Row],[Tipo]]="BUY",AO51-TbTradesBinance[[#This Row],[Qtt]]*TbTradesBinance[[#This Row],[Preço]],AO51+TbTradesBinance[[#This Row],[Qtt]]*TbTradesBinance[[#This Row],[Preço]])),AO51)-IF(TbTradesBinance[[#This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Row],[Tipo]]="DROP"),AO51+TbTradesBinance[[#This Row],[Qtt]],AO51-TbTradesBinance[[#This Row],[Qtt]]),IF(TbTradesBinance[[#This Row],[Tipo]]="BUY",AO51-TbTradesBinance[[#This Row],[Qtt]]*TbTradesBinance[[#This Row],[Preço]],AO51+TbTradesBinance[[#This Row],[Qtt]]*TbTradesBinance[[#This Row],[Preço]])),AO51)-IF(TbTradesBinance[[#This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Row],[Tipo]]="DROP"),AO51+TbTradesBinance[[#This Row],[Qtt]],AO51-TbTradesBinance[[#This Row],[Qtt]]),IF(TbTradesBinance[[#This Row],[Tipo]]="BUY",AO51-TbTradesBinance[[#This Row],[Qtt]]*TbTradesBinance[[#This Row],[Preço]],AO51+TbTradesBinance[[#This Row],[Qtt]]*TbTradesBinance[[#This Row],[Preço]])),AO51)-IF(TbTradesBinance[[#This Row],[Moeda da Taxa]]=MID(AO$1,9,5),TbTradesBinance[[#This Row],[Taxa]],0),8)))</f>
        <v>1.2747399999999999E-3</v>
      </c>
      <c r="AP52" s="145" cm="1">
        <f t="array" ref="AP52">IF(TbTradesBinance[[#This Row],[Tipo]]="EMPTY",0,AP51+IF(TbTradesBinance[[#This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Row],[Par]]))),$1:$1,0)),-(AO51-AO52)/AO51*AP51),0),0)+IF(TbTradesBinance[[#This Row],[Tipo]]="SELL",IF(ISNUMBER(FIND(MID(AP$1,10,5),TbTradesBinance[[#This Row],[Par]])),IF(FIND(MID(AP$1,10,5),TbTradesBinance[[#This Row],[Par]])=1, -(AO51-AO52)/AO51*AP51,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Row],[Par]])),(-(AO51-AO52)/AO51*AP51)+IF(TbTradesBinance[[#This Row],[Resultado]]&gt;0,0,TbTradesBinance[[#This Row],[Taxa]]),0),0))</f>
        <v>1.7416212429180353</v>
      </c>
      <c r="AQ52" s="145">
        <f t="shared" si="10"/>
        <v>1366.2560545036913</v>
      </c>
      <c r="AR5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Row],[Tipo]]="DROP"),AR51+TbTradesBinance[[#This Row],[Qtt]],AR51-TbTradesBinance[[#This Row],[Qtt]]),IF(TbTradesBinance[[#This Row],[Tipo]]="BUY",AR51-TbTradesBinance[[#This Row],[Qtt]]*TbTradesBinance[[#This Row],[Preço]],AR51+TbTradesBinance[[#This Row],[Qtt]]*TbTradesBinance[[#This Row],[Preço]])),AR51)-IF(TbTradesBinance[[#This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Row],[Tipo]]="DROP"),AR51+TbTradesBinance[[#This Row],[Qtt]],AR51-TbTradesBinance[[#This Row],[Qtt]]),IF(TbTradesBinance[[#This Row],[Tipo]]="BUY",AR51-TbTradesBinance[[#This Row],[Qtt]]*TbTradesBinance[[#This Row],[Preço]],AR51+TbTradesBinance[[#This Row],[Qtt]]*TbTradesBinance[[#This Row],[Preço]])),AR51)-IF(TbTradesBinance[[#This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Row],[Tipo]]="DROP"),AR51+TbTradesBinance[[#This Row],[Qtt]],AR51-TbTradesBinance[[#This Row],[Qtt]]),IF(TbTradesBinance[[#This Row],[Tipo]]="BUY",AR51-TbTradesBinance[[#This Row],[Qtt]]*TbTradesBinance[[#This Row],[Preço]],AR51+TbTradesBinance[[#This Row],[Qtt]]*TbTradesBinance[[#This Row],[Preço]])),AR51)-IF(TbTradesBinance[[#This Row],[Moeda da Taxa]]=MID(AR$1,9,5),TbTradesBinance[[#This Row],[Taxa]],0),8)))</f>
        <v>0</v>
      </c>
      <c r="AS52" s="145" cm="1">
        <f t="array" ref="AS52">IF(TbTradesBinance[[#This Row],[Tipo]]="EMPTY",0,AS51+IF(TbTradesBinance[[#This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Row],[Par]]))),$1:$1,0)),-(AR51-AR52)/AR51*AS51),0),0)+IF(TbTradesBinance[[#This Row],[Tipo]]="SELL",IF(ISNUMBER(FIND(MID(AS$1,10,5),TbTradesBinance[[#This Row],[Par]])),IF(FIND(MID(AS$1,10,5),TbTradesBinance[[#This Row],[Par]])=1, -(AR51-AR52)/AR51*AS51,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Row],[Par]])),(-(AR51-AR52)/AR51*AS51)+IF(TbTradesBinance[[#This Row],[Resultado]]&gt;0,0,TbTradesBinance[[#This Row],[Taxa]]),0),0))</f>
        <v>0</v>
      </c>
      <c r="AT52" s="145">
        <f t="shared" si="11"/>
        <v>0</v>
      </c>
      <c r="AU5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Row],[Tipo]]="DROP"),AU51+TbTradesBinance[[#This Row],[Qtt]],AU51-TbTradesBinance[[#This Row],[Qtt]]),IF(TbTradesBinance[[#This Row],[Tipo]]="BUY",AU51-TbTradesBinance[[#This Row],[Qtt]]*TbTradesBinance[[#This Row],[Preço]],AU51+TbTradesBinance[[#This Row],[Qtt]]*TbTradesBinance[[#This Row],[Preço]])),AU51)-IF(TbTradesBinance[[#This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Row],[Tipo]]="DROP"),AU51+TbTradesBinance[[#This Row],[Qtt]],AU51-TbTradesBinance[[#This Row],[Qtt]]),IF(TbTradesBinance[[#This Row],[Tipo]]="BUY",AU51-TbTradesBinance[[#This Row],[Qtt]]*TbTradesBinance[[#This Row],[Preço]],AU51+TbTradesBinance[[#This Row],[Qtt]]*TbTradesBinance[[#This Row],[Preço]])),AU51)-IF(TbTradesBinance[[#This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Row],[Tipo]]="DROP"),AU51+TbTradesBinance[[#This Row],[Qtt]],AU51-TbTradesBinance[[#This Row],[Qtt]]),IF(TbTradesBinance[[#This Row],[Tipo]]="BUY",AU51-TbTradesBinance[[#This Row],[Qtt]]*TbTradesBinance[[#This Row],[Preço]],AU51+TbTradesBinance[[#This Row],[Qtt]]*TbTradesBinance[[#This Row],[Preço]])),AU51)-IF(TbTradesBinance[[#This Row],[Moeda da Taxa]]=MID(AU$1,9,5),TbTradesBinance[[#This Row],[Taxa]],0),8)))</f>
        <v>9.9900000000000003E-2</v>
      </c>
      <c r="AV52" s="145" cm="1">
        <f t="array" ref="AV52">IF(TbTradesBinance[[#This Row],[Tipo]]="EMPTY",0,AV51+IF(TbTradesBinance[[#This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Row],[Par]]))),$1:$1,0)),-(AU51-AU52)/AU51*AV51),0),0)+IF(TbTradesBinance[[#This Row],[Tipo]]="SELL",IF(ISNUMBER(FIND(MID(AV$1,10,5),TbTradesBinance[[#This Row],[Par]])),IF(FIND(MID(AV$1,10,5),TbTradesBinance[[#This Row],[Par]])=1, -(AU51-AU52)/AU51*AV51,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Row],[Par]])),(-(AU51-AU52)/AU51*AV51)+IF(TbTradesBinance[[#This Row],[Resultado]]&gt;0,0,TbTradesBinance[[#This Row],[Taxa]]),0),0))</f>
        <v>18.673922987511034</v>
      </c>
      <c r="AW52" s="145">
        <f t="shared" si="12"/>
        <v>186.92615603114149</v>
      </c>
      <c r="AX5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Row],[Tipo]]="DROP"),AX51+TbTradesBinance[[#This Row],[Qtt]],AX51-TbTradesBinance[[#This Row],[Qtt]]),IF(TbTradesBinance[[#This Row],[Tipo]]="BUY",AX51-TbTradesBinance[[#This Row],[Qtt]]*TbTradesBinance[[#This Row],[Preço]],AX51+TbTradesBinance[[#This Row],[Qtt]]*TbTradesBinance[[#This Row],[Preço]])),AX51)-IF(TbTradesBinance[[#This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Row],[Tipo]]="DROP"),AX51+TbTradesBinance[[#This Row],[Qtt]],AX51-TbTradesBinance[[#This Row],[Qtt]]),IF(TbTradesBinance[[#This Row],[Tipo]]="BUY",AX51-TbTradesBinance[[#This Row],[Qtt]]*TbTradesBinance[[#This Row],[Preço]],AX51+TbTradesBinance[[#This Row],[Qtt]]*TbTradesBinance[[#This Row],[Preço]])),AX51)-IF(TbTradesBinance[[#This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Row],[Tipo]]="DROP"),AX51+TbTradesBinance[[#This Row],[Qtt]],AX51-TbTradesBinance[[#This Row],[Qtt]]),IF(TbTradesBinance[[#This Row],[Tipo]]="BUY",AX51-TbTradesBinance[[#This Row],[Qtt]]*TbTradesBinance[[#This Row],[Preço]],AX51+TbTradesBinance[[#This Row],[Qtt]]*TbTradesBinance[[#This Row],[Preço]])),AX51)-IF(TbTradesBinance[[#This Row],[Moeda da Taxa]]=MID(AX$1,9,5),TbTradesBinance[[#This Row],[Taxa]],0),8)))</f>
        <v>0</v>
      </c>
      <c r="AY52" s="145" cm="1">
        <f t="array" ref="AY52">IF(TbTradesBinance[[#This Row],[Tipo]]="EMPTY",0,AY51+IF(TbTradesBinance[[#This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Row],[Par]]))),$1:$1,0)),-(AX51-AX52)/AX51*AY51),0),0)+IF(TbTradesBinance[[#This Row],[Tipo]]="SELL",IF(ISNUMBER(FIND(MID(AY$1,10,5),TbTradesBinance[[#This Row],[Par]])),IF(FIND(MID(AY$1,10,5),TbTradesBinance[[#This Row],[Par]])=1, -(AX51-AX52)/AX51*AY51,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Row],[Par]])),(-(AX51-AX52)/AX51*AY51)+IF(TbTradesBinance[[#This Row],[Resultado]]&gt;0,0,TbTradesBinance[[#This Row],[Taxa]]),0),0))</f>
        <v>0</v>
      </c>
      <c r="AZ52" s="145">
        <f t="shared" si="13"/>
        <v>0</v>
      </c>
      <c r="BA5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Row],[Tipo]]="DROP"),BA51+TbTradesBinance[[#This Row],[Qtt]],BA51-TbTradesBinance[[#This Row],[Qtt]]),IF(TbTradesBinance[[#This Row],[Tipo]]="BUY",BA51-TbTradesBinance[[#This Row],[Qtt]]*TbTradesBinance[[#This Row],[Preço]],BA51+TbTradesBinance[[#This Row],[Qtt]]*TbTradesBinance[[#This Row],[Preço]])),BA51)-IF(TbTradesBinance[[#This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Row],[Tipo]]="DROP"),BA51+TbTradesBinance[[#This Row],[Qtt]],BA51-TbTradesBinance[[#This Row],[Qtt]]),IF(TbTradesBinance[[#This Row],[Tipo]]="BUY",BA51-TbTradesBinance[[#This Row],[Qtt]]*TbTradesBinance[[#This Row],[Preço]],BA51+TbTradesBinance[[#This Row],[Qtt]]*TbTradesBinance[[#This Row],[Preço]])),BA51)-IF(TbTradesBinance[[#This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Row],[Tipo]]="DROP"),BA51+TbTradesBinance[[#This Row],[Qtt]],BA51-TbTradesBinance[[#This Row],[Qtt]]),IF(TbTradesBinance[[#This Row],[Tipo]]="BUY",BA51-TbTradesBinance[[#This Row],[Qtt]]*TbTradesBinance[[#This Row],[Preço]],BA51+TbTradesBinance[[#This Row],[Qtt]]*TbTradesBinance[[#This Row],[Preço]])),BA51)-IF(TbTradesBinance[[#This Row],[Moeda da Taxa]]=MID(BA$1,9,5),TbTradesBinance[[#This Row],[Taxa]],0),8)))</f>
        <v>0</v>
      </c>
      <c r="BB52" s="145" cm="1">
        <f t="array" ref="BB52">IF(TbTradesBinance[[#This Row],[Tipo]]="EMPTY",0,BB51+IF(TbTradesBinance[[#This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Row],[Par]]))),$1:$1,0)),-(BA51-BA52)/BA51*BB51),0),0)+IF(TbTradesBinance[[#This Row],[Tipo]]="SELL",IF(ISNUMBER(FIND(MID(BB$1,10,5),TbTradesBinance[[#This Row],[Par]])),IF(FIND(MID(BB$1,10,5),TbTradesBinance[[#This Row],[Par]])=1, -(BA51-BA52)/BA51*BB51,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Row],[Par]])),(-(BA51-BA52)/BA51*BB51)+IF(TbTradesBinance[[#This Row],[Resultado]]&gt;0,0,TbTradesBinance[[#This Row],[Taxa]]),0),0))</f>
        <v>0</v>
      </c>
      <c r="BC52" s="145">
        <f t="shared" si="14"/>
        <v>0</v>
      </c>
      <c r="BD5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Row],[Tipo]]="DROP"),BD51+TbTradesBinance[[#This Row],[Qtt]],BD51-TbTradesBinance[[#This Row],[Qtt]]),IF(TbTradesBinance[[#This Row],[Tipo]]="BUY",BD51-TbTradesBinance[[#This Row],[Qtt]]*TbTradesBinance[[#This Row],[Preço]],BD51+TbTradesBinance[[#This Row],[Qtt]]*TbTradesBinance[[#This Row],[Preço]])),BD51)-IF(TbTradesBinance[[#This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Row],[Tipo]]="DROP"),BD51+TbTradesBinance[[#This Row],[Qtt]],BD51-TbTradesBinance[[#This Row],[Qtt]]),IF(TbTradesBinance[[#This Row],[Tipo]]="BUY",BD51-TbTradesBinance[[#This Row],[Qtt]]*TbTradesBinance[[#This Row],[Preço]],BD51+TbTradesBinance[[#This Row],[Qtt]]*TbTradesBinance[[#This Row],[Preço]])),BD51)-IF(TbTradesBinance[[#This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Row],[Tipo]]="DROP"),BD51+TbTradesBinance[[#This Row],[Qtt]],BD51-TbTradesBinance[[#This Row],[Qtt]]),IF(TbTradesBinance[[#This Row],[Tipo]]="BUY",BD51-TbTradesBinance[[#This Row],[Qtt]]*TbTradesBinance[[#This Row],[Preço]],BD51+TbTradesBinance[[#This Row],[Qtt]]*TbTradesBinance[[#This Row],[Preço]])),BD51)-IF(TbTradesBinance[[#This Row],[Moeda da Taxa]]=MID(BD$1,9,5),TbTradesBinance[[#This Row],[Taxa]],0),8)))</f>
        <v>0.37962000000000001</v>
      </c>
      <c r="BE52" s="145" cm="1">
        <f t="array" ref="BE52">IF(TbTradesBinance[[#This Row],[Tipo]]="EMPTY",0,BE51+IF(TbTradesBinance[[#This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Row],[Par]]))),$1:$1,0)),-(BD51-BD52)/BD51*BE51),0),0)+IF(TbTradesBinance[[#This Row],[Tipo]]="SELL",IF(ISNUMBER(FIND(MID(BE$1,10,5),TbTradesBinance[[#This Row],[Par]])),IF(FIND(MID(BE$1,10,5),TbTradesBinance[[#This Row],[Par]])=1, -(BD51-BD52)/BD51*BE51,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Row],[Par]])),(-(BD51-BD52)/BD51*BE51)+IF(TbTradesBinance[[#This Row],[Resultado]]&gt;0,0,TbTradesBinance[[#This Row],[Taxa]]),0),0))</f>
        <v>63.647297001537943</v>
      </c>
      <c r="BF52" s="145">
        <f t="shared" si="15"/>
        <v>167.66054739354601</v>
      </c>
      <c r="BG5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Row],[Tipo]]="DROP"),BG51+TbTradesBinance[[#This Row],[Qtt]],BG51-TbTradesBinance[[#This Row],[Qtt]]),IF(TbTradesBinance[[#This Row],[Tipo]]="BUY",BG51-TbTradesBinance[[#This Row],[Qtt]]*TbTradesBinance[[#This Row],[Preço]],BG51+TbTradesBinance[[#This Row],[Qtt]]*TbTradesBinance[[#This Row],[Preço]])),BG51)-IF(TbTradesBinance[[#This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Row],[Tipo]]="DROP"),BG51+TbTradesBinance[[#This Row],[Qtt]],BG51-TbTradesBinance[[#This Row],[Qtt]]),IF(TbTradesBinance[[#This Row],[Tipo]]="BUY",BG51-TbTradesBinance[[#This Row],[Qtt]]*TbTradesBinance[[#This Row],[Preço]],BG51+TbTradesBinance[[#This Row],[Qtt]]*TbTradesBinance[[#This Row],[Preço]])),BG51)-IF(TbTradesBinance[[#This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Row],[Tipo]]="DROP"),BG51+TbTradesBinance[[#This Row],[Qtt]],BG51-TbTradesBinance[[#This Row],[Qtt]]),IF(TbTradesBinance[[#This Row],[Tipo]]="BUY",BG51-TbTradesBinance[[#This Row],[Qtt]]*TbTradesBinance[[#This Row],[Preço]],BG51+TbTradesBinance[[#This Row],[Qtt]]*TbTradesBinance[[#This Row],[Preço]])),BG51)-IF(TbTradesBinance[[#This Row],[Moeda da Taxa]]=MID(BG$1,9,5),TbTradesBinance[[#This Row],[Taxa]],0),8)))</f>
        <v>0</v>
      </c>
      <c r="BH52" s="145" cm="1">
        <f t="array" ref="BH52">IF(TbTradesBinance[[#This Row],[Tipo]]="EMPTY",0,BH51+IF(TbTradesBinance[[#This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Row],[Par]]))),$1:$1,0)),-(BG51-BG52)/BG51*BH51),0),0)+IF(TbTradesBinance[[#This Row],[Tipo]]="SELL",IF(ISNUMBER(FIND(MID(BH$1,10,5),TbTradesBinance[[#This Row],[Par]])),IF(FIND(MID(BH$1,10,5),TbTradesBinance[[#This Row],[Par]])=1, -(BG51-BG52)/BG51*BH51,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Row],[Par]])),(-(BG51-BG52)/BG51*BH51)+IF(TbTradesBinance[[#This Row],[Resultado]]&gt;0,0,TbTradesBinance[[#This Row],[Taxa]]),0),0))</f>
        <v>0</v>
      </c>
      <c r="BI52" s="145">
        <f t="shared" si="16"/>
        <v>0</v>
      </c>
      <c r="BJ5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Row],[Tipo]]="DROP"),BJ51+TbTradesBinance[[#This Row],[Qtt]],BJ51-TbTradesBinance[[#This Row],[Qtt]]),IF(TbTradesBinance[[#This Row],[Tipo]]="BUY",BJ51-TbTradesBinance[[#This Row],[Qtt]]*TbTradesBinance[[#This Row],[Preço]],BJ51+TbTradesBinance[[#This Row],[Qtt]]*TbTradesBinance[[#This Row],[Preço]])),BJ51)-IF(TbTradesBinance[[#This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Row],[Tipo]]="DROP"),BJ51+TbTradesBinance[[#This Row],[Qtt]],BJ51-TbTradesBinance[[#This Row],[Qtt]]),IF(TbTradesBinance[[#This Row],[Tipo]]="BUY",BJ51-TbTradesBinance[[#This Row],[Qtt]]*TbTradesBinance[[#This Row],[Preço]],BJ51+TbTradesBinance[[#This Row],[Qtt]]*TbTradesBinance[[#This Row],[Preço]])),BJ51)-IF(TbTradesBinance[[#This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Row],[Tipo]]="DROP"),BJ51+TbTradesBinance[[#This Row],[Qtt]],BJ51-TbTradesBinance[[#This Row],[Qtt]]),IF(TbTradesBinance[[#This Row],[Tipo]]="BUY",BJ51-TbTradesBinance[[#This Row],[Qtt]]*TbTradesBinance[[#This Row],[Preço]],BJ51+TbTradesBinance[[#This Row],[Qtt]]*TbTradesBinance[[#This Row],[Preço]])),BJ51)-IF(TbTradesBinance[[#This Row],[Moeda da Taxa]]=MID(BJ$1,9,5),TbTradesBinance[[#This Row],[Taxa]],0),8)))</f>
        <v>0</v>
      </c>
      <c r="BK52" s="145" cm="1">
        <f t="array" ref="BK52">IF(TbTradesBinance[[#This Row],[Tipo]]="EMPTY",0,BK51+IF(TbTradesBinance[[#This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Row],[Par]]))),$1:$1,0)),-(BJ51-BJ52)/BJ51*BK51),0),0)+IF(TbTradesBinance[[#This Row],[Tipo]]="SELL",IF(ISNUMBER(FIND(MID(BK$1,10,5),TbTradesBinance[[#This Row],[Par]])),IF(FIND(MID(BK$1,10,5),TbTradesBinance[[#This Row],[Par]])=1, -(BJ51-BJ52)/BJ51*BK51,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Row],[Par]])),(-(BJ51-BJ52)/BJ51*BK51)+IF(TbTradesBinance[[#This Row],[Resultado]]&gt;0,0,TbTradesBinance[[#This Row],[Taxa]]),0),0))</f>
        <v>0</v>
      </c>
      <c r="BL52" s="145">
        <f t="shared" si="17"/>
        <v>0</v>
      </c>
      <c r="BM5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Row],[Tipo]]="DROP"),BM51+TbTradesBinance[[#This Row],[Qtt]],BM51-TbTradesBinance[[#This Row],[Qtt]]),IF(TbTradesBinance[[#This Row],[Tipo]]="BUY",BM51-TbTradesBinance[[#This Row],[Qtt]]*TbTradesBinance[[#This Row],[Preço]],BM51+TbTradesBinance[[#This Row],[Qtt]]*TbTradesBinance[[#This Row],[Preço]])),BM51)-IF(TbTradesBinance[[#This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Row],[Tipo]]="DROP"),BM51+TbTradesBinance[[#This Row],[Qtt]],BM51-TbTradesBinance[[#This Row],[Qtt]]),IF(TbTradesBinance[[#This Row],[Tipo]]="BUY",BM51-TbTradesBinance[[#This Row],[Qtt]]*TbTradesBinance[[#This Row],[Preço]],BM51+TbTradesBinance[[#This Row],[Qtt]]*TbTradesBinance[[#This Row],[Preço]])),BM51)-IF(TbTradesBinance[[#This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Row],[Tipo]]="DROP"),BM51+TbTradesBinance[[#This Row],[Qtt]],BM51-TbTradesBinance[[#This Row],[Qtt]]),IF(TbTradesBinance[[#This Row],[Tipo]]="BUY",BM51-TbTradesBinance[[#This Row],[Qtt]]*TbTradesBinance[[#This Row],[Preço]],BM51+TbTradesBinance[[#This Row],[Qtt]]*TbTradesBinance[[#This Row],[Preço]])),BM51)-IF(TbTradesBinance[[#This Row],[Moeda da Taxa]]=MID(BM$1,9,5),TbTradesBinance[[#This Row],[Taxa]],0),8)))</f>
        <v>0</v>
      </c>
      <c r="BN52" s="145" cm="1">
        <f t="array" ref="BN52">IF(TbTradesBinance[[#This Row],[Tipo]]="EMPTY",0,BN51+IF(TbTradesBinance[[#This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Row],[Par]]))),$1:$1,0)),-(BM51-BM52)/BM51*BN51),0),0)+IF(TbTradesBinance[[#This Row],[Tipo]]="SELL",IF(ISNUMBER(FIND(MID(BN$1,10,5),TbTradesBinance[[#This Row],[Par]])),IF(FIND(MID(BN$1,10,5),TbTradesBinance[[#This Row],[Par]])=1, -(BM51-BM52)/BM51*BN51,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Row],[Par]])),(-(BM51-BM52)/BM51*BN51)+IF(TbTradesBinance[[#This Row],[Resultado]]&gt;0,0,TbTradesBinance[[#This Row],[Taxa]]),0),0))</f>
        <v>0</v>
      </c>
      <c r="BO52" s="145">
        <f t="shared" si="18"/>
        <v>0</v>
      </c>
    </row>
    <row r="53" spans="2:67" x14ac:dyDescent="0.3">
      <c r="B53" s="51"/>
      <c r="C53" s="40">
        <f>TRUNC(IF(AND(TbTradesBinance[[#This Row],[Tipo]]="SEND",TbTradesBinance[[#This Row],[Par]]="BRL"),TbTradesBinance[[#This Row],[Qtt]]*(1-P51)-IF(TbTradesBinance[[#This Row],[Moeda da Taxa]]="BRL",TbTradesBinance[[#This Row],[Taxa]],0),0)+IF(AND(TbTradesBinance[[#This Row],[Tipo]]="BURN",TbTradesBinance[[#This Row],[Par]]="BRL"),-TbTradesBinance[[#This Row],[Qtt]]*P51,0),2)</f>
        <v>0</v>
      </c>
      <c r="D53" s="53">
        <v>44263.876284722224</v>
      </c>
      <c r="E53" s="37" t="s">
        <v>138</v>
      </c>
      <c r="F53" s="47" t="s">
        <v>140</v>
      </c>
      <c r="G53" s="38">
        <v>304300</v>
      </c>
      <c r="H53" s="38">
        <v>6.8999999999999997E-5</v>
      </c>
      <c r="I53" s="38">
        <v>0</v>
      </c>
      <c r="J53" s="37" t="s">
        <v>45</v>
      </c>
      <c r="K53" s="52">
        <v>1</v>
      </c>
      <c r="L53" s="40">
        <f t="shared" si="0"/>
        <v>304300</v>
      </c>
      <c r="M53" s="40">
        <f>IF(OR(TbTradesBinance[[#This Row],[Tipo]]="BUY",TbTradesBinance[[#This Row],[Tipo]]="RECEIVE",TbTradesBinance[[#This Row],[Tipo]]="DROP"),L53*H53,-L53*H53)</f>
        <v>-20.996700000000001</v>
      </c>
      <c r="N5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Row],[Tipo]]="DROP"),N52+TbTradesBinance[[#This Row],[Qtt]],N52-TbTradesBinance[[#This Row],[Qtt]]),IF(TbTradesBinance[[#This Row],[Tipo]]="BUY",N52-TbTradesBinance[[#This Row],[Qtt]]*TbTradesBinance[[#This Row],[Preço]],N52+TbTradesBinance[[#This Row],[Qtt]]*TbTradesBinance[[#This Row],[Preço]])),N52)-IF(TbTradesBinance[[#This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Row],[Tipo]]="DROP"),N52+TbTradesBinance[[#This Row],[Qtt]],N52-TbTradesBinance[[#This Row],[Qtt]]),IF(TbTradesBinance[[#This Row],[Tipo]]="BUY",N52-TbTradesBinance[[#This Row],[Qtt]]*TbTradesBinance[[#This Row],[Preço]],N52+TbTradesBinance[[#This Row],[Qtt]]*TbTradesBinance[[#This Row],[Preço]])),N52)-IF(TbTradesBinance[[#This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Row],[Tipo]]="DROP"),N52+TbTradesBinance[[#This Row],[Qtt]],N52-TbTradesBinance[[#This Row],[Qtt]]),IF(TbTradesBinance[[#This Row],[Tipo]]="BUY",N52-TbTradesBinance[[#This Row],[Qtt]]*TbTradesBinance[[#This Row],[Preço]],N52+TbTradesBinance[[#This Row],[Qtt]]*TbTradesBinance[[#This Row],[Preço]])),N52)-IF(TbTradesBinance[[#This Row],[Moeda da Taxa]]=MID(N$1,9,5),TbTradesBinance[[#This Row],[Taxa]],0),8)))</f>
        <v>119965.99093289</v>
      </c>
      <c r="O53" s="145" cm="1">
        <f t="array" ref="O53">IF(TbTradesBinance[[#This Row],[Tipo]]="EMPTY",0,O52+IF(TbTradesBinance[[#This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Row],[Par]]))),$1:$1,0)),-(N52-N53)/N52*O52),0),0)+IF(TbTradesBinance[[#This Row],[Tipo]]="SELL",IF(ISNUMBER(FIND(MID(O$1,10,5),TbTradesBinance[[#This Row],[Par]])),IF(FIND(MID(O$1,10,5),TbTradesBinance[[#This Row],[Par]])=1, -(N52-N53)/N52*O52,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Row],[Par]])),(-(N52-N53)/N52*O52)+IF(TbTradesBinance[[#This Row],[Resultado]]&gt;0,0,TbTradesBinance[[#This Row],[Taxa]]),0),0))</f>
        <v>119877.25360367598</v>
      </c>
      <c r="P53" s="145">
        <f t="shared" si="1"/>
        <v>0.99926031262256942</v>
      </c>
      <c r="Q5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Row],[Tipo]]="DROP"),Q52+TbTradesBinance[[#This Row],[Qtt]],Q52-TbTradesBinance[[#This Row],[Qtt]]),IF(TbTradesBinance[[#This Row],[Tipo]]="BUY",Q52-TbTradesBinance[[#This Row],[Qtt]]*TbTradesBinance[[#This Row],[Preço]],Q52+TbTradesBinance[[#This Row],[Qtt]]*TbTradesBinance[[#This Row],[Preço]])),Q52)-IF(TbTradesBinance[[#This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Row],[Tipo]]="DROP"),Q52+TbTradesBinance[[#This Row],[Qtt]],Q52-TbTradesBinance[[#This Row],[Qtt]]),IF(TbTradesBinance[[#This Row],[Tipo]]="BUY",Q52-TbTradesBinance[[#This Row],[Qtt]]*TbTradesBinance[[#This Row],[Preço]],Q52+TbTradesBinance[[#This Row],[Qtt]]*TbTradesBinance[[#This Row],[Preço]])),Q52)-IF(TbTradesBinance[[#This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Row],[Tipo]]="DROP"),Q52+TbTradesBinance[[#This Row],[Qtt]],Q52-TbTradesBinance[[#This Row],[Qtt]]),IF(TbTradesBinance[[#This Row],[Tipo]]="BUY",Q52-TbTradesBinance[[#This Row],[Qtt]]*TbTradesBinance[[#This Row],[Preço]],Q52+TbTradesBinance[[#This Row],[Qtt]]*TbTradesBinance[[#This Row],[Preço]])),Q52)-IF(TbTradesBinance[[#This Row],[Moeda da Taxa]]=MID(Q$1,9,5),TbTradesBinance[[#This Row],[Taxa]],0),8)))</f>
        <v>0</v>
      </c>
      <c r="R53" s="145" cm="1">
        <f t="array" ref="R53">IF(TbTradesBinance[[#This Row],[Tipo]]="EMPTY",0,R52+IF(TbTradesBinance[[#This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Row],[Par]]))),$1:$1,0)),-(Q52-Q53)/Q52*R52),0),0)+IF(TbTradesBinance[[#This Row],[Tipo]]="SELL",IF(ISNUMBER(FIND(MID(R$1,10,5),TbTradesBinance[[#This Row],[Par]])),IF(FIND(MID(R$1,10,5),TbTradesBinance[[#This Row],[Par]])=1, -(Q52-Q53)/Q52*R52,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Row],[Par]])),(-(Q52-Q53)/Q52*R52)+IF(TbTradesBinance[[#This Row],[Resultado]]&gt;0,0,TbTradesBinance[[#This Row],[Taxa]]),0),0))</f>
        <v>0</v>
      </c>
      <c r="S53" s="145">
        <f t="shared" si="2"/>
        <v>0</v>
      </c>
      <c r="T5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Row],[Tipo]]="DROP"),T52+TbTradesBinance[[#This Row],[Qtt]],T52-TbTradesBinance[[#This Row],[Qtt]]),IF(TbTradesBinance[[#This Row],[Tipo]]="BUY",T52-TbTradesBinance[[#This Row],[Qtt]]*TbTradesBinance[[#This Row],[Preço]],T52+TbTradesBinance[[#This Row],[Qtt]]*TbTradesBinance[[#This Row],[Preço]])),T52)-IF(TbTradesBinance[[#This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Row],[Tipo]]="DROP"),T52+TbTradesBinance[[#This Row],[Qtt]],T52-TbTradesBinance[[#This Row],[Qtt]]),IF(TbTradesBinance[[#This Row],[Tipo]]="BUY",T52-TbTradesBinance[[#This Row],[Qtt]]*TbTradesBinance[[#This Row],[Preço]],T52+TbTradesBinance[[#This Row],[Qtt]]*TbTradesBinance[[#This Row],[Preço]])),T52)-IF(TbTradesBinance[[#This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Row],[Tipo]]="DROP"),T52+TbTradesBinance[[#This Row],[Qtt]],T52-TbTradesBinance[[#This Row],[Qtt]]),IF(TbTradesBinance[[#This Row],[Tipo]]="BUY",T52-TbTradesBinance[[#This Row],[Qtt]]*TbTradesBinance[[#This Row],[Preço]],T52+TbTradesBinance[[#This Row],[Qtt]]*TbTradesBinance[[#This Row],[Preço]])),T52)-IF(TbTradesBinance[[#This Row],[Moeda da Taxa]]=MID(T$1,9,5),TbTradesBinance[[#This Row],[Taxa]],0),8)))</f>
        <v>199735.32000169999</v>
      </c>
      <c r="U53" s="145" cm="1">
        <f t="array" ref="U53">IF(TbTradesBinance[[#This Row],[Tipo]]="EMPTY",0,U52+IF(TbTradesBinance[[#This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Row],[Par]]))),$1:$1,0)),-(T52-T53)/T52*U52),0),0)+IF(TbTradesBinance[[#This Row],[Tipo]]="SELL",IF(ISNUMBER(FIND(MID(U$1,10,5),TbTradesBinance[[#This Row],[Par]])),IF(FIND(MID(U$1,10,5),TbTradesBinance[[#This Row],[Par]])=1, -(T52-T53)/T52*U52,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Row],[Par]])),(-(T52-T53)/T52*U52)+IF(TbTradesBinance[[#This Row],[Resultado]]&gt;0,0,TbTradesBinance[[#This Row],[Taxa]]),0),0))</f>
        <v>1328239.8809817513</v>
      </c>
      <c r="V53" s="145">
        <f t="shared" si="3"/>
        <v>6.6500000148719129</v>
      </c>
      <c r="W5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Row],[Tipo]]="DROP"),W52+TbTradesBinance[[#This Row],[Qtt]],W52-TbTradesBinance[[#This Row],[Qtt]]),IF(TbTradesBinance[[#This Row],[Tipo]]="BUY",W52-TbTradesBinance[[#This Row],[Qtt]]*TbTradesBinance[[#This Row],[Preço]],W52+TbTradesBinance[[#This Row],[Qtt]]*TbTradesBinance[[#This Row],[Preço]])),W52)-IF(TbTradesBinance[[#This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Row],[Tipo]]="DROP"),W52+TbTradesBinance[[#This Row],[Qtt]],W52-TbTradesBinance[[#This Row],[Qtt]]),IF(TbTradesBinance[[#This Row],[Tipo]]="BUY",W52-TbTradesBinance[[#This Row],[Qtt]]*TbTradesBinance[[#This Row],[Preço]],W52+TbTradesBinance[[#This Row],[Qtt]]*TbTradesBinance[[#This Row],[Preço]])),W52)-IF(TbTradesBinance[[#This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Row],[Tipo]]="DROP"),W52+TbTradesBinance[[#This Row],[Qtt]],W52-TbTradesBinance[[#This Row],[Qtt]]),IF(TbTradesBinance[[#This Row],[Tipo]]="BUY",W52-TbTradesBinance[[#This Row],[Qtt]]*TbTradesBinance[[#This Row],[Preço]],W52+TbTradesBinance[[#This Row],[Qtt]]*TbTradesBinance[[#This Row],[Preço]])),W52)-IF(TbTradesBinance[[#This Row],[Moeda da Taxa]]=MID(W$1,9,5),TbTradesBinance[[#This Row],[Taxa]],0),8)))</f>
        <v>7.4264000000000003E-4</v>
      </c>
      <c r="X53" s="145" cm="1">
        <f t="array" ref="X53">IF(TbTradesBinance[[#This Row],[Tipo]]="EMPTY",0,X52+IF(TbTradesBinance[[#This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Row],[Par]]))),$1:$1,0)),-(W52-W53)/W52*X52),0),0)+IF(TbTradesBinance[[#This Row],[Tipo]]="SELL",IF(ISNUMBER(FIND(MID(X$1,10,5),TbTradesBinance[[#This Row],[Par]])),IF(FIND(MID(X$1,10,5),TbTradesBinance[[#This Row],[Par]])=1, -(W52-W53)/W52*X52,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Row],[Par]])),(-(W52-W53)/W52*X52)+IF(TbTradesBinance[[#This Row],[Resultado]]&gt;0,0,TbTradesBinance[[#This Row],[Taxa]]),0),0))</f>
        <v>206.4772064172158</v>
      </c>
      <c r="Y53" s="145">
        <f t="shared" si="4"/>
        <v>278031.35626577586</v>
      </c>
      <c r="Z5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Row],[Tipo]]="DROP"),Z52+TbTradesBinance[[#This Row],[Qtt]],Z52-TbTradesBinance[[#This Row],[Qtt]]),IF(TbTradesBinance[[#This Row],[Tipo]]="BUY",Z52-TbTradesBinance[[#This Row],[Qtt]]*TbTradesBinance[[#This Row],[Preço]],Z52+TbTradesBinance[[#This Row],[Qtt]]*TbTradesBinance[[#This Row],[Preço]])),Z52)-IF(TbTradesBinance[[#This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Row],[Tipo]]="DROP"),Z52+TbTradesBinance[[#This Row],[Qtt]],Z52-TbTradesBinance[[#This Row],[Qtt]]),IF(TbTradesBinance[[#This Row],[Tipo]]="BUY",Z52-TbTradesBinance[[#This Row],[Qtt]]*TbTradesBinance[[#This Row],[Preço]],Z52+TbTradesBinance[[#This Row],[Qtt]]*TbTradesBinance[[#This Row],[Preço]])),Z52)-IF(TbTradesBinance[[#This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Row],[Tipo]]="DROP"),Z52+TbTradesBinance[[#This Row],[Qtt]],Z52-TbTradesBinance[[#This Row],[Qtt]]),IF(TbTradesBinance[[#This Row],[Tipo]]="BUY",Z52-TbTradesBinance[[#This Row],[Qtt]]*TbTradesBinance[[#This Row],[Preço]],Z52+TbTradesBinance[[#This Row],[Qtt]]*TbTradesBinance[[#This Row],[Preço]])),Z52)-IF(TbTradesBinance[[#This Row],[Moeda da Taxa]]=MID(Z$1,9,5),TbTradesBinance[[#This Row],[Taxa]],0),8)))</f>
        <v>0</v>
      </c>
      <c r="AA53" s="145" cm="1">
        <f t="array" ref="AA53">IF(TbTradesBinance[[#This Row],[Tipo]]="EMPTY",0,AA52+IF(TbTradesBinance[[#This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Row],[Par]]))),$1:$1,0)),-(Z52-Z53)/Z52*AA52),0),0)+IF(TbTradesBinance[[#This Row],[Tipo]]="SELL",IF(ISNUMBER(FIND(MID(AA$1,10,5),TbTradesBinance[[#This Row],[Par]])),IF(FIND(MID(AA$1,10,5),TbTradesBinance[[#This Row],[Par]])=1, -(Z52-Z53)/Z52*AA52,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Row],[Par]])),(-(Z52-Z53)/Z52*AA52)+IF(TbTradesBinance[[#This Row],[Resultado]]&gt;0,0,TbTradesBinance[[#This Row],[Taxa]]),0),0))</f>
        <v>0</v>
      </c>
      <c r="AB53" s="145">
        <f t="shared" si="5"/>
        <v>0</v>
      </c>
      <c r="AC5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Row],[Tipo]]="DROP"),AC52+TbTradesBinance[[#This Row],[Qtt]],AC52-TbTradesBinance[[#This Row],[Qtt]]),IF(TbTradesBinance[[#This Row],[Tipo]]="BUY",AC52-TbTradesBinance[[#This Row],[Qtt]]*TbTradesBinance[[#This Row],[Preço]],AC52+TbTradesBinance[[#This Row],[Qtt]]*TbTradesBinance[[#This Row],[Preço]])),AC52)-IF(TbTradesBinance[[#This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Row],[Tipo]]="DROP"),AC52+TbTradesBinance[[#This Row],[Qtt]],AC52-TbTradesBinance[[#This Row],[Qtt]]),IF(TbTradesBinance[[#This Row],[Tipo]]="BUY",AC52-TbTradesBinance[[#This Row],[Qtt]]*TbTradesBinance[[#This Row],[Preço]],AC52+TbTradesBinance[[#This Row],[Qtt]]*TbTradesBinance[[#This Row],[Preço]])),AC52)-IF(TbTradesBinance[[#This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Row],[Tipo]]="DROP"),AC52+TbTradesBinance[[#This Row],[Qtt]],AC52-TbTradesBinance[[#This Row],[Qtt]]),IF(TbTradesBinance[[#This Row],[Tipo]]="BUY",AC52-TbTradesBinance[[#This Row],[Qtt]]*TbTradesBinance[[#This Row],[Preço]],AC52+TbTradesBinance[[#This Row],[Qtt]]*TbTradesBinance[[#This Row],[Preço]])),AC52)-IF(TbTradesBinance[[#This Row],[Moeda da Taxa]]=MID(AC$1,9,5),TbTradesBinance[[#This Row],[Taxa]],0),8)))</f>
        <v>0</v>
      </c>
      <c r="AD53" s="145" cm="1">
        <f t="array" ref="AD53">IF(TbTradesBinance[[#This Row],[Tipo]]="EMPTY",0,AD52+IF(TbTradesBinance[[#This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Row],[Par]]))),$1:$1,0)),-(AC52-AC53)/AC52*AD52),0),0)+IF(TbTradesBinance[[#This Row],[Tipo]]="SELL",IF(ISNUMBER(FIND(MID(AD$1,10,5),TbTradesBinance[[#This Row],[Par]])),IF(FIND(MID(AD$1,10,5),TbTradesBinance[[#This Row],[Par]])=1, -(AC52-AC53)/AC52*AD52,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Row],[Par]])),(-(AC52-AC53)/AC52*AD52)+IF(TbTradesBinance[[#This Row],[Resultado]]&gt;0,0,TbTradesBinance[[#This Row],[Taxa]]),0),0))</f>
        <v>0</v>
      </c>
      <c r="AE53" s="145">
        <f t="shared" si="6"/>
        <v>0</v>
      </c>
      <c r="AF5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Row],[Tipo]]="DROP"),AF52+TbTradesBinance[[#This Row],[Qtt]],AF52-TbTradesBinance[[#This Row],[Qtt]]),IF(TbTradesBinance[[#This Row],[Tipo]]="BUY",AF52-TbTradesBinance[[#This Row],[Qtt]]*TbTradesBinance[[#This Row],[Preço]],AF52+TbTradesBinance[[#This Row],[Qtt]]*TbTradesBinance[[#This Row],[Preço]])),AF52)-IF(TbTradesBinance[[#This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Row],[Tipo]]="DROP"),AF52+TbTradesBinance[[#This Row],[Qtt]],AF52-TbTradesBinance[[#This Row],[Qtt]]),IF(TbTradesBinance[[#This Row],[Tipo]]="BUY",AF52-TbTradesBinance[[#This Row],[Qtt]]*TbTradesBinance[[#This Row],[Preço]],AF52+TbTradesBinance[[#This Row],[Qtt]]*TbTradesBinance[[#This Row],[Preço]])),AF52)-IF(TbTradesBinance[[#This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Row],[Tipo]]="DROP"),AF52+TbTradesBinance[[#This Row],[Qtt]],AF52-TbTradesBinance[[#This Row],[Qtt]]),IF(TbTradesBinance[[#This Row],[Tipo]]="BUY",AF52-TbTradesBinance[[#This Row],[Qtt]]*TbTradesBinance[[#This Row],[Preço]],AF52+TbTradesBinance[[#This Row],[Qtt]]*TbTradesBinance[[#This Row],[Preço]])),AF52)-IF(TbTradesBinance[[#This Row],[Moeda da Taxa]]=MID(AF$1,9,5),TbTradesBinance[[#This Row],[Taxa]],0),8)))</f>
        <v>0</v>
      </c>
      <c r="AG53" s="145" cm="1">
        <f t="array" ref="AG53">IF(TbTradesBinance[[#This Row],[Tipo]]="EMPTY",0,AG52+IF(TbTradesBinance[[#This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Row],[Par]]))),$1:$1,0)),-(AF52-AF53)/AF52*AG52),0),0)+IF(TbTradesBinance[[#This Row],[Tipo]]="SELL",IF(ISNUMBER(FIND(MID(AG$1,10,5),TbTradesBinance[[#This Row],[Par]])),IF(FIND(MID(AG$1,10,5),TbTradesBinance[[#This Row],[Par]])=1, -(AF52-AF53)/AF52*AG52,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Row],[Par]])),(-(AF52-AF53)/AF52*AG52)+IF(TbTradesBinance[[#This Row],[Resultado]]&gt;0,0,TbTradesBinance[[#This Row],[Taxa]]),0),0))</f>
        <v>0</v>
      </c>
      <c r="AH53" s="145">
        <f t="shared" si="7"/>
        <v>0</v>
      </c>
      <c r="AI5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Row],[Tipo]]="DROP"),AI52+TbTradesBinance[[#This Row],[Qtt]],AI52-TbTradesBinance[[#This Row],[Qtt]]),IF(TbTradesBinance[[#This Row],[Tipo]]="BUY",AI52-TbTradesBinance[[#This Row],[Qtt]]*TbTradesBinance[[#This Row],[Preço]],AI52+TbTradesBinance[[#This Row],[Qtt]]*TbTradesBinance[[#This Row],[Preço]])),AI52)-IF(TbTradesBinance[[#This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Row],[Tipo]]="DROP"),AI52+TbTradesBinance[[#This Row],[Qtt]],AI52-TbTradesBinance[[#This Row],[Qtt]]),IF(TbTradesBinance[[#This Row],[Tipo]]="BUY",AI52-TbTradesBinance[[#This Row],[Qtt]]*TbTradesBinance[[#This Row],[Preço]],AI52+TbTradesBinance[[#This Row],[Qtt]]*TbTradesBinance[[#This Row],[Preço]])),AI52)-IF(TbTradesBinance[[#This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Row],[Tipo]]="DROP"),AI52+TbTradesBinance[[#This Row],[Qtt]],AI52-TbTradesBinance[[#This Row],[Qtt]]),IF(TbTradesBinance[[#This Row],[Tipo]]="BUY",AI52-TbTradesBinance[[#This Row],[Qtt]]*TbTradesBinance[[#This Row],[Preço]],AI52+TbTradesBinance[[#This Row],[Qtt]]*TbTradesBinance[[#This Row],[Preço]])),AI52)-IF(TbTradesBinance[[#This Row],[Moeda da Taxa]]=MID(AI$1,9,5),TbTradesBinance[[#This Row],[Taxa]],0),8)))</f>
        <v>0</v>
      </c>
      <c r="AJ53" s="145" cm="1">
        <f t="array" ref="AJ53">IF(TbTradesBinance[[#This Row],[Tipo]]="EMPTY",0,AJ52+IF(TbTradesBinance[[#This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Row],[Par]]))),$1:$1,0)),-(AI52-AI53)/AI52*AJ52),0),0)+IF(TbTradesBinance[[#This Row],[Tipo]]="SELL",IF(ISNUMBER(FIND(MID(AJ$1,10,5),TbTradesBinance[[#This Row],[Par]])),IF(FIND(MID(AJ$1,10,5),TbTradesBinance[[#This Row],[Par]])=1, -(AI52-AI53)/AI52*AJ52,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Row],[Par]])),(-(AI52-AI53)/AI52*AJ52)+IF(TbTradesBinance[[#This Row],[Resultado]]&gt;0,0,TbTradesBinance[[#This Row],[Taxa]]),0),0))</f>
        <v>0</v>
      </c>
      <c r="AK53" s="145">
        <f t="shared" si="8"/>
        <v>0</v>
      </c>
      <c r="AL5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Row],[Tipo]]="DROP"),AL52+TbTradesBinance[[#This Row],[Qtt]],AL52-TbTradesBinance[[#This Row],[Qtt]]),IF(TbTradesBinance[[#This Row],[Tipo]]="BUY",AL52-TbTradesBinance[[#This Row],[Qtt]]*TbTradesBinance[[#This Row],[Preço]],AL52+TbTradesBinance[[#This Row],[Qtt]]*TbTradesBinance[[#This Row],[Preço]])),AL52)-IF(TbTradesBinance[[#This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Row],[Tipo]]="DROP"),AL52+TbTradesBinance[[#This Row],[Qtt]],AL52-TbTradesBinance[[#This Row],[Qtt]]),IF(TbTradesBinance[[#This Row],[Tipo]]="BUY",AL52-TbTradesBinance[[#This Row],[Qtt]]*TbTradesBinance[[#This Row],[Preço]],AL52+TbTradesBinance[[#This Row],[Qtt]]*TbTradesBinance[[#This Row],[Preço]])),AL52)-IF(TbTradesBinance[[#This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Row],[Tipo]]="DROP"),AL52+TbTradesBinance[[#This Row],[Qtt]],AL52-TbTradesBinance[[#This Row],[Qtt]]),IF(TbTradesBinance[[#This Row],[Tipo]]="BUY",AL52-TbTradesBinance[[#This Row],[Qtt]]*TbTradesBinance[[#This Row],[Preço]],AL52+TbTradesBinance[[#This Row],[Qtt]]*TbTradesBinance[[#This Row],[Preço]])),AL52)-IF(TbTradesBinance[[#This Row],[Moeda da Taxa]]=MID(AL$1,9,5),TbTradesBinance[[#This Row],[Taxa]],0),8)))</f>
        <v>0</v>
      </c>
      <c r="AM53" s="145" cm="1">
        <f t="array" ref="AM53">IF(TbTradesBinance[[#This Row],[Tipo]]="EMPTY",0,AM52+IF(TbTradesBinance[[#This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Row],[Par]]))),$1:$1,0)),-(AL52-AL53)/AL52*AM52),0),0)+IF(TbTradesBinance[[#This Row],[Tipo]]="SELL",IF(ISNUMBER(FIND(MID(AM$1,10,5),TbTradesBinance[[#This Row],[Par]])),IF(FIND(MID(AM$1,10,5),TbTradesBinance[[#This Row],[Par]])=1, -(AL52-AL53)/AL52*AM52,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Row],[Par]])),(-(AL52-AL53)/AL52*AM52)+IF(TbTradesBinance[[#This Row],[Resultado]]&gt;0,0,TbTradesBinance[[#This Row],[Taxa]]),0),0))</f>
        <v>0</v>
      </c>
      <c r="AN53" s="145">
        <f t="shared" si="9"/>
        <v>0</v>
      </c>
      <c r="AO5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Row],[Tipo]]="DROP"),AO52+TbTradesBinance[[#This Row],[Qtt]],AO52-TbTradesBinance[[#This Row],[Qtt]]),IF(TbTradesBinance[[#This Row],[Tipo]]="BUY",AO52-TbTradesBinance[[#This Row],[Qtt]]*TbTradesBinance[[#This Row],[Preço]],AO52+TbTradesBinance[[#This Row],[Qtt]]*TbTradesBinance[[#This Row],[Preço]])),AO52)-IF(TbTradesBinance[[#This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Row],[Tipo]]="DROP"),AO52+TbTradesBinance[[#This Row],[Qtt]],AO52-TbTradesBinance[[#This Row],[Qtt]]),IF(TbTradesBinance[[#This Row],[Tipo]]="BUY",AO52-TbTradesBinance[[#This Row],[Qtt]]*TbTradesBinance[[#This Row],[Preço]],AO52+TbTradesBinance[[#This Row],[Qtt]]*TbTradesBinance[[#This Row],[Preço]])),AO52)-IF(TbTradesBinance[[#This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Row],[Tipo]]="DROP"),AO52+TbTradesBinance[[#This Row],[Qtt]],AO52-TbTradesBinance[[#This Row],[Qtt]]),IF(TbTradesBinance[[#This Row],[Tipo]]="BUY",AO52-TbTradesBinance[[#This Row],[Qtt]]*TbTradesBinance[[#This Row],[Preço]],AO52+TbTradesBinance[[#This Row],[Qtt]]*TbTradesBinance[[#This Row],[Preço]])),AO52)-IF(TbTradesBinance[[#This Row],[Moeda da Taxa]]=MID(AO$1,9,5),TbTradesBinance[[#This Row],[Taxa]],0),8)))</f>
        <v>1.2747399999999999E-3</v>
      </c>
      <c r="AP53" s="145" cm="1">
        <f t="array" ref="AP53">IF(TbTradesBinance[[#This Row],[Tipo]]="EMPTY",0,AP52+IF(TbTradesBinance[[#This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Row],[Par]]))),$1:$1,0)),-(AO52-AO53)/AO52*AP52),0),0)+IF(TbTradesBinance[[#This Row],[Tipo]]="SELL",IF(ISNUMBER(FIND(MID(AP$1,10,5),TbTradesBinance[[#This Row],[Par]])),IF(FIND(MID(AP$1,10,5),TbTradesBinance[[#This Row],[Par]])=1, -(AO52-AO53)/AO52*AP52,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Row],[Par]])),(-(AO52-AO53)/AO52*AP52)+IF(TbTradesBinance[[#This Row],[Resultado]]&gt;0,0,TbTradesBinance[[#This Row],[Taxa]]),0),0))</f>
        <v>1.7416212429180353</v>
      </c>
      <c r="AQ53" s="145">
        <f t="shared" si="10"/>
        <v>1366.2560545036913</v>
      </c>
      <c r="AR5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Row],[Tipo]]="DROP"),AR52+TbTradesBinance[[#This Row],[Qtt]],AR52-TbTradesBinance[[#This Row],[Qtt]]),IF(TbTradesBinance[[#This Row],[Tipo]]="BUY",AR52-TbTradesBinance[[#This Row],[Qtt]]*TbTradesBinance[[#This Row],[Preço]],AR52+TbTradesBinance[[#This Row],[Qtt]]*TbTradesBinance[[#This Row],[Preço]])),AR52)-IF(TbTradesBinance[[#This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Row],[Tipo]]="DROP"),AR52+TbTradesBinance[[#This Row],[Qtt]],AR52-TbTradesBinance[[#This Row],[Qtt]]),IF(TbTradesBinance[[#This Row],[Tipo]]="BUY",AR52-TbTradesBinance[[#This Row],[Qtt]]*TbTradesBinance[[#This Row],[Preço]],AR52+TbTradesBinance[[#This Row],[Qtt]]*TbTradesBinance[[#This Row],[Preço]])),AR52)-IF(TbTradesBinance[[#This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Row],[Tipo]]="DROP"),AR52+TbTradesBinance[[#This Row],[Qtt]],AR52-TbTradesBinance[[#This Row],[Qtt]]),IF(TbTradesBinance[[#This Row],[Tipo]]="BUY",AR52-TbTradesBinance[[#This Row],[Qtt]]*TbTradesBinance[[#This Row],[Preço]],AR52+TbTradesBinance[[#This Row],[Qtt]]*TbTradesBinance[[#This Row],[Preço]])),AR52)-IF(TbTradesBinance[[#This Row],[Moeda da Taxa]]=MID(AR$1,9,5),TbTradesBinance[[#This Row],[Taxa]],0),8)))</f>
        <v>0</v>
      </c>
      <c r="AS53" s="145" cm="1">
        <f t="array" ref="AS53">IF(TbTradesBinance[[#This Row],[Tipo]]="EMPTY",0,AS52+IF(TbTradesBinance[[#This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Row],[Par]]))),$1:$1,0)),-(AR52-AR53)/AR52*AS52),0),0)+IF(TbTradesBinance[[#This Row],[Tipo]]="SELL",IF(ISNUMBER(FIND(MID(AS$1,10,5),TbTradesBinance[[#This Row],[Par]])),IF(FIND(MID(AS$1,10,5),TbTradesBinance[[#This Row],[Par]])=1, -(AR52-AR53)/AR52*AS52,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Row],[Par]])),(-(AR52-AR53)/AR52*AS52)+IF(TbTradesBinance[[#This Row],[Resultado]]&gt;0,0,TbTradesBinance[[#This Row],[Taxa]]),0),0))</f>
        <v>0</v>
      </c>
      <c r="AT53" s="145">
        <f t="shared" si="11"/>
        <v>0</v>
      </c>
      <c r="AU5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Row],[Tipo]]="DROP"),AU52+TbTradesBinance[[#This Row],[Qtt]],AU52-TbTradesBinance[[#This Row],[Qtt]]),IF(TbTradesBinance[[#This Row],[Tipo]]="BUY",AU52-TbTradesBinance[[#This Row],[Qtt]]*TbTradesBinance[[#This Row],[Preço]],AU52+TbTradesBinance[[#This Row],[Qtt]]*TbTradesBinance[[#This Row],[Preço]])),AU52)-IF(TbTradesBinance[[#This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Row],[Tipo]]="DROP"),AU52+TbTradesBinance[[#This Row],[Qtt]],AU52-TbTradesBinance[[#This Row],[Qtt]]),IF(TbTradesBinance[[#This Row],[Tipo]]="BUY",AU52-TbTradesBinance[[#This Row],[Qtt]]*TbTradesBinance[[#This Row],[Preço]],AU52+TbTradesBinance[[#This Row],[Qtt]]*TbTradesBinance[[#This Row],[Preço]])),AU52)-IF(TbTradesBinance[[#This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Row],[Tipo]]="DROP"),AU52+TbTradesBinance[[#This Row],[Qtt]],AU52-TbTradesBinance[[#This Row],[Qtt]]),IF(TbTradesBinance[[#This Row],[Tipo]]="BUY",AU52-TbTradesBinance[[#This Row],[Qtt]]*TbTradesBinance[[#This Row],[Preço]],AU52+TbTradesBinance[[#This Row],[Qtt]]*TbTradesBinance[[#This Row],[Preço]])),AU52)-IF(TbTradesBinance[[#This Row],[Moeda da Taxa]]=MID(AU$1,9,5),TbTradesBinance[[#This Row],[Taxa]],0),8)))</f>
        <v>9.9900000000000003E-2</v>
      </c>
      <c r="AV53" s="145" cm="1">
        <f t="array" ref="AV53">IF(TbTradesBinance[[#This Row],[Tipo]]="EMPTY",0,AV52+IF(TbTradesBinance[[#This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Row],[Par]]))),$1:$1,0)),-(AU52-AU53)/AU52*AV52),0),0)+IF(TbTradesBinance[[#This Row],[Tipo]]="SELL",IF(ISNUMBER(FIND(MID(AV$1,10,5),TbTradesBinance[[#This Row],[Par]])),IF(FIND(MID(AV$1,10,5),TbTradesBinance[[#This Row],[Par]])=1, -(AU52-AU53)/AU52*AV52,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Row],[Par]])),(-(AU52-AU53)/AU52*AV52)+IF(TbTradesBinance[[#This Row],[Resultado]]&gt;0,0,TbTradesBinance[[#This Row],[Taxa]]),0),0))</f>
        <v>18.673922987511034</v>
      </c>
      <c r="AW53" s="145">
        <f t="shared" si="12"/>
        <v>186.92615603114149</v>
      </c>
      <c r="AX5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Row],[Tipo]]="DROP"),AX52+TbTradesBinance[[#This Row],[Qtt]],AX52-TbTradesBinance[[#This Row],[Qtt]]),IF(TbTradesBinance[[#This Row],[Tipo]]="BUY",AX52-TbTradesBinance[[#This Row],[Qtt]]*TbTradesBinance[[#This Row],[Preço]],AX52+TbTradesBinance[[#This Row],[Qtt]]*TbTradesBinance[[#This Row],[Preço]])),AX52)-IF(TbTradesBinance[[#This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Row],[Tipo]]="DROP"),AX52+TbTradesBinance[[#This Row],[Qtt]],AX52-TbTradesBinance[[#This Row],[Qtt]]),IF(TbTradesBinance[[#This Row],[Tipo]]="BUY",AX52-TbTradesBinance[[#This Row],[Qtt]]*TbTradesBinance[[#This Row],[Preço]],AX52+TbTradesBinance[[#This Row],[Qtt]]*TbTradesBinance[[#This Row],[Preço]])),AX52)-IF(TbTradesBinance[[#This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Row],[Tipo]]="DROP"),AX52+TbTradesBinance[[#This Row],[Qtt]],AX52-TbTradesBinance[[#This Row],[Qtt]]),IF(TbTradesBinance[[#This Row],[Tipo]]="BUY",AX52-TbTradesBinance[[#This Row],[Qtt]]*TbTradesBinance[[#This Row],[Preço]],AX52+TbTradesBinance[[#This Row],[Qtt]]*TbTradesBinance[[#This Row],[Preço]])),AX52)-IF(TbTradesBinance[[#This Row],[Moeda da Taxa]]=MID(AX$1,9,5),TbTradesBinance[[#This Row],[Taxa]],0),8)))</f>
        <v>0</v>
      </c>
      <c r="AY53" s="145" cm="1">
        <f t="array" ref="AY53">IF(TbTradesBinance[[#This Row],[Tipo]]="EMPTY",0,AY52+IF(TbTradesBinance[[#This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Row],[Par]]))),$1:$1,0)),-(AX52-AX53)/AX52*AY52),0),0)+IF(TbTradesBinance[[#This Row],[Tipo]]="SELL",IF(ISNUMBER(FIND(MID(AY$1,10,5),TbTradesBinance[[#This Row],[Par]])),IF(FIND(MID(AY$1,10,5),TbTradesBinance[[#This Row],[Par]])=1, -(AX52-AX53)/AX52*AY52,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Row],[Par]])),(-(AX52-AX53)/AX52*AY52)+IF(TbTradesBinance[[#This Row],[Resultado]]&gt;0,0,TbTradesBinance[[#This Row],[Taxa]]),0),0))</f>
        <v>0</v>
      </c>
      <c r="AZ53" s="145">
        <f t="shared" si="13"/>
        <v>0</v>
      </c>
      <c r="BA5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Row],[Tipo]]="DROP"),BA52+TbTradesBinance[[#This Row],[Qtt]],BA52-TbTradesBinance[[#This Row],[Qtt]]),IF(TbTradesBinance[[#This Row],[Tipo]]="BUY",BA52-TbTradesBinance[[#This Row],[Qtt]]*TbTradesBinance[[#This Row],[Preço]],BA52+TbTradesBinance[[#This Row],[Qtt]]*TbTradesBinance[[#This Row],[Preço]])),BA52)-IF(TbTradesBinance[[#This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Row],[Tipo]]="DROP"),BA52+TbTradesBinance[[#This Row],[Qtt]],BA52-TbTradesBinance[[#This Row],[Qtt]]),IF(TbTradesBinance[[#This Row],[Tipo]]="BUY",BA52-TbTradesBinance[[#This Row],[Qtt]]*TbTradesBinance[[#This Row],[Preço]],BA52+TbTradesBinance[[#This Row],[Qtt]]*TbTradesBinance[[#This Row],[Preço]])),BA52)-IF(TbTradesBinance[[#This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Row],[Tipo]]="DROP"),BA52+TbTradesBinance[[#This Row],[Qtt]],BA52-TbTradesBinance[[#This Row],[Qtt]]),IF(TbTradesBinance[[#This Row],[Tipo]]="BUY",BA52-TbTradesBinance[[#This Row],[Qtt]]*TbTradesBinance[[#This Row],[Preço]],BA52+TbTradesBinance[[#This Row],[Qtt]]*TbTradesBinance[[#This Row],[Preço]])),BA52)-IF(TbTradesBinance[[#This Row],[Moeda da Taxa]]=MID(BA$1,9,5),TbTradesBinance[[#This Row],[Taxa]],0),8)))</f>
        <v>0</v>
      </c>
      <c r="BB53" s="145" cm="1">
        <f t="array" ref="BB53">IF(TbTradesBinance[[#This Row],[Tipo]]="EMPTY",0,BB52+IF(TbTradesBinance[[#This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Row],[Par]]))),$1:$1,0)),-(BA52-BA53)/BA52*BB52),0),0)+IF(TbTradesBinance[[#This Row],[Tipo]]="SELL",IF(ISNUMBER(FIND(MID(BB$1,10,5),TbTradesBinance[[#This Row],[Par]])),IF(FIND(MID(BB$1,10,5),TbTradesBinance[[#This Row],[Par]])=1, -(BA52-BA53)/BA52*BB52,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Row],[Par]])),(-(BA52-BA53)/BA52*BB52)+IF(TbTradesBinance[[#This Row],[Resultado]]&gt;0,0,TbTradesBinance[[#This Row],[Taxa]]),0),0))</f>
        <v>0</v>
      </c>
      <c r="BC53" s="145">
        <f t="shared" si="14"/>
        <v>0</v>
      </c>
      <c r="BD5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Row],[Tipo]]="DROP"),BD52+TbTradesBinance[[#This Row],[Qtt]],BD52-TbTradesBinance[[#This Row],[Qtt]]),IF(TbTradesBinance[[#This Row],[Tipo]]="BUY",BD52-TbTradesBinance[[#This Row],[Qtt]]*TbTradesBinance[[#This Row],[Preço]],BD52+TbTradesBinance[[#This Row],[Qtt]]*TbTradesBinance[[#This Row],[Preço]])),BD52)-IF(TbTradesBinance[[#This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Row],[Tipo]]="DROP"),BD52+TbTradesBinance[[#This Row],[Qtt]],BD52-TbTradesBinance[[#This Row],[Qtt]]),IF(TbTradesBinance[[#This Row],[Tipo]]="BUY",BD52-TbTradesBinance[[#This Row],[Qtt]]*TbTradesBinance[[#This Row],[Preço]],BD52+TbTradesBinance[[#This Row],[Qtt]]*TbTradesBinance[[#This Row],[Preço]])),BD52)-IF(TbTradesBinance[[#This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Row],[Tipo]]="DROP"),BD52+TbTradesBinance[[#This Row],[Qtt]],BD52-TbTradesBinance[[#This Row],[Qtt]]),IF(TbTradesBinance[[#This Row],[Tipo]]="BUY",BD52-TbTradesBinance[[#This Row],[Qtt]]*TbTradesBinance[[#This Row],[Preço]],BD52+TbTradesBinance[[#This Row],[Qtt]]*TbTradesBinance[[#This Row],[Preço]])),BD52)-IF(TbTradesBinance[[#This Row],[Moeda da Taxa]]=MID(BD$1,9,5),TbTradesBinance[[#This Row],[Taxa]],0),8)))</f>
        <v>0.37962000000000001</v>
      </c>
      <c r="BE53" s="145" cm="1">
        <f t="array" ref="BE53">IF(TbTradesBinance[[#This Row],[Tipo]]="EMPTY",0,BE52+IF(TbTradesBinance[[#This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Row],[Par]]))),$1:$1,0)),-(BD52-BD53)/BD52*BE52),0),0)+IF(TbTradesBinance[[#This Row],[Tipo]]="SELL",IF(ISNUMBER(FIND(MID(BE$1,10,5),TbTradesBinance[[#This Row],[Par]])),IF(FIND(MID(BE$1,10,5),TbTradesBinance[[#This Row],[Par]])=1, -(BD52-BD53)/BD52*BE52,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Row],[Par]])),(-(BD52-BD53)/BD52*BE52)+IF(TbTradesBinance[[#This Row],[Resultado]]&gt;0,0,TbTradesBinance[[#This Row],[Taxa]]),0),0))</f>
        <v>63.647297001537943</v>
      </c>
      <c r="BF53" s="145">
        <f t="shared" si="15"/>
        <v>167.66054739354601</v>
      </c>
      <c r="BG5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Row],[Tipo]]="DROP"),BG52+TbTradesBinance[[#This Row],[Qtt]],BG52-TbTradesBinance[[#This Row],[Qtt]]),IF(TbTradesBinance[[#This Row],[Tipo]]="BUY",BG52-TbTradesBinance[[#This Row],[Qtt]]*TbTradesBinance[[#This Row],[Preço]],BG52+TbTradesBinance[[#This Row],[Qtt]]*TbTradesBinance[[#This Row],[Preço]])),BG52)-IF(TbTradesBinance[[#This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Row],[Tipo]]="DROP"),BG52+TbTradesBinance[[#This Row],[Qtt]],BG52-TbTradesBinance[[#This Row],[Qtt]]),IF(TbTradesBinance[[#This Row],[Tipo]]="BUY",BG52-TbTradesBinance[[#This Row],[Qtt]]*TbTradesBinance[[#This Row],[Preço]],BG52+TbTradesBinance[[#This Row],[Qtt]]*TbTradesBinance[[#This Row],[Preço]])),BG52)-IF(TbTradesBinance[[#This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Row],[Tipo]]="DROP"),BG52+TbTradesBinance[[#This Row],[Qtt]],BG52-TbTradesBinance[[#This Row],[Qtt]]),IF(TbTradesBinance[[#This Row],[Tipo]]="BUY",BG52-TbTradesBinance[[#This Row],[Qtt]]*TbTradesBinance[[#This Row],[Preço]],BG52+TbTradesBinance[[#This Row],[Qtt]]*TbTradesBinance[[#This Row],[Preço]])),BG52)-IF(TbTradesBinance[[#This Row],[Moeda da Taxa]]=MID(BG$1,9,5),TbTradesBinance[[#This Row],[Taxa]],0),8)))</f>
        <v>0</v>
      </c>
      <c r="BH53" s="145" cm="1">
        <f t="array" ref="BH53">IF(TbTradesBinance[[#This Row],[Tipo]]="EMPTY",0,BH52+IF(TbTradesBinance[[#This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Row],[Par]]))),$1:$1,0)),-(BG52-BG53)/BG52*BH52),0),0)+IF(TbTradesBinance[[#This Row],[Tipo]]="SELL",IF(ISNUMBER(FIND(MID(BH$1,10,5),TbTradesBinance[[#This Row],[Par]])),IF(FIND(MID(BH$1,10,5),TbTradesBinance[[#This Row],[Par]])=1, -(BG52-BG53)/BG52*BH52,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Row],[Par]])),(-(BG52-BG53)/BG52*BH52)+IF(TbTradesBinance[[#This Row],[Resultado]]&gt;0,0,TbTradesBinance[[#This Row],[Taxa]]),0),0))</f>
        <v>0</v>
      </c>
      <c r="BI53" s="145">
        <f t="shared" si="16"/>
        <v>0</v>
      </c>
      <c r="BJ5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Row],[Tipo]]="DROP"),BJ52+TbTradesBinance[[#This Row],[Qtt]],BJ52-TbTradesBinance[[#This Row],[Qtt]]),IF(TbTradesBinance[[#This Row],[Tipo]]="BUY",BJ52-TbTradesBinance[[#This Row],[Qtt]]*TbTradesBinance[[#This Row],[Preço]],BJ52+TbTradesBinance[[#This Row],[Qtt]]*TbTradesBinance[[#This Row],[Preço]])),BJ52)-IF(TbTradesBinance[[#This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Row],[Tipo]]="DROP"),BJ52+TbTradesBinance[[#This Row],[Qtt]],BJ52-TbTradesBinance[[#This Row],[Qtt]]),IF(TbTradesBinance[[#This Row],[Tipo]]="BUY",BJ52-TbTradesBinance[[#This Row],[Qtt]]*TbTradesBinance[[#This Row],[Preço]],BJ52+TbTradesBinance[[#This Row],[Qtt]]*TbTradesBinance[[#This Row],[Preço]])),BJ52)-IF(TbTradesBinance[[#This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Row],[Tipo]]="DROP"),BJ52+TbTradesBinance[[#This Row],[Qtt]],BJ52-TbTradesBinance[[#This Row],[Qtt]]),IF(TbTradesBinance[[#This Row],[Tipo]]="BUY",BJ52-TbTradesBinance[[#This Row],[Qtt]]*TbTradesBinance[[#This Row],[Preço]],BJ52+TbTradesBinance[[#This Row],[Qtt]]*TbTradesBinance[[#This Row],[Preço]])),BJ52)-IF(TbTradesBinance[[#This Row],[Moeda da Taxa]]=MID(BJ$1,9,5),TbTradesBinance[[#This Row],[Taxa]],0),8)))</f>
        <v>0</v>
      </c>
      <c r="BK53" s="145" cm="1">
        <f t="array" ref="BK53">IF(TbTradesBinance[[#This Row],[Tipo]]="EMPTY",0,BK52+IF(TbTradesBinance[[#This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Row],[Par]]))),$1:$1,0)),-(BJ52-BJ53)/BJ52*BK52),0),0)+IF(TbTradesBinance[[#This Row],[Tipo]]="SELL",IF(ISNUMBER(FIND(MID(BK$1,10,5),TbTradesBinance[[#This Row],[Par]])),IF(FIND(MID(BK$1,10,5),TbTradesBinance[[#This Row],[Par]])=1, -(BJ52-BJ53)/BJ52*BK52,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Row],[Par]])),(-(BJ52-BJ53)/BJ52*BK52)+IF(TbTradesBinance[[#This Row],[Resultado]]&gt;0,0,TbTradesBinance[[#This Row],[Taxa]]),0),0))</f>
        <v>0</v>
      </c>
      <c r="BL53" s="145">
        <f t="shared" si="17"/>
        <v>0</v>
      </c>
      <c r="BM5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Row],[Tipo]]="DROP"),BM52+TbTradesBinance[[#This Row],[Qtt]],BM52-TbTradesBinance[[#This Row],[Qtt]]),IF(TbTradesBinance[[#This Row],[Tipo]]="BUY",BM52-TbTradesBinance[[#This Row],[Qtt]]*TbTradesBinance[[#This Row],[Preço]],BM52+TbTradesBinance[[#This Row],[Qtt]]*TbTradesBinance[[#This Row],[Preço]])),BM52)-IF(TbTradesBinance[[#This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Row],[Tipo]]="DROP"),BM52+TbTradesBinance[[#This Row],[Qtt]],BM52-TbTradesBinance[[#This Row],[Qtt]]),IF(TbTradesBinance[[#This Row],[Tipo]]="BUY",BM52-TbTradesBinance[[#This Row],[Qtt]]*TbTradesBinance[[#This Row],[Preço]],BM52+TbTradesBinance[[#This Row],[Qtt]]*TbTradesBinance[[#This Row],[Preço]])),BM52)-IF(TbTradesBinance[[#This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Row],[Tipo]]="DROP"),BM52+TbTradesBinance[[#This Row],[Qtt]],BM52-TbTradesBinance[[#This Row],[Qtt]]),IF(TbTradesBinance[[#This Row],[Tipo]]="BUY",BM52-TbTradesBinance[[#This Row],[Qtt]]*TbTradesBinance[[#This Row],[Preço]],BM52+TbTradesBinance[[#This Row],[Qtt]]*TbTradesBinance[[#This Row],[Preço]])),BM52)-IF(TbTradesBinance[[#This Row],[Moeda da Taxa]]=MID(BM$1,9,5),TbTradesBinance[[#This Row],[Taxa]],0),8)))</f>
        <v>0</v>
      </c>
      <c r="BN53" s="145" cm="1">
        <f t="array" ref="BN53">IF(TbTradesBinance[[#This Row],[Tipo]]="EMPTY",0,BN52+IF(TbTradesBinance[[#This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Row],[Par]]))),$1:$1,0)),-(BM52-BM53)/BM52*BN52),0),0)+IF(TbTradesBinance[[#This Row],[Tipo]]="SELL",IF(ISNUMBER(FIND(MID(BN$1,10,5),TbTradesBinance[[#This Row],[Par]])),IF(FIND(MID(BN$1,10,5),TbTradesBinance[[#This Row],[Par]])=1, -(BM52-BM53)/BM52*BN52,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Row],[Par]])),(-(BM52-BM53)/BM52*BN52)+IF(TbTradesBinance[[#This Row],[Resultado]]&gt;0,0,TbTradesBinance[[#This Row],[Taxa]]),0),0))</f>
        <v>0</v>
      </c>
      <c r="BO53" s="145">
        <f t="shared" si="18"/>
        <v>0</v>
      </c>
    </row>
    <row r="54" spans="2:67" x14ac:dyDescent="0.3">
      <c r="B54" s="51"/>
      <c r="C54" s="40">
        <f>TRUNC(IF(AND(TbTradesBinance[[#This Row],[Tipo]]="SEND",TbTradesBinance[[#This Row],[Par]]="BRL"),TbTradesBinance[[#This Row],[Qtt]]*(1-P52)-IF(TbTradesBinance[[#This Row],[Moeda da Taxa]]="BRL",TbTradesBinance[[#This Row],[Taxa]],0),0)+IF(AND(TbTradesBinance[[#This Row],[Tipo]]="BURN",TbTradesBinance[[#This Row],[Par]]="BRL"),-TbTradesBinance[[#This Row],[Qtt]]*P52,0),2)</f>
        <v>0</v>
      </c>
      <c r="D54" s="53">
        <v>44263.876284722224</v>
      </c>
      <c r="E54" s="37" t="s">
        <v>138</v>
      </c>
      <c r="F54" s="47" t="s">
        <v>140</v>
      </c>
      <c r="G54" s="38">
        <v>304300</v>
      </c>
      <c r="H54" s="38">
        <v>1.7799999999999999E-4</v>
      </c>
      <c r="I54" s="38">
        <v>0</v>
      </c>
      <c r="J54" s="37" t="s">
        <v>45</v>
      </c>
      <c r="K54" s="52">
        <v>1</v>
      </c>
      <c r="L54" s="40">
        <f t="shared" si="0"/>
        <v>304300</v>
      </c>
      <c r="M54" s="40">
        <f>IF(OR(TbTradesBinance[[#This Row],[Tipo]]="BUY",TbTradesBinance[[#This Row],[Tipo]]="RECEIVE",TbTradesBinance[[#This Row],[Tipo]]="DROP"),L54*H54,-L54*H54)</f>
        <v>-54.165399999999998</v>
      </c>
      <c r="N5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Row],[Tipo]]="DROP"),N53+TbTradesBinance[[#This Row],[Qtt]],N53-TbTradesBinance[[#This Row],[Qtt]]),IF(TbTradesBinance[[#This Row],[Tipo]]="BUY",N53-TbTradesBinance[[#This Row],[Qtt]]*TbTradesBinance[[#This Row],[Preço]],N53+TbTradesBinance[[#This Row],[Qtt]]*TbTradesBinance[[#This Row],[Preço]])),N53)-IF(TbTradesBinance[[#This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Row],[Tipo]]="DROP"),N53+TbTradesBinance[[#This Row],[Qtt]],N53-TbTradesBinance[[#This Row],[Qtt]]),IF(TbTradesBinance[[#This Row],[Tipo]]="BUY",N53-TbTradesBinance[[#This Row],[Qtt]]*TbTradesBinance[[#This Row],[Preço]],N53+TbTradesBinance[[#This Row],[Qtt]]*TbTradesBinance[[#This Row],[Preço]])),N53)-IF(TbTradesBinance[[#This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Row],[Tipo]]="DROP"),N53+TbTradesBinance[[#This Row],[Qtt]],N53-TbTradesBinance[[#This Row],[Qtt]]),IF(TbTradesBinance[[#This Row],[Tipo]]="BUY",N53-TbTradesBinance[[#This Row],[Qtt]]*TbTradesBinance[[#This Row],[Preço]],N53+TbTradesBinance[[#This Row],[Qtt]]*TbTradesBinance[[#This Row],[Preço]])),N53)-IF(TbTradesBinance[[#This Row],[Moeda da Taxa]]=MID(N$1,9,5),TbTradesBinance[[#This Row],[Taxa]],0),8)))</f>
        <v>120020.15633288999</v>
      </c>
      <c r="O54" s="145" cm="1">
        <f t="array" ref="O54">IF(TbTradesBinance[[#This Row],[Tipo]]="EMPTY",0,O53+IF(TbTradesBinance[[#This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Row],[Par]]))),$1:$1,0)),-(N53-N54)/N53*O53),0),0)+IF(TbTradesBinance[[#This Row],[Tipo]]="SELL",IF(ISNUMBER(FIND(MID(O$1,10,5),TbTradesBinance[[#This Row],[Par]])),IF(FIND(MID(O$1,10,5),TbTradesBinance[[#This Row],[Par]])=1, -(N53-N54)/N53*O53,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Row],[Par]])),(-(N53-N54)/N53*O53)+IF(TbTradesBinance[[#This Row],[Resultado]]&gt;0,0,TbTradesBinance[[#This Row],[Taxa]]),0),0))</f>
        <v>119926.7431850913</v>
      </c>
      <c r="P54" s="145">
        <f t="shared" si="1"/>
        <v>0.99922168783433674</v>
      </c>
      <c r="Q5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Row],[Tipo]]="DROP"),Q53+TbTradesBinance[[#This Row],[Qtt]],Q53-TbTradesBinance[[#This Row],[Qtt]]),IF(TbTradesBinance[[#This Row],[Tipo]]="BUY",Q53-TbTradesBinance[[#This Row],[Qtt]]*TbTradesBinance[[#This Row],[Preço]],Q53+TbTradesBinance[[#This Row],[Qtt]]*TbTradesBinance[[#This Row],[Preço]])),Q53)-IF(TbTradesBinance[[#This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Row],[Tipo]]="DROP"),Q53+TbTradesBinance[[#This Row],[Qtt]],Q53-TbTradesBinance[[#This Row],[Qtt]]),IF(TbTradesBinance[[#This Row],[Tipo]]="BUY",Q53-TbTradesBinance[[#This Row],[Qtt]]*TbTradesBinance[[#This Row],[Preço]],Q53+TbTradesBinance[[#This Row],[Qtt]]*TbTradesBinance[[#This Row],[Preço]])),Q53)-IF(TbTradesBinance[[#This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Row],[Tipo]]="DROP"),Q53+TbTradesBinance[[#This Row],[Qtt]],Q53-TbTradesBinance[[#This Row],[Qtt]]),IF(TbTradesBinance[[#This Row],[Tipo]]="BUY",Q53-TbTradesBinance[[#This Row],[Qtt]]*TbTradesBinance[[#This Row],[Preço]],Q53+TbTradesBinance[[#This Row],[Qtt]]*TbTradesBinance[[#This Row],[Preço]])),Q53)-IF(TbTradesBinance[[#This Row],[Moeda da Taxa]]=MID(Q$1,9,5),TbTradesBinance[[#This Row],[Taxa]],0),8)))</f>
        <v>0</v>
      </c>
      <c r="R54" s="145" cm="1">
        <f t="array" ref="R54">IF(TbTradesBinance[[#This Row],[Tipo]]="EMPTY",0,R53+IF(TbTradesBinance[[#This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Row],[Par]]))),$1:$1,0)),-(Q53-Q54)/Q53*R53),0),0)+IF(TbTradesBinance[[#This Row],[Tipo]]="SELL",IF(ISNUMBER(FIND(MID(R$1,10,5),TbTradesBinance[[#This Row],[Par]])),IF(FIND(MID(R$1,10,5),TbTradesBinance[[#This Row],[Par]])=1, -(Q53-Q54)/Q53*R53,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Row],[Par]])),(-(Q53-Q54)/Q53*R53)+IF(TbTradesBinance[[#This Row],[Resultado]]&gt;0,0,TbTradesBinance[[#This Row],[Taxa]]),0),0))</f>
        <v>0</v>
      </c>
      <c r="S54" s="145">
        <f t="shared" si="2"/>
        <v>0</v>
      </c>
      <c r="T5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Row],[Tipo]]="DROP"),T53+TbTradesBinance[[#This Row],[Qtt]],T53-TbTradesBinance[[#This Row],[Qtt]]),IF(TbTradesBinance[[#This Row],[Tipo]]="BUY",T53-TbTradesBinance[[#This Row],[Qtt]]*TbTradesBinance[[#This Row],[Preço]],T53+TbTradesBinance[[#This Row],[Qtt]]*TbTradesBinance[[#This Row],[Preço]])),T53)-IF(TbTradesBinance[[#This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Row],[Tipo]]="DROP"),T53+TbTradesBinance[[#This Row],[Qtt]],T53-TbTradesBinance[[#This Row],[Qtt]]),IF(TbTradesBinance[[#This Row],[Tipo]]="BUY",T53-TbTradesBinance[[#This Row],[Qtt]]*TbTradesBinance[[#This Row],[Preço]],T53+TbTradesBinance[[#This Row],[Qtt]]*TbTradesBinance[[#This Row],[Preço]])),T53)-IF(TbTradesBinance[[#This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Row],[Tipo]]="DROP"),T53+TbTradesBinance[[#This Row],[Qtt]],T53-TbTradesBinance[[#This Row],[Qtt]]),IF(TbTradesBinance[[#This Row],[Tipo]]="BUY",T53-TbTradesBinance[[#This Row],[Qtt]]*TbTradesBinance[[#This Row],[Preço]],T53+TbTradesBinance[[#This Row],[Qtt]]*TbTradesBinance[[#This Row],[Preço]])),T53)-IF(TbTradesBinance[[#This Row],[Moeda da Taxa]]=MID(T$1,9,5),TbTradesBinance[[#This Row],[Taxa]],0),8)))</f>
        <v>199735.32000169999</v>
      </c>
      <c r="U54" s="145" cm="1">
        <f t="array" ref="U54">IF(TbTradesBinance[[#This Row],[Tipo]]="EMPTY",0,U53+IF(TbTradesBinance[[#This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Row],[Par]]))),$1:$1,0)),-(T53-T54)/T53*U53),0),0)+IF(TbTradesBinance[[#This Row],[Tipo]]="SELL",IF(ISNUMBER(FIND(MID(U$1,10,5),TbTradesBinance[[#This Row],[Par]])),IF(FIND(MID(U$1,10,5),TbTradesBinance[[#This Row],[Par]])=1, -(T53-T54)/T53*U53,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Row],[Par]])),(-(T53-T54)/T53*U53)+IF(TbTradesBinance[[#This Row],[Resultado]]&gt;0,0,TbTradesBinance[[#This Row],[Taxa]]),0),0))</f>
        <v>1328239.8809817513</v>
      </c>
      <c r="V54" s="145">
        <f t="shared" si="3"/>
        <v>6.6500000148719129</v>
      </c>
      <c r="W5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Row],[Tipo]]="DROP"),W53+TbTradesBinance[[#This Row],[Qtt]],W53-TbTradesBinance[[#This Row],[Qtt]]),IF(TbTradesBinance[[#This Row],[Tipo]]="BUY",W53-TbTradesBinance[[#This Row],[Qtt]]*TbTradesBinance[[#This Row],[Preço]],W53+TbTradesBinance[[#This Row],[Qtt]]*TbTradesBinance[[#This Row],[Preço]])),W53)-IF(TbTradesBinance[[#This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Row],[Tipo]]="DROP"),W53+TbTradesBinance[[#This Row],[Qtt]],W53-TbTradesBinance[[#This Row],[Qtt]]),IF(TbTradesBinance[[#This Row],[Tipo]]="BUY",W53-TbTradesBinance[[#This Row],[Qtt]]*TbTradesBinance[[#This Row],[Preço]],W53+TbTradesBinance[[#This Row],[Qtt]]*TbTradesBinance[[#This Row],[Preço]])),W53)-IF(TbTradesBinance[[#This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Row],[Tipo]]="DROP"),W53+TbTradesBinance[[#This Row],[Qtt]],W53-TbTradesBinance[[#This Row],[Qtt]]),IF(TbTradesBinance[[#This Row],[Tipo]]="BUY",W53-TbTradesBinance[[#This Row],[Qtt]]*TbTradesBinance[[#This Row],[Preço]],W53+TbTradesBinance[[#This Row],[Qtt]]*TbTradesBinance[[#This Row],[Preço]])),W53)-IF(TbTradesBinance[[#This Row],[Moeda da Taxa]]=MID(W$1,9,5),TbTradesBinance[[#This Row],[Taxa]],0),8)))</f>
        <v>5.6464000000000004E-4</v>
      </c>
      <c r="X54" s="145" cm="1">
        <f t="array" ref="X54">IF(TbTradesBinance[[#This Row],[Tipo]]="EMPTY",0,X53+IF(TbTradesBinance[[#This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Row],[Par]]))),$1:$1,0)),-(W53-W54)/W53*X53),0),0)+IF(TbTradesBinance[[#This Row],[Tipo]]="SELL",IF(ISNUMBER(FIND(MID(X$1,10,5),TbTradesBinance[[#This Row],[Par]])),IF(FIND(MID(X$1,10,5),TbTradesBinance[[#This Row],[Par]])=1, -(W53-W54)/W53*X53,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Row],[Par]])),(-(W53-W54)/W53*X53)+IF(TbTradesBinance[[#This Row],[Resultado]]&gt;0,0,TbTradesBinance[[#This Row],[Taxa]]),0),0))</f>
        <v>156.9876250019077</v>
      </c>
      <c r="Y54" s="145">
        <f t="shared" si="4"/>
        <v>278031.35626577586</v>
      </c>
      <c r="Z5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Row],[Tipo]]="DROP"),Z53+TbTradesBinance[[#This Row],[Qtt]],Z53-TbTradesBinance[[#This Row],[Qtt]]),IF(TbTradesBinance[[#This Row],[Tipo]]="BUY",Z53-TbTradesBinance[[#This Row],[Qtt]]*TbTradesBinance[[#This Row],[Preço]],Z53+TbTradesBinance[[#This Row],[Qtt]]*TbTradesBinance[[#This Row],[Preço]])),Z53)-IF(TbTradesBinance[[#This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Row],[Tipo]]="DROP"),Z53+TbTradesBinance[[#This Row],[Qtt]],Z53-TbTradesBinance[[#This Row],[Qtt]]),IF(TbTradesBinance[[#This Row],[Tipo]]="BUY",Z53-TbTradesBinance[[#This Row],[Qtt]]*TbTradesBinance[[#This Row],[Preço]],Z53+TbTradesBinance[[#This Row],[Qtt]]*TbTradesBinance[[#This Row],[Preço]])),Z53)-IF(TbTradesBinance[[#This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Row],[Tipo]]="DROP"),Z53+TbTradesBinance[[#This Row],[Qtt]],Z53-TbTradesBinance[[#This Row],[Qtt]]),IF(TbTradesBinance[[#This Row],[Tipo]]="BUY",Z53-TbTradesBinance[[#This Row],[Qtt]]*TbTradesBinance[[#This Row],[Preço]],Z53+TbTradesBinance[[#This Row],[Qtt]]*TbTradesBinance[[#This Row],[Preço]])),Z53)-IF(TbTradesBinance[[#This Row],[Moeda da Taxa]]=MID(Z$1,9,5),TbTradesBinance[[#This Row],[Taxa]],0),8)))</f>
        <v>0</v>
      </c>
      <c r="AA54" s="145" cm="1">
        <f t="array" ref="AA54">IF(TbTradesBinance[[#This Row],[Tipo]]="EMPTY",0,AA53+IF(TbTradesBinance[[#This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Row],[Par]]))),$1:$1,0)),-(Z53-Z54)/Z53*AA53),0),0)+IF(TbTradesBinance[[#This Row],[Tipo]]="SELL",IF(ISNUMBER(FIND(MID(AA$1,10,5),TbTradesBinance[[#This Row],[Par]])),IF(FIND(MID(AA$1,10,5),TbTradesBinance[[#This Row],[Par]])=1, -(Z53-Z54)/Z53*AA53,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Row],[Par]])),(-(Z53-Z54)/Z53*AA53)+IF(TbTradesBinance[[#This Row],[Resultado]]&gt;0,0,TbTradesBinance[[#This Row],[Taxa]]),0),0))</f>
        <v>0</v>
      </c>
      <c r="AB54" s="145">
        <f t="shared" si="5"/>
        <v>0</v>
      </c>
      <c r="AC5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Row],[Tipo]]="DROP"),AC53+TbTradesBinance[[#This Row],[Qtt]],AC53-TbTradesBinance[[#This Row],[Qtt]]),IF(TbTradesBinance[[#This Row],[Tipo]]="BUY",AC53-TbTradesBinance[[#This Row],[Qtt]]*TbTradesBinance[[#This Row],[Preço]],AC53+TbTradesBinance[[#This Row],[Qtt]]*TbTradesBinance[[#This Row],[Preço]])),AC53)-IF(TbTradesBinance[[#This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Row],[Tipo]]="DROP"),AC53+TbTradesBinance[[#This Row],[Qtt]],AC53-TbTradesBinance[[#This Row],[Qtt]]),IF(TbTradesBinance[[#This Row],[Tipo]]="BUY",AC53-TbTradesBinance[[#This Row],[Qtt]]*TbTradesBinance[[#This Row],[Preço]],AC53+TbTradesBinance[[#This Row],[Qtt]]*TbTradesBinance[[#This Row],[Preço]])),AC53)-IF(TbTradesBinance[[#This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Row],[Tipo]]="DROP"),AC53+TbTradesBinance[[#This Row],[Qtt]],AC53-TbTradesBinance[[#This Row],[Qtt]]),IF(TbTradesBinance[[#This Row],[Tipo]]="BUY",AC53-TbTradesBinance[[#This Row],[Qtt]]*TbTradesBinance[[#This Row],[Preço]],AC53+TbTradesBinance[[#This Row],[Qtt]]*TbTradesBinance[[#This Row],[Preço]])),AC53)-IF(TbTradesBinance[[#This Row],[Moeda da Taxa]]=MID(AC$1,9,5),TbTradesBinance[[#This Row],[Taxa]],0),8)))</f>
        <v>0</v>
      </c>
      <c r="AD54" s="145" cm="1">
        <f t="array" ref="AD54">IF(TbTradesBinance[[#This Row],[Tipo]]="EMPTY",0,AD53+IF(TbTradesBinance[[#This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Row],[Par]]))),$1:$1,0)),-(AC53-AC54)/AC53*AD53),0),0)+IF(TbTradesBinance[[#This Row],[Tipo]]="SELL",IF(ISNUMBER(FIND(MID(AD$1,10,5),TbTradesBinance[[#This Row],[Par]])),IF(FIND(MID(AD$1,10,5),TbTradesBinance[[#This Row],[Par]])=1, -(AC53-AC54)/AC53*AD53,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Row],[Par]])),(-(AC53-AC54)/AC53*AD53)+IF(TbTradesBinance[[#This Row],[Resultado]]&gt;0,0,TbTradesBinance[[#This Row],[Taxa]]),0),0))</f>
        <v>0</v>
      </c>
      <c r="AE54" s="145">
        <f t="shared" si="6"/>
        <v>0</v>
      </c>
      <c r="AF5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Row],[Tipo]]="DROP"),AF53+TbTradesBinance[[#This Row],[Qtt]],AF53-TbTradesBinance[[#This Row],[Qtt]]),IF(TbTradesBinance[[#This Row],[Tipo]]="BUY",AF53-TbTradesBinance[[#This Row],[Qtt]]*TbTradesBinance[[#This Row],[Preço]],AF53+TbTradesBinance[[#This Row],[Qtt]]*TbTradesBinance[[#This Row],[Preço]])),AF53)-IF(TbTradesBinance[[#This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Row],[Tipo]]="DROP"),AF53+TbTradesBinance[[#This Row],[Qtt]],AF53-TbTradesBinance[[#This Row],[Qtt]]),IF(TbTradesBinance[[#This Row],[Tipo]]="BUY",AF53-TbTradesBinance[[#This Row],[Qtt]]*TbTradesBinance[[#This Row],[Preço]],AF53+TbTradesBinance[[#This Row],[Qtt]]*TbTradesBinance[[#This Row],[Preço]])),AF53)-IF(TbTradesBinance[[#This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Row],[Tipo]]="DROP"),AF53+TbTradesBinance[[#This Row],[Qtt]],AF53-TbTradesBinance[[#This Row],[Qtt]]),IF(TbTradesBinance[[#This Row],[Tipo]]="BUY",AF53-TbTradesBinance[[#This Row],[Qtt]]*TbTradesBinance[[#This Row],[Preço]],AF53+TbTradesBinance[[#This Row],[Qtt]]*TbTradesBinance[[#This Row],[Preço]])),AF53)-IF(TbTradesBinance[[#This Row],[Moeda da Taxa]]=MID(AF$1,9,5),TbTradesBinance[[#This Row],[Taxa]],0),8)))</f>
        <v>0</v>
      </c>
      <c r="AG54" s="145" cm="1">
        <f t="array" ref="AG54">IF(TbTradesBinance[[#This Row],[Tipo]]="EMPTY",0,AG53+IF(TbTradesBinance[[#This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Row],[Par]]))),$1:$1,0)),-(AF53-AF54)/AF53*AG53),0),0)+IF(TbTradesBinance[[#This Row],[Tipo]]="SELL",IF(ISNUMBER(FIND(MID(AG$1,10,5),TbTradesBinance[[#This Row],[Par]])),IF(FIND(MID(AG$1,10,5),TbTradesBinance[[#This Row],[Par]])=1, -(AF53-AF54)/AF53*AG53,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Row],[Par]])),(-(AF53-AF54)/AF53*AG53)+IF(TbTradesBinance[[#This Row],[Resultado]]&gt;0,0,TbTradesBinance[[#This Row],[Taxa]]),0),0))</f>
        <v>0</v>
      </c>
      <c r="AH54" s="145">
        <f t="shared" si="7"/>
        <v>0</v>
      </c>
      <c r="AI5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Row],[Tipo]]="DROP"),AI53+TbTradesBinance[[#This Row],[Qtt]],AI53-TbTradesBinance[[#This Row],[Qtt]]),IF(TbTradesBinance[[#This Row],[Tipo]]="BUY",AI53-TbTradesBinance[[#This Row],[Qtt]]*TbTradesBinance[[#This Row],[Preço]],AI53+TbTradesBinance[[#This Row],[Qtt]]*TbTradesBinance[[#This Row],[Preço]])),AI53)-IF(TbTradesBinance[[#This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Row],[Tipo]]="DROP"),AI53+TbTradesBinance[[#This Row],[Qtt]],AI53-TbTradesBinance[[#This Row],[Qtt]]),IF(TbTradesBinance[[#This Row],[Tipo]]="BUY",AI53-TbTradesBinance[[#This Row],[Qtt]]*TbTradesBinance[[#This Row],[Preço]],AI53+TbTradesBinance[[#This Row],[Qtt]]*TbTradesBinance[[#This Row],[Preço]])),AI53)-IF(TbTradesBinance[[#This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Row],[Tipo]]="DROP"),AI53+TbTradesBinance[[#This Row],[Qtt]],AI53-TbTradesBinance[[#This Row],[Qtt]]),IF(TbTradesBinance[[#This Row],[Tipo]]="BUY",AI53-TbTradesBinance[[#This Row],[Qtt]]*TbTradesBinance[[#This Row],[Preço]],AI53+TbTradesBinance[[#This Row],[Qtt]]*TbTradesBinance[[#This Row],[Preço]])),AI53)-IF(TbTradesBinance[[#This Row],[Moeda da Taxa]]=MID(AI$1,9,5),TbTradesBinance[[#This Row],[Taxa]],0),8)))</f>
        <v>0</v>
      </c>
      <c r="AJ54" s="145" cm="1">
        <f t="array" ref="AJ54">IF(TbTradesBinance[[#This Row],[Tipo]]="EMPTY",0,AJ53+IF(TbTradesBinance[[#This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Row],[Par]]))),$1:$1,0)),-(AI53-AI54)/AI53*AJ53),0),0)+IF(TbTradesBinance[[#This Row],[Tipo]]="SELL",IF(ISNUMBER(FIND(MID(AJ$1,10,5),TbTradesBinance[[#This Row],[Par]])),IF(FIND(MID(AJ$1,10,5),TbTradesBinance[[#This Row],[Par]])=1, -(AI53-AI54)/AI53*AJ53,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Row],[Par]])),(-(AI53-AI54)/AI53*AJ53)+IF(TbTradesBinance[[#This Row],[Resultado]]&gt;0,0,TbTradesBinance[[#This Row],[Taxa]]),0),0))</f>
        <v>0</v>
      </c>
      <c r="AK54" s="145">
        <f t="shared" si="8"/>
        <v>0</v>
      </c>
      <c r="AL5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Row],[Tipo]]="DROP"),AL53+TbTradesBinance[[#This Row],[Qtt]],AL53-TbTradesBinance[[#This Row],[Qtt]]),IF(TbTradesBinance[[#This Row],[Tipo]]="BUY",AL53-TbTradesBinance[[#This Row],[Qtt]]*TbTradesBinance[[#This Row],[Preço]],AL53+TbTradesBinance[[#This Row],[Qtt]]*TbTradesBinance[[#This Row],[Preço]])),AL53)-IF(TbTradesBinance[[#This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Row],[Tipo]]="DROP"),AL53+TbTradesBinance[[#This Row],[Qtt]],AL53-TbTradesBinance[[#This Row],[Qtt]]),IF(TbTradesBinance[[#This Row],[Tipo]]="BUY",AL53-TbTradesBinance[[#This Row],[Qtt]]*TbTradesBinance[[#This Row],[Preço]],AL53+TbTradesBinance[[#This Row],[Qtt]]*TbTradesBinance[[#This Row],[Preço]])),AL53)-IF(TbTradesBinance[[#This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Row],[Tipo]]="DROP"),AL53+TbTradesBinance[[#This Row],[Qtt]],AL53-TbTradesBinance[[#This Row],[Qtt]]),IF(TbTradesBinance[[#This Row],[Tipo]]="BUY",AL53-TbTradesBinance[[#This Row],[Qtt]]*TbTradesBinance[[#This Row],[Preço]],AL53+TbTradesBinance[[#This Row],[Qtt]]*TbTradesBinance[[#This Row],[Preço]])),AL53)-IF(TbTradesBinance[[#This Row],[Moeda da Taxa]]=MID(AL$1,9,5),TbTradesBinance[[#This Row],[Taxa]],0),8)))</f>
        <v>0</v>
      </c>
      <c r="AM54" s="145" cm="1">
        <f t="array" ref="AM54">IF(TbTradesBinance[[#This Row],[Tipo]]="EMPTY",0,AM53+IF(TbTradesBinance[[#This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Row],[Par]]))),$1:$1,0)),-(AL53-AL54)/AL53*AM53),0),0)+IF(TbTradesBinance[[#This Row],[Tipo]]="SELL",IF(ISNUMBER(FIND(MID(AM$1,10,5),TbTradesBinance[[#This Row],[Par]])),IF(FIND(MID(AM$1,10,5),TbTradesBinance[[#This Row],[Par]])=1, -(AL53-AL54)/AL53*AM53,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Row],[Par]])),(-(AL53-AL54)/AL53*AM53)+IF(TbTradesBinance[[#This Row],[Resultado]]&gt;0,0,TbTradesBinance[[#This Row],[Taxa]]),0),0))</f>
        <v>0</v>
      </c>
      <c r="AN54" s="145">
        <f t="shared" si="9"/>
        <v>0</v>
      </c>
      <c r="AO5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Row],[Tipo]]="DROP"),AO53+TbTradesBinance[[#This Row],[Qtt]],AO53-TbTradesBinance[[#This Row],[Qtt]]),IF(TbTradesBinance[[#This Row],[Tipo]]="BUY",AO53-TbTradesBinance[[#This Row],[Qtt]]*TbTradesBinance[[#This Row],[Preço]],AO53+TbTradesBinance[[#This Row],[Qtt]]*TbTradesBinance[[#This Row],[Preço]])),AO53)-IF(TbTradesBinance[[#This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Row],[Tipo]]="DROP"),AO53+TbTradesBinance[[#This Row],[Qtt]],AO53-TbTradesBinance[[#This Row],[Qtt]]),IF(TbTradesBinance[[#This Row],[Tipo]]="BUY",AO53-TbTradesBinance[[#This Row],[Qtt]]*TbTradesBinance[[#This Row],[Preço]],AO53+TbTradesBinance[[#This Row],[Qtt]]*TbTradesBinance[[#This Row],[Preço]])),AO53)-IF(TbTradesBinance[[#This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Row],[Tipo]]="DROP"),AO53+TbTradesBinance[[#This Row],[Qtt]],AO53-TbTradesBinance[[#This Row],[Qtt]]),IF(TbTradesBinance[[#This Row],[Tipo]]="BUY",AO53-TbTradesBinance[[#This Row],[Qtt]]*TbTradesBinance[[#This Row],[Preço]],AO53+TbTradesBinance[[#This Row],[Qtt]]*TbTradesBinance[[#This Row],[Preço]])),AO53)-IF(TbTradesBinance[[#This Row],[Moeda da Taxa]]=MID(AO$1,9,5),TbTradesBinance[[#This Row],[Taxa]],0),8)))</f>
        <v>1.2747399999999999E-3</v>
      </c>
      <c r="AP54" s="145" cm="1">
        <f t="array" ref="AP54">IF(TbTradesBinance[[#This Row],[Tipo]]="EMPTY",0,AP53+IF(TbTradesBinance[[#This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Row],[Par]]))),$1:$1,0)),-(AO53-AO54)/AO53*AP53),0),0)+IF(TbTradesBinance[[#This Row],[Tipo]]="SELL",IF(ISNUMBER(FIND(MID(AP$1,10,5),TbTradesBinance[[#This Row],[Par]])),IF(FIND(MID(AP$1,10,5),TbTradesBinance[[#This Row],[Par]])=1, -(AO53-AO54)/AO53*AP53,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Row],[Par]])),(-(AO53-AO54)/AO53*AP53)+IF(TbTradesBinance[[#This Row],[Resultado]]&gt;0,0,TbTradesBinance[[#This Row],[Taxa]]),0),0))</f>
        <v>1.7416212429180353</v>
      </c>
      <c r="AQ54" s="145">
        <f t="shared" si="10"/>
        <v>1366.2560545036913</v>
      </c>
      <c r="AR5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Row],[Tipo]]="DROP"),AR53+TbTradesBinance[[#This Row],[Qtt]],AR53-TbTradesBinance[[#This Row],[Qtt]]),IF(TbTradesBinance[[#This Row],[Tipo]]="BUY",AR53-TbTradesBinance[[#This Row],[Qtt]]*TbTradesBinance[[#This Row],[Preço]],AR53+TbTradesBinance[[#This Row],[Qtt]]*TbTradesBinance[[#This Row],[Preço]])),AR53)-IF(TbTradesBinance[[#This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Row],[Tipo]]="DROP"),AR53+TbTradesBinance[[#This Row],[Qtt]],AR53-TbTradesBinance[[#This Row],[Qtt]]),IF(TbTradesBinance[[#This Row],[Tipo]]="BUY",AR53-TbTradesBinance[[#This Row],[Qtt]]*TbTradesBinance[[#This Row],[Preço]],AR53+TbTradesBinance[[#This Row],[Qtt]]*TbTradesBinance[[#This Row],[Preço]])),AR53)-IF(TbTradesBinance[[#This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Row],[Tipo]]="DROP"),AR53+TbTradesBinance[[#This Row],[Qtt]],AR53-TbTradesBinance[[#This Row],[Qtt]]),IF(TbTradesBinance[[#This Row],[Tipo]]="BUY",AR53-TbTradesBinance[[#This Row],[Qtt]]*TbTradesBinance[[#This Row],[Preço]],AR53+TbTradesBinance[[#This Row],[Qtt]]*TbTradesBinance[[#This Row],[Preço]])),AR53)-IF(TbTradesBinance[[#This Row],[Moeda da Taxa]]=MID(AR$1,9,5),TbTradesBinance[[#This Row],[Taxa]],0),8)))</f>
        <v>0</v>
      </c>
      <c r="AS54" s="145" cm="1">
        <f t="array" ref="AS54">IF(TbTradesBinance[[#This Row],[Tipo]]="EMPTY",0,AS53+IF(TbTradesBinance[[#This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Row],[Par]]))),$1:$1,0)),-(AR53-AR54)/AR53*AS53),0),0)+IF(TbTradesBinance[[#This Row],[Tipo]]="SELL",IF(ISNUMBER(FIND(MID(AS$1,10,5),TbTradesBinance[[#This Row],[Par]])),IF(FIND(MID(AS$1,10,5),TbTradesBinance[[#This Row],[Par]])=1, -(AR53-AR54)/AR53*AS53,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Row],[Par]])),(-(AR53-AR54)/AR53*AS53)+IF(TbTradesBinance[[#This Row],[Resultado]]&gt;0,0,TbTradesBinance[[#This Row],[Taxa]]),0),0))</f>
        <v>0</v>
      </c>
      <c r="AT54" s="145">
        <f t="shared" si="11"/>
        <v>0</v>
      </c>
      <c r="AU5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Row],[Tipo]]="DROP"),AU53+TbTradesBinance[[#This Row],[Qtt]],AU53-TbTradesBinance[[#This Row],[Qtt]]),IF(TbTradesBinance[[#This Row],[Tipo]]="BUY",AU53-TbTradesBinance[[#This Row],[Qtt]]*TbTradesBinance[[#This Row],[Preço]],AU53+TbTradesBinance[[#This Row],[Qtt]]*TbTradesBinance[[#This Row],[Preço]])),AU53)-IF(TbTradesBinance[[#This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Row],[Tipo]]="DROP"),AU53+TbTradesBinance[[#This Row],[Qtt]],AU53-TbTradesBinance[[#This Row],[Qtt]]),IF(TbTradesBinance[[#This Row],[Tipo]]="BUY",AU53-TbTradesBinance[[#This Row],[Qtt]]*TbTradesBinance[[#This Row],[Preço]],AU53+TbTradesBinance[[#This Row],[Qtt]]*TbTradesBinance[[#This Row],[Preço]])),AU53)-IF(TbTradesBinance[[#This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Row],[Tipo]]="DROP"),AU53+TbTradesBinance[[#This Row],[Qtt]],AU53-TbTradesBinance[[#This Row],[Qtt]]),IF(TbTradesBinance[[#This Row],[Tipo]]="BUY",AU53-TbTradesBinance[[#This Row],[Qtt]]*TbTradesBinance[[#This Row],[Preço]],AU53+TbTradesBinance[[#This Row],[Qtt]]*TbTradesBinance[[#This Row],[Preço]])),AU53)-IF(TbTradesBinance[[#This Row],[Moeda da Taxa]]=MID(AU$1,9,5),TbTradesBinance[[#This Row],[Taxa]],0),8)))</f>
        <v>9.9900000000000003E-2</v>
      </c>
      <c r="AV54" s="145" cm="1">
        <f t="array" ref="AV54">IF(TbTradesBinance[[#This Row],[Tipo]]="EMPTY",0,AV53+IF(TbTradesBinance[[#This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Row],[Par]]))),$1:$1,0)),-(AU53-AU54)/AU53*AV53),0),0)+IF(TbTradesBinance[[#This Row],[Tipo]]="SELL",IF(ISNUMBER(FIND(MID(AV$1,10,5),TbTradesBinance[[#This Row],[Par]])),IF(FIND(MID(AV$1,10,5),TbTradesBinance[[#This Row],[Par]])=1, -(AU53-AU54)/AU53*AV53,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Row],[Par]])),(-(AU53-AU54)/AU53*AV53)+IF(TbTradesBinance[[#This Row],[Resultado]]&gt;0,0,TbTradesBinance[[#This Row],[Taxa]]),0),0))</f>
        <v>18.673922987511034</v>
      </c>
      <c r="AW54" s="145">
        <f t="shared" si="12"/>
        <v>186.92615603114149</v>
      </c>
      <c r="AX5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Row],[Tipo]]="DROP"),AX53+TbTradesBinance[[#This Row],[Qtt]],AX53-TbTradesBinance[[#This Row],[Qtt]]),IF(TbTradesBinance[[#This Row],[Tipo]]="BUY",AX53-TbTradesBinance[[#This Row],[Qtt]]*TbTradesBinance[[#This Row],[Preço]],AX53+TbTradesBinance[[#This Row],[Qtt]]*TbTradesBinance[[#This Row],[Preço]])),AX53)-IF(TbTradesBinance[[#This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Row],[Tipo]]="DROP"),AX53+TbTradesBinance[[#This Row],[Qtt]],AX53-TbTradesBinance[[#This Row],[Qtt]]),IF(TbTradesBinance[[#This Row],[Tipo]]="BUY",AX53-TbTradesBinance[[#This Row],[Qtt]]*TbTradesBinance[[#This Row],[Preço]],AX53+TbTradesBinance[[#This Row],[Qtt]]*TbTradesBinance[[#This Row],[Preço]])),AX53)-IF(TbTradesBinance[[#This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Row],[Tipo]]="DROP"),AX53+TbTradesBinance[[#This Row],[Qtt]],AX53-TbTradesBinance[[#This Row],[Qtt]]),IF(TbTradesBinance[[#This Row],[Tipo]]="BUY",AX53-TbTradesBinance[[#This Row],[Qtt]]*TbTradesBinance[[#This Row],[Preço]],AX53+TbTradesBinance[[#This Row],[Qtt]]*TbTradesBinance[[#This Row],[Preço]])),AX53)-IF(TbTradesBinance[[#This Row],[Moeda da Taxa]]=MID(AX$1,9,5),TbTradesBinance[[#This Row],[Taxa]],0),8)))</f>
        <v>0</v>
      </c>
      <c r="AY54" s="145" cm="1">
        <f t="array" ref="AY54">IF(TbTradesBinance[[#This Row],[Tipo]]="EMPTY",0,AY53+IF(TbTradesBinance[[#This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Row],[Par]]))),$1:$1,0)),-(AX53-AX54)/AX53*AY53),0),0)+IF(TbTradesBinance[[#This Row],[Tipo]]="SELL",IF(ISNUMBER(FIND(MID(AY$1,10,5),TbTradesBinance[[#This Row],[Par]])),IF(FIND(MID(AY$1,10,5),TbTradesBinance[[#This Row],[Par]])=1, -(AX53-AX54)/AX53*AY53,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Row],[Par]])),(-(AX53-AX54)/AX53*AY53)+IF(TbTradesBinance[[#This Row],[Resultado]]&gt;0,0,TbTradesBinance[[#This Row],[Taxa]]),0),0))</f>
        <v>0</v>
      </c>
      <c r="AZ54" s="145">
        <f t="shared" si="13"/>
        <v>0</v>
      </c>
      <c r="BA5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Row],[Tipo]]="DROP"),BA53+TbTradesBinance[[#This Row],[Qtt]],BA53-TbTradesBinance[[#This Row],[Qtt]]),IF(TbTradesBinance[[#This Row],[Tipo]]="BUY",BA53-TbTradesBinance[[#This Row],[Qtt]]*TbTradesBinance[[#This Row],[Preço]],BA53+TbTradesBinance[[#This Row],[Qtt]]*TbTradesBinance[[#This Row],[Preço]])),BA53)-IF(TbTradesBinance[[#This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Row],[Tipo]]="DROP"),BA53+TbTradesBinance[[#This Row],[Qtt]],BA53-TbTradesBinance[[#This Row],[Qtt]]),IF(TbTradesBinance[[#This Row],[Tipo]]="BUY",BA53-TbTradesBinance[[#This Row],[Qtt]]*TbTradesBinance[[#This Row],[Preço]],BA53+TbTradesBinance[[#This Row],[Qtt]]*TbTradesBinance[[#This Row],[Preço]])),BA53)-IF(TbTradesBinance[[#This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Row],[Tipo]]="DROP"),BA53+TbTradesBinance[[#This Row],[Qtt]],BA53-TbTradesBinance[[#This Row],[Qtt]]),IF(TbTradesBinance[[#This Row],[Tipo]]="BUY",BA53-TbTradesBinance[[#This Row],[Qtt]]*TbTradesBinance[[#This Row],[Preço]],BA53+TbTradesBinance[[#This Row],[Qtt]]*TbTradesBinance[[#This Row],[Preço]])),BA53)-IF(TbTradesBinance[[#This Row],[Moeda da Taxa]]=MID(BA$1,9,5),TbTradesBinance[[#This Row],[Taxa]],0),8)))</f>
        <v>0</v>
      </c>
      <c r="BB54" s="145" cm="1">
        <f t="array" ref="BB54">IF(TbTradesBinance[[#This Row],[Tipo]]="EMPTY",0,BB53+IF(TbTradesBinance[[#This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Row],[Par]]))),$1:$1,0)),-(BA53-BA54)/BA53*BB53),0),0)+IF(TbTradesBinance[[#This Row],[Tipo]]="SELL",IF(ISNUMBER(FIND(MID(BB$1,10,5),TbTradesBinance[[#This Row],[Par]])),IF(FIND(MID(BB$1,10,5),TbTradesBinance[[#This Row],[Par]])=1, -(BA53-BA54)/BA53*BB53,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Row],[Par]])),(-(BA53-BA54)/BA53*BB53)+IF(TbTradesBinance[[#This Row],[Resultado]]&gt;0,0,TbTradesBinance[[#This Row],[Taxa]]),0),0))</f>
        <v>0</v>
      </c>
      <c r="BC54" s="145">
        <f t="shared" si="14"/>
        <v>0</v>
      </c>
      <c r="BD5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Row],[Tipo]]="DROP"),BD53+TbTradesBinance[[#This Row],[Qtt]],BD53-TbTradesBinance[[#This Row],[Qtt]]),IF(TbTradesBinance[[#This Row],[Tipo]]="BUY",BD53-TbTradesBinance[[#This Row],[Qtt]]*TbTradesBinance[[#This Row],[Preço]],BD53+TbTradesBinance[[#This Row],[Qtt]]*TbTradesBinance[[#This Row],[Preço]])),BD53)-IF(TbTradesBinance[[#This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Row],[Tipo]]="DROP"),BD53+TbTradesBinance[[#This Row],[Qtt]],BD53-TbTradesBinance[[#This Row],[Qtt]]),IF(TbTradesBinance[[#This Row],[Tipo]]="BUY",BD53-TbTradesBinance[[#This Row],[Qtt]]*TbTradesBinance[[#This Row],[Preço]],BD53+TbTradesBinance[[#This Row],[Qtt]]*TbTradesBinance[[#This Row],[Preço]])),BD53)-IF(TbTradesBinance[[#This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Row],[Tipo]]="DROP"),BD53+TbTradesBinance[[#This Row],[Qtt]],BD53-TbTradesBinance[[#This Row],[Qtt]]),IF(TbTradesBinance[[#This Row],[Tipo]]="BUY",BD53-TbTradesBinance[[#This Row],[Qtt]]*TbTradesBinance[[#This Row],[Preço]],BD53+TbTradesBinance[[#This Row],[Qtt]]*TbTradesBinance[[#This Row],[Preço]])),BD53)-IF(TbTradesBinance[[#This Row],[Moeda da Taxa]]=MID(BD$1,9,5),TbTradesBinance[[#This Row],[Taxa]],0),8)))</f>
        <v>0.37962000000000001</v>
      </c>
      <c r="BE54" s="145" cm="1">
        <f t="array" ref="BE54">IF(TbTradesBinance[[#This Row],[Tipo]]="EMPTY",0,BE53+IF(TbTradesBinance[[#This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Row],[Par]]))),$1:$1,0)),-(BD53-BD54)/BD53*BE53),0),0)+IF(TbTradesBinance[[#This Row],[Tipo]]="SELL",IF(ISNUMBER(FIND(MID(BE$1,10,5),TbTradesBinance[[#This Row],[Par]])),IF(FIND(MID(BE$1,10,5),TbTradesBinance[[#This Row],[Par]])=1, -(BD53-BD54)/BD53*BE53,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Row],[Par]])),(-(BD53-BD54)/BD53*BE53)+IF(TbTradesBinance[[#This Row],[Resultado]]&gt;0,0,TbTradesBinance[[#This Row],[Taxa]]),0),0))</f>
        <v>63.647297001537943</v>
      </c>
      <c r="BF54" s="145">
        <f t="shared" si="15"/>
        <v>167.66054739354601</v>
      </c>
      <c r="BG5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Row],[Tipo]]="DROP"),BG53+TbTradesBinance[[#This Row],[Qtt]],BG53-TbTradesBinance[[#This Row],[Qtt]]),IF(TbTradesBinance[[#This Row],[Tipo]]="BUY",BG53-TbTradesBinance[[#This Row],[Qtt]]*TbTradesBinance[[#This Row],[Preço]],BG53+TbTradesBinance[[#This Row],[Qtt]]*TbTradesBinance[[#This Row],[Preço]])),BG53)-IF(TbTradesBinance[[#This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Row],[Tipo]]="DROP"),BG53+TbTradesBinance[[#This Row],[Qtt]],BG53-TbTradesBinance[[#This Row],[Qtt]]),IF(TbTradesBinance[[#This Row],[Tipo]]="BUY",BG53-TbTradesBinance[[#This Row],[Qtt]]*TbTradesBinance[[#This Row],[Preço]],BG53+TbTradesBinance[[#This Row],[Qtt]]*TbTradesBinance[[#This Row],[Preço]])),BG53)-IF(TbTradesBinance[[#This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Row],[Tipo]]="DROP"),BG53+TbTradesBinance[[#This Row],[Qtt]],BG53-TbTradesBinance[[#This Row],[Qtt]]),IF(TbTradesBinance[[#This Row],[Tipo]]="BUY",BG53-TbTradesBinance[[#This Row],[Qtt]]*TbTradesBinance[[#This Row],[Preço]],BG53+TbTradesBinance[[#This Row],[Qtt]]*TbTradesBinance[[#This Row],[Preço]])),BG53)-IF(TbTradesBinance[[#This Row],[Moeda da Taxa]]=MID(BG$1,9,5),TbTradesBinance[[#This Row],[Taxa]],0),8)))</f>
        <v>0</v>
      </c>
      <c r="BH54" s="145" cm="1">
        <f t="array" ref="BH54">IF(TbTradesBinance[[#This Row],[Tipo]]="EMPTY",0,BH53+IF(TbTradesBinance[[#This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Row],[Par]]))),$1:$1,0)),-(BG53-BG54)/BG53*BH53),0),0)+IF(TbTradesBinance[[#This Row],[Tipo]]="SELL",IF(ISNUMBER(FIND(MID(BH$1,10,5),TbTradesBinance[[#This Row],[Par]])),IF(FIND(MID(BH$1,10,5),TbTradesBinance[[#This Row],[Par]])=1, -(BG53-BG54)/BG53*BH53,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Row],[Par]])),(-(BG53-BG54)/BG53*BH53)+IF(TbTradesBinance[[#This Row],[Resultado]]&gt;0,0,TbTradesBinance[[#This Row],[Taxa]]),0),0))</f>
        <v>0</v>
      </c>
      <c r="BI54" s="145">
        <f t="shared" si="16"/>
        <v>0</v>
      </c>
      <c r="BJ5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Row],[Tipo]]="DROP"),BJ53+TbTradesBinance[[#This Row],[Qtt]],BJ53-TbTradesBinance[[#This Row],[Qtt]]),IF(TbTradesBinance[[#This Row],[Tipo]]="BUY",BJ53-TbTradesBinance[[#This Row],[Qtt]]*TbTradesBinance[[#This Row],[Preço]],BJ53+TbTradesBinance[[#This Row],[Qtt]]*TbTradesBinance[[#This Row],[Preço]])),BJ53)-IF(TbTradesBinance[[#This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Row],[Tipo]]="DROP"),BJ53+TbTradesBinance[[#This Row],[Qtt]],BJ53-TbTradesBinance[[#This Row],[Qtt]]),IF(TbTradesBinance[[#This Row],[Tipo]]="BUY",BJ53-TbTradesBinance[[#This Row],[Qtt]]*TbTradesBinance[[#This Row],[Preço]],BJ53+TbTradesBinance[[#This Row],[Qtt]]*TbTradesBinance[[#This Row],[Preço]])),BJ53)-IF(TbTradesBinance[[#This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Row],[Tipo]]="DROP"),BJ53+TbTradesBinance[[#This Row],[Qtt]],BJ53-TbTradesBinance[[#This Row],[Qtt]]),IF(TbTradesBinance[[#This Row],[Tipo]]="BUY",BJ53-TbTradesBinance[[#This Row],[Qtt]]*TbTradesBinance[[#This Row],[Preço]],BJ53+TbTradesBinance[[#This Row],[Qtt]]*TbTradesBinance[[#This Row],[Preço]])),BJ53)-IF(TbTradesBinance[[#This Row],[Moeda da Taxa]]=MID(BJ$1,9,5),TbTradesBinance[[#This Row],[Taxa]],0),8)))</f>
        <v>0</v>
      </c>
      <c r="BK54" s="145" cm="1">
        <f t="array" ref="BK54">IF(TbTradesBinance[[#This Row],[Tipo]]="EMPTY",0,BK53+IF(TbTradesBinance[[#This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Row],[Par]]))),$1:$1,0)),-(BJ53-BJ54)/BJ53*BK53),0),0)+IF(TbTradesBinance[[#This Row],[Tipo]]="SELL",IF(ISNUMBER(FIND(MID(BK$1,10,5),TbTradesBinance[[#This Row],[Par]])),IF(FIND(MID(BK$1,10,5),TbTradesBinance[[#This Row],[Par]])=1, -(BJ53-BJ54)/BJ53*BK53,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Row],[Par]])),(-(BJ53-BJ54)/BJ53*BK53)+IF(TbTradesBinance[[#This Row],[Resultado]]&gt;0,0,TbTradesBinance[[#This Row],[Taxa]]),0),0))</f>
        <v>0</v>
      </c>
      <c r="BL54" s="145">
        <f t="shared" si="17"/>
        <v>0</v>
      </c>
      <c r="BM5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Row],[Tipo]]="DROP"),BM53+TbTradesBinance[[#This Row],[Qtt]],BM53-TbTradesBinance[[#This Row],[Qtt]]),IF(TbTradesBinance[[#This Row],[Tipo]]="BUY",BM53-TbTradesBinance[[#This Row],[Qtt]]*TbTradesBinance[[#This Row],[Preço]],BM53+TbTradesBinance[[#This Row],[Qtt]]*TbTradesBinance[[#This Row],[Preço]])),BM53)-IF(TbTradesBinance[[#This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Row],[Tipo]]="DROP"),BM53+TbTradesBinance[[#This Row],[Qtt]],BM53-TbTradesBinance[[#This Row],[Qtt]]),IF(TbTradesBinance[[#This Row],[Tipo]]="BUY",BM53-TbTradesBinance[[#This Row],[Qtt]]*TbTradesBinance[[#This Row],[Preço]],BM53+TbTradesBinance[[#This Row],[Qtt]]*TbTradesBinance[[#This Row],[Preço]])),BM53)-IF(TbTradesBinance[[#This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Row],[Tipo]]="DROP"),BM53+TbTradesBinance[[#This Row],[Qtt]],BM53-TbTradesBinance[[#This Row],[Qtt]]),IF(TbTradesBinance[[#This Row],[Tipo]]="BUY",BM53-TbTradesBinance[[#This Row],[Qtt]]*TbTradesBinance[[#This Row],[Preço]],BM53+TbTradesBinance[[#This Row],[Qtt]]*TbTradesBinance[[#This Row],[Preço]])),BM53)-IF(TbTradesBinance[[#This Row],[Moeda da Taxa]]=MID(BM$1,9,5),TbTradesBinance[[#This Row],[Taxa]],0),8)))</f>
        <v>0</v>
      </c>
      <c r="BN54" s="145" cm="1">
        <f t="array" ref="BN54">IF(TbTradesBinance[[#This Row],[Tipo]]="EMPTY",0,BN53+IF(TbTradesBinance[[#This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Row],[Par]]))),$1:$1,0)),-(BM53-BM54)/BM53*BN53),0),0)+IF(TbTradesBinance[[#This Row],[Tipo]]="SELL",IF(ISNUMBER(FIND(MID(BN$1,10,5),TbTradesBinance[[#This Row],[Par]])),IF(FIND(MID(BN$1,10,5),TbTradesBinance[[#This Row],[Par]])=1, -(BM53-BM54)/BM53*BN53,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Row],[Par]])),(-(BM53-BM54)/BM53*BN53)+IF(TbTradesBinance[[#This Row],[Resultado]]&gt;0,0,TbTradesBinance[[#This Row],[Taxa]]),0),0))</f>
        <v>0</v>
      </c>
      <c r="BO54" s="145">
        <f t="shared" si="18"/>
        <v>0</v>
      </c>
    </row>
    <row r="55" spans="2:67" x14ac:dyDescent="0.3">
      <c r="B55" s="51"/>
      <c r="C55" s="40">
        <f>TRUNC(IF(AND(TbTradesBinance[[#This Row],[Tipo]]="SEND",TbTradesBinance[[#This Row],[Par]]="BRL"),TbTradesBinance[[#This Row],[Qtt]]*(1-P53)-IF(TbTradesBinance[[#This Row],[Moeda da Taxa]]="BRL",TbTradesBinance[[#This Row],[Taxa]],0),0)+IF(AND(TbTradesBinance[[#This Row],[Tipo]]="BURN",TbTradesBinance[[#This Row],[Par]]="BRL"),-TbTradesBinance[[#This Row],[Qtt]]*P53,0),2)</f>
        <v>0</v>
      </c>
      <c r="D55" s="53">
        <v>44263.876296296294</v>
      </c>
      <c r="E55" s="37" t="s">
        <v>138</v>
      </c>
      <c r="F55" s="47" t="s">
        <v>140</v>
      </c>
      <c r="G55" s="38">
        <v>304300</v>
      </c>
      <c r="H55" s="38">
        <v>1.2E-4</v>
      </c>
      <c r="I55" s="38">
        <v>0</v>
      </c>
      <c r="J55" s="37" t="s">
        <v>45</v>
      </c>
      <c r="K55" s="52">
        <v>1</v>
      </c>
      <c r="L55" s="40">
        <f t="shared" si="0"/>
        <v>304300</v>
      </c>
      <c r="M55" s="40">
        <f>IF(OR(TbTradesBinance[[#This Row],[Tipo]]="BUY",TbTradesBinance[[#This Row],[Tipo]]="RECEIVE",TbTradesBinance[[#This Row],[Tipo]]="DROP"),L55*H55,-L55*H55)</f>
        <v>-36.515999999999998</v>
      </c>
      <c r="N5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Row],[Tipo]]="DROP"),N54+TbTradesBinance[[#This Row],[Qtt]],N54-TbTradesBinance[[#This Row],[Qtt]]),IF(TbTradesBinance[[#This Row],[Tipo]]="BUY",N54-TbTradesBinance[[#This Row],[Qtt]]*TbTradesBinance[[#This Row],[Preço]],N54+TbTradesBinance[[#This Row],[Qtt]]*TbTradesBinance[[#This Row],[Preço]])),N54)-IF(TbTradesBinance[[#This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Row],[Tipo]]="DROP"),N54+TbTradesBinance[[#This Row],[Qtt]],N54-TbTradesBinance[[#This Row],[Qtt]]),IF(TbTradesBinance[[#This Row],[Tipo]]="BUY",N54-TbTradesBinance[[#This Row],[Qtt]]*TbTradesBinance[[#This Row],[Preço]],N54+TbTradesBinance[[#This Row],[Qtt]]*TbTradesBinance[[#This Row],[Preço]])),N54)-IF(TbTradesBinance[[#This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Row],[Tipo]]="DROP"),N54+TbTradesBinance[[#This Row],[Qtt]],N54-TbTradesBinance[[#This Row],[Qtt]]),IF(TbTradesBinance[[#This Row],[Tipo]]="BUY",N54-TbTradesBinance[[#This Row],[Qtt]]*TbTradesBinance[[#This Row],[Preço]],N54+TbTradesBinance[[#This Row],[Qtt]]*TbTradesBinance[[#This Row],[Preço]])),N54)-IF(TbTradesBinance[[#This Row],[Moeda da Taxa]]=MID(N$1,9,5),TbTradesBinance[[#This Row],[Taxa]],0),8)))</f>
        <v>120056.67233289</v>
      </c>
      <c r="O55" s="145" cm="1">
        <f t="array" ref="O55">IF(TbTradesBinance[[#This Row],[Tipo]]="EMPTY",0,O54+IF(TbTradesBinance[[#This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Row],[Par]]))),$1:$1,0)),-(N54-N55)/N54*O54),0),0)+IF(TbTradesBinance[[#This Row],[Tipo]]="SELL",IF(ISNUMBER(FIND(MID(O$1,10,5),TbTradesBinance[[#This Row],[Par]])),IF(FIND(MID(O$1,10,5),TbTradesBinance[[#This Row],[Par]])=1, -(N54-N55)/N54*O54,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Row],[Par]])),(-(N54-N55)/N54*O54)+IF(TbTradesBinance[[#This Row],[Resultado]]&gt;0,0,TbTradesBinance[[#This Row],[Taxa]]),0),0))</f>
        <v>119960.10694784319</v>
      </c>
      <c r="P55" s="145">
        <f t="shared" si="1"/>
        <v>0.99919566831921636</v>
      </c>
      <c r="Q5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Row],[Tipo]]="DROP"),Q54+TbTradesBinance[[#This Row],[Qtt]],Q54-TbTradesBinance[[#This Row],[Qtt]]),IF(TbTradesBinance[[#This Row],[Tipo]]="BUY",Q54-TbTradesBinance[[#This Row],[Qtt]]*TbTradesBinance[[#This Row],[Preço]],Q54+TbTradesBinance[[#This Row],[Qtt]]*TbTradesBinance[[#This Row],[Preço]])),Q54)-IF(TbTradesBinance[[#This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Row],[Tipo]]="DROP"),Q54+TbTradesBinance[[#This Row],[Qtt]],Q54-TbTradesBinance[[#This Row],[Qtt]]),IF(TbTradesBinance[[#This Row],[Tipo]]="BUY",Q54-TbTradesBinance[[#This Row],[Qtt]]*TbTradesBinance[[#This Row],[Preço]],Q54+TbTradesBinance[[#This Row],[Qtt]]*TbTradesBinance[[#This Row],[Preço]])),Q54)-IF(TbTradesBinance[[#This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Row],[Tipo]]="DROP"),Q54+TbTradesBinance[[#This Row],[Qtt]],Q54-TbTradesBinance[[#This Row],[Qtt]]),IF(TbTradesBinance[[#This Row],[Tipo]]="BUY",Q54-TbTradesBinance[[#This Row],[Qtt]]*TbTradesBinance[[#This Row],[Preço]],Q54+TbTradesBinance[[#This Row],[Qtt]]*TbTradesBinance[[#This Row],[Preço]])),Q54)-IF(TbTradesBinance[[#This Row],[Moeda da Taxa]]=MID(Q$1,9,5),TbTradesBinance[[#This Row],[Taxa]],0),8)))</f>
        <v>0</v>
      </c>
      <c r="R55" s="145" cm="1">
        <f t="array" ref="R55">IF(TbTradesBinance[[#This Row],[Tipo]]="EMPTY",0,R54+IF(TbTradesBinance[[#This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Row],[Par]]))),$1:$1,0)),-(Q54-Q55)/Q54*R54),0),0)+IF(TbTradesBinance[[#This Row],[Tipo]]="SELL",IF(ISNUMBER(FIND(MID(R$1,10,5),TbTradesBinance[[#This Row],[Par]])),IF(FIND(MID(R$1,10,5),TbTradesBinance[[#This Row],[Par]])=1, -(Q54-Q55)/Q54*R54,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Row],[Par]])),(-(Q54-Q55)/Q54*R54)+IF(TbTradesBinance[[#This Row],[Resultado]]&gt;0,0,TbTradesBinance[[#This Row],[Taxa]]),0),0))</f>
        <v>0</v>
      </c>
      <c r="S55" s="145">
        <f t="shared" si="2"/>
        <v>0</v>
      </c>
      <c r="T5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Row],[Tipo]]="DROP"),T54+TbTradesBinance[[#This Row],[Qtt]],T54-TbTradesBinance[[#This Row],[Qtt]]),IF(TbTradesBinance[[#This Row],[Tipo]]="BUY",T54-TbTradesBinance[[#This Row],[Qtt]]*TbTradesBinance[[#This Row],[Preço]],T54+TbTradesBinance[[#This Row],[Qtt]]*TbTradesBinance[[#This Row],[Preço]])),T54)-IF(TbTradesBinance[[#This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Row],[Tipo]]="DROP"),T54+TbTradesBinance[[#This Row],[Qtt]],T54-TbTradesBinance[[#This Row],[Qtt]]),IF(TbTradesBinance[[#This Row],[Tipo]]="BUY",T54-TbTradesBinance[[#This Row],[Qtt]]*TbTradesBinance[[#This Row],[Preço]],T54+TbTradesBinance[[#This Row],[Qtt]]*TbTradesBinance[[#This Row],[Preço]])),T54)-IF(TbTradesBinance[[#This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Row],[Tipo]]="DROP"),T54+TbTradesBinance[[#This Row],[Qtt]],T54-TbTradesBinance[[#This Row],[Qtt]]),IF(TbTradesBinance[[#This Row],[Tipo]]="BUY",T54-TbTradesBinance[[#This Row],[Qtt]]*TbTradesBinance[[#This Row],[Preço]],T54+TbTradesBinance[[#This Row],[Qtt]]*TbTradesBinance[[#This Row],[Preço]])),T54)-IF(TbTradesBinance[[#This Row],[Moeda da Taxa]]=MID(T$1,9,5),TbTradesBinance[[#This Row],[Taxa]],0),8)))</f>
        <v>199735.32000169999</v>
      </c>
      <c r="U55" s="145" cm="1">
        <f t="array" ref="U55">IF(TbTradesBinance[[#This Row],[Tipo]]="EMPTY",0,U54+IF(TbTradesBinance[[#This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Row],[Par]]))),$1:$1,0)),-(T54-T55)/T54*U54),0),0)+IF(TbTradesBinance[[#This Row],[Tipo]]="SELL",IF(ISNUMBER(FIND(MID(U$1,10,5),TbTradesBinance[[#This Row],[Par]])),IF(FIND(MID(U$1,10,5),TbTradesBinance[[#This Row],[Par]])=1, -(T54-T55)/T54*U54,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Row],[Par]])),(-(T54-T55)/T54*U54)+IF(TbTradesBinance[[#This Row],[Resultado]]&gt;0,0,TbTradesBinance[[#This Row],[Taxa]]),0),0))</f>
        <v>1328239.8809817513</v>
      </c>
      <c r="V55" s="145">
        <f t="shared" si="3"/>
        <v>6.6500000148719129</v>
      </c>
      <c r="W5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Row],[Tipo]]="DROP"),W54+TbTradesBinance[[#This Row],[Qtt]],W54-TbTradesBinance[[#This Row],[Qtt]]),IF(TbTradesBinance[[#This Row],[Tipo]]="BUY",W54-TbTradesBinance[[#This Row],[Qtt]]*TbTradesBinance[[#This Row],[Preço]],W54+TbTradesBinance[[#This Row],[Qtt]]*TbTradesBinance[[#This Row],[Preço]])),W54)-IF(TbTradesBinance[[#This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Row],[Tipo]]="DROP"),W54+TbTradesBinance[[#This Row],[Qtt]],W54-TbTradesBinance[[#This Row],[Qtt]]),IF(TbTradesBinance[[#This Row],[Tipo]]="BUY",W54-TbTradesBinance[[#This Row],[Qtt]]*TbTradesBinance[[#This Row],[Preço]],W54+TbTradesBinance[[#This Row],[Qtt]]*TbTradesBinance[[#This Row],[Preço]])),W54)-IF(TbTradesBinance[[#This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Row],[Tipo]]="DROP"),W54+TbTradesBinance[[#This Row],[Qtt]],W54-TbTradesBinance[[#This Row],[Qtt]]),IF(TbTradesBinance[[#This Row],[Tipo]]="BUY",W54-TbTradesBinance[[#This Row],[Qtt]]*TbTradesBinance[[#This Row],[Preço]],W54+TbTradesBinance[[#This Row],[Qtt]]*TbTradesBinance[[#This Row],[Preço]])),W54)-IF(TbTradesBinance[[#This Row],[Moeda da Taxa]]=MID(W$1,9,5),TbTradesBinance[[#This Row],[Taxa]],0),8)))</f>
        <v>4.4464E-4</v>
      </c>
      <c r="X55" s="145" cm="1">
        <f t="array" ref="X55">IF(TbTradesBinance[[#This Row],[Tipo]]="EMPTY",0,X54+IF(TbTradesBinance[[#This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Row],[Par]]))),$1:$1,0)),-(W54-W55)/W54*X54),0),0)+IF(TbTradesBinance[[#This Row],[Tipo]]="SELL",IF(ISNUMBER(FIND(MID(X$1,10,5),TbTradesBinance[[#This Row],[Par]])),IF(FIND(MID(X$1,10,5),TbTradesBinance[[#This Row],[Par]])=1, -(W54-W55)/W54*X54,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Row],[Par]])),(-(W54-W55)/W54*X54)+IF(TbTradesBinance[[#This Row],[Resultado]]&gt;0,0,TbTradesBinance[[#This Row],[Taxa]]),0),0))</f>
        <v>123.62386225001458</v>
      </c>
      <c r="Y55" s="145">
        <f t="shared" si="4"/>
        <v>278031.35626577586</v>
      </c>
      <c r="Z5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Row],[Tipo]]="DROP"),Z54+TbTradesBinance[[#This Row],[Qtt]],Z54-TbTradesBinance[[#This Row],[Qtt]]),IF(TbTradesBinance[[#This Row],[Tipo]]="BUY",Z54-TbTradesBinance[[#This Row],[Qtt]]*TbTradesBinance[[#This Row],[Preço]],Z54+TbTradesBinance[[#This Row],[Qtt]]*TbTradesBinance[[#This Row],[Preço]])),Z54)-IF(TbTradesBinance[[#This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Row],[Tipo]]="DROP"),Z54+TbTradesBinance[[#This Row],[Qtt]],Z54-TbTradesBinance[[#This Row],[Qtt]]),IF(TbTradesBinance[[#This Row],[Tipo]]="BUY",Z54-TbTradesBinance[[#This Row],[Qtt]]*TbTradesBinance[[#This Row],[Preço]],Z54+TbTradesBinance[[#This Row],[Qtt]]*TbTradesBinance[[#This Row],[Preço]])),Z54)-IF(TbTradesBinance[[#This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Row],[Tipo]]="DROP"),Z54+TbTradesBinance[[#This Row],[Qtt]],Z54-TbTradesBinance[[#This Row],[Qtt]]),IF(TbTradesBinance[[#This Row],[Tipo]]="BUY",Z54-TbTradesBinance[[#This Row],[Qtt]]*TbTradesBinance[[#This Row],[Preço]],Z54+TbTradesBinance[[#This Row],[Qtt]]*TbTradesBinance[[#This Row],[Preço]])),Z54)-IF(TbTradesBinance[[#This Row],[Moeda da Taxa]]=MID(Z$1,9,5),TbTradesBinance[[#This Row],[Taxa]],0),8)))</f>
        <v>0</v>
      </c>
      <c r="AA55" s="145" cm="1">
        <f t="array" ref="AA55">IF(TbTradesBinance[[#This Row],[Tipo]]="EMPTY",0,AA54+IF(TbTradesBinance[[#This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Row],[Par]]))),$1:$1,0)),-(Z54-Z55)/Z54*AA54),0),0)+IF(TbTradesBinance[[#This Row],[Tipo]]="SELL",IF(ISNUMBER(FIND(MID(AA$1,10,5),TbTradesBinance[[#This Row],[Par]])),IF(FIND(MID(AA$1,10,5),TbTradesBinance[[#This Row],[Par]])=1, -(Z54-Z55)/Z54*AA54,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Row],[Par]])),(-(Z54-Z55)/Z54*AA54)+IF(TbTradesBinance[[#This Row],[Resultado]]&gt;0,0,TbTradesBinance[[#This Row],[Taxa]]),0),0))</f>
        <v>0</v>
      </c>
      <c r="AB55" s="145">
        <f t="shared" si="5"/>
        <v>0</v>
      </c>
      <c r="AC5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Row],[Tipo]]="DROP"),AC54+TbTradesBinance[[#This Row],[Qtt]],AC54-TbTradesBinance[[#This Row],[Qtt]]),IF(TbTradesBinance[[#This Row],[Tipo]]="BUY",AC54-TbTradesBinance[[#This Row],[Qtt]]*TbTradesBinance[[#This Row],[Preço]],AC54+TbTradesBinance[[#This Row],[Qtt]]*TbTradesBinance[[#This Row],[Preço]])),AC54)-IF(TbTradesBinance[[#This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Row],[Tipo]]="DROP"),AC54+TbTradesBinance[[#This Row],[Qtt]],AC54-TbTradesBinance[[#This Row],[Qtt]]),IF(TbTradesBinance[[#This Row],[Tipo]]="BUY",AC54-TbTradesBinance[[#This Row],[Qtt]]*TbTradesBinance[[#This Row],[Preço]],AC54+TbTradesBinance[[#This Row],[Qtt]]*TbTradesBinance[[#This Row],[Preço]])),AC54)-IF(TbTradesBinance[[#This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Row],[Tipo]]="DROP"),AC54+TbTradesBinance[[#This Row],[Qtt]],AC54-TbTradesBinance[[#This Row],[Qtt]]),IF(TbTradesBinance[[#This Row],[Tipo]]="BUY",AC54-TbTradesBinance[[#This Row],[Qtt]]*TbTradesBinance[[#This Row],[Preço]],AC54+TbTradesBinance[[#This Row],[Qtt]]*TbTradesBinance[[#This Row],[Preço]])),AC54)-IF(TbTradesBinance[[#This Row],[Moeda da Taxa]]=MID(AC$1,9,5),TbTradesBinance[[#This Row],[Taxa]],0),8)))</f>
        <v>0</v>
      </c>
      <c r="AD55" s="145" cm="1">
        <f t="array" ref="AD55">IF(TbTradesBinance[[#This Row],[Tipo]]="EMPTY",0,AD54+IF(TbTradesBinance[[#This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Row],[Par]]))),$1:$1,0)),-(AC54-AC55)/AC54*AD54),0),0)+IF(TbTradesBinance[[#This Row],[Tipo]]="SELL",IF(ISNUMBER(FIND(MID(AD$1,10,5),TbTradesBinance[[#This Row],[Par]])),IF(FIND(MID(AD$1,10,5),TbTradesBinance[[#This Row],[Par]])=1, -(AC54-AC55)/AC54*AD54,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Row],[Par]])),(-(AC54-AC55)/AC54*AD54)+IF(TbTradesBinance[[#This Row],[Resultado]]&gt;0,0,TbTradesBinance[[#This Row],[Taxa]]),0),0))</f>
        <v>0</v>
      </c>
      <c r="AE55" s="145">
        <f t="shared" si="6"/>
        <v>0</v>
      </c>
      <c r="AF5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Row],[Tipo]]="DROP"),AF54+TbTradesBinance[[#This Row],[Qtt]],AF54-TbTradesBinance[[#This Row],[Qtt]]),IF(TbTradesBinance[[#This Row],[Tipo]]="BUY",AF54-TbTradesBinance[[#This Row],[Qtt]]*TbTradesBinance[[#This Row],[Preço]],AF54+TbTradesBinance[[#This Row],[Qtt]]*TbTradesBinance[[#This Row],[Preço]])),AF54)-IF(TbTradesBinance[[#This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Row],[Tipo]]="DROP"),AF54+TbTradesBinance[[#This Row],[Qtt]],AF54-TbTradesBinance[[#This Row],[Qtt]]),IF(TbTradesBinance[[#This Row],[Tipo]]="BUY",AF54-TbTradesBinance[[#This Row],[Qtt]]*TbTradesBinance[[#This Row],[Preço]],AF54+TbTradesBinance[[#This Row],[Qtt]]*TbTradesBinance[[#This Row],[Preço]])),AF54)-IF(TbTradesBinance[[#This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Row],[Tipo]]="DROP"),AF54+TbTradesBinance[[#This Row],[Qtt]],AF54-TbTradesBinance[[#This Row],[Qtt]]),IF(TbTradesBinance[[#This Row],[Tipo]]="BUY",AF54-TbTradesBinance[[#This Row],[Qtt]]*TbTradesBinance[[#This Row],[Preço]],AF54+TbTradesBinance[[#This Row],[Qtt]]*TbTradesBinance[[#This Row],[Preço]])),AF54)-IF(TbTradesBinance[[#This Row],[Moeda da Taxa]]=MID(AF$1,9,5),TbTradesBinance[[#This Row],[Taxa]],0),8)))</f>
        <v>0</v>
      </c>
      <c r="AG55" s="145" cm="1">
        <f t="array" ref="AG55">IF(TbTradesBinance[[#This Row],[Tipo]]="EMPTY",0,AG54+IF(TbTradesBinance[[#This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Row],[Par]]))),$1:$1,0)),-(AF54-AF55)/AF54*AG54),0),0)+IF(TbTradesBinance[[#This Row],[Tipo]]="SELL",IF(ISNUMBER(FIND(MID(AG$1,10,5),TbTradesBinance[[#This Row],[Par]])),IF(FIND(MID(AG$1,10,5),TbTradesBinance[[#This Row],[Par]])=1, -(AF54-AF55)/AF54*AG54,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Row],[Par]])),(-(AF54-AF55)/AF54*AG54)+IF(TbTradesBinance[[#This Row],[Resultado]]&gt;0,0,TbTradesBinance[[#This Row],[Taxa]]),0),0))</f>
        <v>0</v>
      </c>
      <c r="AH55" s="145">
        <f t="shared" si="7"/>
        <v>0</v>
      </c>
      <c r="AI5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Row],[Tipo]]="DROP"),AI54+TbTradesBinance[[#This Row],[Qtt]],AI54-TbTradesBinance[[#This Row],[Qtt]]),IF(TbTradesBinance[[#This Row],[Tipo]]="BUY",AI54-TbTradesBinance[[#This Row],[Qtt]]*TbTradesBinance[[#This Row],[Preço]],AI54+TbTradesBinance[[#This Row],[Qtt]]*TbTradesBinance[[#This Row],[Preço]])),AI54)-IF(TbTradesBinance[[#This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Row],[Tipo]]="DROP"),AI54+TbTradesBinance[[#This Row],[Qtt]],AI54-TbTradesBinance[[#This Row],[Qtt]]),IF(TbTradesBinance[[#This Row],[Tipo]]="BUY",AI54-TbTradesBinance[[#This Row],[Qtt]]*TbTradesBinance[[#This Row],[Preço]],AI54+TbTradesBinance[[#This Row],[Qtt]]*TbTradesBinance[[#This Row],[Preço]])),AI54)-IF(TbTradesBinance[[#This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Row],[Tipo]]="DROP"),AI54+TbTradesBinance[[#This Row],[Qtt]],AI54-TbTradesBinance[[#This Row],[Qtt]]),IF(TbTradesBinance[[#This Row],[Tipo]]="BUY",AI54-TbTradesBinance[[#This Row],[Qtt]]*TbTradesBinance[[#This Row],[Preço]],AI54+TbTradesBinance[[#This Row],[Qtt]]*TbTradesBinance[[#This Row],[Preço]])),AI54)-IF(TbTradesBinance[[#This Row],[Moeda da Taxa]]=MID(AI$1,9,5),TbTradesBinance[[#This Row],[Taxa]],0),8)))</f>
        <v>0</v>
      </c>
      <c r="AJ55" s="145" cm="1">
        <f t="array" ref="AJ55">IF(TbTradesBinance[[#This Row],[Tipo]]="EMPTY",0,AJ54+IF(TbTradesBinance[[#This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Row],[Par]]))),$1:$1,0)),-(AI54-AI55)/AI54*AJ54),0),0)+IF(TbTradesBinance[[#This Row],[Tipo]]="SELL",IF(ISNUMBER(FIND(MID(AJ$1,10,5),TbTradesBinance[[#This Row],[Par]])),IF(FIND(MID(AJ$1,10,5),TbTradesBinance[[#This Row],[Par]])=1, -(AI54-AI55)/AI54*AJ54,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Row],[Par]])),(-(AI54-AI55)/AI54*AJ54)+IF(TbTradesBinance[[#This Row],[Resultado]]&gt;0,0,TbTradesBinance[[#This Row],[Taxa]]),0),0))</f>
        <v>0</v>
      </c>
      <c r="AK55" s="145">
        <f t="shared" si="8"/>
        <v>0</v>
      </c>
      <c r="AL5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Row],[Tipo]]="DROP"),AL54+TbTradesBinance[[#This Row],[Qtt]],AL54-TbTradesBinance[[#This Row],[Qtt]]),IF(TbTradesBinance[[#This Row],[Tipo]]="BUY",AL54-TbTradesBinance[[#This Row],[Qtt]]*TbTradesBinance[[#This Row],[Preço]],AL54+TbTradesBinance[[#This Row],[Qtt]]*TbTradesBinance[[#This Row],[Preço]])),AL54)-IF(TbTradesBinance[[#This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Row],[Tipo]]="DROP"),AL54+TbTradesBinance[[#This Row],[Qtt]],AL54-TbTradesBinance[[#This Row],[Qtt]]),IF(TbTradesBinance[[#This Row],[Tipo]]="BUY",AL54-TbTradesBinance[[#This Row],[Qtt]]*TbTradesBinance[[#This Row],[Preço]],AL54+TbTradesBinance[[#This Row],[Qtt]]*TbTradesBinance[[#This Row],[Preço]])),AL54)-IF(TbTradesBinance[[#This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Row],[Tipo]]="DROP"),AL54+TbTradesBinance[[#This Row],[Qtt]],AL54-TbTradesBinance[[#This Row],[Qtt]]),IF(TbTradesBinance[[#This Row],[Tipo]]="BUY",AL54-TbTradesBinance[[#This Row],[Qtt]]*TbTradesBinance[[#This Row],[Preço]],AL54+TbTradesBinance[[#This Row],[Qtt]]*TbTradesBinance[[#This Row],[Preço]])),AL54)-IF(TbTradesBinance[[#This Row],[Moeda da Taxa]]=MID(AL$1,9,5),TbTradesBinance[[#This Row],[Taxa]],0),8)))</f>
        <v>0</v>
      </c>
      <c r="AM55" s="145" cm="1">
        <f t="array" ref="AM55">IF(TbTradesBinance[[#This Row],[Tipo]]="EMPTY",0,AM54+IF(TbTradesBinance[[#This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Row],[Par]]))),$1:$1,0)),-(AL54-AL55)/AL54*AM54),0),0)+IF(TbTradesBinance[[#This Row],[Tipo]]="SELL",IF(ISNUMBER(FIND(MID(AM$1,10,5),TbTradesBinance[[#This Row],[Par]])),IF(FIND(MID(AM$1,10,5),TbTradesBinance[[#This Row],[Par]])=1, -(AL54-AL55)/AL54*AM54,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Row],[Par]])),(-(AL54-AL55)/AL54*AM54)+IF(TbTradesBinance[[#This Row],[Resultado]]&gt;0,0,TbTradesBinance[[#This Row],[Taxa]]),0),0))</f>
        <v>0</v>
      </c>
      <c r="AN55" s="145">
        <f t="shared" si="9"/>
        <v>0</v>
      </c>
      <c r="AO5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Row],[Tipo]]="DROP"),AO54+TbTradesBinance[[#This Row],[Qtt]],AO54-TbTradesBinance[[#This Row],[Qtt]]),IF(TbTradesBinance[[#This Row],[Tipo]]="BUY",AO54-TbTradesBinance[[#This Row],[Qtt]]*TbTradesBinance[[#This Row],[Preço]],AO54+TbTradesBinance[[#This Row],[Qtt]]*TbTradesBinance[[#This Row],[Preço]])),AO54)-IF(TbTradesBinance[[#This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Row],[Tipo]]="DROP"),AO54+TbTradesBinance[[#This Row],[Qtt]],AO54-TbTradesBinance[[#This Row],[Qtt]]),IF(TbTradesBinance[[#This Row],[Tipo]]="BUY",AO54-TbTradesBinance[[#This Row],[Qtt]]*TbTradesBinance[[#This Row],[Preço]],AO54+TbTradesBinance[[#This Row],[Qtt]]*TbTradesBinance[[#This Row],[Preço]])),AO54)-IF(TbTradesBinance[[#This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Row],[Tipo]]="DROP"),AO54+TbTradesBinance[[#This Row],[Qtt]],AO54-TbTradesBinance[[#This Row],[Qtt]]),IF(TbTradesBinance[[#This Row],[Tipo]]="BUY",AO54-TbTradesBinance[[#This Row],[Qtt]]*TbTradesBinance[[#This Row],[Preço]],AO54+TbTradesBinance[[#This Row],[Qtt]]*TbTradesBinance[[#This Row],[Preço]])),AO54)-IF(TbTradesBinance[[#This Row],[Moeda da Taxa]]=MID(AO$1,9,5),TbTradesBinance[[#This Row],[Taxa]],0),8)))</f>
        <v>1.2747399999999999E-3</v>
      </c>
      <c r="AP55" s="145" cm="1">
        <f t="array" ref="AP55">IF(TbTradesBinance[[#This Row],[Tipo]]="EMPTY",0,AP54+IF(TbTradesBinance[[#This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Row],[Par]]))),$1:$1,0)),-(AO54-AO55)/AO54*AP54),0),0)+IF(TbTradesBinance[[#This Row],[Tipo]]="SELL",IF(ISNUMBER(FIND(MID(AP$1,10,5),TbTradesBinance[[#This Row],[Par]])),IF(FIND(MID(AP$1,10,5),TbTradesBinance[[#This Row],[Par]])=1, -(AO54-AO55)/AO54*AP54,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Row],[Par]])),(-(AO54-AO55)/AO54*AP54)+IF(TbTradesBinance[[#This Row],[Resultado]]&gt;0,0,TbTradesBinance[[#This Row],[Taxa]]),0),0))</f>
        <v>1.7416212429180353</v>
      </c>
      <c r="AQ55" s="145">
        <f t="shared" si="10"/>
        <v>1366.2560545036913</v>
      </c>
      <c r="AR5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Row],[Tipo]]="DROP"),AR54+TbTradesBinance[[#This Row],[Qtt]],AR54-TbTradesBinance[[#This Row],[Qtt]]),IF(TbTradesBinance[[#This Row],[Tipo]]="BUY",AR54-TbTradesBinance[[#This Row],[Qtt]]*TbTradesBinance[[#This Row],[Preço]],AR54+TbTradesBinance[[#This Row],[Qtt]]*TbTradesBinance[[#This Row],[Preço]])),AR54)-IF(TbTradesBinance[[#This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Row],[Tipo]]="DROP"),AR54+TbTradesBinance[[#This Row],[Qtt]],AR54-TbTradesBinance[[#This Row],[Qtt]]),IF(TbTradesBinance[[#This Row],[Tipo]]="BUY",AR54-TbTradesBinance[[#This Row],[Qtt]]*TbTradesBinance[[#This Row],[Preço]],AR54+TbTradesBinance[[#This Row],[Qtt]]*TbTradesBinance[[#This Row],[Preço]])),AR54)-IF(TbTradesBinance[[#This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Row],[Tipo]]="DROP"),AR54+TbTradesBinance[[#This Row],[Qtt]],AR54-TbTradesBinance[[#This Row],[Qtt]]),IF(TbTradesBinance[[#This Row],[Tipo]]="BUY",AR54-TbTradesBinance[[#This Row],[Qtt]]*TbTradesBinance[[#This Row],[Preço]],AR54+TbTradesBinance[[#This Row],[Qtt]]*TbTradesBinance[[#This Row],[Preço]])),AR54)-IF(TbTradesBinance[[#This Row],[Moeda da Taxa]]=MID(AR$1,9,5),TbTradesBinance[[#This Row],[Taxa]],0),8)))</f>
        <v>0</v>
      </c>
      <c r="AS55" s="145" cm="1">
        <f t="array" ref="AS55">IF(TbTradesBinance[[#This Row],[Tipo]]="EMPTY",0,AS54+IF(TbTradesBinance[[#This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Row],[Par]]))),$1:$1,0)),-(AR54-AR55)/AR54*AS54),0),0)+IF(TbTradesBinance[[#This Row],[Tipo]]="SELL",IF(ISNUMBER(FIND(MID(AS$1,10,5),TbTradesBinance[[#This Row],[Par]])),IF(FIND(MID(AS$1,10,5),TbTradesBinance[[#This Row],[Par]])=1, -(AR54-AR55)/AR54*AS54,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Row],[Par]])),(-(AR54-AR55)/AR54*AS54)+IF(TbTradesBinance[[#This Row],[Resultado]]&gt;0,0,TbTradesBinance[[#This Row],[Taxa]]),0),0))</f>
        <v>0</v>
      </c>
      <c r="AT55" s="145">
        <f t="shared" si="11"/>
        <v>0</v>
      </c>
      <c r="AU5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Row],[Tipo]]="DROP"),AU54+TbTradesBinance[[#This Row],[Qtt]],AU54-TbTradesBinance[[#This Row],[Qtt]]),IF(TbTradesBinance[[#This Row],[Tipo]]="BUY",AU54-TbTradesBinance[[#This Row],[Qtt]]*TbTradesBinance[[#This Row],[Preço]],AU54+TbTradesBinance[[#This Row],[Qtt]]*TbTradesBinance[[#This Row],[Preço]])),AU54)-IF(TbTradesBinance[[#This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Row],[Tipo]]="DROP"),AU54+TbTradesBinance[[#This Row],[Qtt]],AU54-TbTradesBinance[[#This Row],[Qtt]]),IF(TbTradesBinance[[#This Row],[Tipo]]="BUY",AU54-TbTradesBinance[[#This Row],[Qtt]]*TbTradesBinance[[#This Row],[Preço]],AU54+TbTradesBinance[[#This Row],[Qtt]]*TbTradesBinance[[#This Row],[Preço]])),AU54)-IF(TbTradesBinance[[#This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Row],[Tipo]]="DROP"),AU54+TbTradesBinance[[#This Row],[Qtt]],AU54-TbTradesBinance[[#This Row],[Qtt]]),IF(TbTradesBinance[[#This Row],[Tipo]]="BUY",AU54-TbTradesBinance[[#This Row],[Qtt]]*TbTradesBinance[[#This Row],[Preço]],AU54+TbTradesBinance[[#This Row],[Qtt]]*TbTradesBinance[[#This Row],[Preço]])),AU54)-IF(TbTradesBinance[[#This Row],[Moeda da Taxa]]=MID(AU$1,9,5),TbTradesBinance[[#This Row],[Taxa]],0),8)))</f>
        <v>9.9900000000000003E-2</v>
      </c>
      <c r="AV55" s="145" cm="1">
        <f t="array" ref="AV55">IF(TbTradesBinance[[#This Row],[Tipo]]="EMPTY",0,AV54+IF(TbTradesBinance[[#This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Row],[Par]]))),$1:$1,0)),-(AU54-AU55)/AU54*AV54),0),0)+IF(TbTradesBinance[[#This Row],[Tipo]]="SELL",IF(ISNUMBER(FIND(MID(AV$1,10,5),TbTradesBinance[[#This Row],[Par]])),IF(FIND(MID(AV$1,10,5),TbTradesBinance[[#This Row],[Par]])=1, -(AU54-AU55)/AU54*AV54,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Row],[Par]])),(-(AU54-AU55)/AU54*AV54)+IF(TbTradesBinance[[#This Row],[Resultado]]&gt;0,0,TbTradesBinance[[#This Row],[Taxa]]),0),0))</f>
        <v>18.673922987511034</v>
      </c>
      <c r="AW55" s="145">
        <f t="shared" si="12"/>
        <v>186.92615603114149</v>
      </c>
      <c r="AX5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Row],[Tipo]]="DROP"),AX54+TbTradesBinance[[#This Row],[Qtt]],AX54-TbTradesBinance[[#This Row],[Qtt]]),IF(TbTradesBinance[[#This Row],[Tipo]]="BUY",AX54-TbTradesBinance[[#This Row],[Qtt]]*TbTradesBinance[[#This Row],[Preço]],AX54+TbTradesBinance[[#This Row],[Qtt]]*TbTradesBinance[[#This Row],[Preço]])),AX54)-IF(TbTradesBinance[[#This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Row],[Tipo]]="DROP"),AX54+TbTradesBinance[[#This Row],[Qtt]],AX54-TbTradesBinance[[#This Row],[Qtt]]),IF(TbTradesBinance[[#This Row],[Tipo]]="BUY",AX54-TbTradesBinance[[#This Row],[Qtt]]*TbTradesBinance[[#This Row],[Preço]],AX54+TbTradesBinance[[#This Row],[Qtt]]*TbTradesBinance[[#This Row],[Preço]])),AX54)-IF(TbTradesBinance[[#This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Row],[Tipo]]="DROP"),AX54+TbTradesBinance[[#This Row],[Qtt]],AX54-TbTradesBinance[[#This Row],[Qtt]]),IF(TbTradesBinance[[#This Row],[Tipo]]="BUY",AX54-TbTradesBinance[[#This Row],[Qtt]]*TbTradesBinance[[#This Row],[Preço]],AX54+TbTradesBinance[[#This Row],[Qtt]]*TbTradesBinance[[#This Row],[Preço]])),AX54)-IF(TbTradesBinance[[#This Row],[Moeda da Taxa]]=MID(AX$1,9,5),TbTradesBinance[[#This Row],[Taxa]],0),8)))</f>
        <v>0</v>
      </c>
      <c r="AY55" s="145" cm="1">
        <f t="array" ref="AY55">IF(TbTradesBinance[[#This Row],[Tipo]]="EMPTY",0,AY54+IF(TbTradesBinance[[#This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Row],[Par]]))),$1:$1,0)),-(AX54-AX55)/AX54*AY54),0),0)+IF(TbTradesBinance[[#This Row],[Tipo]]="SELL",IF(ISNUMBER(FIND(MID(AY$1,10,5),TbTradesBinance[[#This Row],[Par]])),IF(FIND(MID(AY$1,10,5),TbTradesBinance[[#This Row],[Par]])=1, -(AX54-AX55)/AX54*AY54,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Row],[Par]])),(-(AX54-AX55)/AX54*AY54)+IF(TbTradesBinance[[#This Row],[Resultado]]&gt;0,0,TbTradesBinance[[#This Row],[Taxa]]),0),0))</f>
        <v>0</v>
      </c>
      <c r="AZ55" s="145">
        <f t="shared" si="13"/>
        <v>0</v>
      </c>
      <c r="BA5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Row],[Tipo]]="DROP"),BA54+TbTradesBinance[[#This Row],[Qtt]],BA54-TbTradesBinance[[#This Row],[Qtt]]),IF(TbTradesBinance[[#This Row],[Tipo]]="BUY",BA54-TbTradesBinance[[#This Row],[Qtt]]*TbTradesBinance[[#This Row],[Preço]],BA54+TbTradesBinance[[#This Row],[Qtt]]*TbTradesBinance[[#This Row],[Preço]])),BA54)-IF(TbTradesBinance[[#This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Row],[Tipo]]="DROP"),BA54+TbTradesBinance[[#This Row],[Qtt]],BA54-TbTradesBinance[[#This Row],[Qtt]]),IF(TbTradesBinance[[#This Row],[Tipo]]="BUY",BA54-TbTradesBinance[[#This Row],[Qtt]]*TbTradesBinance[[#This Row],[Preço]],BA54+TbTradesBinance[[#This Row],[Qtt]]*TbTradesBinance[[#This Row],[Preço]])),BA54)-IF(TbTradesBinance[[#This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Row],[Tipo]]="DROP"),BA54+TbTradesBinance[[#This Row],[Qtt]],BA54-TbTradesBinance[[#This Row],[Qtt]]),IF(TbTradesBinance[[#This Row],[Tipo]]="BUY",BA54-TbTradesBinance[[#This Row],[Qtt]]*TbTradesBinance[[#This Row],[Preço]],BA54+TbTradesBinance[[#This Row],[Qtt]]*TbTradesBinance[[#This Row],[Preço]])),BA54)-IF(TbTradesBinance[[#This Row],[Moeda da Taxa]]=MID(BA$1,9,5),TbTradesBinance[[#This Row],[Taxa]],0),8)))</f>
        <v>0</v>
      </c>
      <c r="BB55" s="145" cm="1">
        <f t="array" ref="BB55">IF(TbTradesBinance[[#This Row],[Tipo]]="EMPTY",0,BB54+IF(TbTradesBinance[[#This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Row],[Par]]))),$1:$1,0)),-(BA54-BA55)/BA54*BB54),0),0)+IF(TbTradesBinance[[#This Row],[Tipo]]="SELL",IF(ISNUMBER(FIND(MID(BB$1,10,5),TbTradesBinance[[#This Row],[Par]])),IF(FIND(MID(BB$1,10,5),TbTradesBinance[[#This Row],[Par]])=1, -(BA54-BA55)/BA54*BB54,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Row],[Par]])),(-(BA54-BA55)/BA54*BB54)+IF(TbTradesBinance[[#This Row],[Resultado]]&gt;0,0,TbTradesBinance[[#This Row],[Taxa]]),0),0))</f>
        <v>0</v>
      </c>
      <c r="BC55" s="145">
        <f t="shared" si="14"/>
        <v>0</v>
      </c>
      <c r="BD5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Row],[Tipo]]="DROP"),BD54+TbTradesBinance[[#This Row],[Qtt]],BD54-TbTradesBinance[[#This Row],[Qtt]]),IF(TbTradesBinance[[#This Row],[Tipo]]="BUY",BD54-TbTradesBinance[[#This Row],[Qtt]]*TbTradesBinance[[#This Row],[Preço]],BD54+TbTradesBinance[[#This Row],[Qtt]]*TbTradesBinance[[#This Row],[Preço]])),BD54)-IF(TbTradesBinance[[#This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Row],[Tipo]]="DROP"),BD54+TbTradesBinance[[#This Row],[Qtt]],BD54-TbTradesBinance[[#This Row],[Qtt]]),IF(TbTradesBinance[[#This Row],[Tipo]]="BUY",BD54-TbTradesBinance[[#This Row],[Qtt]]*TbTradesBinance[[#This Row],[Preço]],BD54+TbTradesBinance[[#This Row],[Qtt]]*TbTradesBinance[[#This Row],[Preço]])),BD54)-IF(TbTradesBinance[[#This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Row],[Tipo]]="DROP"),BD54+TbTradesBinance[[#This Row],[Qtt]],BD54-TbTradesBinance[[#This Row],[Qtt]]),IF(TbTradesBinance[[#This Row],[Tipo]]="BUY",BD54-TbTradesBinance[[#This Row],[Qtt]]*TbTradesBinance[[#This Row],[Preço]],BD54+TbTradesBinance[[#This Row],[Qtt]]*TbTradesBinance[[#This Row],[Preço]])),BD54)-IF(TbTradesBinance[[#This Row],[Moeda da Taxa]]=MID(BD$1,9,5),TbTradesBinance[[#This Row],[Taxa]],0),8)))</f>
        <v>0.37962000000000001</v>
      </c>
      <c r="BE55" s="145" cm="1">
        <f t="array" ref="BE55">IF(TbTradesBinance[[#This Row],[Tipo]]="EMPTY",0,BE54+IF(TbTradesBinance[[#This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Row],[Par]]))),$1:$1,0)),-(BD54-BD55)/BD54*BE54),0),0)+IF(TbTradesBinance[[#This Row],[Tipo]]="SELL",IF(ISNUMBER(FIND(MID(BE$1,10,5),TbTradesBinance[[#This Row],[Par]])),IF(FIND(MID(BE$1,10,5),TbTradesBinance[[#This Row],[Par]])=1, -(BD54-BD55)/BD54*BE54,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Row],[Par]])),(-(BD54-BD55)/BD54*BE54)+IF(TbTradesBinance[[#This Row],[Resultado]]&gt;0,0,TbTradesBinance[[#This Row],[Taxa]]),0),0))</f>
        <v>63.647297001537943</v>
      </c>
      <c r="BF55" s="145">
        <f t="shared" si="15"/>
        <v>167.66054739354601</v>
      </c>
      <c r="BG5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Row],[Tipo]]="DROP"),BG54+TbTradesBinance[[#This Row],[Qtt]],BG54-TbTradesBinance[[#This Row],[Qtt]]),IF(TbTradesBinance[[#This Row],[Tipo]]="BUY",BG54-TbTradesBinance[[#This Row],[Qtt]]*TbTradesBinance[[#This Row],[Preço]],BG54+TbTradesBinance[[#This Row],[Qtt]]*TbTradesBinance[[#This Row],[Preço]])),BG54)-IF(TbTradesBinance[[#This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Row],[Tipo]]="DROP"),BG54+TbTradesBinance[[#This Row],[Qtt]],BG54-TbTradesBinance[[#This Row],[Qtt]]),IF(TbTradesBinance[[#This Row],[Tipo]]="BUY",BG54-TbTradesBinance[[#This Row],[Qtt]]*TbTradesBinance[[#This Row],[Preço]],BG54+TbTradesBinance[[#This Row],[Qtt]]*TbTradesBinance[[#This Row],[Preço]])),BG54)-IF(TbTradesBinance[[#This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Row],[Tipo]]="DROP"),BG54+TbTradesBinance[[#This Row],[Qtt]],BG54-TbTradesBinance[[#This Row],[Qtt]]),IF(TbTradesBinance[[#This Row],[Tipo]]="BUY",BG54-TbTradesBinance[[#This Row],[Qtt]]*TbTradesBinance[[#This Row],[Preço]],BG54+TbTradesBinance[[#This Row],[Qtt]]*TbTradesBinance[[#This Row],[Preço]])),BG54)-IF(TbTradesBinance[[#This Row],[Moeda da Taxa]]=MID(BG$1,9,5),TbTradesBinance[[#This Row],[Taxa]],0),8)))</f>
        <v>0</v>
      </c>
      <c r="BH55" s="145" cm="1">
        <f t="array" ref="BH55">IF(TbTradesBinance[[#This Row],[Tipo]]="EMPTY",0,BH54+IF(TbTradesBinance[[#This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Row],[Par]]))),$1:$1,0)),-(BG54-BG55)/BG54*BH54),0),0)+IF(TbTradesBinance[[#This Row],[Tipo]]="SELL",IF(ISNUMBER(FIND(MID(BH$1,10,5),TbTradesBinance[[#This Row],[Par]])),IF(FIND(MID(BH$1,10,5),TbTradesBinance[[#This Row],[Par]])=1, -(BG54-BG55)/BG54*BH54,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Row],[Par]])),(-(BG54-BG55)/BG54*BH54)+IF(TbTradesBinance[[#This Row],[Resultado]]&gt;0,0,TbTradesBinance[[#This Row],[Taxa]]),0),0))</f>
        <v>0</v>
      </c>
      <c r="BI55" s="145">
        <f t="shared" si="16"/>
        <v>0</v>
      </c>
      <c r="BJ5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Row],[Tipo]]="DROP"),BJ54+TbTradesBinance[[#This Row],[Qtt]],BJ54-TbTradesBinance[[#This Row],[Qtt]]),IF(TbTradesBinance[[#This Row],[Tipo]]="BUY",BJ54-TbTradesBinance[[#This Row],[Qtt]]*TbTradesBinance[[#This Row],[Preço]],BJ54+TbTradesBinance[[#This Row],[Qtt]]*TbTradesBinance[[#This Row],[Preço]])),BJ54)-IF(TbTradesBinance[[#This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Row],[Tipo]]="DROP"),BJ54+TbTradesBinance[[#This Row],[Qtt]],BJ54-TbTradesBinance[[#This Row],[Qtt]]),IF(TbTradesBinance[[#This Row],[Tipo]]="BUY",BJ54-TbTradesBinance[[#This Row],[Qtt]]*TbTradesBinance[[#This Row],[Preço]],BJ54+TbTradesBinance[[#This Row],[Qtt]]*TbTradesBinance[[#This Row],[Preço]])),BJ54)-IF(TbTradesBinance[[#This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Row],[Tipo]]="DROP"),BJ54+TbTradesBinance[[#This Row],[Qtt]],BJ54-TbTradesBinance[[#This Row],[Qtt]]),IF(TbTradesBinance[[#This Row],[Tipo]]="BUY",BJ54-TbTradesBinance[[#This Row],[Qtt]]*TbTradesBinance[[#This Row],[Preço]],BJ54+TbTradesBinance[[#This Row],[Qtt]]*TbTradesBinance[[#This Row],[Preço]])),BJ54)-IF(TbTradesBinance[[#This Row],[Moeda da Taxa]]=MID(BJ$1,9,5),TbTradesBinance[[#This Row],[Taxa]],0),8)))</f>
        <v>0</v>
      </c>
      <c r="BK55" s="145" cm="1">
        <f t="array" ref="BK55">IF(TbTradesBinance[[#This Row],[Tipo]]="EMPTY",0,BK54+IF(TbTradesBinance[[#This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Row],[Par]]))),$1:$1,0)),-(BJ54-BJ55)/BJ54*BK54),0),0)+IF(TbTradesBinance[[#This Row],[Tipo]]="SELL",IF(ISNUMBER(FIND(MID(BK$1,10,5),TbTradesBinance[[#This Row],[Par]])),IF(FIND(MID(BK$1,10,5),TbTradesBinance[[#This Row],[Par]])=1, -(BJ54-BJ55)/BJ54*BK54,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Row],[Par]])),(-(BJ54-BJ55)/BJ54*BK54)+IF(TbTradesBinance[[#This Row],[Resultado]]&gt;0,0,TbTradesBinance[[#This Row],[Taxa]]),0),0))</f>
        <v>0</v>
      </c>
      <c r="BL55" s="145">
        <f t="shared" si="17"/>
        <v>0</v>
      </c>
      <c r="BM5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Row],[Tipo]]="DROP"),BM54+TbTradesBinance[[#This Row],[Qtt]],BM54-TbTradesBinance[[#This Row],[Qtt]]),IF(TbTradesBinance[[#This Row],[Tipo]]="BUY",BM54-TbTradesBinance[[#This Row],[Qtt]]*TbTradesBinance[[#This Row],[Preço]],BM54+TbTradesBinance[[#This Row],[Qtt]]*TbTradesBinance[[#This Row],[Preço]])),BM54)-IF(TbTradesBinance[[#This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Row],[Tipo]]="DROP"),BM54+TbTradesBinance[[#This Row],[Qtt]],BM54-TbTradesBinance[[#This Row],[Qtt]]),IF(TbTradesBinance[[#This Row],[Tipo]]="BUY",BM54-TbTradesBinance[[#This Row],[Qtt]]*TbTradesBinance[[#This Row],[Preço]],BM54+TbTradesBinance[[#This Row],[Qtt]]*TbTradesBinance[[#This Row],[Preço]])),BM54)-IF(TbTradesBinance[[#This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Row],[Tipo]]="DROP"),BM54+TbTradesBinance[[#This Row],[Qtt]],BM54-TbTradesBinance[[#This Row],[Qtt]]),IF(TbTradesBinance[[#This Row],[Tipo]]="BUY",BM54-TbTradesBinance[[#This Row],[Qtt]]*TbTradesBinance[[#This Row],[Preço]],BM54+TbTradesBinance[[#This Row],[Qtt]]*TbTradesBinance[[#This Row],[Preço]])),BM54)-IF(TbTradesBinance[[#This Row],[Moeda da Taxa]]=MID(BM$1,9,5),TbTradesBinance[[#This Row],[Taxa]],0),8)))</f>
        <v>0</v>
      </c>
      <c r="BN55" s="145" cm="1">
        <f t="array" ref="BN55">IF(TbTradesBinance[[#This Row],[Tipo]]="EMPTY",0,BN54+IF(TbTradesBinance[[#This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Row],[Par]]))),$1:$1,0)),-(BM54-BM55)/BM54*BN54),0),0)+IF(TbTradesBinance[[#This Row],[Tipo]]="SELL",IF(ISNUMBER(FIND(MID(BN$1,10,5),TbTradesBinance[[#This Row],[Par]])),IF(FIND(MID(BN$1,10,5),TbTradesBinance[[#This Row],[Par]])=1, -(BM54-BM55)/BM54*BN54,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Row],[Par]])),(-(BM54-BM55)/BM54*BN54)+IF(TbTradesBinance[[#This Row],[Resultado]]&gt;0,0,TbTradesBinance[[#This Row],[Taxa]]),0),0))</f>
        <v>0</v>
      </c>
      <c r="BO55" s="145">
        <f t="shared" si="18"/>
        <v>0</v>
      </c>
    </row>
    <row r="56" spans="2:67" x14ac:dyDescent="0.3">
      <c r="B56" s="51"/>
      <c r="C56" s="40">
        <f>TRUNC(IF(AND(TbTradesBinance[[#This Row],[Tipo]]="SEND",TbTradesBinance[[#This Row],[Par]]="BRL"),TbTradesBinance[[#This Row],[Qtt]]*(1-P54)-IF(TbTradesBinance[[#This Row],[Moeda da Taxa]]="BRL",TbTradesBinance[[#This Row],[Taxa]],0),0)+IF(AND(TbTradesBinance[[#This Row],[Tipo]]="BURN",TbTradesBinance[[#This Row],[Par]]="BRL"),-TbTradesBinance[[#This Row],[Qtt]]*P54,0),2)</f>
        <v>0</v>
      </c>
      <c r="D56" s="53">
        <v>44263.876307870371</v>
      </c>
      <c r="E56" s="37" t="s">
        <v>138</v>
      </c>
      <c r="F56" s="47" t="s">
        <v>140</v>
      </c>
      <c r="G56" s="38">
        <v>304300</v>
      </c>
      <c r="H56" s="38">
        <v>3.8999999999999999E-5</v>
      </c>
      <c r="I56" s="38">
        <v>0</v>
      </c>
      <c r="J56" s="37" t="s">
        <v>45</v>
      </c>
      <c r="K56" s="52">
        <v>1</v>
      </c>
      <c r="L56" s="40">
        <f t="shared" si="0"/>
        <v>304300</v>
      </c>
      <c r="M56" s="40">
        <f>IF(OR(TbTradesBinance[[#This Row],[Tipo]]="BUY",TbTradesBinance[[#This Row],[Tipo]]="RECEIVE",TbTradesBinance[[#This Row],[Tipo]]="DROP"),L56*H56,-L56*H56)</f>
        <v>-11.867699999999999</v>
      </c>
      <c r="N5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Row],[Tipo]]="DROP"),N55+TbTradesBinance[[#This Row],[Qtt]],N55-TbTradesBinance[[#This Row],[Qtt]]),IF(TbTradesBinance[[#This Row],[Tipo]]="BUY",N55-TbTradesBinance[[#This Row],[Qtt]]*TbTradesBinance[[#This Row],[Preço]],N55+TbTradesBinance[[#This Row],[Qtt]]*TbTradesBinance[[#This Row],[Preço]])),N55)-IF(TbTradesBinance[[#This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Row],[Tipo]]="DROP"),N55+TbTradesBinance[[#This Row],[Qtt]],N55-TbTradesBinance[[#This Row],[Qtt]]),IF(TbTradesBinance[[#This Row],[Tipo]]="BUY",N55-TbTradesBinance[[#This Row],[Qtt]]*TbTradesBinance[[#This Row],[Preço]],N55+TbTradesBinance[[#This Row],[Qtt]]*TbTradesBinance[[#This Row],[Preço]])),N55)-IF(TbTradesBinance[[#This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Row],[Tipo]]="DROP"),N55+TbTradesBinance[[#This Row],[Qtt]],N55-TbTradesBinance[[#This Row],[Qtt]]),IF(TbTradesBinance[[#This Row],[Tipo]]="BUY",N55-TbTradesBinance[[#This Row],[Qtt]]*TbTradesBinance[[#This Row],[Preço]],N55+TbTradesBinance[[#This Row],[Qtt]]*TbTradesBinance[[#This Row],[Preço]])),N55)-IF(TbTradesBinance[[#This Row],[Moeda da Taxa]]=MID(N$1,9,5),TbTradesBinance[[#This Row],[Taxa]],0),8)))</f>
        <v>120068.54003289</v>
      </c>
      <c r="O56" s="145" cm="1">
        <f t="array" ref="O56">IF(TbTradesBinance[[#This Row],[Tipo]]="EMPTY",0,O55+IF(TbTradesBinance[[#This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Row],[Par]]))),$1:$1,0)),-(N55-N56)/N55*O55),0),0)+IF(TbTradesBinance[[#This Row],[Tipo]]="SELL",IF(ISNUMBER(FIND(MID(O$1,10,5),TbTradesBinance[[#This Row],[Par]])),IF(FIND(MID(O$1,10,5),TbTradesBinance[[#This Row],[Par]])=1, -(N55-N56)/N55*O55,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Row],[Par]])),(-(N55-N56)/N55*O55)+IF(TbTradesBinance[[#This Row],[Resultado]]&gt;0,0,TbTradesBinance[[#This Row],[Taxa]]),0),0))</f>
        <v>119970.95017073756</v>
      </c>
      <c r="P56" s="145">
        <f t="shared" si="1"/>
        <v>0.999187215384432</v>
      </c>
      <c r="Q5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Row],[Tipo]]="DROP"),Q55+TbTradesBinance[[#This Row],[Qtt]],Q55-TbTradesBinance[[#This Row],[Qtt]]),IF(TbTradesBinance[[#This Row],[Tipo]]="BUY",Q55-TbTradesBinance[[#This Row],[Qtt]]*TbTradesBinance[[#This Row],[Preço]],Q55+TbTradesBinance[[#This Row],[Qtt]]*TbTradesBinance[[#This Row],[Preço]])),Q55)-IF(TbTradesBinance[[#This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Row],[Tipo]]="DROP"),Q55+TbTradesBinance[[#This Row],[Qtt]],Q55-TbTradesBinance[[#This Row],[Qtt]]),IF(TbTradesBinance[[#This Row],[Tipo]]="BUY",Q55-TbTradesBinance[[#This Row],[Qtt]]*TbTradesBinance[[#This Row],[Preço]],Q55+TbTradesBinance[[#This Row],[Qtt]]*TbTradesBinance[[#This Row],[Preço]])),Q55)-IF(TbTradesBinance[[#This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Row],[Tipo]]="DROP"),Q55+TbTradesBinance[[#This Row],[Qtt]],Q55-TbTradesBinance[[#This Row],[Qtt]]),IF(TbTradesBinance[[#This Row],[Tipo]]="BUY",Q55-TbTradesBinance[[#This Row],[Qtt]]*TbTradesBinance[[#This Row],[Preço]],Q55+TbTradesBinance[[#This Row],[Qtt]]*TbTradesBinance[[#This Row],[Preço]])),Q55)-IF(TbTradesBinance[[#This Row],[Moeda da Taxa]]=MID(Q$1,9,5),TbTradesBinance[[#This Row],[Taxa]],0),8)))</f>
        <v>0</v>
      </c>
      <c r="R56" s="145" cm="1">
        <f t="array" ref="R56">IF(TbTradesBinance[[#This Row],[Tipo]]="EMPTY",0,R55+IF(TbTradesBinance[[#This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Row],[Par]]))),$1:$1,0)),-(Q55-Q56)/Q55*R55),0),0)+IF(TbTradesBinance[[#This Row],[Tipo]]="SELL",IF(ISNUMBER(FIND(MID(R$1,10,5),TbTradesBinance[[#This Row],[Par]])),IF(FIND(MID(R$1,10,5),TbTradesBinance[[#This Row],[Par]])=1, -(Q55-Q56)/Q55*R55,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Row],[Par]])),(-(Q55-Q56)/Q55*R55)+IF(TbTradesBinance[[#This Row],[Resultado]]&gt;0,0,TbTradesBinance[[#This Row],[Taxa]]),0),0))</f>
        <v>0</v>
      </c>
      <c r="S56" s="145">
        <f t="shared" si="2"/>
        <v>0</v>
      </c>
      <c r="T5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Row],[Tipo]]="DROP"),T55+TbTradesBinance[[#This Row],[Qtt]],T55-TbTradesBinance[[#This Row],[Qtt]]),IF(TbTradesBinance[[#This Row],[Tipo]]="BUY",T55-TbTradesBinance[[#This Row],[Qtt]]*TbTradesBinance[[#This Row],[Preço]],T55+TbTradesBinance[[#This Row],[Qtt]]*TbTradesBinance[[#This Row],[Preço]])),T55)-IF(TbTradesBinance[[#This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Row],[Tipo]]="DROP"),T55+TbTradesBinance[[#This Row],[Qtt]],T55-TbTradesBinance[[#This Row],[Qtt]]),IF(TbTradesBinance[[#This Row],[Tipo]]="BUY",T55-TbTradesBinance[[#This Row],[Qtt]]*TbTradesBinance[[#This Row],[Preço]],T55+TbTradesBinance[[#This Row],[Qtt]]*TbTradesBinance[[#This Row],[Preço]])),T55)-IF(TbTradesBinance[[#This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Row],[Tipo]]="DROP"),T55+TbTradesBinance[[#This Row],[Qtt]],T55-TbTradesBinance[[#This Row],[Qtt]]),IF(TbTradesBinance[[#This Row],[Tipo]]="BUY",T55-TbTradesBinance[[#This Row],[Qtt]]*TbTradesBinance[[#This Row],[Preço]],T55+TbTradesBinance[[#This Row],[Qtt]]*TbTradesBinance[[#This Row],[Preço]])),T55)-IF(TbTradesBinance[[#This Row],[Moeda da Taxa]]=MID(T$1,9,5),TbTradesBinance[[#This Row],[Taxa]],0),8)))</f>
        <v>199735.32000169999</v>
      </c>
      <c r="U56" s="145" cm="1">
        <f t="array" ref="U56">IF(TbTradesBinance[[#This Row],[Tipo]]="EMPTY",0,U55+IF(TbTradesBinance[[#This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Row],[Par]]))),$1:$1,0)),-(T55-T56)/T55*U55),0),0)+IF(TbTradesBinance[[#This Row],[Tipo]]="SELL",IF(ISNUMBER(FIND(MID(U$1,10,5),TbTradesBinance[[#This Row],[Par]])),IF(FIND(MID(U$1,10,5),TbTradesBinance[[#This Row],[Par]])=1, -(T55-T56)/T55*U55,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Row],[Par]])),(-(T55-T56)/T55*U55)+IF(TbTradesBinance[[#This Row],[Resultado]]&gt;0,0,TbTradesBinance[[#This Row],[Taxa]]),0),0))</f>
        <v>1328239.8809817513</v>
      </c>
      <c r="V56" s="145">
        <f t="shared" si="3"/>
        <v>6.6500000148719129</v>
      </c>
      <c r="W5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Row],[Tipo]]="DROP"),W55+TbTradesBinance[[#This Row],[Qtt]],W55-TbTradesBinance[[#This Row],[Qtt]]),IF(TbTradesBinance[[#This Row],[Tipo]]="BUY",W55-TbTradesBinance[[#This Row],[Qtt]]*TbTradesBinance[[#This Row],[Preço]],W55+TbTradesBinance[[#This Row],[Qtt]]*TbTradesBinance[[#This Row],[Preço]])),W55)-IF(TbTradesBinance[[#This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Row],[Tipo]]="DROP"),W55+TbTradesBinance[[#This Row],[Qtt]],W55-TbTradesBinance[[#This Row],[Qtt]]),IF(TbTradesBinance[[#This Row],[Tipo]]="BUY",W55-TbTradesBinance[[#This Row],[Qtt]]*TbTradesBinance[[#This Row],[Preço]],W55+TbTradesBinance[[#This Row],[Qtt]]*TbTradesBinance[[#This Row],[Preço]])),W55)-IF(TbTradesBinance[[#This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Row],[Tipo]]="DROP"),W55+TbTradesBinance[[#This Row],[Qtt]],W55-TbTradesBinance[[#This Row],[Qtt]]),IF(TbTradesBinance[[#This Row],[Tipo]]="BUY",W55-TbTradesBinance[[#This Row],[Qtt]]*TbTradesBinance[[#This Row],[Preço]],W55+TbTradesBinance[[#This Row],[Qtt]]*TbTradesBinance[[#This Row],[Preço]])),W55)-IF(TbTradesBinance[[#This Row],[Moeda da Taxa]]=MID(W$1,9,5),TbTradesBinance[[#This Row],[Taxa]],0),8)))</f>
        <v>4.0564000000000003E-4</v>
      </c>
      <c r="X56" s="145" cm="1">
        <f t="array" ref="X56">IF(TbTradesBinance[[#This Row],[Tipo]]="EMPTY",0,X55+IF(TbTradesBinance[[#This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Row],[Par]]))),$1:$1,0)),-(W55-W56)/W55*X55),0),0)+IF(TbTradesBinance[[#This Row],[Tipo]]="SELL",IF(ISNUMBER(FIND(MID(X$1,10,5),TbTradesBinance[[#This Row],[Par]])),IF(FIND(MID(X$1,10,5),TbTradesBinance[[#This Row],[Par]])=1, -(W55-W56)/W55*X55,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Row],[Par]])),(-(W55-W56)/W55*X55)+IF(TbTradesBinance[[#This Row],[Resultado]]&gt;0,0,TbTradesBinance[[#This Row],[Taxa]]),0),0))</f>
        <v>112.78063935564933</v>
      </c>
      <c r="Y56" s="145">
        <f t="shared" si="4"/>
        <v>278031.35626577586</v>
      </c>
      <c r="Z5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Row],[Tipo]]="DROP"),Z55+TbTradesBinance[[#This Row],[Qtt]],Z55-TbTradesBinance[[#This Row],[Qtt]]),IF(TbTradesBinance[[#This Row],[Tipo]]="BUY",Z55-TbTradesBinance[[#This Row],[Qtt]]*TbTradesBinance[[#This Row],[Preço]],Z55+TbTradesBinance[[#This Row],[Qtt]]*TbTradesBinance[[#This Row],[Preço]])),Z55)-IF(TbTradesBinance[[#This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Row],[Tipo]]="DROP"),Z55+TbTradesBinance[[#This Row],[Qtt]],Z55-TbTradesBinance[[#This Row],[Qtt]]),IF(TbTradesBinance[[#This Row],[Tipo]]="BUY",Z55-TbTradesBinance[[#This Row],[Qtt]]*TbTradesBinance[[#This Row],[Preço]],Z55+TbTradesBinance[[#This Row],[Qtt]]*TbTradesBinance[[#This Row],[Preço]])),Z55)-IF(TbTradesBinance[[#This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Row],[Tipo]]="DROP"),Z55+TbTradesBinance[[#This Row],[Qtt]],Z55-TbTradesBinance[[#This Row],[Qtt]]),IF(TbTradesBinance[[#This Row],[Tipo]]="BUY",Z55-TbTradesBinance[[#This Row],[Qtt]]*TbTradesBinance[[#This Row],[Preço]],Z55+TbTradesBinance[[#This Row],[Qtt]]*TbTradesBinance[[#This Row],[Preço]])),Z55)-IF(TbTradesBinance[[#This Row],[Moeda da Taxa]]=MID(Z$1,9,5),TbTradesBinance[[#This Row],[Taxa]],0),8)))</f>
        <v>0</v>
      </c>
      <c r="AA56" s="145" cm="1">
        <f t="array" ref="AA56">IF(TbTradesBinance[[#This Row],[Tipo]]="EMPTY",0,AA55+IF(TbTradesBinance[[#This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Row],[Par]]))),$1:$1,0)),-(Z55-Z56)/Z55*AA55),0),0)+IF(TbTradesBinance[[#This Row],[Tipo]]="SELL",IF(ISNUMBER(FIND(MID(AA$1,10,5),TbTradesBinance[[#This Row],[Par]])),IF(FIND(MID(AA$1,10,5),TbTradesBinance[[#This Row],[Par]])=1, -(Z55-Z56)/Z55*AA55,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Row],[Par]])),(-(Z55-Z56)/Z55*AA55)+IF(TbTradesBinance[[#This Row],[Resultado]]&gt;0,0,TbTradesBinance[[#This Row],[Taxa]]),0),0))</f>
        <v>0</v>
      </c>
      <c r="AB56" s="145">
        <f t="shared" si="5"/>
        <v>0</v>
      </c>
      <c r="AC5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Row],[Tipo]]="DROP"),AC55+TbTradesBinance[[#This Row],[Qtt]],AC55-TbTradesBinance[[#This Row],[Qtt]]),IF(TbTradesBinance[[#This Row],[Tipo]]="BUY",AC55-TbTradesBinance[[#This Row],[Qtt]]*TbTradesBinance[[#This Row],[Preço]],AC55+TbTradesBinance[[#This Row],[Qtt]]*TbTradesBinance[[#This Row],[Preço]])),AC55)-IF(TbTradesBinance[[#This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Row],[Tipo]]="DROP"),AC55+TbTradesBinance[[#This Row],[Qtt]],AC55-TbTradesBinance[[#This Row],[Qtt]]),IF(TbTradesBinance[[#This Row],[Tipo]]="BUY",AC55-TbTradesBinance[[#This Row],[Qtt]]*TbTradesBinance[[#This Row],[Preço]],AC55+TbTradesBinance[[#This Row],[Qtt]]*TbTradesBinance[[#This Row],[Preço]])),AC55)-IF(TbTradesBinance[[#This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Row],[Tipo]]="DROP"),AC55+TbTradesBinance[[#This Row],[Qtt]],AC55-TbTradesBinance[[#This Row],[Qtt]]),IF(TbTradesBinance[[#This Row],[Tipo]]="BUY",AC55-TbTradesBinance[[#This Row],[Qtt]]*TbTradesBinance[[#This Row],[Preço]],AC55+TbTradesBinance[[#This Row],[Qtt]]*TbTradesBinance[[#This Row],[Preço]])),AC55)-IF(TbTradesBinance[[#This Row],[Moeda da Taxa]]=MID(AC$1,9,5),TbTradesBinance[[#This Row],[Taxa]],0),8)))</f>
        <v>0</v>
      </c>
      <c r="AD56" s="145" cm="1">
        <f t="array" ref="AD56">IF(TbTradesBinance[[#This Row],[Tipo]]="EMPTY",0,AD55+IF(TbTradesBinance[[#This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Row],[Par]]))),$1:$1,0)),-(AC55-AC56)/AC55*AD55),0),0)+IF(TbTradesBinance[[#This Row],[Tipo]]="SELL",IF(ISNUMBER(FIND(MID(AD$1,10,5),TbTradesBinance[[#This Row],[Par]])),IF(FIND(MID(AD$1,10,5),TbTradesBinance[[#This Row],[Par]])=1, -(AC55-AC56)/AC55*AD55,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Row],[Par]])),(-(AC55-AC56)/AC55*AD55)+IF(TbTradesBinance[[#This Row],[Resultado]]&gt;0,0,TbTradesBinance[[#This Row],[Taxa]]),0),0))</f>
        <v>0</v>
      </c>
      <c r="AE56" s="145">
        <f t="shared" si="6"/>
        <v>0</v>
      </c>
      <c r="AF5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Row],[Tipo]]="DROP"),AF55+TbTradesBinance[[#This Row],[Qtt]],AF55-TbTradesBinance[[#This Row],[Qtt]]),IF(TbTradesBinance[[#This Row],[Tipo]]="BUY",AF55-TbTradesBinance[[#This Row],[Qtt]]*TbTradesBinance[[#This Row],[Preço]],AF55+TbTradesBinance[[#This Row],[Qtt]]*TbTradesBinance[[#This Row],[Preço]])),AF55)-IF(TbTradesBinance[[#This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Row],[Tipo]]="DROP"),AF55+TbTradesBinance[[#This Row],[Qtt]],AF55-TbTradesBinance[[#This Row],[Qtt]]),IF(TbTradesBinance[[#This Row],[Tipo]]="BUY",AF55-TbTradesBinance[[#This Row],[Qtt]]*TbTradesBinance[[#This Row],[Preço]],AF55+TbTradesBinance[[#This Row],[Qtt]]*TbTradesBinance[[#This Row],[Preço]])),AF55)-IF(TbTradesBinance[[#This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Row],[Tipo]]="DROP"),AF55+TbTradesBinance[[#This Row],[Qtt]],AF55-TbTradesBinance[[#This Row],[Qtt]]),IF(TbTradesBinance[[#This Row],[Tipo]]="BUY",AF55-TbTradesBinance[[#This Row],[Qtt]]*TbTradesBinance[[#This Row],[Preço]],AF55+TbTradesBinance[[#This Row],[Qtt]]*TbTradesBinance[[#This Row],[Preço]])),AF55)-IF(TbTradesBinance[[#This Row],[Moeda da Taxa]]=MID(AF$1,9,5),TbTradesBinance[[#This Row],[Taxa]],0),8)))</f>
        <v>0</v>
      </c>
      <c r="AG56" s="145" cm="1">
        <f t="array" ref="AG56">IF(TbTradesBinance[[#This Row],[Tipo]]="EMPTY",0,AG55+IF(TbTradesBinance[[#This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Row],[Par]]))),$1:$1,0)),-(AF55-AF56)/AF55*AG55),0),0)+IF(TbTradesBinance[[#This Row],[Tipo]]="SELL",IF(ISNUMBER(FIND(MID(AG$1,10,5),TbTradesBinance[[#This Row],[Par]])),IF(FIND(MID(AG$1,10,5),TbTradesBinance[[#This Row],[Par]])=1, -(AF55-AF56)/AF55*AG55,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Row],[Par]])),(-(AF55-AF56)/AF55*AG55)+IF(TbTradesBinance[[#This Row],[Resultado]]&gt;0,0,TbTradesBinance[[#This Row],[Taxa]]),0),0))</f>
        <v>0</v>
      </c>
      <c r="AH56" s="145">
        <f t="shared" si="7"/>
        <v>0</v>
      </c>
      <c r="AI5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Row],[Tipo]]="DROP"),AI55+TbTradesBinance[[#This Row],[Qtt]],AI55-TbTradesBinance[[#This Row],[Qtt]]),IF(TbTradesBinance[[#This Row],[Tipo]]="BUY",AI55-TbTradesBinance[[#This Row],[Qtt]]*TbTradesBinance[[#This Row],[Preço]],AI55+TbTradesBinance[[#This Row],[Qtt]]*TbTradesBinance[[#This Row],[Preço]])),AI55)-IF(TbTradesBinance[[#This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Row],[Tipo]]="DROP"),AI55+TbTradesBinance[[#This Row],[Qtt]],AI55-TbTradesBinance[[#This Row],[Qtt]]),IF(TbTradesBinance[[#This Row],[Tipo]]="BUY",AI55-TbTradesBinance[[#This Row],[Qtt]]*TbTradesBinance[[#This Row],[Preço]],AI55+TbTradesBinance[[#This Row],[Qtt]]*TbTradesBinance[[#This Row],[Preço]])),AI55)-IF(TbTradesBinance[[#This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Row],[Tipo]]="DROP"),AI55+TbTradesBinance[[#This Row],[Qtt]],AI55-TbTradesBinance[[#This Row],[Qtt]]),IF(TbTradesBinance[[#This Row],[Tipo]]="BUY",AI55-TbTradesBinance[[#This Row],[Qtt]]*TbTradesBinance[[#This Row],[Preço]],AI55+TbTradesBinance[[#This Row],[Qtt]]*TbTradesBinance[[#This Row],[Preço]])),AI55)-IF(TbTradesBinance[[#This Row],[Moeda da Taxa]]=MID(AI$1,9,5),TbTradesBinance[[#This Row],[Taxa]],0),8)))</f>
        <v>0</v>
      </c>
      <c r="AJ56" s="145" cm="1">
        <f t="array" ref="AJ56">IF(TbTradesBinance[[#This Row],[Tipo]]="EMPTY",0,AJ55+IF(TbTradesBinance[[#This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Row],[Par]]))),$1:$1,0)),-(AI55-AI56)/AI55*AJ55),0),0)+IF(TbTradesBinance[[#This Row],[Tipo]]="SELL",IF(ISNUMBER(FIND(MID(AJ$1,10,5),TbTradesBinance[[#This Row],[Par]])),IF(FIND(MID(AJ$1,10,5),TbTradesBinance[[#This Row],[Par]])=1, -(AI55-AI56)/AI55*AJ55,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Row],[Par]])),(-(AI55-AI56)/AI55*AJ55)+IF(TbTradesBinance[[#This Row],[Resultado]]&gt;0,0,TbTradesBinance[[#This Row],[Taxa]]),0),0))</f>
        <v>0</v>
      </c>
      <c r="AK56" s="145">
        <f t="shared" si="8"/>
        <v>0</v>
      </c>
      <c r="AL5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Row],[Tipo]]="DROP"),AL55+TbTradesBinance[[#This Row],[Qtt]],AL55-TbTradesBinance[[#This Row],[Qtt]]),IF(TbTradesBinance[[#This Row],[Tipo]]="BUY",AL55-TbTradesBinance[[#This Row],[Qtt]]*TbTradesBinance[[#This Row],[Preço]],AL55+TbTradesBinance[[#This Row],[Qtt]]*TbTradesBinance[[#This Row],[Preço]])),AL55)-IF(TbTradesBinance[[#This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Row],[Tipo]]="DROP"),AL55+TbTradesBinance[[#This Row],[Qtt]],AL55-TbTradesBinance[[#This Row],[Qtt]]),IF(TbTradesBinance[[#This Row],[Tipo]]="BUY",AL55-TbTradesBinance[[#This Row],[Qtt]]*TbTradesBinance[[#This Row],[Preço]],AL55+TbTradesBinance[[#This Row],[Qtt]]*TbTradesBinance[[#This Row],[Preço]])),AL55)-IF(TbTradesBinance[[#This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Row],[Tipo]]="DROP"),AL55+TbTradesBinance[[#This Row],[Qtt]],AL55-TbTradesBinance[[#This Row],[Qtt]]),IF(TbTradesBinance[[#This Row],[Tipo]]="BUY",AL55-TbTradesBinance[[#This Row],[Qtt]]*TbTradesBinance[[#This Row],[Preço]],AL55+TbTradesBinance[[#This Row],[Qtt]]*TbTradesBinance[[#This Row],[Preço]])),AL55)-IF(TbTradesBinance[[#This Row],[Moeda da Taxa]]=MID(AL$1,9,5),TbTradesBinance[[#This Row],[Taxa]],0),8)))</f>
        <v>0</v>
      </c>
      <c r="AM56" s="145" cm="1">
        <f t="array" ref="AM56">IF(TbTradesBinance[[#This Row],[Tipo]]="EMPTY",0,AM55+IF(TbTradesBinance[[#This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Row],[Par]]))),$1:$1,0)),-(AL55-AL56)/AL55*AM55),0),0)+IF(TbTradesBinance[[#This Row],[Tipo]]="SELL",IF(ISNUMBER(FIND(MID(AM$1,10,5),TbTradesBinance[[#This Row],[Par]])),IF(FIND(MID(AM$1,10,5),TbTradesBinance[[#This Row],[Par]])=1, -(AL55-AL56)/AL55*AM55,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Row],[Par]])),(-(AL55-AL56)/AL55*AM55)+IF(TbTradesBinance[[#This Row],[Resultado]]&gt;0,0,TbTradesBinance[[#This Row],[Taxa]]),0),0))</f>
        <v>0</v>
      </c>
      <c r="AN56" s="145">
        <f t="shared" si="9"/>
        <v>0</v>
      </c>
      <c r="AO5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Row],[Tipo]]="DROP"),AO55+TbTradesBinance[[#This Row],[Qtt]],AO55-TbTradesBinance[[#This Row],[Qtt]]),IF(TbTradesBinance[[#This Row],[Tipo]]="BUY",AO55-TbTradesBinance[[#This Row],[Qtt]]*TbTradesBinance[[#This Row],[Preço]],AO55+TbTradesBinance[[#This Row],[Qtt]]*TbTradesBinance[[#This Row],[Preço]])),AO55)-IF(TbTradesBinance[[#This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Row],[Tipo]]="DROP"),AO55+TbTradesBinance[[#This Row],[Qtt]],AO55-TbTradesBinance[[#This Row],[Qtt]]),IF(TbTradesBinance[[#This Row],[Tipo]]="BUY",AO55-TbTradesBinance[[#This Row],[Qtt]]*TbTradesBinance[[#This Row],[Preço]],AO55+TbTradesBinance[[#This Row],[Qtt]]*TbTradesBinance[[#This Row],[Preço]])),AO55)-IF(TbTradesBinance[[#This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Row],[Tipo]]="DROP"),AO55+TbTradesBinance[[#This Row],[Qtt]],AO55-TbTradesBinance[[#This Row],[Qtt]]),IF(TbTradesBinance[[#This Row],[Tipo]]="BUY",AO55-TbTradesBinance[[#This Row],[Qtt]]*TbTradesBinance[[#This Row],[Preço]],AO55+TbTradesBinance[[#This Row],[Qtt]]*TbTradesBinance[[#This Row],[Preço]])),AO55)-IF(TbTradesBinance[[#This Row],[Moeda da Taxa]]=MID(AO$1,9,5),TbTradesBinance[[#This Row],[Taxa]],0),8)))</f>
        <v>1.2747399999999999E-3</v>
      </c>
      <c r="AP56" s="145" cm="1">
        <f t="array" ref="AP56">IF(TbTradesBinance[[#This Row],[Tipo]]="EMPTY",0,AP55+IF(TbTradesBinance[[#This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Row],[Par]]))),$1:$1,0)),-(AO55-AO56)/AO55*AP55),0),0)+IF(TbTradesBinance[[#This Row],[Tipo]]="SELL",IF(ISNUMBER(FIND(MID(AP$1,10,5),TbTradesBinance[[#This Row],[Par]])),IF(FIND(MID(AP$1,10,5),TbTradesBinance[[#This Row],[Par]])=1, -(AO55-AO56)/AO55*AP55,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Row],[Par]])),(-(AO55-AO56)/AO55*AP55)+IF(TbTradesBinance[[#This Row],[Resultado]]&gt;0,0,TbTradesBinance[[#This Row],[Taxa]]),0),0))</f>
        <v>1.7416212429180353</v>
      </c>
      <c r="AQ56" s="145">
        <f t="shared" si="10"/>
        <v>1366.2560545036913</v>
      </c>
      <c r="AR5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Row],[Tipo]]="DROP"),AR55+TbTradesBinance[[#This Row],[Qtt]],AR55-TbTradesBinance[[#This Row],[Qtt]]),IF(TbTradesBinance[[#This Row],[Tipo]]="BUY",AR55-TbTradesBinance[[#This Row],[Qtt]]*TbTradesBinance[[#This Row],[Preço]],AR55+TbTradesBinance[[#This Row],[Qtt]]*TbTradesBinance[[#This Row],[Preço]])),AR55)-IF(TbTradesBinance[[#This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Row],[Tipo]]="DROP"),AR55+TbTradesBinance[[#This Row],[Qtt]],AR55-TbTradesBinance[[#This Row],[Qtt]]),IF(TbTradesBinance[[#This Row],[Tipo]]="BUY",AR55-TbTradesBinance[[#This Row],[Qtt]]*TbTradesBinance[[#This Row],[Preço]],AR55+TbTradesBinance[[#This Row],[Qtt]]*TbTradesBinance[[#This Row],[Preço]])),AR55)-IF(TbTradesBinance[[#This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Row],[Tipo]]="DROP"),AR55+TbTradesBinance[[#This Row],[Qtt]],AR55-TbTradesBinance[[#This Row],[Qtt]]),IF(TbTradesBinance[[#This Row],[Tipo]]="BUY",AR55-TbTradesBinance[[#This Row],[Qtt]]*TbTradesBinance[[#This Row],[Preço]],AR55+TbTradesBinance[[#This Row],[Qtt]]*TbTradesBinance[[#This Row],[Preço]])),AR55)-IF(TbTradesBinance[[#This Row],[Moeda da Taxa]]=MID(AR$1,9,5),TbTradesBinance[[#This Row],[Taxa]],0),8)))</f>
        <v>0</v>
      </c>
      <c r="AS56" s="145" cm="1">
        <f t="array" ref="AS56">IF(TbTradesBinance[[#This Row],[Tipo]]="EMPTY",0,AS55+IF(TbTradesBinance[[#This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Row],[Par]]))),$1:$1,0)),-(AR55-AR56)/AR55*AS55),0),0)+IF(TbTradesBinance[[#This Row],[Tipo]]="SELL",IF(ISNUMBER(FIND(MID(AS$1,10,5),TbTradesBinance[[#This Row],[Par]])),IF(FIND(MID(AS$1,10,5),TbTradesBinance[[#This Row],[Par]])=1, -(AR55-AR56)/AR55*AS55,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Row],[Par]])),(-(AR55-AR56)/AR55*AS55)+IF(TbTradesBinance[[#This Row],[Resultado]]&gt;0,0,TbTradesBinance[[#This Row],[Taxa]]),0),0))</f>
        <v>0</v>
      </c>
      <c r="AT56" s="145">
        <f t="shared" si="11"/>
        <v>0</v>
      </c>
      <c r="AU5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Row],[Tipo]]="DROP"),AU55+TbTradesBinance[[#This Row],[Qtt]],AU55-TbTradesBinance[[#This Row],[Qtt]]),IF(TbTradesBinance[[#This Row],[Tipo]]="BUY",AU55-TbTradesBinance[[#This Row],[Qtt]]*TbTradesBinance[[#This Row],[Preço]],AU55+TbTradesBinance[[#This Row],[Qtt]]*TbTradesBinance[[#This Row],[Preço]])),AU55)-IF(TbTradesBinance[[#This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Row],[Tipo]]="DROP"),AU55+TbTradesBinance[[#This Row],[Qtt]],AU55-TbTradesBinance[[#This Row],[Qtt]]),IF(TbTradesBinance[[#This Row],[Tipo]]="BUY",AU55-TbTradesBinance[[#This Row],[Qtt]]*TbTradesBinance[[#This Row],[Preço]],AU55+TbTradesBinance[[#This Row],[Qtt]]*TbTradesBinance[[#This Row],[Preço]])),AU55)-IF(TbTradesBinance[[#This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Row],[Tipo]]="DROP"),AU55+TbTradesBinance[[#This Row],[Qtt]],AU55-TbTradesBinance[[#This Row],[Qtt]]),IF(TbTradesBinance[[#This Row],[Tipo]]="BUY",AU55-TbTradesBinance[[#This Row],[Qtt]]*TbTradesBinance[[#This Row],[Preço]],AU55+TbTradesBinance[[#This Row],[Qtt]]*TbTradesBinance[[#This Row],[Preço]])),AU55)-IF(TbTradesBinance[[#This Row],[Moeda da Taxa]]=MID(AU$1,9,5),TbTradesBinance[[#This Row],[Taxa]],0),8)))</f>
        <v>9.9900000000000003E-2</v>
      </c>
      <c r="AV56" s="145" cm="1">
        <f t="array" ref="AV56">IF(TbTradesBinance[[#This Row],[Tipo]]="EMPTY",0,AV55+IF(TbTradesBinance[[#This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Row],[Par]]))),$1:$1,0)),-(AU55-AU56)/AU55*AV55),0),0)+IF(TbTradesBinance[[#This Row],[Tipo]]="SELL",IF(ISNUMBER(FIND(MID(AV$1,10,5),TbTradesBinance[[#This Row],[Par]])),IF(FIND(MID(AV$1,10,5),TbTradesBinance[[#This Row],[Par]])=1, -(AU55-AU56)/AU55*AV55,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Row],[Par]])),(-(AU55-AU56)/AU55*AV55)+IF(TbTradesBinance[[#This Row],[Resultado]]&gt;0,0,TbTradesBinance[[#This Row],[Taxa]]),0),0))</f>
        <v>18.673922987511034</v>
      </c>
      <c r="AW56" s="145">
        <f t="shared" si="12"/>
        <v>186.92615603114149</v>
      </c>
      <c r="AX5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Row],[Tipo]]="DROP"),AX55+TbTradesBinance[[#This Row],[Qtt]],AX55-TbTradesBinance[[#This Row],[Qtt]]),IF(TbTradesBinance[[#This Row],[Tipo]]="BUY",AX55-TbTradesBinance[[#This Row],[Qtt]]*TbTradesBinance[[#This Row],[Preço]],AX55+TbTradesBinance[[#This Row],[Qtt]]*TbTradesBinance[[#This Row],[Preço]])),AX55)-IF(TbTradesBinance[[#This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Row],[Tipo]]="DROP"),AX55+TbTradesBinance[[#This Row],[Qtt]],AX55-TbTradesBinance[[#This Row],[Qtt]]),IF(TbTradesBinance[[#This Row],[Tipo]]="BUY",AX55-TbTradesBinance[[#This Row],[Qtt]]*TbTradesBinance[[#This Row],[Preço]],AX55+TbTradesBinance[[#This Row],[Qtt]]*TbTradesBinance[[#This Row],[Preço]])),AX55)-IF(TbTradesBinance[[#This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Row],[Tipo]]="DROP"),AX55+TbTradesBinance[[#This Row],[Qtt]],AX55-TbTradesBinance[[#This Row],[Qtt]]),IF(TbTradesBinance[[#This Row],[Tipo]]="BUY",AX55-TbTradesBinance[[#This Row],[Qtt]]*TbTradesBinance[[#This Row],[Preço]],AX55+TbTradesBinance[[#This Row],[Qtt]]*TbTradesBinance[[#This Row],[Preço]])),AX55)-IF(TbTradesBinance[[#This Row],[Moeda da Taxa]]=MID(AX$1,9,5),TbTradesBinance[[#This Row],[Taxa]],0),8)))</f>
        <v>0</v>
      </c>
      <c r="AY56" s="145" cm="1">
        <f t="array" ref="AY56">IF(TbTradesBinance[[#This Row],[Tipo]]="EMPTY",0,AY55+IF(TbTradesBinance[[#This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Row],[Par]]))),$1:$1,0)),-(AX55-AX56)/AX55*AY55),0),0)+IF(TbTradesBinance[[#This Row],[Tipo]]="SELL",IF(ISNUMBER(FIND(MID(AY$1,10,5),TbTradesBinance[[#This Row],[Par]])),IF(FIND(MID(AY$1,10,5),TbTradesBinance[[#This Row],[Par]])=1, -(AX55-AX56)/AX55*AY55,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Row],[Par]])),(-(AX55-AX56)/AX55*AY55)+IF(TbTradesBinance[[#This Row],[Resultado]]&gt;0,0,TbTradesBinance[[#This Row],[Taxa]]),0),0))</f>
        <v>0</v>
      </c>
      <c r="AZ56" s="145">
        <f t="shared" si="13"/>
        <v>0</v>
      </c>
      <c r="BA5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Row],[Tipo]]="DROP"),BA55+TbTradesBinance[[#This Row],[Qtt]],BA55-TbTradesBinance[[#This Row],[Qtt]]),IF(TbTradesBinance[[#This Row],[Tipo]]="BUY",BA55-TbTradesBinance[[#This Row],[Qtt]]*TbTradesBinance[[#This Row],[Preço]],BA55+TbTradesBinance[[#This Row],[Qtt]]*TbTradesBinance[[#This Row],[Preço]])),BA55)-IF(TbTradesBinance[[#This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Row],[Tipo]]="DROP"),BA55+TbTradesBinance[[#This Row],[Qtt]],BA55-TbTradesBinance[[#This Row],[Qtt]]),IF(TbTradesBinance[[#This Row],[Tipo]]="BUY",BA55-TbTradesBinance[[#This Row],[Qtt]]*TbTradesBinance[[#This Row],[Preço]],BA55+TbTradesBinance[[#This Row],[Qtt]]*TbTradesBinance[[#This Row],[Preço]])),BA55)-IF(TbTradesBinance[[#This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Row],[Tipo]]="DROP"),BA55+TbTradesBinance[[#This Row],[Qtt]],BA55-TbTradesBinance[[#This Row],[Qtt]]),IF(TbTradesBinance[[#This Row],[Tipo]]="BUY",BA55-TbTradesBinance[[#This Row],[Qtt]]*TbTradesBinance[[#This Row],[Preço]],BA55+TbTradesBinance[[#This Row],[Qtt]]*TbTradesBinance[[#This Row],[Preço]])),BA55)-IF(TbTradesBinance[[#This Row],[Moeda da Taxa]]=MID(BA$1,9,5),TbTradesBinance[[#This Row],[Taxa]],0),8)))</f>
        <v>0</v>
      </c>
      <c r="BB56" s="145" cm="1">
        <f t="array" ref="BB56">IF(TbTradesBinance[[#This Row],[Tipo]]="EMPTY",0,BB55+IF(TbTradesBinance[[#This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Row],[Par]]))),$1:$1,0)),-(BA55-BA56)/BA55*BB55),0),0)+IF(TbTradesBinance[[#This Row],[Tipo]]="SELL",IF(ISNUMBER(FIND(MID(BB$1,10,5),TbTradesBinance[[#This Row],[Par]])),IF(FIND(MID(BB$1,10,5),TbTradesBinance[[#This Row],[Par]])=1, -(BA55-BA56)/BA55*BB55,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Row],[Par]])),(-(BA55-BA56)/BA55*BB55)+IF(TbTradesBinance[[#This Row],[Resultado]]&gt;0,0,TbTradesBinance[[#This Row],[Taxa]]),0),0))</f>
        <v>0</v>
      </c>
      <c r="BC56" s="145">
        <f t="shared" si="14"/>
        <v>0</v>
      </c>
      <c r="BD5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Row],[Tipo]]="DROP"),BD55+TbTradesBinance[[#This Row],[Qtt]],BD55-TbTradesBinance[[#This Row],[Qtt]]),IF(TbTradesBinance[[#This Row],[Tipo]]="BUY",BD55-TbTradesBinance[[#This Row],[Qtt]]*TbTradesBinance[[#This Row],[Preço]],BD55+TbTradesBinance[[#This Row],[Qtt]]*TbTradesBinance[[#This Row],[Preço]])),BD55)-IF(TbTradesBinance[[#This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Row],[Tipo]]="DROP"),BD55+TbTradesBinance[[#This Row],[Qtt]],BD55-TbTradesBinance[[#This Row],[Qtt]]),IF(TbTradesBinance[[#This Row],[Tipo]]="BUY",BD55-TbTradesBinance[[#This Row],[Qtt]]*TbTradesBinance[[#This Row],[Preço]],BD55+TbTradesBinance[[#This Row],[Qtt]]*TbTradesBinance[[#This Row],[Preço]])),BD55)-IF(TbTradesBinance[[#This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Row],[Tipo]]="DROP"),BD55+TbTradesBinance[[#This Row],[Qtt]],BD55-TbTradesBinance[[#This Row],[Qtt]]),IF(TbTradesBinance[[#This Row],[Tipo]]="BUY",BD55-TbTradesBinance[[#This Row],[Qtt]]*TbTradesBinance[[#This Row],[Preço]],BD55+TbTradesBinance[[#This Row],[Qtt]]*TbTradesBinance[[#This Row],[Preço]])),BD55)-IF(TbTradesBinance[[#This Row],[Moeda da Taxa]]=MID(BD$1,9,5),TbTradesBinance[[#This Row],[Taxa]],0),8)))</f>
        <v>0.37962000000000001</v>
      </c>
      <c r="BE56" s="145" cm="1">
        <f t="array" ref="BE56">IF(TbTradesBinance[[#This Row],[Tipo]]="EMPTY",0,BE55+IF(TbTradesBinance[[#This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Row],[Par]]))),$1:$1,0)),-(BD55-BD56)/BD55*BE55),0),0)+IF(TbTradesBinance[[#This Row],[Tipo]]="SELL",IF(ISNUMBER(FIND(MID(BE$1,10,5),TbTradesBinance[[#This Row],[Par]])),IF(FIND(MID(BE$1,10,5),TbTradesBinance[[#This Row],[Par]])=1, -(BD55-BD56)/BD55*BE55,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Row],[Par]])),(-(BD55-BD56)/BD55*BE55)+IF(TbTradesBinance[[#This Row],[Resultado]]&gt;0,0,TbTradesBinance[[#This Row],[Taxa]]),0),0))</f>
        <v>63.647297001537943</v>
      </c>
      <c r="BF56" s="145">
        <f t="shared" si="15"/>
        <v>167.66054739354601</v>
      </c>
      <c r="BG5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Row],[Tipo]]="DROP"),BG55+TbTradesBinance[[#This Row],[Qtt]],BG55-TbTradesBinance[[#This Row],[Qtt]]),IF(TbTradesBinance[[#This Row],[Tipo]]="BUY",BG55-TbTradesBinance[[#This Row],[Qtt]]*TbTradesBinance[[#This Row],[Preço]],BG55+TbTradesBinance[[#This Row],[Qtt]]*TbTradesBinance[[#This Row],[Preço]])),BG55)-IF(TbTradesBinance[[#This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Row],[Tipo]]="DROP"),BG55+TbTradesBinance[[#This Row],[Qtt]],BG55-TbTradesBinance[[#This Row],[Qtt]]),IF(TbTradesBinance[[#This Row],[Tipo]]="BUY",BG55-TbTradesBinance[[#This Row],[Qtt]]*TbTradesBinance[[#This Row],[Preço]],BG55+TbTradesBinance[[#This Row],[Qtt]]*TbTradesBinance[[#This Row],[Preço]])),BG55)-IF(TbTradesBinance[[#This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Row],[Tipo]]="DROP"),BG55+TbTradesBinance[[#This Row],[Qtt]],BG55-TbTradesBinance[[#This Row],[Qtt]]),IF(TbTradesBinance[[#This Row],[Tipo]]="BUY",BG55-TbTradesBinance[[#This Row],[Qtt]]*TbTradesBinance[[#This Row],[Preço]],BG55+TbTradesBinance[[#This Row],[Qtt]]*TbTradesBinance[[#This Row],[Preço]])),BG55)-IF(TbTradesBinance[[#This Row],[Moeda da Taxa]]=MID(BG$1,9,5),TbTradesBinance[[#This Row],[Taxa]],0),8)))</f>
        <v>0</v>
      </c>
      <c r="BH56" s="145" cm="1">
        <f t="array" ref="BH56">IF(TbTradesBinance[[#This Row],[Tipo]]="EMPTY",0,BH55+IF(TbTradesBinance[[#This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Row],[Par]]))),$1:$1,0)),-(BG55-BG56)/BG55*BH55),0),0)+IF(TbTradesBinance[[#This Row],[Tipo]]="SELL",IF(ISNUMBER(FIND(MID(BH$1,10,5),TbTradesBinance[[#This Row],[Par]])),IF(FIND(MID(BH$1,10,5),TbTradesBinance[[#This Row],[Par]])=1, -(BG55-BG56)/BG55*BH55,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Row],[Par]])),(-(BG55-BG56)/BG55*BH55)+IF(TbTradesBinance[[#This Row],[Resultado]]&gt;0,0,TbTradesBinance[[#This Row],[Taxa]]),0),0))</f>
        <v>0</v>
      </c>
      <c r="BI56" s="145">
        <f t="shared" si="16"/>
        <v>0</v>
      </c>
      <c r="BJ5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Row],[Tipo]]="DROP"),BJ55+TbTradesBinance[[#This Row],[Qtt]],BJ55-TbTradesBinance[[#This Row],[Qtt]]),IF(TbTradesBinance[[#This Row],[Tipo]]="BUY",BJ55-TbTradesBinance[[#This Row],[Qtt]]*TbTradesBinance[[#This Row],[Preço]],BJ55+TbTradesBinance[[#This Row],[Qtt]]*TbTradesBinance[[#This Row],[Preço]])),BJ55)-IF(TbTradesBinance[[#This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Row],[Tipo]]="DROP"),BJ55+TbTradesBinance[[#This Row],[Qtt]],BJ55-TbTradesBinance[[#This Row],[Qtt]]),IF(TbTradesBinance[[#This Row],[Tipo]]="BUY",BJ55-TbTradesBinance[[#This Row],[Qtt]]*TbTradesBinance[[#This Row],[Preço]],BJ55+TbTradesBinance[[#This Row],[Qtt]]*TbTradesBinance[[#This Row],[Preço]])),BJ55)-IF(TbTradesBinance[[#This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Row],[Tipo]]="DROP"),BJ55+TbTradesBinance[[#This Row],[Qtt]],BJ55-TbTradesBinance[[#This Row],[Qtt]]),IF(TbTradesBinance[[#This Row],[Tipo]]="BUY",BJ55-TbTradesBinance[[#This Row],[Qtt]]*TbTradesBinance[[#This Row],[Preço]],BJ55+TbTradesBinance[[#This Row],[Qtt]]*TbTradesBinance[[#This Row],[Preço]])),BJ55)-IF(TbTradesBinance[[#This Row],[Moeda da Taxa]]=MID(BJ$1,9,5),TbTradesBinance[[#This Row],[Taxa]],0),8)))</f>
        <v>0</v>
      </c>
      <c r="BK56" s="145" cm="1">
        <f t="array" ref="BK56">IF(TbTradesBinance[[#This Row],[Tipo]]="EMPTY",0,BK55+IF(TbTradesBinance[[#This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Row],[Par]]))),$1:$1,0)),-(BJ55-BJ56)/BJ55*BK55),0),0)+IF(TbTradesBinance[[#This Row],[Tipo]]="SELL",IF(ISNUMBER(FIND(MID(BK$1,10,5),TbTradesBinance[[#This Row],[Par]])),IF(FIND(MID(BK$1,10,5),TbTradesBinance[[#This Row],[Par]])=1, -(BJ55-BJ56)/BJ55*BK55,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Row],[Par]])),(-(BJ55-BJ56)/BJ55*BK55)+IF(TbTradesBinance[[#This Row],[Resultado]]&gt;0,0,TbTradesBinance[[#This Row],[Taxa]]),0),0))</f>
        <v>0</v>
      </c>
      <c r="BL56" s="145">
        <f t="shared" si="17"/>
        <v>0</v>
      </c>
      <c r="BM5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Row],[Tipo]]="DROP"),BM55+TbTradesBinance[[#This Row],[Qtt]],BM55-TbTradesBinance[[#This Row],[Qtt]]),IF(TbTradesBinance[[#This Row],[Tipo]]="BUY",BM55-TbTradesBinance[[#This Row],[Qtt]]*TbTradesBinance[[#This Row],[Preço]],BM55+TbTradesBinance[[#This Row],[Qtt]]*TbTradesBinance[[#This Row],[Preço]])),BM55)-IF(TbTradesBinance[[#This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Row],[Tipo]]="DROP"),BM55+TbTradesBinance[[#This Row],[Qtt]],BM55-TbTradesBinance[[#This Row],[Qtt]]),IF(TbTradesBinance[[#This Row],[Tipo]]="BUY",BM55-TbTradesBinance[[#This Row],[Qtt]]*TbTradesBinance[[#This Row],[Preço]],BM55+TbTradesBinance[[#This Row],[Qtt]]*TbTradesBinance[[#This Row],[Preço]])),BM55)-IF(TbTradesBinance[[#This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Row],[Tipo]]="DROP"),BM55+TbTradesBinance[[#This Row],[Qtt]],BM55-TbTradesBinance[[#This Row],[Qtt]]),IF(TbTradesBinance[[#This Row],[Tipo]]="BUY",BM55-TbTradesBinance[[#This Row],[Qtt]]*TbTradesBinance[[#This Row],[Preço]],BM55+TbTradesBinance[[#This Row],[Qtt]]*TbTradesBinance[[#This Row],[Preço]])),BM55)-IF(TbTradesBinance[[#This Row],[Moeda da Taxa]]=MID(BM$1,9,5),TbTradesBinance[[#This Row],[Taxa]],0),8)))</f>
        <v>0</v>
      </c>
      <c r="BN56" s="145" cm="1">
        <f t="array" ref="BN56">IF(TbTradesBinance[[#This Row],[Tipo]]="EMPTY",0,BN55+IF(TbTradesBinance[[#This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Row],[Par]]))),$1:$1,0)),-(BM55-BM56)/BM55*BN55),0),0)+IF(TbTradesBinance[[#This Row],[Tipo]]="SELL",IF(ISNUMBER(FIND(MID(BN$1,10,5),TbTradesBinance[[#This Row],[Par]])),IF(FIND(MID(BN$1,10,5),TbTradesBinance[[#This Row],[Par]])=1, -(BM55-BM56)/BM55*BN55,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Row],[Par]])),(-(BM55-BM56)/BM55*BN55)+IF(TbTradesBinance[[#This Row],[Resultado]]&gt;0,0,TbTradesBinance[[#This Row],[Taxa]]),0),0))</f>
        <v>0</v>
      </c>
      <c r="BO56" s="145">
        <f t="shared" si="18"/>
        <v>0</v>
      </c>
    </row>
    <row r="57" spans="2:67" x14ac:dyDescent="0.3">
      <c r="B57" s="51"/>
      <c r="C57" s="40">
        <f>TRUNC(IF(AND(TbTradesBinance[[#This Row],[Tipo]]="SEND",TbTradesBinance[[#This Row],[Par]]="BRL"),TbTradesBinance[[#This Row],[Qtt]]*(1-P55)-IF(TbTradesBinance[[#This Row],[Moeda da Taxa]]="BRL",TbTradesBinance[[#This Row],[Taxa]],0),0)+IF(AND(TbTradesBinance[[#This Row],[Tipo]]="BURN",TbTradesBinance[[#This Row],[Par]]="BRL"),-TbTradesBinance[[#This Row],[Qtt]]*P55,0),2)</f>
        <v>0</v>
      </c>
      <c r="D57" s="53">
        <v>44264.058136574073</v>
      </c>
      <c r="E57" s="37" t="s">
        <v>138</v>
      </c>
      <c r="F57" s="47" t="s">
        <v>139</v>
      </c>
      <c r="G57" s="38">
        <v>310500</v>
      </c>
      <c r="H57" s="38">
        <v>1.2899999999999999E-4</v>
      </c>
      <c r="I57" s="38">
        <v>0</v>
      </c>
      <c r="J57" s="37" t="s">
        <v>45</v>
      </c>
      <c r="K57" s="52">
        <v>1</v>
      </c>
      <c r="L57" s="40">
        <f t="shared" si="0"/>
        <v>310500</v>
      </c>
      <c r="M57" s="40">
        <f>IF(OR(TbTradesBinance[[#This Row],[Tipo]]="BUY",TbTradesBinance[[#This Row],[Tipo]]="RECEIVE",TbTradesBinance[[#This Row],[Tipo]]="DROP"),L57*H57,-L57*H57)</f>
        <v>40.054499999999997</v>
      </c>
      <c r="N5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Row],[Tipo]]="DROP"),N56+TbTradesBinance[[#This Row],[Qtt]],N56-TbTradesBinance[[#This Row],[Qtt]]),IF(TbTradesBinance[[#This Row],[Tipo]]="BUY",N56-TbTradesBinance[[#This Row],[Qtt]]*TbTradesBinance[[#This Row],[Preço]],N56+TbTradesBinance[[#This Row],[Qtt]]*TbTradesBinance[[#This Row],[Preço]])),N56)-IF(TbTradesBinance[[#This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Row],[Tipo]]="DROP"),N56+TbTradesBinance[[#This Row],[Qtt]],N56-TbTradesBinance[[#This Row],[Qtt]]),IF(TbTradesBinance[[#This Row],[Tipo]]="BUY",N56-TbTradesBinance[[#This Row],[Qtt]]*TbTradesBinance[[#This Row],[Preço]],N56+TbTradesBinance[[#This Row],[Qtt]]*TbTradesBinance[[#This Row],[Preço]])),N56)-IF(TbTradesBinance[[#This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Row],[Tipo]]="DROP"),N56+TbTradesBinance[[#This Row],[Qtt]],N56-TbTradesBinance[[#This Row],[Qtt]]),IF(TbTradesBinance[[#This Row],[Tipo]]="BUY",N56-TbTradesBinance[[#This Row],[Qtt]]*TbTradesBinance[[#This Row],[Preço]],N56+TbTradesBinance[[#This Row],[Qtt]]*TbTradesBinance[[#This Row],[Preço]])),N56)-IF(TbTradesBinance[[#This Row],[Moeda da Taxa]]=MID(N$1,9,5),TbTradesBinance[[#This Row],[Taxa]],0),8)))</f>
        <v>120028.48553289</v>
      </c>
      <c r="O57" s="145" cm="1">
        <f t="array" ref="O57">IF(TbTradesBinance[[#This Row],[Tipo]]="EMPTY",0,O56+IF(TbTradesBinance[[#This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Row],[Par]]))),$1:$1,0)),-(N56-N57)/N56*O56),0),0)+IF(TbTradesBinance[[#This Row],[Tipo]]="SELL",IF(ISNUMBER(FIND(MID(O$1,10,5),TbTradesBinance[[#This Row],[Par]])),IF(FIND(MID(O$1,10,5),TbTradesBinance[[#This Row],[Par]])=1, -(N56-N57)/N56*O56,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Row],[Par]])),(-(N56-N57)/N56*O56)+IF(TbTradesBinance[[#This Row],[Resultado]]&gt;0,0,TbTradesBinance[[#This Row],[Taxa]]),0),0))</f>
        <v>119930.92822641895</v>
      </c>
      <c r="P57" s="145">
        <f t="shared" si="1"/>
        <v>0.99918721538443211</v>
      </c>
      <c r="Q5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Row],[Tipo]]="DROP"),Q56+TbTradesBinance[[#This Row],[Qtt]],Q56-TbTradesBinance[[#This Row],[Qtt]]),IF(TbTradesBinance[[#This Row],[Tipo]]="BUY",Q56-TbTradesBinance[[#This Row],[Qtt]]*TbTradesBinance[[#This Row],[Preço]],Q56+TbTradesBinance[[#This Row],[Qtt]]*TbTradesBinance[[#This Row],[Preço]])),Q56)-IF(TbTradesBinance[[#This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Row],[Tipo]]="DROP"),Q56+TbTradesBinance[[#This Row],[Qtt]],Q56-TbTradesBinance[[#This Row],[Qtt]]),IF(TbTradesBinance[[#This Row],[Tipo]]="BUY",Q56-TbTradesBinance[[#This Row],[Qtt]]*TbTradesBinance[[#This Row],[Preço]],Q56+TbTradesBinance[[#This Row],[Qtt]]*TbTradesBinance[[#This Row],[Preço]])),Q56)-IF(TbTradesBinance[[#This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Row],[Tipo]]="DROP"),Q56+TbTradesBinance[[#This Row],[Qtt]],Q56-TbTradesBinance[[#This Row],[Qtt]]),IF(TbTradesBinance[[#This Row],[Tipo]]="BUY",Q56-TbTradesBinance[[#This Row],[Qtt]]*TbTradesBinance[[#This Row],[Preço]],Q56+TbTradesBinance[[#This Row],[Qtt]]*TbTradesBinance[[#This Row],[Preço]])),Q56)-IF(TbTradesBinance[[#This Row],[Moeda da Taxa]]=MID(Q$1,9,5),TbTradesBinance[[#This Row],[Taxa]],0),8)))</f>
        <v>0</v>
      </c>
      <c r="R57" s="145" cm="1">
        <f t="array" ref="R57">IF(TbTradesBinance[[#This Row],[Tipo]]="EMPTY",0,R56+IF(TbTradesBinance[[#This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Row],[Par]]))),$1:$1,0)),-(Q56-Q57)/Q56*R56),0),0)+IF(TbTradesBinance[[#This Row],[Tipo]]="SELL",IF(ISNUMBER(FIND(MID(R$1,10,5),TbTradesBinance[[#This Row],[Par]])),IF(FIND(MID(R$1,10,5),TbTradesBinance[[#This Row],[Par]])=1, -(Q56-Q57)/Q56*R56,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Row],[Par]])),(-(Q56-Q57)/Q56*R56)+IF(TbTradesBinance[[#This Row],[Resultado]]&gt;0,0,TbTradesBinance[[#This Row],[Taxa]]),0),0))</f>
        <v>0</v>
      </c>
      <c r="S57" s="145">
        <f t="shared" si="2"/>
        <v>0</v>
      </c>
      <c r="T5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Row],[Tipo]]="DROP"),T56+TbTradesBinance[[#This Row],[Qtt]],T56-TbTradesBinance[[#This Row],[Qtt]]),IF(TbTradesBinance[[#This Row],[Tipo]]="BUY",T56-TbTradesBinance[[#This Row],[Qtt]]*TbTradesBinance[[#This Row],[Preço]],T56+TbTradesBinance[[#This Row],[Qtt]]*TbTradesBinance[[#This Row],[Preço]])),T56)-IF(TbTradesBinance[[#This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Row],[Tipo]]="DROP"),T56+TbTradesBinance[[#This Row],[Qtt]],T56-TbTradesBinance[[#This Row],[Qtt]]),IF(TbTradesBinance[[#This Row],[Tipo]]="BUY",T56-TbTradesBinance[[#This Row],[Qtt]]*TbTradesBinance[[#This Row],[Preço]],T56+TbTradesBinance[[#This Row],[Qtt]]*TbTradesBinance[[#This Row],[Preço]])),T56)-IF(TbTradesBinance[[#This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Row],[Tipo]]="DROP"),T56+TbTradesBinance[[#This Row],[Qtt]],T56-TbTradesBinance[[#This Row],[Qtt]]),IF(TbTradesBinance[[#This Row],[Tipo]]="BUY",T56-TbTradesBinance[[#This Row],[Qtt]]*TbTradesBinance[[#This Row],[Preço]],T56+TbTradesBinance[[#This Row],[Qtt]]*TbTradesBinance[[#This Row],[Preço]])),T56)-IF(TbTradesBinance[[#This Row],[Moeda da Taxa]]=MID(T$1,9,5),TbTradesBinance[[#This Row],[Taxa]],0),8)))</f>
        <v>199735.32000169999</v>
      </c>
      <c r="U57" s="145" cm="1">
        <f t="array" ref="U57">IF(TbTradesBinance[[#This Row],[Tipo]]="EMPTY",0,U56+IF(TbTradesBinance[[#This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Row],[Par]]))),$1:$1,0)),-(T56-T57)/T56*U56),0),0)+IF(TbTradesBinance[[#This Row],[Tipo]]="SELL",IF(ISNUMBER(FIND(MID(U$1,10,5),TbTradesBinance[[#This Row],[Par]])),IF(FIND(MID(U$1,10,5),TbTradesBinance[[#This Row],[Par]])=1, -(T56-T57)/T56*U56,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Row],[Par]])),(-(T56-T57)/T56*U56)+IF(TbTradesBinance[[#This Row],[Resultado]]&gt;0,0,TbTradesBinance[[#This Row],[Taxa]]),0),0))</f>
        <v>1328239.8809817513</v>
      </c>
      <c r="V57" s="145">
        <f t="shared" si="3"/>
        <v>6.6500000148719129</v>
      </c>
      <c r="W5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Row],[Tipo]]="DROP"),W56+TbTradesBinance[[#This Row],[Qtt]],W56-TbTradesBinance[[#This Row],[Qtt]]),IF(TbTradesBinance[[#This Row],[Tipo]]="BUY",W56-TbTradesBinance[[#This Row],[Qtt]]*TbTradesBinance[[#This Row],[Preço]],W56+TbTradesBinance[[#This Row],[Qtt]]*TbTradesBinance[[#This Row],[Preço]])),W56)-IF(TbTradesBinance[[#This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Row],[Tipo]]="DROP"),W56+TbTradesBinance[[#This Row],[Qtt]],W56-TbTradesBinance[[#This Row],[Qtt]]),IF(TbTradesBinance[[#This Row],[Tipo]]="BUY",W56-TbTradesBinance[[#This Row],[Qtt]]*TbTradesBinance[[#This Row],[Preço]],W56+TbTradesBinance[[#This Row],[Qtt]]*TbTradesBinance[[#This Row],[Preço]])),W56)-IF(TbTradesBinance[[#This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Row],[Tipo]]="DROP"),W56+TbTradesBinance[[#This Row],[Qtt]],W56-TbTradesBinance[[#This Row],[Qtt]]),IF(TbTradesBinance[[#This Row],[Tipo]]="BUY",W56-TbTradesBinance[[#This Row],[Qtt]]*TbTradesBinance[[#This Row],[Preço]],W56+TbTradesBinance[[#This Row],[Qtt]]*TbTradesBinance[[#This Row],[Preço]])),W56)-IF(TbTradesBinance[[#This Row],[Moeda da Taxa]]=MID(W$1,9,5),TbTradesBinance[[#This Row],[Taxa]],0),8)))</f>
        <v>5.3463999999999996E-4</v>
      </c>
      <c r="X57" s="145" cm="1">
        <f t="array" ref="X57">IF(TbTradesBinance[[#This Row],[Tipo]]="EMPTY",0,X56+IF(TbTradesBinance[[#This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Row],[Par]]))),$1:$1,0)),-(W56-W57)/W56*X56),0),0)+IF(TbTradesBinance[[#This Row],[Tipo]]="SELL",IF(ISNUMBER(FIND(MID(X$1,10,5),TbTradesBinance[[#This Row],[Par]])),IF(FIND(MID(X$1,10,5),TbTradesBinance[[#This Row],[Par]])=1, -(W56-W57)/W56*X56,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Row],[Par]])),(-(W56-W57)/W56*X56)+IF(TbTradesBinance[[#This Row],[Resultado]]&gt;0,0,TbTradesBinance[[#This Row],[Taxa]]),0),0))</f>
        <v>152.80258367426342</v>
      </c>
      <c r="Y57" s="145">
        <f t="shared" si="4"/>
        <v>285804.6230627402</v>
      </c>
      <c r="Z5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Row],[Tipo]]="DROP"),Z56+TbTradesBinance[[#This Row],[Qtt]],Z56-TbTradesBinance[[#This Row],[Qtt]]),IF(TbTradesBinance[[#This Row],[Tipo]]="BUY",Z56-TbTradesBinance[[#This Row],[Qtt]]*TbTradesBinance[[#This Row],[Preço]],Z56+TbTradesBinance[[#This Row],[Qtt]]*TbTradesBinance[[#This Row],[Preço]])),Z56)-IF(TbTradesBinance[[#This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Row],[Tipo]]="DROP"),Z56+TbTradesBinance[[#This Row],[Qtt]],Z56-TbTradesBinance[[#This Row],[Qtt]]),IF(TbTradesBinance[[#This Row],[Tipo]]="BUY",Z56-TbTradesBinance[[#This Row],[Qtt]]*TbTradesBinance[[#This Row],[Preço]],Z56+TbTradesBinance[[#This Row],[Qtt]]*TbTradesBinance[[#This Row],[Preço]])),Z56)-IF(TbTradesBinance[[#This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Row],[Tipo]]="DROP"),Z56+TbTradesBinance[[#This Row],[Qtt]],Z56-TbTradesBinance[[#This Row],[Qtt]]),IF(TbTradesBinance[[#This Row],[Tipo]]="BUY",Z56-TbTradesBinance[[#This Row],[Qtt]]*TbTradesBinance[[#This Row],[Preço]],Z56+TbTradesBinance[[#This Row],[Qtt]]*TbTradesBinance[[#This Row],[Preço]])),Z56)-IF(TbTradesBinance[[#This Row],[Moeda da Taxa]]=MID(Z$1,9,5),TbTradesBinance[[#This Row],[Taxa]],0),8)))</f>
        <v>0</v>
      </c>
      <c r="AA57" s="145" cm="1">
        <f t="array" ref="AA57">IF(TbTradesBinance[[#This Row],[Tipo]]="EMPTY",0,AA56+IF(TbTradesBinance[[#This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Row],[Par]]))),$1:$1,0)),-(Z56-Z57)/Z56*AA56),0),0)+IF(TbTradesBinance[[#This Row],[Tipo]]="SELL",IF(ISNUMBER(FIND(MID(AA$1,10,5),TbTradesBinance[[#This Row],[Par]])),IF(FIND(MID(AA$1,10,5),TbTradesBinance[[#This Row],[Par]])=1, -(Z56-Z57)/Z56*AA56,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Row],[Par]])),(-(Z56-Z57)/Z56*AA56)+IF(TbTradesBinance[[#This Row],[Resultado]]&gt;0,0,TbTradesBinance[[#This Row],[Taxa]]),0),0))</f>
        <v>0</v>
      </c>
      <c r="AB57" s="145">
        <f t="shared" si="5"/>
        <v>0</v>
      </c>
      <c r="AC5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Row],[Tipo]]="DROP"),AC56+TbTradesBinance[[#This Row],[Qtt]],AC56-TbTradesBinance[[#This Row],[Qtt]]),IF(TbTradesBinance[[#This Row],[Tipo]]="BUY",AC56-TbTradesBinance[[#This Row],[Qtt]]*TbTradesBinance[[#This Row],[Preço]],AC56+TbTradesBinance[[#This Row],[Qtt]]*TbTradesBinance[[#This Row],[Preço]])),AC56)-IF(TbTradesBinance[[#This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Row],[Tipo]]="DROP"),AC56+TbTradesBinance[[#This Row],[Qtt]],AC56-TbTradesBinance[[#This Row],[Qtt]]),IF(TbTradesBinance[[#This Row],[Tipo]]="BUY",AC56-TbTradesBinance[[#This Row],[Qtt]]*TbTradesBinance[[#This Row],[Preço]],AC56+TbTradesBinance[[#This Row],[Qtt]]*TbTradesBinance[[#This Row],[Preço]])),AC56)-IF(TbTradesBinance[[#This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Row],[Tipo]]="DROP"),AC56+TbTradesBinance[[#This Row],[Qtt]],AC56-TbTradesBinance[[#This Row],[Qtt]]),IF(TbTradesBinance[[#This Row],[Tipo]]="BUY",AC56-TbTradesBinance[[#This Row],[Qtt]]*TbTradesBinance[[#This Row],[Preço]],AC56+TbTradesBinance[[#This Row],[Qtt]]*TbTradesBinance[[#This Row],[Preço]])),AC56)-IF(TbTradesBinance[[#This Row],[Moeda da Taxa]]=MID(AC$1,9,5),TbTradesBinance[[#This Row],[Taxa]],0),8)))</f>
        <v>0</v>
      </c>
      <c r="AD57" s="145" cm="1">
        <f t="array" ref="AD57">IF(TbTradesBinance[[#This Row],[Tipo]]="EMPTY",0,AD56+IF(TbTradesBinance[[#This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Row],[Par]]))),$1:$1,0)),-(AC56-AC57)/AC56*AD56),0),0)+IF(TbTradesBinance[[#This Row],[Tipo]]="SELL",IF(ISNUMBER(FIND(MID(AD$1,10,5),TbTradesBinance[[#This Row],[Par]])),IF(FIND(MID(AD$1,10,5),TbTradesBinance[[#This Row],[Par]])=1, -(AC56-AC57)/AC56*AD56,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Row],[Par]])),(-(AC56-AC57)/AC56*AD56)+IF(TbTradesBinance[[#This Row],[Resultado]]&gt;0,0,TbTradesBinance[[#This Row],[Taxa]]),0),0))</f>
        <v>0</v>
      </c>
      <c r="AE57" s="145">
        <f t="shared" si="6"/>
        <v>0</v>
      </c>
      <c r="AF5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Row],[Tipo]]="DROP"),AF56+TbTradesBinance[[#This Row],[Qtt]],AF56-TbTradesBinance[[#This Row],[Qtt]]),IF(TbTradesBinance[[#This Row],[Tipo]]="BUY",AF56-TbTradesBinance[[#This Row],[Qtt]]*TbTradesBinance[[#This Row],[Preço]],AF56+TbTradesBinance[[#This Row],[Qtt]]*TbTradesBinance[[#This Row],[Preço]])),AF56)-IF(TbTradesBinance[[#This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Row],[Tipo]]="DROP"),AF56+TbTradesBinance[[#This Row],[Qtt]],AF56-TbTradesBinance[[#This Row],[Qtt]]),IF(TbTradesBinance[[#This Row],[Tipo]]="BUY",AF56-TbTradesBinance[[#This Row],[Qtt]]*TbTradesBinance[[#This Row],[Preço]],AF56+TbTradesBinance[[#This Row],[Qtt]]*TbTradesBinance[[#This Row],[Preço]])),AF56)-IF(TbTradesBinance[[#This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Row],[Tipo]]="DROP"),AF56+TbTradesBinance[[#This Row],[Qtt]],AF56-TbTradesBinance[[#This Row],[Qtt]]),IF(TbTradesBinance[[#This Row],[Tipo]]="BUY",AF56-TbTradesBinance[[#This Row],[Qtt]]*TbTradesBinance[[#This Row],[Preço]],AF56+TbTradesBinance[[#This Row],[Qtt]]*TbTradesBinance[[#This Row],[Preço]])),AF56)-IF(TbTradesBinance[[#This Row],[Moeda da Taxa]]=MID(AF$1,9,5),TbTradesBinance[[#This Row],[Taxa]],0),8)))</f>
        <v>0</v>
      </c>
      <c r="AG57" s="145" cm="1">
        <f t="array" ref="AG57">IF(TbTradesBinance[[#This Row],[Tipo]]="EMPTY",0,AG56+IF(TbTradesBinance[[#This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Row],[Par]]))),$1:$1,0)),-(AF56-AF57)/AF56*AG56),0),0)+IF(TbTradesBinance[[#This Row],[Tipo]]="SELL",IF(ISNUMBER(FIND(MID(AG$1,10,5),TbTradesBinance[[#This Row],[Par]])),IF(FIND(MID(AG$1,10,5),TbTradesBinance[[#This Row],[Par]])=1, -(AF56-AF57)/AF56*AG56,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Row],[Par]])),(-(AF56-AF57)/AF56*AG56)+IF(TbTradesBinance[[#This Row],[Resultado]]&gt;0,0,TbTradesBinance[[#This Row],[Taxa]]),0),0))</f>
        <v>0</v>
      </c>
      <c r="AH57" s="145">
        <f t="shared" si="7"/>
        <v>0</v>
      </c>
      <c r="AI5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Row],[Tipo]]="DROP"),AI56+TbTradesBinance[[#This Row],[Qtt]],AI56-TbTradesBinance[[#This Row],[Qtt]]),IF(TbTradesBinance[[#This Row],[Tipo]]="BUY",AI56-TbTradesBinance[[#This Row],[Qtt]]*TbTradesBinance[[#This Row],[Preço]],AI56+TbTradesBinance[[#This Row],[Qtt]]*TbTradesBinance[[#This Row],[Preço]])),AI56)-IF(TbTradesBinance[[#This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Row],[Tipo]]="DROP"),AI56+TbTradesBinance[[#This Row],[Qtt]],AI56-TbTradesBinance[[#This Row],[Qtt]]),IF(TbTradesBinance[[#This Row],[Tipo]]="BUY",AI56-TbTradesBinance[[#This Row],[Qtt]]*TbTradesBinance[[#This Row],[Preço]],AI56+TbTradesBinance[[#This Row],[Qtt]]*TbTradesBinance[[#This Row],[Preço]])),AI56)-IF(TbTradesBinance[[#This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Row],[Tipo]]="DROP"),AI56+TbTradesBinance[[#This Row],[Qtt]],AI56-TbTradesBinance[[#This Row],[Qtt]]),IF(TbTradesBinance[[#This Row],[Tipo]]="BUY",AI56-TbTradesBinance[[#This Row],[Qtt]]*TbTradesBinance[[#This Row],[Preço]],AI56+TbTradesBinance[[#This Row],[Qtt]]*TbTradesBinance[[#This Row],[Preço]])),AI56)-IF(TbTradesBinance[[#This Row],[Moeda da Taxa]]=MID(AI$1,9,5),TbTradesBinance[[#This Row],[Taxa]],0),8)))</f>
        <v>0</v>
      </c>
      <c r="AJ57" s="145" cm="1">
        <f t="array" ref="AJ57">IF(TbTradesBinance[[#This Row],[Tipo]]="EMPTY",0,AJ56+IF(TbTradesBinance[[#This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Row],[Par]]))),$1:$1,0)),-(AI56-AI57)/AI56*AJ56),0),0)+IF(TbTradesBinance[[#This Row],[Tipo]]="SELL",IF(ISNUMBER(FIND(MID(AJ$1,10,5),TbTradesBinance[[#This Row],[Par]])),IF(FIND(MID(AJ$1,10,5),TbTradesBinance[[#This Row],[Par]])=1, -(AI56-AI57)/AI56*AJ56,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Row],[Par]])),(-(AI56-AI57)/AI56*AJ56)+IF(TbTradesBinance[[#This Row],[Resultado]]&gt;0,0,TbTradesBinance[[#This Row],[Taxa]]),0),0))</f>
        <v>0</v>
      </c>
      <c r="AK57" s="145">
        <f t="shared" si="8"/>
        <v>0</v>
      </c>
      <c r="AL5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Row],[Tipo]]="DROP"),AL56+TbTradesBinance[[#This Row],[Qtt]],AL56-TbTradesBinance[[#This Row],[Qtt]]),IF(TbTradesBinance[[#This Row],[Tipo]]="BUY",AL56-TbTradesBinance[[#This Row],[Qtt]]*TbTradesBinance[[#This Row],[Preço]],AL56+TbTradesBinance[[#This Row],[Qtt]]*TbTradesBinance[[#This Row],[Preço]])),AL56)-IF(TbTradesBinance[[#This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Row],[Tipo]]="DROP"),AL56+TbTradesBinance[[#This Row],[Qtt]],AL56-TbTradesBinance[[#This Row],[Qtt]]),IF(TbTradesBinance[[#This Row],[Tipo]]="BUY",AL56-TbTradesBinance[[#This Row],[Qtt]]*TbTradesBinance[[#This Row],[Preço]],AL56+TbTradesBinance[[#This Row],[Qtt]]*TbTradesBinance[[#This Row],[Preço]])),AL56)-IF(TbTradesBinance[[#This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Row],[Tipo]]="DROP"),AL56+TbTradesBinance[[#This Row],[Qtt]],AL56-TbTradesBinance[[#This Row],[Qtt]]),IF(TbTradesBinance[[#This Row],[Tipo]]="BUY",AL56-TbTradesBinance[[#This Row],[Qtt]]*TbTradesBinance[[#This Row],[Preço]],AL56+TbTradesBinance[[#This Row],[Qtt]]*TbTradesBinance[[#This Row],[Preço]])),AL56)-IF(TbTradesBinance[[#This Row],[Moeda da Taxa]]=MID(AL$1,9,5),TbTradesBinance[[#This Row],[Taxa]],0),8)))</f>
        <v>0</v>
      </c>
      <c r="AM57" s="145" cm="1">
        <f t="array" ref="AM57">IF(TbTradesBinance[[#This Row],[Tipo]]="EMPTY",0,AM56+IF(TbTradesBinance[[#This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Row],[Par]]))),$1:$1,0)),-(AL56-AL57)/AL56*AM56),0),0)+IF(TbTradesBinance[[#This Row],[Tipo]]="SELL",IF(ISNUMBER(FIND(MID(AM$1,10,5),TbTradesBinance[[#This Row],[Par]])),IF(FIND(MID(AM$1,10,5),TbTradesBinance[[#This Row],[Par]])=1, -(AL56-AL57)/AL56*AM56,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Row],[Par]])),(-(AL56-AL57)/AL56*AM56)+IF(TbTradesBinance[[#This Row],[Resultado]]&gt;0,0,TbTradesBinance[[#This Row],[Taxa]]),0),0))</f>
        <v>0</v>
      </c>
      <c r="AN57" s="145">
        <f t="shared" si="9"/>
        <v>0</v>
      </c>
      <c r="AO5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Row],[Tipo]]="DROP"),AO56+TbTradesBinance[[#This Row],[Qtt]],AO56-TbTradesBinance[[#This Row],[Qtt]]),IF(TbTradesBinance[[#This Row],[Tipo]]="BUY",AO56-TbTradesBinance[[#This Row],[Qtt]]*TbTradesBinance[[#This Row],[Preço]],AO56+TbTradesBinance[[#This Row],[Qtt]]*TbTradesBinance[[#This Row],[Preço]])),AO56)-IF(TbTradesBinance[[#This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Row],[Tipo]]="DROP"),AO56+TbTradesBinance[[#This Row],[Qtt]],AO56-TbTradesBinance[[#This Row],[Qtt]]),IF(TbTradesBinance[[#This Row],[Tipo]]="BUY",AO56-TbTradesBinance[[#This Row],[Qtt]]*TbTradesBinance[[#This Row],[Preço]],AO56+TbTradesBinance[[#This Row],[Qtt]]*TbTradesBinance[[#This Row],[Preço]])),AO56)-IF(TbTradesBinance[[#This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Row],[Tipo]]="DROP"),AO56+TbTradesBinance[[#This Row],[Qtt]],AO56-TbTradesBinance[[#This Row],[Qtt]]),IF(TbTradesBinance[[#This Row],[Tipo]]="BUY",AO56-TbTradesBinance[[#This Row],[Qtt]]*TbTradesBinance[[#This Row],[Preço]],AO56+TbTradesBinance[[#This Row],[Qtt]]*TbTradesBinance[[#This Row],[Preço]])),AO56)-IF(TbTradesBinance[[#This Row],[Moeda da Taxa]]=MID(AO$1,9,5),TbTradesBinance[[#This Row],[Taxa]],0),8)))</f>
        <v>1.2747399999999999E-3</v>
      </c>
      <c r="AP57" s="145" cm="1">
        <f t="array" ref="AP57">IF(TbTradesBinance[[#This Row],[Tipo]]="EMPTY",0,AP56+IF(TbTradesBinance[[#This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Row],[Par]]))),$1:$1,0)),-(AO56-AO57)/AO56*AP56),0),0)+IF(TbTradesBinance[[#This Row],[Tipo]]="SELL",IF(ISNUMBER(FIND(MID(AP$1,10,5),TbTradesBinance[[#This Row],[Par]])),IF(FIND(MID(AP$1,10,5),TbTradesBinance[[#This Row],[Par]])=1, -(AO56-AO57)/AO56*AP56,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Row],[Par]])),(-(AO56-AO57)/AO56*AP56)+IF(TbTradesBinance[[#This Row],[Resultado]]&gt;0,0,TbTradesBinance[[#This Row],[Taxa]]),0),0))</f>
        <v>1.7416212429180353</v>
      </c>
      <c r="AQ57" s="145">
        <f t="shared" si="10"/>
        <v>1366.2560545036913</v>
      </c>
      <c r="AR5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Row],[Tipo]]="DROP"),AR56+TbTradesBinance[[#This Row],[Qtt]],AR56-TbTradesBinance[[#This Row],[Qtt]]),IF(TbTradesBinance[[#This Row],[Tipo]]="BUY",AR56-TbTradesBinance[[#This Row],[Qtt]]*TbTradesBinance[[#This Row],[Preço]],AR56+TbTradesBinance[[#This Row],[Qtt]]*TbTradesBinance[[#This Row],[Preço]])),AR56)-IF(TbTradesBinance[[#This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Row],[Tipo]]="DROP"),AR56+TbTradesBinance[[#This Row],[Qtt]],AR56-TbTradesBinance[[#This Row],[Qtt]]),IF(TbTradesBinance[[#This Row],[Tipo]]="BUY",AR56-TbTradesBinance[[#This Row],[Qtt]]*TbTradesBinance[[#This Row],[Preço]],AR56+TbTradesBinance[[#This Row],[Qtt]]*TbTradesBinance[[#This Row],[Preço]])),AR56)-IF(TbTradesBinance[[#This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Row],[Tipo]]="DROP"),AR56+TbTradesBinance[[#This Row],[Qtt]],AR56-TbTradesBinance[[#This Row],[Qtt]]),IF(TbTradesBinance[[#This Row],[Tipo]]="BUY",AR56-TbTradesBinance[[#This Row],[Qtt]]*TbTradesBinance[[#This Row],[Preço]],AR56+TbTradesBinance[[#This Row],[Qtt]]*TbTradesBinance[[#This Row],[Preço]])),AR56)-IF(TbTradesBinance[[#This Row],[Moeda da Taxa]]=MID(AR$1,9,5),TbTradesBinance[[#This Row],[Taxa]],0),8)))</f>
        <v>0</v>
      </c>
      <c r="AS57" s="145" cm="1">
        <f t="array" ref="AS57">IF(TbTradesBinance[[#This Row],[Tipo]]="EMPTY",0,AS56+IF(TbTradesBinance[[#This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Row],[Par]]))),$1:$1,0)),-(AR56-AR57)/AR56*AS56),0),0)+IF(TbTradesBinance[[#This Row],[Tipo]]="SELL",IF(ISNUMBER(FIND(MID(AS$1,10,5),TbTradesBinance[[#This Row],[Par]])),IF(FIND(MID(AS$1,10,5),TbTradesBinance[[#This Row],[Par]])=1, -(AR56-AR57)/AR56*AS56,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Row],[Par]])),(-(AR56-AR57)/AR56*AS56)+IF(TbTradesBinance[[#This Row],[Resultado]]&gt;0,0,TbTradesBinance[[#This Row],[Taxa]]),0),0))</f>
        <v>0</v>
      </c>
      <c r="AT57" s="145">
        <f t="shared" si="11"/>
        <v>0</v>
      </c>
      <c r="AU5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Row],[Tipo]]="DROP"),AU56+TbTradesBinance[[#This Row],[Qtt]],AU56-TbTradesBinance[[#This Row],[Qtt]]),IF(TbTradesBinance[[#This Row],[Tipo]]="BUY",AU56-TbTradesBinance[[#This Row],[Qtt]]*TbTradesBinance[[#This Row],[Preço]],AU56+TbTradesBinance[[#This Row],[Qtt]]*TbTradesBinance[[#This Row],[Preço]])),AU56)-IF(TbTradesBinance[[#This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Row],[Tipo]]="DROP"),AU56+TbTradesBinance[[#This Row],[Qtt]],AU56-TbTradesBinance[[#This Row],[Qtt]]),IF(TbTradesBinance[[#This Row],[Tipo]]="BUY",AU56-TbTradesBinance[[#This Row],[Qtt]]*TbTradesBinance[[#This Row],[Preço]],AU56+TbTradesBinance[[#This Row],[Qtt]]*TbTradesBinance[[#This Row],[Preço]])),AU56)-IF(TbTradesBinance[[#This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Row],[Tipo]]="DROP"),AU56+TbTradesBinance[[#This Row],[Qtt]],AU56-TbTradesBinance[[#This Row],[Qtt]]),IF(TbTradesBinance[[#This Row],[Tipo]]="BUY",AU56-TbTradesBinance[[#This Row],[Qtt]]*TbTradesBinance[[#This Row],[Preço]],AU56+TbTradesBinance[[#This Row],[Qtt]]*TbTradesBinance[[#This Row],[Preço]])),AU56)-IF(TbTradesBinance[[#This Row],[Moeda da Taxa]]=MID(AU$1,9,5),TbTradesBinance[[#This Row],[Taxa]],0),8)))</f>
        <v>9.9900000000000003E-2</v>
      </c>
      <c r="AV57" s="145" cm="1">
        <f t="array" ref="AV57">IF(TbTradesBinance[[#This Row],[Tipo]]="EMPTY",0,AV56+IF(TbTradesBinance[[#This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Row],[Par]]))),$1:$1,0)),-(AU56-AU57)/AU56*AV56),0),0)+IF(TbTradesBinance[[#This Row],[Tipo]]="SELL",IF(ISNUMBER(FIND(MID(AV$1,10,5),TbTradesBinance[[#This Row],[Par]])),IF(FIND(MID(AV$1,10,5),TbTradesBinance[[#This Row],[Par]])=1, -(AU56-AU57)/AU56*AV56,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Row],[Par]])),(-(AU56-AU57)/AU56*AV56)+IF(TbTradesBinance[[#This Row],[Resultado]]&gt;0,0,TbTradesBinance[[#This Row],[Taxa]]),0),0))</f>
        <v>18.673922987511034</v>
      </c>
      <c r="AW57" s="145">
        <f t="shared" si="12"/>
        <v>186.92615603114149</v>
      </c>
      <c r="AX5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Row],[Tipo]]="DROP"),AX56+TbTradesBinance[[#This Row],[Qtt]],AX56-TbTradesBinance[[#This Row],[Qtt]]),IF(TbTradesBinance[[#This Row],[Tipo]]="BUY",AX56-TbTradesBinance[[#This Row],[Qtt]]*TbTradesBinance[[#This Row],[Preço]],AX56+TbTradesBinance[[#This Row],[Qtt]]*TbTradesBinance[[#This Row],[Preço]])),AX56)-IF(TbTradesBinance[[#This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Row],[Tipo]]="DROP"),AX56+TbTradesBinance[[#This Row],[Qtt]],AX56-TbTradesBinance[[#This Row],[Qtt]]),IF(TbTradesBinance[[#This Row],[Tipo]]="BUY",AX56-TbTradesBinance[[#This Row],[Qtt]]*TbTradesBinance[[#This Row],[Preço]],AX56+TbTradesBinance[[#This Row],[Qtt]]*TbTradesBinance[[#This Row],[Preço]])),AX56)-IF(TbTradesBinance[[#This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Row],[Tipo]]="DROP"),AX56+TbTradesBinance[[#This Row],[Qtt]],AX56-TbTradesBinance[[#This Row],[Qtt]]),IF(TbTradesBinance[[#This Row],[Tipo]]="BUY",AX56-TbTradesBinance[[#This Row],[Qtt]]*TbTradesBinance[[#This Row],[Preço]],AX56+TbTradesBinance[[#This Row],[Qtt]]*TbTradesBinance[[#This Row],[Preço]])),AX56)-IF(TbTradesBinance[[#This Row],[Moeda da Taxa]]=MID(AX$1,9,5),TbTradesBinance[[#This Row],[Taxa]],0),8)))</f>
        <v>0</v>
      </c>
      <c r="AY57" s="145" cm="1">
        <f t="array" ref="AY57">IF(TbTradesBinance[[#This Row],[Tipo]]="EMPTY",0,AY56+IF(TbTradesBinance[[#This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Row],[Par]]))),$1:$1,0)),-(AX56-AX57)/AX56*AY56),0),0)+IF(TbTradesBinance[[#This Row],[Tipo]]="SELL",IF(ISNUMBER(FIND(MID(AY$1,10,5),TbTradesBinance[[#This Row],[Par]])),IF(FIND(MID(AY$1,10,5),TbTradesBinance[[#This Row],[Par]])=1, -(AX56-AX57)/AX56*AY56,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Row],[Par]])),(-(AX56-AX57)/AX56*AY56)+IF(TbTradesBinance[[#This Row],[Resultado]]&gt;0,0,TbTradesBinance[[#This Row],[Taxa]]),0),0))</f>
        <v>0</v>
      </c>
      <c r="AZ57" s="145">
        <f t="shared" si="13"/>
        <v>0</v>
      </c>
      <c r="BA5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Row],[Tipo]]="DROP"),BA56+TbTradesBinance[[#This Row],[Qtt]],BA56-TbTradesBinance[[#This Row],[Qtt]]),IF(TbTradesBinance[[#This Row],[Tipo]]="BUY",BA56-TbTradesBinance[[#This Row],[Qtt]]*TbTradesBinance[[#This Row],[Preço]],BA56+TbTradesBinance[[#This Row],[Qtt]]*TbTradesBinance[[#This Row],[Preço]])),BA56)-IF(TbTradesBinance[[#This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Row],[Tipo]]="DROP"),BA56+TbTradesBinance[[#This Row],[Qtt]],BA56-TbTradesBinance[[#This Row],[Qtt]]),IF(TbTradesBinance[[#This Row],[Tipo]]="BUY",BA56-TbTradesBinance[[#This Row],[Qtt]]*TbTradesBinance[[#This Row],[Preço]],BA56+TbTradesBinance[[#This Row],[Qtt]]*TbTradesBinance[[#This Row],[Preço]])),BA56)-IF(TbTradesBinance[[#This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Row],[Tipo]]="DROP"),BA56+TbTradesBinance[[#This Row],[Qtt]],BA56-TbTradesBinance[[#This Row],[Qtt]]),IF(TbTradesBinance[[#This Row],[Tipo]]="BUY",BA56-TbTradesBinance[[#This Row],[Qtt]]*TbTradesBinance[[#This Row],[Preço]],BA56+TbTradesBinance[[#This Row],[Qtt]]*TbTradesBinance[[#This Row],[Preço]])),BA56)-IF(TbTradesBinance[[#This Row],[Moeda da Taxa]]=MID(BA$1,9,5),TbTradesBinance[[#This Row],[Taxa]],0),8)))</f>
        <v>0</v>
      </c>
      <c r="BB57" s="145" cm="1">
        <f t="array" ref="BB57">IF(TbTradesBinance[[#This Row],[Tipo]]="EMPTY",0,BB56+IF(TbTradesBinance[[#This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Row],[Par]]))),$1:$1,0)),-(BA56-BA57)/BA56*BB56),0),0)+IF(TbTradesBinance[[#This Row],[Tipo]]="SELL",IF(ISNUMBER(FIND(MID(BB$1,10,5),TbTradesBinance[[#This Row],[Par]])),IF(FIND(MID(BB$1,10,5),TbTradesBinance[[#This Row],[Par]])=1, -(BA56-BA57)/BA56*BB56,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Row],[Par]])),(-(BA56-BA57)/BA56*BB56)+IF(TbTradesBinance[[#This Row],[Resultado]]&gt;0,0,TbTradesBinance[[#This Row],[Taxa]]),0),0))</f>
        <v>0</v>
      </c>
      <c r="BC57" s="145">
        <f t="shared" si="14"/>
        <v>0</v>
      </c>
      <c r="BD5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Row],[Tipo]]="DROP"),BD56+TbTradesBinance[[#This Row],[Qtt]],BD56-TbTradesBinance[[#This Row],[Qtt]]),IF(TbTradesBinance[[#This Row],[Tipo]]="BUY",BD56-TbTradesBinance[[#This Row],[Qtt]]*TbTradesBinance[[#This Row],[Preço]],BD56+TbTradesBinance[[#This Row],[Qtt]]*TbTradesBinance[[#This Row],[Preço]])),BD56)-IF(TbTradesBinance[[#This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Row],[Tipo]]="DROP"),BD56+TbTradesBinance[[#This Row],[Qtt]],BD56-TbTradesBinance[[#This Row],[Qtt]]),IF(TbTradesBinance[[#This Row],[Tipo]]="BUY",BD56-TbTradesBinance[[#This Row],[Qtt]]*TbTradesBinance[[#This Row],[Preço]],BD56+TbTradesBinance[[#This Row],[Qtt]]*TbTradesBinance[[#This Row],[Preço]])),BD56)-IF(TbTradesBinance[[#This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Row],[Tipo]]="DROP"),BD56+TbTradesBinance[[#This Row],[Qtt]],BD56-TbTradesBinance[[#This Row],[Qtt]]),IF(TbTradesBinance[[#This Row],[Tipo]]="BUY",BD56-TbTradesBinance[[#This Row],[Qtt]]*TbTradesBinance[[#This Row],[Preço]],BD56+TbTradesBinance[[#This Row],[Qtt]]*TbTradesBinance[[#This Row],[Preço]])),BD56)-IF(TbTradesBinance[[#This Row],[Moeda da Taxa]]=MID(BD$1,9,5),TbTradesBinance[[#This Row],[Taxa]],0),8)))</f>
        <v>0.37962000000000001</v>
      </c>
      <c r="BE57" s="145" cm="1">
        <f t="array" ref="BE57">IF(TbTradesBinance[[#This Row],[Tipo]]="EMPTY",0,BE56+IF(TbTradesBinance[[#This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Row],[Par]]))),$1:$1,0)),-(BD56-BD57)/BD56*BE56),0),0)+IF(TbTradesBinance[[#This Row],[Tipo]]="SELL",IF(ISNUMBER(FIND(MID(BE$1,10,5),TbTradesBinance[[#This Row],[Par]])),IF(FIND(MID(BE$1,10,5),TbTradesBinance[[#This Row],[Par]])=1, -(BD56-BD57)/BD56*BE56,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Row],[Par]])),(-(BD56-BD57)/BD56*BE56)+IF(TbTradesBinance[[#This Row],[Resultado]]&gt;0,0,TbTradesBinance[[#This Row],[Taxa]]),0),0))</f>
        <v>63.647297001537943</v>
      </c>
      <c r="BF57" s="145">
        <f t="shared" si="15"/>
        <v>167.66054739354601</v>
      </c>
      <c r="BG5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Row],[Tipo]]="DROP"),BG56+TbTradesBinance[[#This Row],[Qtt]],BG56-TbTradesBinance[[#This Row],[Qtt]]),IF(TbTradesBinance[[#This Row],[Tipo]]="BUY",BG56-TbTradesBinance[[#This Row],[Qtt]]*TbTradesBinance[[#This Row],[Preço]],BG56+TbTradesBinance[[#This Row],[Qtt]]*TbTradesBinance[[#This Row],[Preço]])),BG56)-IF(TbTradesBinance[[#This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Row],[Tipo]]="DROP"),BG56+TbTradesBinance[[#This Row],[Qtt]],BG56-TbTradesBinance[[#This Row],[Qtt]]),IF(TbTradesBinance[[#This Row],[Tipo]]="BUY",BG56-TbTradesBinance[[#This Row],[Qtt]]*TbTradesBinance[[#This Row],[Preço]],BG56+TbTradesBinance[[#This Row],[Qtt]]*TbTradesBinance[[#This Row],[Preço]])),BG56)-IF(TbTradesBinance[[#This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Row],[Tipo]]="DROP"),BG56+TbTradesBinance[[#This Row],[Qtt]],BG56-TbTradesBinance[[#This Row],[Qtt]]),IF(TbTradesBinance[[#This Row],[Tipo]]="BUY",BG56-TbTradesBinance[[#This Row],[Qtt]]*TbTradesBinance[[#This Row],[Preço]],BG56+TbTradesBinance[[#This Row],[Qtt]]*TbTradesBinance[[#This Row],[Preço]])),BG56)-IF(TbTradesBinance[[#This Row],[Moeda da Taxa]]=MID(BG$1,9,5),TbTradesBinance[[#This Row],[Taxa]],0),8)))</f>
        <v>0</v>
      </c>
      <c r="BH57" s="145" cm="1">
        <f t="array" ref="BH57">IF(TbTradesBinance[[#This Row],[Tipo]]="EMPTY",0,BH56+IF(TbTradesBinance[[#This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Row],[Par]]))),$1:$1,0)),-(BG56-BG57)/BG56*BH56),0),0)+IF(TbTradesBinance[[#This Row],[Tipo]]="SELL",IF(ISNUMBER(FIND(MID(BH$1,10,5),TbTradesBinance[[#This Row],[Par]])),IF(FIND(MID(BH$1,10,5),TbTradesBinance[[#This Row],[Par]])=1, -(BG56-BG57)/BG56*BH56,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Row],[Par]])),(-(BG56-BG57)/BG56*BH56)+IF(TbTradesBinance[[#This Row],[Resultado]]&gt;0,0,TbTradesBinance[[#This Row],[Taxa]]),0),0))</f>
        <v>0</v>
      </c>
      <c r="BI57" s="145">
        <f t="shared" si="16"/>
        <v>0</v>
      </c>
      <c r="BJ5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Row],[Tipo]]="DROP"),BJ56+TbTradesBinance[[#This Row],[Qtt]],BJ56-TbTradesBinance[[#This Row],[Qtt]]),IF(TbTradesBinance[[#This Row],[Tipo]]="BUY",BJ56-TbTradesBinance[[#This Row],[Qtt]]*TbTradesBinance[[#This Row],[Preço]],BJ56+TbTradesBinance[[#This Row],[Qtt]]*TbTradesBinance[[#This Row],[Preço]])),BJ56)-IF(TbTradesBinance[[#This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Row],[Tipo]]="DROP"),BJ56+TbTradesBinance[[#This Row],[Qtt]],BJ56-TbTradesBinance[[#This Row],[Qtt]]),IF(TbTradesBinance[[#This Row],[Tipo]]="BUY",BJ56-TbTradesBinance[[#This Row],[Qtt]]*TbTradesBinance[[#This Row],[Preço]],BJ56+TbTradesBinance[[#This Row],[Qtt]]*TbTradesBinance[[#This Row],[Preço]])),BJ56)-IF(TbTradesBinance[[#This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Row],[Tipo]]="DROP"),BJ56+TbTradesBinance[[#This Row],[Qtt]],BJ56-TbTradesBinance[[#This Row],[Qtt]]),IF(TbTradesBinance[[#This Row],[Tipo]]="BUY",BJ56-TbTradesBinance[[#This Row],[Qtt]]*TbTradesBinance[[#This Row],[Preço]],BJ56+TbTradesBinance[[#This Row],[Qtt]]*TbTradesBinance[[#This Row],[Preço]])),BJ56)-IF(TbTradesBinance[[#This Row],[Moeda da Taxa]]=MID(BJ$1,9,5),TbTradesBinance[[#This Row],[Taxa]],0),8)))</f>
        <v>0</v>
      </c>
      <c r="BK57" s="145" cm="1">
        <f t="array" ref="BK57">IF(TbTradesBinance[[#This Row],[Tipo]]="EMPTY",0,BK56+IF(TbTradesBinance[[#This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Row],[Par]]))),$1:$1,0)),-(BJ56-BJ57)/BJ56*BK56),0),0)+IF(TbTradesBinance[[#This Row],[Tipo]]="SELL",IF(ISNUMBER(FIND(MID(BK$1,10,5),TbTradesBinance[[#This Row],[Par]])),IF(FIND(MID(BK$1,10,5),TbTradesBinance[[#This Row],[Par]])=1, -(BJ56-BJ57)/BJ56*BK56,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Row],[Par]])),(-(BJ56-BJ57)/BJ56*BK56)+IF(TbTradesBinance[[#This Row],[Resultado]]&gt;0,0,TbTradesBinance[[#This Row],[Taxa]]),0),0))</f>
        <v>0</v>
      </c>
      <c r="BL57" s="145">
        <f t="shared" si="17"/>
        <v>0</v>
      </c>
      <c r="BM5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Row],[Tipo]]="DROP"),BM56+TbTradesBinance[[#This Row],[Qtt]],BM56-TbTradesBinance[[#This Row],[Qtt]]),IF(TbTradesBinance[[#This Row],[Tipo]]="BUY",BM56-TbTradesBinance[[#This Row],[Qtt]]*TbTradesBinance[[#This Row],[Preço]],BM56+TbTradesBinance[[#This Row],[Qtt]]*TbTradesBinance[[#This Row],[Preço]])),BM56)-IF(TbTradesBinance[[#This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Row],[Tipo]]="DROP"),BM56+TbTradesBinance[[#This Row],[Qtt]],BM56-TbTradesBinance[[#This Row],[Qtt]]),IF(TbTradesBinance[[#This Row],[Tipo]]="BUY",BM56-TbTradesBinance[[#This Row],[Qtt]]*TbTradesBinance[[#This Row],[Preço]],BM56+TbTradesBinance[[#This Row],[Qtt]]*TbTradesBinance[[#This Row],[Preço]])),BM56)-IF(TbTradesBinance[[#This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Row],[Tipo]]="DROP"),BM56+TbTradesBinance[[#This Row],[Qtt]],BM56-TbTradesBinance[[#This Row],[Qtt]]),IF(TbTradesBinance[[#This Row],[Tipo]]="BUY",BM56-TbTradesBinance[[#This Row],[Qtt]]*TbTradesBinance[[#This Row],[Preço]],BM56+TbTradesBinance[[#This Row],[Qtt]]*TbTradesBinance[[#This Row],[Preço]])),BM56)-IF(TbTradesBinance[[#This Row],[Moeda da Taxa]]=MID(BM$1,9,5),TbTradesBinance[[#This Row],[Taxa]],0),8)))</f>
        <v>0</v>
      </c>
      <c r="BN57" s="145" cm="1">
        <f t="array" ref="BN57">IF(TbTradesBinance[[#This Row],[Tipo]]="EMPTY",0,BN56+IF(TbTradesBinance[[#This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Row],[Par]]))),$1:$1,0)),-(BM56-BM57)/BM56*BN56),0),0)+IF(TbTradesBinance[[#This Row],[Tipo]]="SELL",IF(ISNUMBER(FIND(MID(BN$1,10,5),TbTradesBinance[[#This Row],[Par]])),IF(FIND(MID(BN$1,10,5),TbTradesBinance[[#This Row],[Par]])=1, -(BM56-BM57)/BM56*BN56,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Row],[Par]])),(-(BM56-BM57)/BM56*BN56)+IF(TbTradesBinance[[#This Row],[Resultado]]&gt;0,0,TbTradesBinance[[#This Row],[Taxa]]),0),0))</f>
        <v>0</v>
      </c>
      <c r="BO57" s="145">
        <f t="shared" si="18"/>
        <v>0</v>
      </c>
    </row>
    <row r="58" spans="2:67" x14ac:dyDescent="0.3">
      <c r="B58" s="51"/>
      <c r="C58" s="40">
        <f>TRUNC(IF(AND(TbTradesBinance[[#This Row],[Tipo]]="SEND",TbTradesBinance[[#This Row],[Par]]="BRL"),TbTradesBinance[[#This Row],[Qtt]]*(1-P56)-IF(TbTradesBinance[[#This Row],[Moeda da Taxa]]="BRL",TbTradesBinance[[#This Row],[Taxa]],0),0)+IF(AND(TbTradesBinance[[#This Row],[Tipo]]="BURN",TbTradesBinance[[#This Row],[Par]]="BRL"),-TbTradesBinance[[#This Row],[Qtt]]*P56,0),2)</f>
        <v>0</v>
      </c>
      <c r="D58" s="53">
        <v>44264.170474537037</v>
      </c>
      <c r="E58" s="37" t="s">
        <v>138</v>
      </c>
      <c r="F58" s="47" t="s">
        <v>139</v>
      </c>
      <c r="G58" s="38">
        <v>310000</v>
      </c>
      <c r="H58" s="38">
        <v>2.5399999999999999E-4</v>
      </c>
      <c r="I58" s="38">
        <v>0</v>
      </c>
      <c r="J58" s="37" t="s">
        <v>45</v>
      </c>
      <c r="K58" s="52">
        <v>1</v>
      </c>
      <c r="L58" s="40">
        <f t="shared" si="0"/>
        <v>310000</v>
      </c>
      <c r="M58" s="40">
        <f>IF(OR(TbTradesBinance[[#This Row],[Tipo]]="BUY",TbTradesBinance[[#This Row],[Tipo]]="RECEIVE",TbTradesBinance[[#This Row],[Tipo]]="DROP"),L58*H58,-L58*H58)</f>
        <v>78.739999999999995</v>
      </c>
      <c r="N5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Row],[Tipo]]="DROP"),N57+TbTradesBinance[[#This Row],[Qtt]],N57-TbTradesBinance[[#This Row],[Qtt]]),IF(TbTradesBinance[[#This Row],[Tipo]]="BUY",N57-TbTradesBinance[[#This Row],[Qtt]]*TbTradesBinance[[#This Row],[Preço]],N57+TbTradesBinance[[#This Row],[Qtt]]*TbTradesBinance[[#This Row],[Preço]])),N57)-IF(TbTradesBinance[[#This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Row],[Tipo]]="DROP"),N57+TbTradesBinance[[#This Row],[Qtt]],N57-TbTradesBinance[[#This Row],[Qtt]]),IF(TbTradesBinance[[#This Row],[Tipo]]="BUY",N57-TbTradesBinance[[#This Row],[Qtt]]*TbTradesBinance[[#This Row],[Preço]],N57+TbTradesBinance[[#This Row],[Qtt]]*TbTradesBinance[[#This Row],[Preço]])),N57)-IF(TbTradesBinance[[#This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Row],[Tipo]]="DROP"),N57+TbTradesBinance[[#This Row],[Qtt]],N57-TbTradesBinance[[#This Row],[Qtt]]),IF(TbTradesBinance[[#This Row],[Tipo]]="BUY",N57-TbTradesBinance[[#This Row],[Qtt]]*TbTradesBinance[[#This Row],[Preço]],N57+TbTradesBinance[[#This Row],[Qtt]]*TbTradesBinance[[#This Row],[Preço]])),N57)-IF(TbTradesBinance[[#This Row],[Moeda da Taxa]]=MID(N$1,9,5),TbTradesBinance[[#This Row],[Taxa]],0),8)))</f>
        <v>119949.74553289</v>
      </c>
      <c r="O58" s="145" cm="1">
        <f t="array" ref="O58">IF(TbTradesBinance[[#This Row],[Tipo]]="EMPTY",0,O57+IF(TbTradesBinance[[#This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Row],[Par]]))),$1:$1,0)),-(N57-N58)/N57*O57),0),0)+IF(TbTradesBinance[[#This Row],[Tipo]]="SELL",IF(ISNUMBER(FIND(MID(O$1,10,5),TbTradesBinance[[#This Row],[Par]])),IF(FIND(MID(O$1,10,5),TbTradesBinance[[#This Row],[Par]])=1, -(N57-N58)/N57*O57,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Row],[Par]])),(-(N57-N58)/N57*O57)+IF(TbTradesBinance[[#This Row],[Resultado]]&gt;0,0,TbTradesBinance[[#This Row],[Taxa]]),0),0))</f>
        <v>119852.25222507957</v>
      </c>
      <c r="P58" s="145">
        <f t="shared" si="1"/>
        <v>0.99918721538443211</v>
      </c>
      <c r="Q5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Row],[Tipo]]="DROP"),Q57+TbTradesBinance[[#This Row],[Qtt]],Q57-TbTradesBinance[[#This Row],[Qtt]]),IF(TbTradesBinance[[#This Row],[Tipo]]="BUY",Q57-TbTradesBinance[[#This Row],[Qtt]]*TbTradesBinance[[#This Row],[Preço]],Q57+TbTradesBinance[[#This Row],[Qtt]]*TbTradesBinance[[#This Row],[Preço]])),Q57)-IF(TbTradesBinance[[#This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Row],[Tipo]]="DROP"),Q57+TbTradesBinance[[#This Row],[Qtt]],Q57-TbTradesBinance[[#This Row],[Qtt]]),IF(TbTradesBinance[[#This Row],[Tipo]]="BUY",Q57-TbTradesBinance[[#This Row],[Qtt]]*TbTradesBinance[[#This Row],[Preço]],Q57+TbTradesBinance[[#This Row],[Qtt]]*TbTradesBinance[[#This Row],[Preço]])),Q57)-IF(TbTradesBinance[[#This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Row],[Tipo]]="DROP"),Q57+TbTradesBinance[[#This Row],[Qtt]],Q57-TbTradesBinance[[#This Row],[Qtt]]),IF(TbTradesBinance[[#This Row],[Tipo]]="BUY",Q57-TbTradesBinance[[#This Row],[Qtt]]*TbTradesBinance[[#This Row],[Preço]],Q57+TbTradesBinance[[#This Row],[Qtt]]*TbTradesBinance[[#This Row],[Preço]])),Q57)-IF(TbTradesBinance[[#This Row],[Moeda da Taxa]]=MID(Q$1,9,5),TbTradesBinance[[#This Row],[Taxa]],0),8)))</f>
        <v>0</v>
      </c>
      <c r="R58" s="145" cm="1">
        <f t="array" ref="R58">IF(TbTradesBinance[[#This Row],[Tipo]]="EMPTY",0,R57+IF(TbTradesBinance[[#This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Row],[Par]]))),$1:$1,0)),-(Q57-Q58)/Q57*R57),0),0)+IF(TbTradesBinance[[#This Row],[Tipo]]="SELL",IF(ISNUMBER(FIND(MID(R$1,10,5),TbTradesBinance[[#This Row],[Par]])),IF(FIND(MID(R$1,10,5),TbTradesBinance[[#This Row],[Par]])=1, -(Q57-Q58)/Q57*R57,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Row],[Par]])),(-(Q57-Q58)/Q57*R57)+IF(TbTradesBinance[[#This Row],[Resultado]]&gt;0,0,TbTradesBinance[[#This Row],[Taxa]]),0),0))</f>
        <v>0</v>
      </c>
      <c r="S58" s="145">
        <f t="shared" si="2"/>
        <v>0</v>
      </c>
      <c r="T5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Row],[Tipo]]="DROP"),T57+TbTradesBinance[[#This Row],[Qtt]],T57-TbTradesBinance[[#This Row],[Qtt]]),IF(TbTradesBinance[[#This Row],[Tipo]]="BUY",T57-TbTradesBinance[[#This Row],[Qtt]]*TbTradesBinance[[#This Row],[Preço]],T57+TbTradesBinance[[#This Row],[Qtt]]*TbTradesBinance[[#This Row],[Preço]])),T57)-IF(TbTradesBinance[[#This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Row],[Tipo]]="DROP"),T57+TbTradesBinance[[#This Row],[Qtt]],T57-TbTradesBinance[[#This Row],[Qtt]]),IF(TbTradesBinance[[#This Row],[Tipo]]="BUY",T57-TbTradesBinance[[#This Row],[Qtt]]*TbTradesBinance[[#This Row],[Preço]],T57+TbTradesBinance[[#This Row],[Qtt]]*TbTradesBinance[[#This Row],[Preço]])),T57)-IF(TbTradesBinance[[#This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Row],[Tipo]]="DROP"),T57+TbTradesBinance[[#This Row],[Qtt]],T57-TbTradesBinance[[#This Row],[Qtt]]),IF(TbTradesBinance[[#This Row],[Tipo]]="BUY",T57-TbTradesBinance[[#This Row],[Qtt]]*TbTradesBinance[[#This Row],[Preço]],T57+TbTradesBinance[[#This Row],[Qtt]]*TbTradesBinance[[#This Row],[Preço]])),T57)-IF(TbTradesBinance[[#This Row],[Moeda da Taxa]]=MID(T$1,9,5),TbTradesBinance[[#This Row],[Taxa]],0),8)))</f>
        <v>199735.32000169999</v>
      </c>
      <c r="U58" s="145" cm="1">
        <f t="array" ref="U58">IF(TbTradesBinance[[#This Row],[Tipo]]="EMPTY",0,U57+IF(TbTradesBinance[[#This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Row],[Par]]))),$1:$1,0)),-(T57-T58)/T57*U57),0),0)+IF(TbTradesBinance[[#This Row],[Tipo]]="SELL",IF(ISNUMBER(FIND(MID(U$1,10,5),TbTradesBinance[[#This Row],[Par]])),IF(FIND(MID(U$1,10,5),TbTradesBinance[[#This Row],[Par]])=1, -(T57-T58)/T57*U57,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Row],[Par]])),(-(T57-T58)/T57*U57)+IF(TbTradesBinance[[#This Row],[Resultado]]&gt;0,0,TbTradesBinance[[#This Row],[Taxa]]),0),0))</f>
        <v>1328239.8809817513</v>
      </c>
      <c r="V58" s="145">
        <f t="shared" si="3"/>
        <v>6.6500000148719129</v>
      </c>
      <c r="W5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Row],[Tipo]]="DROP"),W57+TbTradesBinance[[#This Row],[Qtt]],W57-TbTradesBinance[[#This Row],[Qtt]]),IF(TbTradesBinance[[#This Row],[Tipo]]="BUY",W57-TbTradesBinance[[#This Row],[Qtt]]*TbTradesBinance[[#This Row],[Preço]],W57+TbTradesBinance[[#This Row],[Qtt]]*TbTradesBinance[[#This Row],[Preço]])),W57)-IF(TbTradesBinance[[#This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Row],[Tipo]]="DROP"),W57+TbTradesBinance[[#This Row],[Qtt]],W57-TbTradesBinance[[#This Row],[Qtt]]),IF(TbTradesBinance[[#This Row],[Tipo]]="BUY",W57-TbTradesBinance[[#This Row],[Qtt]]*TbTradesBinance[[#This Row],[Preço]],W57+TbTradesBinance[[#This Row],[Qtt]]*TbTradesBinance[[#This Row],[Preço]])),W57)-IF(TbTradesBinance[[#This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Row],[Tipo]]="DROP"),W57+TbTradesBinance[[#This Row],[Qtt]],W57-TbTradesBinance[[#This Row],[Qtt]]),IF(TbTradesBinance[[#This Row],[Tipo]]="BUY",W57-TbTradesBinance[[#This Row],[Qtt]]*TbTradesBinance[[#This Row],[Preço]],W57+TbTradesBinance[[#This Row],[Qtt]]*TbTradesBinance[[#This Row],[Preço]])),W57)-IF(TbTradesBinance[[#This Row],[Moeda da Taxa]]=MID(W$1,9,5),TbTradesBinance[[#This Row],[Taxa]],0),8)))</f>
        <v>7.8863999999999996E-4</v>
      </c>
      <c r="X58" s="145" cm="1">
        <f t="array" ref="X58">IF(TbTradesBinance[[#This Row],[Tipo]]="EMPTY",0,X57+IF(TbTradesBinance[[#This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Row],[Par]]))),$1:$1,0)),-(W57-W58)/W57*X57),0),0)+IF(TbTradesBinance[[#This Row],[Tipo]]="SELL",IF(ISNUMBER(FIND(MID(X$1,10,5),TbTradesBinance[[#This Row],[Par]])),IF(FIND(MID(X$1,10,5),TbTradesBinance[[#This Row],[Par]])=1, -(W57-W58)/W57*X57,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Row],[Par]])),(-(W57-W58)/W57*X57)+IF(TbTradesBinance[[#This Row],[Resultado]]&gt;0,0,TbTradesBinance[[#This Row],[Taxa]]),0),0))</f>
        <v>231.47858501363885</v>
      </c>
      <c r="Y58" s="145">
        <f t="shared" si="4"/>
        <v>293516.16074969422</v>
      </c>
      <c r="Z5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Row],[Tipo]]="DROP"),Z57+TbTradesBinance[[#This Row],[Qtt]],Z57-TbTradesBinance[[#This Row],[Qtt]]),IF(TbTradesBinance[[#This Row],[Tipo]]="BUY",Z57-TbTradesBinance[[#This Row],[Qtt]]*TbTradesBinance[[#This Row],[Preço]],Z57+TbTradesBinance[[#This Row],[Qtt]]*TbTradesBinance[[#This Row],[Preço]])),Z57)-IF(TbTradesBinance[[#This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Row],[Tipo]]="DROP"),Z57+TbTradesBinance[[#This Row],[Qtt]],Z57-TbTradesBinance[[#This Row],[Qtt]]),IF(TbTradesBinance[[#This Row],[Tipo]]="BUY",Z57-TbTradesBinance[[#This Row],[Qtt]]*TbTradesBinance[[#This Row],[Preço]],Z57+TbTradesBinance[[#This Row],[Qtt]]*TbTradesBinance[[#This Row],[Preço]])),Z57)-IF(TbTradesBinance[[#This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Row],[Tipo]]="DROP"),Z57+TbTradesBinance[[#This Row],[Qtt]],Z57-TbTradesBinance[[#This Row],[Qtt]]),IF(TbTradesBinance[[#This Row],[Tipo]]="BUY",Z57-TbTradesBinance[[#This Row],[Qtt]]*TbTradesBinance[[#This Row],[Preço]],Z57+TbTradesBinance[[#This Row],[Qtt]]*TbTradesBinance[[#This Row],[Preço]])),Z57)-IF(TbTradesBinance[[#This Row],[Moeda da Taxa]]=MID(Z$1,9,5),TbTradesBinance[[#This Row],[Taxa]],0),8)))</f>
        <v>0</v>
      </c>
      <c r="AA58" s="145" cm="1">
        <f t="array" ref="AA58">IF(TbTradesBinance[[#This Row],[Tipo]]="EMPTY",0,AA57+IF(TbTradesBinance[[#This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Row],[Par]]))),$1:$1,0)),-(Z57-Z58)/Z57*AA57),0),0)+IF(TbTradesBinance[[#This Row],[Tipo]]="SELL",IF(ISNUMBER(FIND(MID(AA$1,10,5),TbTradesBinance[[#This Row],[Par]])),IF(FIND(MID(AA$1,10,5),TbTradesBinance[[#This Row],[Par]])=1, -(Z57-Z58)/Z57*AA57,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Row],[Par]])),(-(Z57-Z58)/Z57*AA57)+IF(TbTradesBinance[[#This Row],[Resultado]]&gt;0,0,TbTradesBinance[[#This Row],[Taxa]]),0),0))</f>
        <v>0</v>
      </c>
      <c r="AB58" s="145">
        <f t="shared" si="5"/>
        <v>0</v>
      </c>
      <c r="AC5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Row],[Tipo]]="DROP"),AC57+TbTradesBinance[[#This Row],[Qtt]],AC57-TbTradesBinance[[#This Row],[Qtt]]),IF(TbTradesBinance[[#This Row],[Tipo]]="BUY",AC57-TbTradesBinance[[#This Row],[Qtt]]*TbTradesBinance[[#This Row],[Preço]],AC57+TbTradesBinance[[#This Row],[Qtt]]*TbTradesBinance[[#This Row],[Preço]])),AC57)-IF(TbTradesBinance[[#This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Row],[Tipo]]="DROP"),AC57+TbTradesBinance[[#This Row],[Qtt]],AC57-TbTradesBinance[[#This Row],[Qtt]]),IF(TbTradesBinance[[#This Row],[Tipo]]="BUY",AC57-TbTradesBinance[[#This Row],[Qtt]]*TbTradesBinance[[#This Row],[Preço]],AC57+TbTradesBinance[[#This Row],[Qtt]]*TbTradesBinance[[#This Row],[Preço]])),AC57)-IF(TbTradesBinance[[#This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Row],[Tipo]]="DROP"),AC57+TbTradesBinance[[#This Row],[Qtt]],AC57-TbTradesBinance[[#This Row],[Qtt]]),IF(TbTradesBinance[[#This Row],[Tipo]]="BUY",AC57-TbTradesBinance[[#This Row],[Qtt]]*TbTradesBinance[[#This Row],[Preço]],AC57+TbTradesBinance[[#This Row],[Qtt]]*TbTradesBinance[[#This Row],[Preço]])),AC57)-IF(TbTradesBinance[[#This Row],[Moeda da Taxa]]=MID(AC$1,9,5),TbTradesBinance[[#This Row],[Taxa]],0),8)))</f>
        <v>0</v>
      </c>
      <c r="AD58" s="145" cm="1">
        <f t="array" ref="AD58">IF(TbTradesBinance[[#This Row],[Tipo]]="EMPTY",0,AD57+IF(TbTradesBinance[[#This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Row],[Par]]))),$1:$1,0)),-(AC57-AC58)/AC57*AD57),0),0)+IF(TbTradesBinance[[#This Row],[Tipo]]="SELL",IF(ISNUMBER(FIND(MID(AD$1,10,5),TbTradesBinance[[#This Row],[Par]])),IF(FIND(MID(AD$1,10,5),TbTradesBinance[[#This Row],[Par]])=1, -(AC57-AC58)/AC57*AD57,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Row],[Par]])),(-(AC57-AC58)/AC57*AD57)+IF(TbTradesBinance[[#This Row],[Resultado]]&gt;0,0,TbTradesBinance[[#This Row],[Taxa]]),0),0))</f>
        <v>0</v>
      </c>
      <c r="AE58" s="145">
        <f t="shared" si="6"/>
        <v>0</v>
      </c>
      <c r="AF5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Row],[Tipo]]="DROP"),AF57+TbTradesBinance[[#This Row],[Qtt]],AF57-TbTradesBinance[[#This Row],[Qtt]]),IF(TbTradesBinance[[#This Row],[Tipo]]="BUY",AF57-TbTradesBinance[[#This Row],[Qtt]]*TbTradesBinance[[#This Row],[Preço]],AF57+TbTradesBinance[[#This Row],[Qtt]]*TbTradesBinance[[#This Row],[Preço]])),AF57)-IF(TbTradesBinance[[#This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Row],[Tipo]]="DROP"),AF57+TbTradesBinance[[#This Row],[Qtt]],AF57-TbTradesBinance[[#This Row],[Qtt]]),IF(TbTradesBinance[[#This Row],[Tipo]]="BUY",AF57-TbTradesBinance[[#This Row],[Qtt]]*TbTradesBinance[[#This Row],[Preço]],AF57+TbTradesBinance[[#This Row],[Qtt]]*TbTradesBinance[[#This Row],[Preço]])),AF57)-IF(TbTradesBinance[[#This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Row],[Tipo]]="DROP"),AF57+TbTradesBinance[[#This Row],[Qtt]],AF57-TbTradesBinance[[#This Row],[Qtt]]),IF(TbTradesBinance[[#This Row],[Tipo]]="BUY",AF57-TbTradesBinance[[#This Row],[Qtt]]*TbTradesBinance[[#This Row],[Preço]],AF57+TbTradesBinance[[#This Row],[Qtt]]*TbTradesBinance[[#This Row],[Preço]])),AF57)-IF(TbTradesBinance[[#This Row],[Moeda da Taxa]]=MID(AF$1,9,5),TbTradesBinance[[#This Row],[Taxa]],0),8)))</f>
        <v>0</v>
      </c>
      <c r="AG58" s="145" cm="1">
        <f t="array" ref="AG58">IF(TbTradesBinance[[#This Row],[Tipo]]="EMPTY",0,AG57+IF(TbTradesBinance[[#This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Row],[Par]]))),$1:$1,0)),-(AF57-AF58)/AF57*AG57),0),0)+IF(TbTradesBinance[[#This Row],[Tipo]]="SELL",IF(ISNUMBER(FIND(MID(AG$1,10,5),TbTradesBinance[[#This Row],[Par]])),IF(FIND(MID(AG$1,10,5),TbTradesBinance[[#This Row],[Par]])=1, -(AF57-AF58)/AF57*AG57,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Row],[Par]])),(-(AF57-AF58)/AF57*AG57)+IF(TbTradesBinance[[#This Row],[Resultado]]&gt;0,0,TbTradesBinance[[#This Row],[Taxa]]),0),0))</f>
        <v>0</v>
      </c>
      <c r="AH58" s="145">
        <f t="shared" si="7"/>
        <v>0</v>
      </c>
      <c r="AI5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Row],[Tipo]]="DROP"),AI57+TbTradesBinance[[#This Row],[Qtt]],AI57-TbTradesBinance[[#This Row],[Qtt]]),IF(TbTradesBinance[[#This Row],[Tipo]]="BUY",AI57-TbTradesBinance[[#This Row],[Qtt]]*TbTradesBinance[[#This Row],[Preço]],AI57+TbTradesBinance[[#This Row],[Qtt]]*TbTradesBinance[[#This Row],[Preço]])),AI57)-IF(TbTradesBinance[[#This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Row],[Tipo]]="DROP"),AI57+TbTradesBinance[[#This Row],[Qtt]],AI57-TbTradesBinance[[#This Row],[Qtt]]),IF(TbTradesBinance[[#This Row],[Tipo]]="BUY",AI57-TbTradesBinance[[#This Row],[Qtt]]*TbTradesBinance[[#This Row],[Preço]],AI57+TbTradesBinance[[#This Row],[Qtt]]*TbTradesBinance[[#This Row],[Preço]])),AI57)-IF(TbTradesBinance[[#This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Row],[Tipo]]="DROP"),AI57+TbTradesBinance[[#This Row],[Qtt]],AI57-TbTradesBinance[[#This Row],[Qtt]]),IF(TbTradesBinance[[#This Row],[Tipo]]="BUY",AI57-TbTradesBinance[[#This Row],[Qtt]]*TbTradesBinance[[#This Row],[Preço]],AI57+TbTradesBinance[[#This Row],[Qtt]]*TbTradesBinance[[#This Row],[Preço]])),AI57)-IF(TbTradesBinance[[#This Row],[Moeda da Taxa]]=MID(AI$1,9,5),TbTradesBinance[[#This Row],[Taxa]],0),8)))</f>
        <v>0</v>
      </c>
      <c r="AJ58" s="145" cm="1">
        <f t="array" ref="AJ58">IF(TbTradesBinance[[#This Row],[Tipo]]="EMPTY",0,AJ57+IF(TbTradesBinance[[#This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Row],[Par]]))),$1:$1,0)),-(AI57-AI58)/AI57*AJ57),0),0)+IF(TbTradesBinance[[#This Row],[Tipo]]="SELL",IF(ISNUMBER(FIND(MID(AJ$1,10,5),TbTradesBinance[[#This Row],[Par]])),IF(FIND(MID(AJ$1,10,5),TbTradesBinance[[#This Row],[Par]])=1, -(AI57-AI58)/AI57*AJ57,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Row],[Par]])),(-(AI57-AI58)/AI57*AJ57)+IF(TbTradesBinance[[#This Row],[Resultado]]&gt;0,0,TbTradesBinance[[#This Row],[Taxa]]),0),0))</f>
        <v>0</v>
      </c>
      <c r="AK58" s="145">
        <f t="shared" si="8"/>
        <v>0</v>
      </c>
      <c r="AL5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Row],[Tipo]]="DROP"),AL57+TbTradesBinance[[#This Row],[Qtt]],AL57-TbTradesBinance[[#This Row],[Qtt]]),IF(TbTradesBinance[[#This Row],[Tipo]]="BUY",AL57-TbTradesBinance[[#This Row],[Qtt]]*TbTradesBinance[[#This Row],[Preço]],AL57+TbTradesBinance[[#This Row],[Qtt]]*TbTradesBinance[[#This Row],[Preço]])),AL57)-IF(TbTradesBinance[[#This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Row],[Tipo]]="DROP"),AL57+TbTradesBinance[[#This Row],[Qtt]],AL57-TbTradesBinance[[#This Row],[Qtt]]),IF(TbTradesBinance[[#This Row],[Tipo]]="BUY",AL57-TbTradesBinance[[#This Row],[Qtt]]*TbTradesBinance[[#This Row],[Preço]],AL57+TbTradesBinance[[#This Row],[Qtt]]*TbTradesBinance[[#This Row],[Preço]])),AL57)-IF(TbTradesBinance[[#This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Row],[Tipo]]="DROP"),AL57+TbTradesBinance[[#This Row],[Qtt]],AL57-TbTradesBinance[[#This Row],[Qtt]]),IF(TbTradesBinance[[#This Row],[Tipo]]="BUY",AL57-TbTradesBinance[[#This Row],[Qtt]]*TbTradesBinance[[#This Row],[Preço]],AL57+TbTradesBinance[[#This Row],[Qtt]]*TbTradesBinance[[#This Row],[Preço]])),AL57)-IF(TbTradesBinance[[#This Row],[Moeda da Taxa]]=MID(AL$1,9,5),TbTradesBinance[[#This Row],[Taxa]],0),8)))</f>
        <v>0</v>
      </c>
      <c r="AM58" s="145" cm="1">
        <f t="array" ref="AM58">IF(TbTradesBinance[[#This Row],[Tipo]]="EMPTY",0,AM57+IF(TbTradesBinance[[#This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Row],[Par]]))),$1:$1,0)),-(AL57-AL58)/AL57*AM57),0),0)+IF(TbTradesBinance[[#This Row],[Tipo]]="SELL",IF(ISNUMBER(FIND(MID(AM$1,10,5),TbTradesBinance[[#This Row],[Par]])),IF(FIND(MID(AM$1,10,5),TbTradesBinance[[#This Row],[Par]])=1, -(AL57-AL58)/AL57*AM57,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Row],[Par]])),(-(AL57-AL58)/AL57*AM57)+IF(TbTradesBinance[[#This Row],[Resultado]]&gt;0,0,TbTradesBinance[[#This Row],[Taxa]]),0),0))</f>
        <v>0</v>
      </c>
      <c r="AN58" s="145">
        <f t="shared" si="9"/>
        <v>0</v>
      </c>
      <c r="AO5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Row],[Tipo]]="DROP"),AO57+TbTradesBinance[[#This Row],[Qtt]],AO57-TbTradesBinance[[#This Row],[Qtt]]),IF(TbTradesBinance[[#This Row],[Tipo]]="BUY",AO57-TbTradesBinance[[#This Row],[Qtt]]*TbTradesBinance[[#This Row],[Preço]],AO57+TbTradesBinance[[#This Row],[Qtt]]*TbTradesBinance[[#This Row],[Preço]])),AO57)-IF(TbTradesBinance[[#This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Row],[Tipo]]="DROP"),AO57+TbTradesBinance[[#This Row],[Qtt]],AO57-TbTradesBinance[[#This Row],[Qtt]]),IF(TbTradesBinance[[#This Row],[Tipo]]="BUY",AO57-TbTradesBinance[[#This Row],[Qtt]]*TbTradesBinance[[#This Row],[Preço]],AO57+TbTradesBinance[[#This Row],[Qtt]]*TbTradesBinance[[#This Row],[Preço]])),AO57)-IF(TbTradesBinance[[#This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Row],[Tipo]]="DROP"),AO57+TbTradesBinance[[#This Row],[Qtt]],AO57-TbTradesBinance[[#This Row],[Qtt]]),IF(TbTradesBinance[[#This Row],[Tipo]]="BUY",AO57-TbTradesBinance[[#This Row],[Qtt]]*TbTradesBinance[[#This Row],[Preço]],AO57+TbTradesBinance[[#This Row],[Qtt]]*TbTradesBinance[[#This Row],[Preço]])),AO57)-IF(TbTradesBinance[[#This Row],[Moeda da Taxa]]=MID(AO$1,9,5),TbTradesBinance[[#This Row],[Taxa]],0),8)))</f>
        <v>1.2747399999999999E-3</v>
      </c>
      <c r="AP58" s="145" cm="1">
        <f t="array" ref="AP58">IF(TbTradesBinance[[#This Row],[Tipo]]="EMPTY",0,AP57+IF(TbTradesBinance[[#This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Row],[Par]]))),$1:$1,0)),-(AO57-AO58)/AO57*AP57),0),0)+IF(TbTradesBinance[[#This Row],[Tipo]]="SELL",IF(ISNUMBER(FIND(MID(AP$1,10,5),TbTradesBinance[[#This Row],[Par]])),IF(FIND(MID(AP$1,10,5),TbTradesBinance[[#This Row],[Par]])=1, -(AO57-AO58)/AO57*AP57,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Row],[Par]])),(-(AO57-AO58)/AO57*AP57)+IF(TbTradesBinance[[#This Row],[Resultado]]&gt;0,0,TbTradesBinance[[#This Row],[Taxa]]),0),0))</f>
        <v>1.7416212429180353</v>
      </c>
      <c r="AQ58" s="145">
        <f t="shared" si="10"/>
        <v>1366.2560545036913</v>
      </c>
      <c r="AR5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Row],[Tipo]]="DROP"),AR57+TbTradesBinance[[#This Row],[Qtt]],AR57-TbTradesBinance[[#This Row],[Qtt]]),IF(TbTradesBinance[[#This Row],[Tipo]]="BUY",AR57-TbTradesBinance[[#This Row],[Qtt]]*TbTradesBinance[[#This Row],[Preço]],AR57+TbTradesBinance[[#This Row],[Qtt]]*TbTradesBinance[[#This Row],[Preço]])),AR57)-IF(TbTradesBinance[[#This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Row],[Tipo]]="DROP"),AR57+TbTradesBinance[[#This Row],[Qtt]],AR57-TbTradesBinance[[#This Row],[Qtt]]),IF(TbTradesBinance[[#This Row],[Tipo]]="BUY",AR57-TbTradesBinance[[#This Row],[Qtt]]*TbTradesBinance[[#This Row],[Preço]],AR57+TbTradesBinance[[#This Row],[Qtt]]*TbTradesBinance[[#This Row],[Preço]])),AR57)-IF(TbTradesBinance[[#This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Row],[Tipo]]="DROP"),AR57+TbTradesBinance[[#This Row],[Qtt]],AR57-TbTradesBinance[[#This Row],[Qtt]]),IF(TbTradesBinance[[#This Row],[Tipo]]="BUY",AR57-TbTradesBinance[[#This Row],[Qtt]]*TbTradesBinance[[#This Row],[Preço]],AR57+TbTradesBinance[[#This Row],[Qtt]]*TbTradesBinance[[#This Row],[Preço]])),AR57)-IF(TbTradesBinance[[#This Row],[Moeda da Taxa]]=MID(AR$1,9,5),TbTradesBinance[[#This Row],[Taxa]],0),8)))</f>
        <v>0</v>
      </c>
      <c r="AS58" s="145" cm="1">
        <f t="array" ref="AS58">IF(TbTradesBinance[[#This Row],[Tipo]]="EMPTY",0,AS57+IF(TbTradesBinance[[#This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Row],[Par]]))),$1:$1,0)),-(AR57-AR58)/AR57*AS57),0),0)+IF(TbTradesBinance[[#This Row],[Tipo]]="SELL",IF(ISNUMBER(FIND(MID(AS$1,10,5),TbTradesBinance[[#This Row],[Par]])),IF(FIND(MID(AS$1,10,5),TbTradesBinance[[#This Row],[Par]])=1, -(AR57-AR58)/AR57*AS57,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Row],[Par]])),(-(AR57-AR58)/AR57*AS57)+IF(TbTradesBinance[[#This Row],[Resultado]]&gt;0,0,TbTradesBinance[[#This Row],[Taxa]]),0),0))</f>
        <v>0</v>
      </c>
      <c r="AT58" s="145">
        <f t="shared" si="11"/>
        <v>0</v>
      </c>
      <c r="AU5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Row],[Tipo]]="DROP"),AU57+TbTradesBinance[[#This Row],[Qtt]],AU57-TbTradesBinance[[#This Row],[Qtt]]),IF(TbTradesBinance[[#This Row],[Tipo]]="BUY",AU57-TbTradesBinance[[#This Row],[Qtt]]*TbTradesBinance[[#This Row],[Preço]],AU57+TbTradesBinance[[#This Row],[Qtt]]*TbTradesBinance[[#This Row],[Preço]])),AU57)-IF(TbTradesBinance[[#This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Row],[Tipo]]="DROP"),AU57+TbTradesBinance[[#This Row],[Qtt]],AU57-TbTradesBinance[[#This Row],[Qtt]]),IF(TbTradesBinance[[#This Row],[Tipo]]="BUY",AU57-TbTradesBinance[[#This Row],[Qtt]]*TbTradesBinance[[#This Row],[Preço]],AU57+TbTradesBinance[[#This Row],[Qtt]]*TbTradesBinance[[#This Row],[Preço]])),AU57)-IF(TbTradesBinance[[#This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Row],[Tipo]]="DROP"),AU57+TbTradesBinance[[#This Row],[Qtt]],AU57-TbTradesBinance[[#This Row],[Qtt]]),IF(TbTradesBinance[[#This Row],[Tipo]]="BUY",AU57-TbTradesBinance[[#This Row],[Qtt]]*TbTradesBinance[[#This Row],[Preço]],AU57+TbTradesBinance[[#This Row],[Qtt]]*TbTradesBinance[[#This Row],[Preço]])),AU57)-IF(TbTradesBinance[[#This Row],[Moeda da Taxa]]=MID(AU$1,9,5),TbTradesBinance[[#This Row],[Taxa]],0),8)))</f>
        <v>9.9900000000000003E-2</v>
      </c>
      <c r="AV58" s="145" cm="1">
        <f t="array" ref="AV58">IF(TbTradesBinance[[#This Row],[Tipo]]="EMPTY",0,AV57+IF(TbTradesBinance[[#This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Row],[Par]]))),$1:$1,0)),-(AU57-AU58)/AU57*AV57),0),0)+IF(TbTradesBinance[[#This Row],[Tipo]]="SELL",IF(ISNUMBER(FIND(MID(AV$1,10,5),TbTradesBinance[[#This Row],[Par]])),IF(FIND(MID(AV$1,10,5),TbTradesBinance[[#This Row],[Par]])=1, -(AU57-AU58)/AU57*AV57,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Row],[Par]])),(-(AU57-AU58)/AU57*AV57)+IF(TbTradesBinance[[#This Row],[Resultado]]&gt;0,0,TbTradesBinance[[#This Row],[Taxa]]),0),0))</f>
        <v>18.673922987511034</v>
      </c>
      <c r="AW58" s="145">
        <f t="shared" si="12"/>
        <v>186.92615603114149</v>
      </c>
      <c r="AX5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Row],[Tipo]]="DROP"),AX57+TbTradesBinance[[#This Row],[Qtt]],AX57-TbTradesBinance[[#This Row],[Qtt]]),IF(TbTradesBinance[[#This Row],[Tipo]]="BUY",AX57-TbTradesBinance[[#This Row],[Qtt]]*TbTradesBinance[[#This Row],[Preço]],AX57+TbTradesBinance[[#This Row],[Qtt]]*TbTradesBinance[[#This Row],[Preço]])),AX57)-IF(TbTradesBinance[[#This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Row],[Tipo]]="DROP"),AX57+TbTradesBinance[[#This Row],[Qtt]],AX57-TbTradesBinance[[#This Row],[Qtt]]),IF(TbTradesBinance[[#This Row],[Tipo]]="BUY",AX57-TbTradesBinance[[#This Row],[Qtt]]*TbTradesBinance[[#This Row],[Preço]],AX57+TbTradesBinance[[#This Row],[Qtt]]*TbTradesBinance[[#This Row],[Preço]])),AX57)-IF(TbTradesBinance[[#This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Row],[Tipo]]="DROP"),AX57+TbTradesBinance[[#This Row],[Qtt]],AX57-TbTradesBinance[[#This Row],[Qtt]]),IF(TbTradesBinance[[#This Row],[Tipo]]="BUY",AX57-TbTradesBinance[[#This Row],[Qtt]]*TbTradesBinance[[#This Row],[Preço]],AX57+TbTradesBinance[[#This Row],[Qtt]]*TbTradesBinance[[#This Row],[Preço]])),AX57)-IF(TbTradesBinance[[#This Row],[Moeda da Taxa]]=MID(AX$1,9,5),TbTradesBinance[[#This Row],[Taxa]],0),8)))</f>
        <v>0</v>
      </c>
      <c r="AY58" s="145" cm="1">
        <f t="array" ref="AY58">IF(TbTradesBinance[[#This Row],[Tipo]]="EMPTY",0,AY57+IF(TbTradesBinance[[#This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Row],[Par]]))),$1:$1,0)),-(AX57-AX58)/AX57*AY57),0),0)+IF(TbTradesBinance[[#This Row],[Tipo]]="SELL",IF(ISNUMBER(FIND(MID(AY$1,10,5),TbTradesBinance[[#This Row],[Par]])),IF(FIND(MID(AY$1,10,5),TbTradesBinance[[#This Row],[Par]])=1, -(AX57-AX58)/AX57*AY57,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Row],[Par]])),(-(AX57-AX58)/AX57*AY57)+IF(TbTradesBinance[[#This Row],[Resultado]]&gt;0,0,TbTradesBinance[[#This Row],[Taxa]]),0),0))</f>
        <v>0</v>
      </c>
      <c r="AZ58" s="145">
        <f t="shared" si="13"/>
        <v>0</v>
      </c>
      <c r="BA5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Row],[Tipo]]="DROP"),BA57+TbTradesBinance[[#This Row],[Qtt]],BA57-TbTradesBinance[[#This Row],[Qtt]]),IF(TbTradesBinance[[#This Row],[Tipo]]="BUY",BA57-TbTradesBinance[[#This Row],[Qtt]]*TbTradesBinance[[#This Row],[Preço]],BA57+TbTradesBinance[[#This Row],[Qtt]]*TbTradesBinance[[#This Row],[Preço]])),BA57)-IF(TbTradesBinance[[#This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Row],[Tipo]]="DROP"),BA57+TbTradesBinance[[#This Row],[Qtt]],BA57-TbTradesBinance[[#This Row],[Qtt]]),IF(TbTradesBinance[[#This Row],[Tipo]]="BUY",BA57-TbTradesBinance[[#This Row],[Qtt]]*TbTradesBinance[[#This Row],[Preço]],BA57+TbTradesBinance[[#This Row],[Qtt]]*TbTradesBinance[[#This Row],[Preço]])),BA57)-IF(TbTradesBinance[[#This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Row],[Tipo]]="DROP"),BA57+TbTradesBinance[[#This Row],[Qtt]],BA57-TbTradesBinance[[#This Row],[Qtt]]),IF(TbTradesBinance[[#This Row],[Tipo]]="BUY",BA57-TbTradesBinance[[#This Row],[Qtt]]*TbTradesBinance[[#This Row],[Preço]],BA57+TbTradesBinance[[#This Row],[Qtt]]*TbTradesBinance[[#This Row],[Preço]])),BA57)-IF(TbTradesBinance[[#This Row],[Moeda da Taxa]]=MID(BA$1,9,5),TbTradesBinance[[#This Row],[Taxa]],0),8)))</f>
        <v>0</v>
      </c>
      <c r="BB58" s="145" cm="1">
        <f t="array" ref="BB58">IF(TbTradesBinance[[#This Row],[Tipo]]="EMPTY",0,BB57+IF(TbTradesBinance[[#This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Row],[Par]]))),$1:$1,0)),-(BA57-BA58)/BA57*BB57),0),0)+IF(TbTradesBinance[[#This Row],[Tipo]]="SELL",IF(ISNUMBER(FIND(MID(BB$1,10,5),TbTradesBinance[[#This Row],[Par]])),IF(FIND(MID(BB$1,10,5),TbTradesBinance[[#This Row],[Par]])=1, -(BA57-BA58)/BA57*BB57,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Row],[Par]])),(-(BA57-BA58)/BA57*BB57)+IF(TbTradesBinance[[#This Row],[Resultado]]&gt;0,0,TbTradesBinance[[#This Row],[Taxa]]),0),0))</f>
        <v>0</v>
      </c>
      <c r="BC58" s="145">
        <f t="shared" si="14"/>
        <v>0</v>
      </c>
      <c r="BD5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Row],[Tipo]]="DROP"),BD57+TbTradesBinance[[#This Row],[Qtt]],BD57-TbTradesBinance[[#This Row],[Qtt]]),IF(TbTradesBinance[[#This Row],[Tipo]]="BUY",BD57-TbTradesBinance[[#This Row],[Qtt]]*TbTradesBinance[[#This Row],[Preço]],BD57+TbTradesBinance[[#This Row],[Qtt]]*TbTradesBinance[[#This Row],[Preço]])),BD57)-IF(TbTradesBinance[[#This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Row],[Tipo]]="DROP"),BD57+TbTradesBinance[[#This Row],[Qtt]],BD57-TbTradesBinance[[#This Row],[Qtt]]),IF(TbTradesBinance[[#This Row],[Tipo]]="BUY",BD57-TbTradesBinance[[#This Row],[Qtt]]*TbTradesBinance[[#This Row],[Preço]],BD57+TbTradesBinance[[#This Row],[Qtt]]*TbTradesBinance[[#This Row],[Preço]])),BD57)-IF(TbTradesBinance[[#This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Row],[Tipo]]="DROP"),BD57+TbTradesBinance[[#This Row],[Qtt]],BD57-TbTradesBinance[[#This Row],[Qtt]]),IF(TbTradesBinance[[#This Row],[Tipo]]="BUY",BD57-TbTradesBinance[[#This Row],[Qtt]]*TbTradesBinance[[#This Row],[Preço]],BD57+TbTradesBinance[[#This Row],[Qtt]]*TbTradesBinance[[#This Row],[Preço]])),BD57)-IF(TbTradesBinance[[#This Row],[Moeda da Taxa]]=MID(BD$1,9,5),TbTradesBinance[[#This Row],[Taxa]],0),8)))</f>
        <v>0.37962000000000001</v>
      </c>
      <c r="BE58" s="145" cm="1">
        <f t="array" ref="BE58">IF(TbTradesBinance[[#This Row],[Tipo]]="EMPTY",0,BE57+IF(TbTradesBinance[[#This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Row],[Par]]))),$1:$1,0)),-(BD57-BD58)/BD57*BE57),0),0)+IF(TbTradesBinance[[#This Row],[Tipo]]="SELL",IF(ISNUMBER(FIND(MID(BE$1,10,5),TbTradesBinance[[#This Row],[Par]])),IF(FIND(MID(BE$1,10,5),TbTradesBinance[[#This Row],[Par]])=1, -(BD57-BD58)/BD57*BE57,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Row],[Par]])),(-(BD57-BD58)/BD57*BE57)+IF(TbTradesBinance[[#This Row],[Resultado]]&gt;0,0,TbTradesBinance[[#This Row],[Taxa]]),0),0))</f>
        <v>63.647297001537943</v>
      </c>
      <c r="BF58" s="145">
        <f t="shared" si="15"/>
        <v>167.66054739354601</v>
      </c>
      <c r="BG5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Row],[Tipo]]="DROP"),BG57+TbTradesBinance[[#This Row],[Qtt]],BG57-TbTradesBinance[[#This Row],[Qtt]]),IF(TbTradesBinance[[#This Row],[Tipo]]="BUY",BG57-TbTradesBinance[[#This Row],[Qtt]]*TbTradesBinance[[#This Row],[Preço]],BG57+TbTradesBinance[[#This Row],[Qtt]]*TbTradesBinance[[#This Row],[Preço]])),BG57)-IF(TbTradesBinance[[#This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Row],[Tipo]]="DROP"),BG57+TbTradesBinance[[#This Row],[Qtt]],BG57-TbTradesBinance[[#This Row],[Qtt]]),IF(TbTradesBinance[[#This Row],[Tipo]]="BUY",BG57-TbTradesBinance[[#This Row],[Qtt]]*TbTradesBinance[[#This Row],[Preço]],BG57+TbTradesBinance[[#This Row],[Qtt]]*TbTradesBinance[[#This Row],[Preço]])),BG57)-IF(TbTradesBinance[[#This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Row],[Tipo]]="DROP"),BG57+TbTradesBinance[[#This Row],[Qtt]],BG57-TbTradesBinance[[#This Row],[Qtt]]),IF(TbTradesBinance[[#This Row],[Tipo]]="BUY",BG57-TbTradesBinance[[#This Row],[Qtt]]*TbTradesBinance[[#This Row],[Preço]],BG57+TbTradesBinance[[#This Row],[Qtt]]*TbTradesBinance[[#This Row],[Preço]])),BG57)-IF(TbTradesBinance[[#This Row],[Moeda da Taxa]]=MID(BG$1,9,5),TbTradesBinance[[#This Row],[Taxa]],0),8)))</f>
        <v>0</v>
      </c>
      <c r="BH58" s="145" cm="1">
        <f t="array" ref="BH58">IF(TbTradesBinance[[#This Row],[Tipo]]="EMPTY",0,BH57+IF(TbTradesBinance[[#This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Row],[Par]]))),$1:$1,0)),-(BG57-BG58)/BG57*BH57),0),0)+IF(TbTradesBinance[[#This Row],[Tipo]]="SELL",IF(ISNUMBER(FIND(MID(BH$1,10,5),TbTradesBinance[[#This Row],[Par]])),IF(FIND(MID(BH$1,10,5),TbTradesBinance[[#This Row],[Par]])=1, -(BG57-BG58)/BG57*BH57,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Row],[Par]])),(-(BG57-BG58)/BG57*BH57)+IF(TbTradesBinance[[#This Row],[Resultado]]&gt;0,0,TbTradesBinance[[#This Row],[Taxa]]),0),0))</f>
        <v>0</v>
      </c>
      <c r="BI58" s="145">
        <f t="shared" si="16"/>
        <v>0</v>
      </c>
      <c r="BJ5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Row],[Tipo]]="DROP"),BJ57+TbTradesBinance[[#This Row],[Qtt]],BJ57-TbTradesBinance[[#This Row],[Qtt]]),IF(TbTradesBinance[[#This Row],[Tipo]]="BUY",BJ57-TbTradesBinance[[#This Row],[Qtt]]*TbTradesBinance[[#This Row],[Preço]],BJ57+TbTradesBinance[[#This Row],[Qtt]]*TbTradesBinance[[#This Row],[Preço]])),BJ57)-IF(TbTradesBinance[[#This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Row],[Tipo]]="DROP"),BJ57+TbTradesBinance[[#This Row],[Qtt]],BJ57-TbTradesBinance[[#This Row],[Qtt]]),IF(TbTradesBinance[[#This Row],[Tipo]]="BUY",BJ57-TbTradesBinance[[#This Row],[Qtt]]*TbTradesBinance[[#This Row],[Preço]],BJ57+TbTradesBinance[[#This Row],[Qtt]]*TbTradesBinance[[#This Row],[Preço]])),BJ57)-IF(TbTradesBinance[[#This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Row],[Tipo]]="DROP"),BJ57+TbTradesBinance[[#This Row],[Qtt]],BJ57-TbTradesBinance[[#This Row],[Qtt]]),IF(TbTradesBinance[[#This Row],[Tipo]]="BUY",BJ57-TbTradesBinance[[#This Row],[Qtt]]*TbTradesBinance[[#This Row],[Preço]],BJ57+TbTradesBinance[[#This Row],[Qtt]]*TbTradesBinance[[#This Row],[Preço]])),BJ57)-IF(TbTradesBinance[[#This Row],[Moeda da Taxa]]=MID(BJ$1,9,5),TbTradesBinance[[#This Row],[Taxa]],0),8)))</f>
        <v>0</v>
      </c>
      <c r="BK58" s="145" cm="1">
        <f t="array" ref="BK58">IF(TbTradesBinance[[#This Row],[Tipo]]="EMPTY",0,BK57+IF(TbTradesBinance[[#This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Row],[Par]]))),$1:$1,0)),-(BJ57-BJ58)/BJ57*BK57),0),0)+IF(TbTradesBinance[[#This Row],[Tipo]]="SELL",IF(ISNUMBER(FIND(MID(BK$1,10,5),TbTradesBinance[[#This Row],[Par]])),IF(FIND(MID(BK$1,10,5),TbTradesBinance[[#This Row],[Par]])=1, -(BJ57-BJ58)/BJ57*BK57,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Row],[Par]])),(-(BJ57-BJ58)/BJ57*BK57)+IF(TbTradesBinance[[#This Row],[Resultado]]&gt;0,0,TbTradesBinance[[#This Row],[Taxa]]),0),0))</f>
        <v>0</v>
      </c>
      <c r="BL58" s="145">
        <f t="shared" si="17"/>
        <v>0</v>
      </c>
      <c r="BM5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Row],[Tipo]]="DROP"),BM57+TbTradesBinance[[#This Row],[Qtt]],BM57-TbTradesBinance[[#This Row],[Qtt]]),IF(TbTradesBinance[[#This Row],[Tipo]]="BUY",BM57-TbTradesBinance[[#This Row],[Qtt]]*TbTradesBinance[[#This Row],[Preço]],BM57+TbTradesBinance[[#This Row],[Qtt]]*TbTradesBinance[[#This Row],[Preço]])),BM57)-IF(TbTradesBinance[[#This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Row],[Tipo]]="DROP"),BM57+TbTradesBinance[[#This Row],[Qtt]],BM57-TbTradesBinance[[#This Row],[Qtt]]),IF(TbTradesBinance[[#This Row],[Tipo]]="BUY",BM57-TbTradesBinance[[#This Row],[Qtt]]*TbTradesBinance[[#This Row],[Preço]],BM57+TbTradesBinance[[#This Row],[Qtt]]*TbTradesBinance[[#This Row],[Preço]])),BM57)-IF(TbTradesBinance[[#This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Row],[Tipo]]="DROP"),BM57+TbTradesBinance[[#This Row],[Qtt]],BM57-TbTradesBinance[[#This Row],[Qtt]]),IF(TbTradesBinance[[#This Row],[Tipo]]="BUY",BM57-TbTradesBinance[[#This Row],[Qtt]]*TbTradesBinance[[#This Row],[Preço]],BM57+TbTradesBinance[[#This Row],[Qtt]]*TbTradesBinance[[#This Row],[Preço]])),BM57)-IF(TbTradesBinance[[#This Row],[Moeda da Taxa]]=MID(BM$1,9,5),TbTradesBinance[[#This Row],[Taxa]],0),8)))</f>
        <v>0</v>
      </c>
      <c r="BN58" s="145" cm="1">
        <f t="array" ref="BN58">IF(TbTradesBinance[[#This Row],[Tipo]]="EMPTY",0,BN57+IF(TbTradesBinance[[#This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Row],[Par]]))),$1:$1,0)),-(BM57-BM58)/BM57*BN57),0),0)+IF(TbTradesBinance[[#This Row],[Tipo]]="SELL",IF(ISNUMBER(FIND(MID(BN$1,10,5),TbTradesBinance[[#This Row],[Par]])),IF(FIND(MID(BN$1,10,5),TbTradesBinance[[#This Row],[Par]])=1, -(BM57-BM58)/BM57*BN57,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Row],[Par]])),(-(BM57-BM58)/BM57*BN57)+IF(TbTradesBinance[[#This Row],[Resultado]]&gt;0,0,TbTradesBinance[[#This Row],[Taxa]]),0),0))</f>
        <v>0</v>
      </c>
      <c r="BO58" s="145">
        <f t="shared" si="18"/>
        <v>0</v>
      </c>
    </row>
    <row r="59" spans="2:67" x14ac:dyDescent="0.3">
      <c r="B59" s="51"/>
      <c r="C59" s="40">
        <f>TRUNC(IF(AND(TbTradesBinance[[#This Row],[Tipo]]="SEND",TbTradesBinance[[#This Row],[Par]]="BRL"),TbTradesBinance[[#This Row],[Qtt]]*(1-P57)-IF(TbTradesBinance[[#This Row],[Moeda da Taxa]]="BRL",TbTradesBinance[[#This Row],[Taxa]],0),0)+IF(AND(TbTradesBinance[[#This Row],[Tipo]]="BURN",TbTradesBinance[[#This Row],[Par]]="BRL"),-TbTradesBinance[[#This Row],[Qtt]]*P57,0),2)</f>
        <v>0</v>
      </c>
      <c r="D59" s="53">
        <v>44264.377152777779</v>
      </c>
      <c r="E59" s="37" t="s">
        <v>138</v>
      </c>
      <c r="F59" s="47" t="s">
        <v>139</v>
      </c>
      <c r="G59" s="38">
        <v>313816</v>
      </c>
      <c r="H59" s="38">
        <v>1.95E-4</v>
      </c>
      <c r="I59" s="38">
        <v>3.027E-5</v>
      </c>
      <c r="J59" s="37" t="s">
        <v>45</v>
      </c>
      <c r="K59" s="52">
        <v>1</v>
      </c>
      <c r="L59" s="40">
        <f t="shared" si="0"/>
        <v>313816</v>
      </c>
      <c r="M59" s="40">
        <f>IF(OR(TbTradesBinance[[#This Row],[Tipo]]="BUY",TbTradesBinance[[#This Row],[Tipo]]="RECEIVE",TbTradesBinance[[#This Row],[Tipo]]="DROP"),L59*H59,-L59*H59)</f>
        <v>61.194119999999998</v>
      </c>
      <c r="N5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Row],[Tipo]]="DROP"),N58+TbTradesBinance[[#This Row],[Qtt]],N58-TbTradesBinance[[#This Row],[Qtt]]),IF(TbTradesBinance[[#This Row],[Tipo]]="BUY",N58-TbTradesBinance[[#This Row],[Qtt]]*TbTradesBinance[[#This Row],[Preço]],N58+TbTradesBinance[[#This Row],[Qtt]]*TbTradesBinance[[#This Row],[Preço]])),N58)-IF(TbTradesBinance[[#This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Row],[Tipo]]="DROP"),N58+TbTradesBinance[[#This Row],[Qtt]],N58-TbTradesBinance[[#This Row],[Qtt]]),IF(TbTradesBinance[[#This Row],[Tipo]]="BUY",N58-TbTradesBinance[[#This Row],[Qtt]]*TbTradesBinance[[#This Row],[Preço]],N58+TbTradesBinance[[#This Row],[Qtt]]*TbTradesBinance[[#This Row],[Preço]])),N58)-IF(TbTradesBinance[[#This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Row],[Tipo]]="DROP"),N58+TbTradesBinance[[#This Row],[Qtt]],N58-TbTradesBinance[[#This Row],[Qtt]]),IF(TbTradesBinance[[#This Row],[Tipo]]="BUY",N58-TbTradesBinance[[#This Row],[Qtt]]*TbTradesBinance[[#This Row],[Preço]],N58+TbTradesBinance[[#This Row],[Qtt]]*TbTradesBinance[[#This Row],[Preço]])),N58)-IF(TbTradesBinance[[#This Row],[Moeda da Taxa]]=MID(N$1,9,5),TbTradesBinance[[#This Row],[Taxa]],0),8)))</f>
        <v>119888.55141289</v>
      </c>
      <c r="O59" s="145" cm="1">
        <f t="array" ref="O59">IF(TbTradesBinance[[#This Row],[Tipo]]="EMPTY",0,O58+IF(TbTradesBinance[[#This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Row],[Par]]))),$1:$1,0)),-(N58-N59)/N58*O58),0),0)+IF(TbTradesBinance[[#This Row],[Tipo]]="SELL",IF(ISNUMBER(FIND(MID(O$1,10,5),TbTradesBinance[[#This Row],[Par]])),IF(FIND(MID(O$1,10,5),TbTradesBinance[[#This Row],[Par]])=1, -(N58-N59)/N58*O58,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Row],[Par]])),(-(N58-N59)/N58*O58)+IF(TbTradesBinance[[#This Row],[Resultado]]&gt;0,0,TbTradesBinance[[#This Row],[Taxa]]),0),0))</f>
        <v>119791.10784271888</v>
      </c>
      <c r="P59" s="145">
        <f t="shared" si="1"/>
        <v>0.99918721538443211</v>
      </c>
      <c r="Q5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Row],[Tipo]]="DROP"),Q58+TbTradesBinance[[#This Row],[Qtt]],Q58-TbTradesBinance[[#This Row],[Qtt]]),IF(TbTradesBinance[[#This Row],[Tipo]]="BUY",Q58-TbTradesBinance[[#This Row],[Qtt]]*TbTradesBinance[[#This Row],[Preço]],Q58+TbTradesBinance[[#This Row],[Qtt]]*TbTradesBinance[[#This Row],[Preço]])),Q58)-IF(TbTradesBinance[[#This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Row],[Tipo]]="DROP"),Q58+TbTradesBinance[[#This Row],[Qtt]],Q58-TbTradesBinance[[#This Row],[Qtt]]),IF(TbTradesBinance[[#This Row],[Tipo]]="BUY",Q58-TbTradesBinance[[#This Row],[Qtt]]*TbTradesBinance[[#This Row],[Preço]],Q58+TbTradesBinance[[#This Row],[Qtt]]*TbTradesBinance[[#This Row],[Preço]])),Q58)-IF(TbTradesBinance[[#This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Row],[Tipo]]="DROP"),Q58+TbTradesBinance[[#This Row],[Qtt]],Q58-TbTradesBinance[[#This Row],[Qtt]]),IF(TbTradesBinance[[#This Row],[Tipo]]="BUY",Q58-TbTradesBinance[[#This Row],[Qtt]]*TbTradesBinance[[#This Row],[Preço]],Q58+TbTradesBinance[[#This Row],[Qtt]]*TbTradesBinance[[#This Row],[Preço]])),Q58)-IF(TbTradesBinance[[#This Row],[Moeda da Taxa]]=MID(Q$1,9,5),TbTradesBinance[[#This Row],[Taxa]],0),8)))</f>
        <v>0</v>
      </c>
      <c r="R59" s="145" cm="1">
        <f t="array" ref="R59">IF(TbTradesBinance[[#This Row],[Tipo]]="EMPTY",0,R58+IF(TbTradesBinance[[#This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Row],[Par]]))),$1:$1,0)),-(Q58-Q59)/Q58*R58),0),0)+IF(TbTradesBinance[[#This Row],[Tipo]]="SELL",IF(ISNUMBER(FIND(MID(R$1,10,5),TbTradesBinance[[#This Row],[Par]])),IF(FIND(MID(R$1,10,5),TbTradesBinance[[#This Row],[Par]])=1, -(Q58-Q59)/Q58*R58,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Row],[Par]])),(-(Q58-Q59)/Q58*R58)+IF(TbTradesBinance[[#This Row],[Resultado]]&gt;0,0,TbTradesBinance[[#This Row],[Taxa]]),0),0))</f>
        <v>0</v>
      </c>
      <c r="S59" s="145">
        <f t="shared" si="2"/>
        <v>0</v>
      </c>
      <c r="T5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Row],[Tipo]]="DROP"),T58+TbTradesBinance[[#This Row],[Qtt]],T58-TbTradesBinance[[#This Row],[Qtt]]),IF(TbTradesBinance[[#This Row],[Tipo]]="BUY",T58-TbTradesBinance[[#This Row],[Qtt]]*TbTradesBinance[[#This Row],[Preço]],T58+TbTradesBinance[[#This Row],[Qtt]]*TbTradesBinance[[#This Row],[Preço]])),T58)-IF(TbTradesBinance[[#This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Row],[Tipo]]="DROP"),T58+TbTradesBinance[[#This Row],[Qtt]],T58-TbTradesBinance[[#This Row],[Qtt]]),IF(TbTradesBinance[[#This Row],[Tipo]]="BUY",T58-TbTradesBinance[[#This Row],[Qtt]]*TbTradesBinance[[#This Row],[Preço]],T58+TbTradesBinance[[#This Row],[Qtt]]*TbTradesBinance[[#This Row],[Preço]])),T58)-IF(TbTradesBinance[[#This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Row],[Tipo]]="DROP"),T58+TbTradesBinance[[#This Row],[Qtt]],T58-TbTradesBinance[[#This Row],[Qtt]]),IF(TbTradesBinance[[#This Row],[Tipo]]="BUY",T58-TbTradesBinance[[#This Row],[Qtt]]*TbTradesBinance[[#This Row],[Preço]],T58+TbTradesBinance[[#This Row],[Qtt]]*TbTradesBinance[[#This Row],[Preço]])),T58)-IF(TbTradesBinance[[#This Row],[Moeda da Taxa]]=MID(T$1,9,5),TbTradesBinance[[#This Row],[Taxa]],0),8)))</f>
        <v>199735.32000169999</v>
      </c>
      <c r="U59" s="145" cm="1">
        <f t="array" ref="U59">IF(TbTradesBinance[[#This Row],[Tipo]]="EMPTY",0,U58+IF(TbTradesBinance[[#This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Row],[Par]]))),$1:$1,0)),-(T58-T59)/T58*U58),0),0)+IF(TbTradesBinance[[#This Row],[Tipo]]="SELL",IF(ISNUMBER(FIND(MID(U$1,10,5),TbTradesBinance[[#This Row],[Par]])),IF(FIND(MID(U$1,10,5),TbTradesBinance[[#This Row],[Par]])=1, -(T58-T59)/T58*U58,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Row],[Par]])),(-(T58-T59)/T58*U58)+IF(TbTradesBinance[[#This Row],[Resultado]]&gt;0,0,TbTradesBinance[[#This Row],[Taxa]]),0),0))</f>
        <v>1328239.8809817513</v>
      </c>
      <c r="V59" s="145">
        <f t="shared" si="3"/>
        <v>6.6500000148719129</v>
      </c>
      <c r="W5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Row],[Tipo]]="DROP"),W58+TbTradesBinance[[#This Row],[Qtt]],W58-TbTradesBinance[[#This Row],[Qtt]]),IF(TbTradesBinance[[#This Row],[Tipo]]="BUY",W58-TbTradesBinance[[#This Row],[Qtt]]*TbTradesBinance[[#This Row],[Preço]],W58+TbTradesBinance[[#This Row],[Qtt]]*TbTradesBinance[[#This Row],[Preço]])),W58)-IF(TbTradesBinance[[#This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Row],[Tipo]]="DROP"),W58+TbTradesBinance[[#This Row],[Qtt]],W58-TbTradesBinance[[#This Row],[Qtt]]),IF(TbTradesBinance[[#This Row],[Tipo]]="BUY",W58-TbTradesBinance[[#This Row],[Qtt]]*TbTradesBinance[[#This Row],[Preço]],W58+TbTradesBinance[[#This Row],[Qtt]]*TbTradesBinance[[#This Row],[Preço]])),W58)-IF(TbTradesBinance[[#This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Row],[Tipo]]="DROP"),W58+TbTradesBinance[[#This Row],[Qtt]],W58-TbTradesBinance[[#This Row],[Qtt]]),IF(TbTradesBinance[[#This Row],[Tipo]]="BUY",W58-TbTradesBinance[[#This Row],[Qtt]]*TbTradesBinance[[#This Row],[Preço]],W58+TbTradesBinance[[#This Row],[Qtt]]*TbTradesBinance[[#This Row],[Preço]])),W58)-IF(TbTradesBinance[[#This Row],[Moeda da Taxa]]=MID(W$1,9,5),TbTradesBinance[[#This Row],[Taxa]],0),8)))</f>
        <v>9.8364000000000004E-4</v>
      </c>
      <c r="X59" s="145" cm="1">
        <f t="array" ref="X59">IF(TbTradesBinance[[#This Row],[Tipo]]="EMPTY",0,X58+IF(TbTradesBinance[[#This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Row],[Par]]))),$1:$1,0)),-(W58-W59)/W58*X58),0),0)+IF(TbTradesBinance[[#This Row],[Tipo]]="SELL",IF(ISNUMBER(FIND(MID(X$1,10,5),TbTradesBinance[[#This Row],[Par]])),IF(FIND(MID(X$1,10,5),TbTradesBinance[[#This Row],[Par]])=1, -(W58-W59)/W58*X58,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Row],[Par]])),(-(W58-W59)/W58*X58)+IF(TbTradesBinance[[#This Row],[Resultado]]&gt;0,0,TbTradesBinance[[#This Row],[Taxa]]),0),0))</f>
        <v>292.62296737433974</v>
      </c>
      <c r="Y59" s="145">
        <f t="shared" si="4"/>
        <v>297489.90217390482</v>
      </c>
      <c r="Z5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Row],[Tipo]]="DROP"),Z58+TbTradesBinance[[#This Row],[Qtt]],Z58-TbTradesBinance[[#This Row],[Qtt]]),IF(TbTradesBinance[[#This Row],[Tipo]]="BUY",Z58-TbTradesBinance[[#This Row],[Qtt]]*TbTradesBinance[[#This Row],[Preço]],Z58+TbTradesBinance[[#This Row],[Qtt]]*TbTradesBinance[[#This Row],[Preço]])),Z58)-IF(TbTradesBinance[[#This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Row],[Tipo]]="DROP"),Z58+TbTradesBinance[[#This Row],[Qtt]],Z58-TbTradesBinance[[#This Row],[Qtt]]),IF(TbTradesBinance[[#This Row],[Tipo]]="BUY",Z58-TbTradesBinance[[#This Row],[Qtt]]*TbTradesBinance[[#This Row],[Preço]],Z58+TbTradesBinance[[#This Row],[Qtt]]*TbTradesBinance[[#This Row],[Preço]])),Z58)-IF(TbTradesBinance[[#This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Row],[Tipo]]="DROP"),Z58+TbTradesBinance[[#This Row],[Qtt]],Z58-TbTradesBinance[[#This Row],[Qtt]]),IF(TbTradesBinance[[#This Row],[Tipo]]="BUY",Z58-TbTradesBinance[[#This Row],[Qtt]]*TbTradesBinance[[#This Row],[Preço]],Z58+TbTradesBinance[[#This Row],[Qtt]]*TbTradesBinance[[#This Row],[Preço]])),Z58)-IF(TbTradesBinance[[#This Row],[Moeda da Taxa]]=MID(Z$1,9,5),TbTradesBinance[[#This Row],[Taxa]],0),8)))</f>
        <v>0</v>
      </c>
      <c r="AA59" s="145" cm="1">
        <f t="array" ref="AA59">IF(TbTradesBinance[[#This Row],[Tipo]]="EMPTY",0,AA58+IF(TbTradesBinance[[#This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Row],[Par]]))),$1:$1,0)),-(Z58-Z59)/Z58*AA58),0),0)+IF(TbTradesBinance[[#This Row],[Tipo]]="SELL",IF(ISNUMBER(FIND(MID(AA$1,10,5),TbTradesBinance[[#This Row],[Par]])),IF(FIND(MID(AA$1,10,5),TbTradesBinance[[#This Row],[Par]])=1, -(Z58-Z59)/Z58*AA58,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Row],[Par]])),(-(Z58-Z59)/Z58*AA58)+IF(TbTradesBinance[[#This Row],[Resultado]]&gt;0,0,TbTradesBinance[[#This Row],[Taxa]]),0),0))</f>
        <v>0</v>
      </c>
      <c r="AB59" s="145">
        <f t="shared" si="5"/>
        <v>0</v>
      </c>
      <c r="AC5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Row],[Tipo]]="DROP"),AC58+TbTradesBinance[[#This Row],[Qtt]],AC58-TbTradesBinance[[#This Row],[Qtt]]),IF(TbTradesBinance[[#This Row],[Tipo]]="BUY",AC58-TbTradesBinance[[#This Row],[Qtt]]*TbTradesBinance[[#This Row],[Preço]],AC58+TbTradesBinance[[#This Row],[Qtt]]*TbTradesBinance[[#This Row],[Preço]])),AC58)-IF(TbTradesBinance[[#This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Row],[Tipo]]="DROP"),AC58+TbTradesBinance[[#This Row],[Qtt]],AC58-TbTradesBinance[[#This Row],[Qtt]]),IF(TbTradesBinance[[#This Row],[Tipo]]="BUY",AC58-TbTradesBinance[[#This Row],[Qtt]]*TbTradesBinance[[#This Row],[Preço]],AC58+TbTradesBinance[[#This Row],[Qtt]]*TbTradesBinance[[#This Row],[Preço]])),AC58)-IF(TbTradesBinance[[#This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Row],[Tipo]]="DROP"),AC58+TbTradesBinance[[#This Row],[Qtt]],AC58-TbTradesBinance[[#This Row],[Qtt]]),IF(TbTradesBinance[[#This Row],[Tipo]]="BUY",AC58-TbTradesBinance[[#This Row],[Qtt]]*TbTradesBinance[[#This Row],[Preço]],AC58+TbTradesBinance[[#This Row],[Qtt]]*TbTradesBinance[[#This Row],[Preço]])),AC58)-IF(TbTradesBinance[[#This Row],[Moeda da Taxa]]=MID(AC$1,9,5),TbTradesBinance[[#This Row],[Taxa]],0),8)))</f>
        <v>0</v>
      </c>
      <c r="AD59" s="145" cm="1">
        <f t="array" ref="AD59">IF(TbTradesBinance[[#This Row],[Tipo]]="EMPTY",0,AD58+IF(TbTradesBinance[[#This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Row],[Par]]))),$1:$1,0)),-(AC58-AC59)/AC58*AD58),0),0)+IF(TbTradesBinance[[#This Row],[Tipo]]="SELL",IF(ISNUMBER(FIND(MID(AD$1,10,5),TbTradesBinance[[#This Row],[Par]])),IF(FIND(MID(AD$1,10,5),TbTradesBinance[[#This Row],[Par]])=1, -(AC58-AC59)/AC58*AD58,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Row],[Par]])),(-(AC58-AC59)/AC58*AD58)+IF(TbTradesBinance[[#This Row],[Resultado]]&gt;0,0,TbTradesBinance[[#This Row],[Taxa]]),0),0))</f>
        <v>0</v>
      </c>
      <c r="AE59" s="145">
        <f t="shared" si="6"/>
        <v>0</v>
      </c>
      <c r="AF5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Row],[Tipo]]="DROP"),AF58+TbTradesBinance[[#This Row],[Qtt]],AF58-TbTradesBinance[[#This Row],[Qtt]]),IF(TbTradesBinance[[#This Row],[Tipo]]="BUY",AF58-TbTradesBinance[[#This Row],[Qtt]]*TbTradesBinance[[#This Row],[Preço]],AF58+TbTradesBinance[[#This Row],[Qtt]]*TbTradesBinance[[#This Row],[Preço]])),AF58)-IF(TbTradesBinance[[#This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Row],[Tipo]]="DROP"),AF58+TbTradesBinance[[#This Row],[Qtt]],AF58-TbTradesBinance[[#This Row],[Qtt]]),IF(TbTradesBinance[[#This Row],[Tipo]]="BUY",AF58-TbTradesBinance[[#This Row],[Qtt]]*TbTradesBinance[[#This Row],[Preço]],AF58+TbTradesBinance[[#This Row],[Qtt]]*TbTradesBinance[[#This Row],[Preço]])),AF58)-IF(TbTradesBinance[[#This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Row],[Tipo]]="DROP"),AF58+TbTradesBinance[[#This Row],[Qtt]],AF58-TbTradesBinance[[#This Row],[Qtt]]),IF(TbTradesBinance[[#This Row],[Tipo]]="BUY",AF58-TbTradesBinance[[#This Row],[Qtt]]*TbTradesBinance[[#This Row],[Preço]],AF58+TbTradesBinance[[#This Row],[Qtt]]*TbTradesBinance[[#This Row],[Preço]])),AF58)-IF(TbTradesBinance[[#This Row],[Moeda da Taxa]]=MID(AF$1,9,5),TbTradesBinance[[#This Row],[Taxa]],0),8)))</f>
        <v>0</v>
      </c>
      <c r="AG59" s="145" cm="1">
        <f t="array" ref="AG59">IF(TbTradesBinance[[#This Row],[Tipo]]="EMPTY",0,AG58+IF(TbTradesBinance[[#This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Row],[Par]]))),$1:$1,0)),-(AF58-AF59)/AF58*AG58),0),0)+IF(TbTradesBinance[[#This Row],[Tipo]]="SELL",IF(ISNUMBER(FIND(MID(AG$1,10,5),TbTradesBinance[[#This Row],[Par]])),IF(FIND(MID(AG$1,10,5),TbTradesBinance[[#This Row],[Par]])=1, -(AF58-AF59)/AF58*AG58,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Row],[Par]])),(-(AF58-AF59)/AF58*AG58)+IF(TbTradesBinance[[#This Row],[Resultado]]&gt;0,0,TbTradesBinance[[#This Row],[Taxa]]),0),0))</f>
        <v>0</v>
      </c>
      <c r="AH59" s="145">
        <f t="shared" si="7"/>
        <v>0</v>
      </c>
      <c r="AI5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Row],[Tipo]]="DROP"),AI58+TbTradesBinance[[#This Row],[Qtt]],AI58-TbTradesBinance[[#This Row],[Qtt]]),IF(TbTradesBinance[[#This Row],[Tipo]]="BUY",AI58-TbTradesBinance[[#This Row],[Qtt]]*TbTradesBinance[[#This Row],[Preço]],AI58+TbTradesBinance[[#This Row],[Qtt]]*TbTradesBinance[[#This Row],[Preço]])),AI58)-IF(TbTradesBinance[[#This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Row],[Tipo]]="DROP"),AI58+TbTradesBinance[[#This Row],[Qtt]],AI58-TbTradesBinance[[#This Row],[Qtt]]),IF(TbTradesBinance[[#This Row],[Tipo]]="BUY",AI58-TbTradesBinance[[#This Row],[Qtt]]*TbTradesBinance[[#This Row],[Preço]],AI58+TbTradesBinance[[#This Row],[Qtt]]*TbTradesBinance[[#This Row],[Preço]])),AI58)-IF(TbTradesBinance[[#This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Row],[Tipo]]="DROP"),AI58+TbTradesBinance[[#This Row],[Qtt]],AI58-TbTradesBinance[[#This Row],[Qtt]]),IF(TbTradesBinance[[#This Row],[Tipo]]="BUY",AI58-TbTradesBinance[[#This Row],[Qtt]]*TbTradesBinance[[#This Row],[Preço]],AI58+TbTradesBinance[[#This Row],[Qtt]]*TbTradesBinance[[#This Row],[Preço]])),AI58)-IF(TbTradesBinance[[#This Row],[Moeda da Taxa]]=MID(AI$1,9,5),TbTradesBinance[[#This Row],[Taxa]],0),8)))</f>
        <v>0</v>
      </c>
      <c r="AJ59" s="145" cm="1">
        <f t="array" ref="AJ59">IF(TbTradesBinance[[#This Row],[Tipo]]="EMPTY",0,AJ58+IF(TbTradesBinance[[#This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Row],[Par]]))),$1:$1,0)),-(AI58-AI59)/AI58*AJ58),0),0)+IF(TbTradesBinance[[#This Row],[Tipo]]="SELL",IF(ISNUMBER(FIND(MID(AJ$1,10,5),TbTradesBinance[[#This Row],[Par]])),IF(FIND(MID(AJ$1,10,5),TbTradesBinance[[#This Row],[Par]])=1, -(AI58-AI59)/AI58*AJ58,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Row],[Par]])),(-(AI58-AI59)/AI58*AJ58)+IF(TbTradesBinance[[#This Row],[Resultado]]&gt;0,0,TbTradesBinance[[#This Row],[Taxa]]),0),0))</f>
        <v>0</v>
      </c>
      <c r="AK59" s="145">
        <f t="shared" si="8"/>
        <v>0</v>
      </c>
      <c r="AL5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Row],[Tipo]]="DROP"),AL58+TbTradesBinance[[#This Row],[Qtt]],AL58-TbTradesBinance[[#This Row],[Qtt]]),IF(TbTradesBinance[[#This Row],[Tipo]]="BUY",AL58-TbTradesBinance[[#This Row],[Qtt]]*TbTradesBinance[[#This Row],[Preço]],AL58+TbTradesBinance[[#This Row],[Qtt]]*TbTradesBinance[[#This Row],[Preço]])),AL58)-IF(TbTradesBinance[[#This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Row],[Tipo]]="DROP"),AL58+TbTradesBinance[[#This Row],[Qtt]],AL58-TbTradesBinance[[#This Row],[Qtt]]),IF(TbTradesBinance[[#This Row],[Tipo]]="BUY",AL58-TbTradesBinance[[#This Row],[Qtt]]*TbTradesBinance[[#This Row],[Preço]],AL58+TbTradesBinance[[#This Row],[Qtt]]*TbTradesBinance[[#This Row],[Preço]])),AL58)-IF(TbTradesBinance[[#This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Row],[Tipo]]="DROP"),AL58+TbTradesBinance[[#This Row],[Qtt]],AL58-TbTradesBinance[[#This Row],[Qtt]]),IF(TbTradesBinance[[#This Row],[Tipo]]="BUY",AL58-TbTradesBinance[[#This Row],[Qtt]]*TbTradesBinance[[#This Row],[Preço]],AL58+TbTradesBinance[[#This Row],[Qtt]]*TbTradesBinance[[#This Row],[Preço]])),AL58)-IF(TbTradesBinance[[#This Row],[Moeda da Taxa]]=MID(AL$1,9,5),TbTradesBinance[[#This Row],[Taxa]],0),8)))</f>
        <v>0</v>
      </c>
      <c r="AM59" s="145" cm="1">
        <f t="array" ref="AM59">IF(TbTradesBinance[[#This Row],[Tipo]]="EMPTY",0,AM58+IF(TbTradesBinance[[#This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Row],[Par]]))),$1:$1,0)),-(AL58-AL59)/AL58*AM58),0),0)+IF(TbTradesBinance[[#This Row],[Tipo]]="SELL",IF(ISNUMBER(FIND(MID(AM$1,10,5),TbTradesBinance[[#This Row],[Par]])),IF(FIND(MID(AM$1,10,5),TbTradesBinance[[#This Row],[Par]])=1, -(AL58-AL59)/AL58*AM58,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Row],[Par]])),(-(AL58-AL59)/AL58*AM58)+IF(TbTradesBinance[[#This Row],[Resultado]]&gt;0,0,TbTradesBinance[[#This Row],[Taxa]]),0),0))</f>
        <v>0</v>
      </c>
      <c r="AN59" s="145">
        <f t="shared" si="9"/>
        <v>0</v>
      </c>
      <c r="AO5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Row],[Tipo]]="DROP"),AO58+TbTradesBinance[[#This Row],[Qtt]],AO58-TbTradesBinance[[#This Row],[Qtt]]),IF(TbTradesBinance[[#This Row],[Tipo]]="BUY",AO58-TbTradesBinance[[#This Row],[Qtt]]*TbTradesBinance[[#This Row],[Preço]],AO58+TbTradesBinance[[#This Row],[Qtt]]*TbTradesBinance[[#This Row],[Preço]])),AO58)-IF(TbTradesBinance[[#This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Row],[Tipo]]="DROP"),AO58+TbTradesBinance[[#This Row],[Qtt]],AO58-TbTradesBinance[[#This Row],[Qtt]]),IF(TbTradesBinance[[#This Row],[Tipo]]="BUY",AO58-TbTradesBinance[[#This Row],[Qtt]]*TbTradesBinance[[#This Row],[Preço]],AO58+TbTradesBinance[[#This Row],[Qtt]]*TbTradesBinance[[#This Row],[Preço]])),AO58)-IF(TbTradesBinance[[#This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Row],[Tipo]]="DROP"),AO58+TbTradesBinance[[#This Row],[Qtt]],AO58-TbTradesBinance[[#This Row],[Qtt]]),IF(TbTradesBinance[[#This Row],[Tipo]]="BUY",AO58-TbTradesBinance[[#This Row],[Qtt]]*TbTradesBinance[[#This Row],[Preço]],AO58+TbTradesBinance[[#This Row],[Qtt]]*TbTradesBinance[[#This Row],[Preço]])),AO58)-IF(TbTradesBinance[[#This Row],[Moeda da Taxa]]=MID(AO$1,9,5),TbTradesBinance[[#This Row],[Taxa]],0),8)))</f>
        <v>1.2444699999999999E-3</v>
      </c>
      <c r="AP59" s="145" cm="1">
        <f t="array" ref="AP59">IF(TbTradesBinance[[#This Row],[Tipo]]="EMPTY",0,AP58+IF(TbTradesBinance[[#This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Row],[Par]]))),$1:$1,0)),-(AO58-AO59)/AO58*AP58),0),0)+IF(TbTradesBinance[[#This Row],[Tipo]]="SELL",IF(ISNUMBER(FIND(MID(AP$1,10,5),TbTradesBinance[[#This Row],[Par]])),IF(FIND(MID(AP$1,10,5),TbTradesBinance[[#This Row],[Par]])=1, -(AO58-AO59)/AO58*AP58,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Row],[Par]])),(-(AO58-AO59)/AO58*AP58)+IF(TbTradesBinance[[#This Row],[Resultado]]&gt;0,0,TbTradesBinance[[#This Row],[Taxa]]),0),0))</f>
        <v>1.7416212429180353</v>
      </c>
      <c r="AQ59" s="145">
        <f t="shared" si="10"/>
        <v>1399.4883307094872</v>
      </c>
      <c r="AR5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Row],[Tipo]]="DROP"),AR58+TbTradesBinance[[#This Row],[Qtt]],AR58-TbTradesBinance[[#This Row],[Qtt]]),IF(TbTradesBinance[[#This Row],[Tipo]]="BUY",AR58-TbTradesBinance[[#This Row],[Qtt]]*TbTradesBinance[[#This Row],[Preço]],AR58+TbTradesBinance[[#This Row],[Qtt]]*TbTradesBinance[[#This Row],[Preço]])),AR58)-IF(TbTradesBinance[[#This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Row],[Tipo]]="DROP"),AR58+TbTradesBinance[[#This Row],[Qtt]],AR58-TbTradesBinance[[#This Row],[Qtt]]),IF(TbTradesBinance[[#This Row],[Tipo]]="BUY",AR58-TbTradesBinance[[#This Row],[Qtt]]*TbTradesBinance[[#This Row],[Preço]],AR58+TbTradesBinance[[#This Row],[Qtt]]*TbTradesBinance[[#This Row],[Preço]])),AR58)-IF(TbTradesBinance[[#This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Row],[Tipo]]="DROP"),AR58+TbTradesBinance[[#This Row],[Qtt]],AR58-TbTradesBinance[[#This Row],[Qtt]]),IF(TbTradesBinance[[#This Row],[Tipo]]="BUY",AR58-TbTradesBinance[[#This Row],[Qtt]]*TbTradesBinance[[#This Row],[Preço]],AR58+TbTradesBinance[[#This Row],[Qtt]]*TbTradesBinance[[#This Row],[Preço]])),AR58)-IF(TbTradesBinance[[#This Row],[Moeda da Taxa]]=MID(AR$1,9,5),TbTradesBinance[[#This Row],[Taxa]],0),8)))</f>
        <v>0</v>
      </c>
      <c r="AS59" s="145" cm="1">
        <f t="array" ref="AS59">IF(TbTradesBinance[[#This Row],[Tipo]]="EMPTY",0,AS58+IF(TbTradesBinance[[#This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Row],[Par]]))),$1:$1,0)),-(AR58-AR59)/AR58*AS58),0),0)+IF(TbTradesBinance[[#This Row],[Tipo]]="SELL",IF(ISNUMBER(FIND(MID(AS$1,10,5),TbTradesBinance[[#This Row],[Par]])),IF(FIND(MID(AS$1,10,5),TbTradesBinance[[#This Row],[Par]])=1, -(AR58-AR59)/AR58*AS58,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Row],[Par]])),(-(AR58-AR59)/AR58*AS58)+IF(TbTradesBinance[[#This Row],[Resultado]]&gt;0,0,TbTradesBinance[[#This Row],[Taxa]]),0),0))</f>
        <v>0</v>
      </c>
      <c r="AT59" s="145">
        <f t="shared" si="11"/>
        <v>0</v>
      </c>
      <c r="AU5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Row],[Tipo]]="DROP"),AU58+TbTradesBinance[[#This Row],[Qtt]],AU58-TbTradesBinance[[#This Row],[Qtt]]),IF(TbTradesBinance[[#This Row],[Tipo]]="BUY",AU58-TbTradesBinance[[#This Row],[Qtt]]*TbTradesBinance[[#This Row],[Preço]],AU58+TbTradesBinance[[#This Row],[Qtt]]*TbTradesBinance[[#This Row],[Preço]])),AU58)-IF(TbTradesBinance[[#This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Row],[Tipo]]="DROP"),AU58+TbTradesBinance[[#This Row],[Qtt]],AU58-TbTradesBinance[[#This Row],[Qtt]]),IF(TbTradesBinance[[#This Row],[Tipo]]="BUY",AU58-TbTradesBinance[[#This Row],[Qtt]]*TbTradesBinance[[#This Row],[Preço]],AU58+TbTradesBinance[[#This Row],[Qtt]]*TbTradesBinance[[#This Row],[Preço]])),AU58)-IF(TbTradesBinance[[#This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Row],[Tipo]]="DROP"),AU58+TbTradesBinance[[#This Row],[Qtt]],AU58-TbTradesBinance[[#This Row],[Qtt]]),IF(TbTradesBinance[[#This Row],[Tipo]]="BUY",AU58-TbTradesBinance[[#This Row],[Qtt]]*TbTradesBinance[[#This Row],[Preço]],AU58+TbTradesBinance[[#This Row],[Qtt]]*TbTradesBinance[[#This Row],[Preço]])),AU58)-IF(TbTradesBinance[[#This Row],[Moeda da Taxa]]=MID(AU$1,9,5),TbTradesBinance[[#This Row],[Taxa]],0),8)))</f>
        <v>9.9900000000000003E-2</v>
      </c>
      <c r="AV59" s="145" cm="1">
        <f t="array" ref="AV59">IF(TbTradesBinance[[#This Row],[Tipo]]="EMPTY",0,AV58+IF(TbTradesBinance[[#This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Row],[Par]]))),$1:$1,0)),-(AU58-AU59)/AU58*AV58),0),0)+IF(TbTradesBinance[[#This Row],[Tipo]]="SELL",IF(ISNUMBER(FIND(MID(AV$1,10,5),TbTradesBinance[[#This Row],[Par]])),IF(FIND(MID(AV$1,10,5),TbTradesBinance[[#This Row],[Par]])=1, -(AU58-AU59)/AU58*AV58,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Row],[Par]])),(-(AU58-AU59)/AU58*AV58)+IF(TbTradesBinance[[#This Row],[Resultado]]&gt;0,0,TbTradesBinance[[#This Row],[Taxa]]),0),0))</f>
        <v>18.673922987511034</v>
      </c>
      <c r="AW59" s="145">
        <f t="shared" si="12"/>
        <v>186.92615603114149</v>
      </c>
      <c r="AX5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Row],[Tipo]]="DROP"),AX58+TbTradesBinance[[#This Row],[Qtt]],AX58-TbTradesBinance[[#This Row],[Qtt]]),IF(TbTradesBinance[[#This Row],[Tipo]]="BUY",AX58-TbTradesBinance[[#This Row],[Qtt]]*TbTradesBinance[[#This Row],[Preço]],AX58+TbTradesBinance[[#This Row],[Qtt]]*TbTradesBinance[[#This Row],[Preço]])),AX58)-IF(TbTradesBinance[[#This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Row],[Tipo]]="DROP"),AX58+TbTradesBinance[[#This Row],[Qtt]],AX58-TbTradesBinance[[#This Row],[Qtt]]),IF(TbTradesBinance[[#This Row],[Tipo]]="BUY",AX58-TbTradesBinance[[#This Row],[Qtt]]*TbTradesBinance[[#This Row],[Preço]],AX58+TbTradesBinance[[#This Row],[Qtt]]*TbTradesBinance[[#This Row],[Preço]])),AX58)-IF(TbTradesBinance[[#This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Row],[Tipo]]="DROP"),AX58+TbTradesBinance[[#This Row],[Qtt]],AX58-TbTradesBinance[[#This Row],[Qtt]]),IF(TbTradesBinance[[#This Row],[Tipo]]="BUY",AX58-TbTradesBinance[[#This Row],[Qtt]]*TbTradesBinance[[#This Row],[Preço]],AX58+TbTradesBinance[[#This Row],[Qtt]]*TbTradesBinance[[#This Row],[Preço]])),AX58)-IF(TbTradesBinance[[#This Row],[Moeda da Taxa]]=MID(AX$1,9,5),TbTradesBinance[[#This Row],[Taxa]],0),8)))</f>
        <v>0</v>
      </c>
      <c r="AY59" s="145" cm="1">
        <f t="array" ref="AY59">IF(TbTradesBinance[[#This Row],[Tipo]]="EMPTY",0,AY58+IF(TbTradesBinance[[#This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Row],[Par]]))),$1:$1,0)),-(AX58-AX59)/AX58*AY58),0),0)+IF(TbTradesBinance[[#This Row],[Tipo]]="SELL",IF(ISNUMBER(FIND(MID(AY$1,10,5),TbTradesBinance[[#This Row],[Par]])),IF(FIND(MID(AY$1,10,5),TbTradesBinance[[#This Row],[Par]])=1, -(AX58-AX59)/AX58*AY58,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Row],[Par]])),(-(AX58-AX59)/AX58*AY58)+IF(TbTradesBinance[[#This Row],[Resultado]]&gt;0,0,TbTradesBinance[[#This Row],[Taxa]]),0),0))</f>
        <v>0</v>
      </c>
      <c r="AZ59" s="145">
        <f t="shared" si="13"/>
        <v>0</v>
      </c>
      <c r="BA5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Row],[Tipo]]="DROP"),BA58+TbTradesBinance[[#This Row],[Qtt]],BA58-TbTradesBinance[[#This Row],[Qtt]]),IF(TbTradesBinance[[#This Row],[Tipo]]="BUY",BA58-TbTradesBinance[[#This Row],[Qtt]]*TbTradesBinance[[#This Row],[Preço]],BA58+TbTradesBinance[[#This Row],[Qtt]]*TbTradesBinance[[#This Row],[Preço]])),BA58)-IF(TbTradesBinance[[#This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Row],[Tipo]]="DROP"),BA58+TbTradesBinance[[#This Row],[Qtt]],BA58-TbTradesBinance[[#This Row],[Qtt]]),IF(TbTradesBinance[[#This Row],[Tipo]]="BUY",BA58-TbTradesBinance[[#This Row],[Qtt]]*TbTradesBinance[[#This Row],[Preço]],BA58+TbTradesBinance[[#This Row],[Qtt]]*TbTradesBinance[[#This Row],[Preço]])),BA58)-IF(TbTradesBinance[[#This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Row],[Tipo]]="DROP"),BA58+TbTradesBinance[[#This Row],[Qtt]],BA58-TbTradesBinance[[#This Row],[Qtt]]),IF(TbTradesBinance[[#This Row],[Tipo]]="BUY",BA58-TbTradesBinance[[#This Row],[Qtt]]*TbTradesBinance[[#This Row],[Preço]],BA58+TbTradesBinance[[#This Row],[Qtt]]*TbTradesBinance[[#This Row],[Preço]])),BA58)-IF(TbTradesBinance[[#This Row],[Moeda da Taxa]]=MID(BA$1,9,5),TbTradesBinance[[#This Row],[Taxa]],0),8)))</f>
        <v>0</v>
      </c>
      <c r="BB59" s="145" cm="1">
        <f t="array" ref="BB59">IF(TbTradesBinance[[#This Row],[Tipo]]="EMPTY",0,BB58+IF(TbTradesBinance[[#This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Row],[Par]]))),$1:$1,0)),-(BA58-BA59)/BA58*BB58),0),0)+IF(TbTradesBinance[[#This Row],[Tipo]]="SELL",IF(ISNUMBER(FIND(MID(BB$1,10,5),TbTradesBinance[[#This Row],[Par]])),IF(FIND(MID(BB$1,10,5),TbTradesBinance[[#This Row],[Par]])=1, -(BA58-BA59)/BA58*BB58,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Row],[Par]])),(-(BA58-BA59)/BA58*BB58)+IF(TbTradesBinance[[#This Row],[Resultado]]&gt;0,0,TbTradesBinance[[#This Row],[Taxa]]),0),0))</f>
        <v>0</v>
      </c>
      <c r="BC59" s="145">
        <f t="shared" si="14"/>
        <v>0</v>
      </c>
      <c r="BD5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Row],[Tipo]]="DROP"),BD58+TbTradesBinance[[#This Row],[Qtt]],BD58-TbTradesBinance[[#This Row],[Qtt]]),IF(TbTradesBinance[[#This Row],[Tipo]]="BUY",BD58-TbTradesBinance[[#This Row],[Qtt]]*TbTradesBinance[[#This Row],[Preço]],BD58+TbTradesBinance[[#This Row],[Qtt]]*TbTradesBinance[[#This Row],[Preço]])),BD58)-IF(TbTradesBinance[[#This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Row],[Tipo]]="DROP"),BD58+TbTradesBinance[[#This Row],[Qtt]],BD58-TbTradesBinance[[#This Row],[Qtt]]),IF(TbTradesBinance[[#This Row],[Tipo]]="BUY",BD58-TbTradesBinance[[#This Row],[Qtt]]*TbTradesBinance[[#This Row],[Preço]],BD58+TbTradesBinance[[#This Row],[Qtt]]*TbTradesBinance[[#This Row],[Preço]])),BD58)-IF(TbTradesBinance[[#This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Row],[Tipo]]="DROP"),BD58+TbTradesBinance[[#This Row],[Qtt]],BD58-TbTradesBinance[[#This Row],[Qtt]]),IF(TbTradesBinance[[#This Row],[Tipo]]="BUY",BD58-TbTradesBinance[[#This Row],[Qtt]]*TbTradesBinance[[#This Row],[Preço]],BD58+TbTradesBinance[[#This Row],[Qtt]]*TbTradesBinance[[#This Row],[Preço]])),BD58)-IF(TbTradesBinance[[#This Row],[Moeda da Taxa]]=MID(BD$1,9,5),TbTradesBinance[[#This Row],[Taxa]],0),8)))</f>
        <v>0.37962000000000001</v>
      </c>
      <c r="BE59" s="145" cm="1">
        <f t="array" ref="BE59">IF(TbTradesBinance[[#This Row],[Tipo]]="EMPTY",0,BE58+IF(TbTradesBinance[[#This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Row],[Par]]))),$1:$1,0)),-(BD58-BD59)/BD58*BE58),0),0)+IF(TbTradesBinance[[#This Row],[Tipo]]="SELL",IF(ISNUMBER(FIND(MID(BE$1,10,5),TbTradesBinance[[#This Row],[Par]])),IF(FIND(MID(BE$1,10,5),TbTradesBinance[[#This Row],[Par]])=1, -(BD58-BD59)/BD58*BE58,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Row],[Par]])),(-(BD58-BD59)/BD58*BE58)+IF(TbTradesBinance[[#This Row],[Resultado]]&gt;0,0,TbTradesBinance[[#This Row],[Taxa]]),0),0))</f>
        <v>63.647297001537943</v>
      </c>
      <c r="BF59" s="145">
        <f t="shared" si="15"/>
        <v>167.66054739354601</v>
      </c>
      <c r="BG5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Row],[Tipo]]="DROP"),BG58+TbTradesBinance[[#This Row],[Qtt]],BG58-TbTradesBinance[[#This Row],[Qtt]]),IF(TbTradesBinance[[#This Row],[Tipo]]="BUY",BG58-TbTradesBinance[[#This Row],[Qtt]]*TbTradesBinance[[#This Row],[Preço]],BG58+TbTradesBinance[[#This Row],[Qtt]]*TbTradesBinance[[#This Row],[Preço]])),BG58)-IF(TbTradesBinance[[#This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Row],[Tipo]]="DROP"),BG58+TbTradesBinance[[#This Row],[Qtt]],BG58-TbTradesBinance[[#This Row],[Qtt]]),IF(TbTradesBinance[[#This Row],[Tipo]]="BUY",BG58-TbTradesBinance[[#This Row],[Qtt]]*TbTradesBinance[[#This Row],[Preço]],BG58+TbTradesBinance[[#This Row],[Qtt]]*TbTradesBinance[[#This Row],[Preço]])),BG58)-IF(TbTradesBinance[[#This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Row],[Tipo]]="DROP"),BG58+TbTradesBinance[[#This Row],[Qtt]],BG58-TbTradesBinance[[#This Row],[Qtt]]),IF(TbTradesBinance[[#This Row],[Tipo]]="BUY",BG58-TbTradesBinance[[#This Row],[Qtt]]*TbTradesBinance[[#This Row],[Preço]],BG58+TbTradesBinance[[#This Row],[Qtt]]*TbTradesBinance[[#This Row],[Preço]])),BG58)-IF(TbTradesBinance[[#This Row],[Moeda da Taxa]]=MID(BG$1,9,5),TbTradesBinance[[#This Row],[Taxa]],0),8)))</f>
        <v>0</v>
      </c>
      <c r="BH59" s="145" cm="1">
        <f t="array" ref="BH59">IF(TbTradesBinance[[#This Row],[Tipo]]="EMPTY",0,BH58+IF(TbTradesBinance[[#This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Row],[Par]]))),$1:$1,0)),-(BG58-BG59)/BG58*BH58),0),0)+IF(TbTradesBinance[[#This Row],[Tipo]]="SELL",IF(ISNUMBER(FIND(MID(BH$1,10,5),TbTradesBinance[[#This Row],[Par]])),IF(FIND(MID(BH$1,10,5),TbTradesBinance[[#This Row],[Par]])=1, -(BG58-BG59)/BG58*BH58,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Row],[Par]])),(-(BG58-BG59)/BG58*BH58)+IF(TbTradesBinance[[#This Row],[Resultado]]&gt;0,0,TbTradesBinance[[#This Row],[Taxa]]),0),0))</f>
        <v>0</v>
      </c>
      <c r="BI59" s="145">
        <f t="shared" si="16"/>
        <v>0</v>
      </c>
      <c r="BJ5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Row],[Tipo]]="DROP"),BJ58+TbTradesBinance[[#This Row],[Qtt]],BJ58-TbTradesBinance[[#This Row],[Qtt]]),IF(TbTradesBinance[[#This Row],[Tipo]]="BUY",BJ58-TbTradesBinance[[#This Row],[Qtt]]*TbTradesBinance[[#This Row],[Preço]],BJ58+TbTradesBinance[[#This Row],[Qtt]]*TbTradesBinance[[#This Row],[Preço]])),BJ58)-IF(TbTradesBinance[[#This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Row],[Tipo]]="DROP"),BJ58+TbTradesBinance[[#This Row],[Qtt]],BJ58-TbTradesBinance[[#This Row],[Qtt]]),IF(TbTradesBinance[[#This Row],[Tipo]]="BUY",BJ58-TbTradesBinance[[#This Row],[Qtt]]*TbTradesBinance[[#This Row],[Preço]],BJ58+TbTradesBinance[[#This Row],[Qtt]]*TbTradesBinance[[#This Row],[Preço]])),BJ58)-IF(TbTradesBinance[[#This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Row],[Tipo]]="DROP"),BJ58+TbTradesBinance[[#This Row],[Qtt]],BJ58-TbTradesBinance[[#This Row],[Qtt]]),IF(TbTradesBinance[[#This Row],[Tipo]]="BUY",BJ58-TbTradesBinance[[#This Row],[Qtt]]*TbTradesBinance[[#This Row],[Preço]],BJ58+TbTradesBinance[[#This Row],[Qtt]]*TbTradesBinance[[#This Row],[Preço]])),BJ58)-IF(TbTradesBinance[[#This Row],[Moeda da Taxa]]=MID(BJ$1,9,5),TbTradesBinance[[#This Row],[Taxa]],0),8)))</f>
        <v>0</v>
      </c>
      <c r="BK59" s="145" cm="1">
        <f t="array" ref="BK59">IF(TbTradesBinance[[#This Row],[Tipo]]="EMPTY",0,BK58+IF(TbTradesBinance[[#This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Row],[Par]]))),$1:$1,0)),-(BJ58-BJ59)/BJ58*BK58),0),0)+IF(TbTradesBinance[[#This Row],[Tipo]]="SELL",IF(ISNUMBER(FIND(MID(BK$1,10,5),TbTradesBinance[[#This Row],[Par]])),IF(FIND(MID(BK$1,10,5),TbTradesBinance[[#This Row],[Par]])=1, -(BJ58-BJ59)/BJ58*BK58,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Row],[Par]])),(-(BJ58-BJ59)/BJ58*BK58)+IF(TbTradesBinance[[#This Row],[Resultado]]&gt;0,0,TbTradesBinance[[#This Row],[Taxa]]),0),0))</f>
        <v>0</v>
      </c>
      <c r="BL59" s="145">
        <f t="shared" si="17"/>
        <v>0</v>
      </c>
      <c r="BM5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Row],[Tipo]]="DROP"),BM58+TbTradesBinance[[#This Row],[Qtt]],BM58-TbTradesBinance[[#This Row],[Qtt]]),IF(TbTradesBinance[[#This Row],[Tipo]]="BUY",BM58-TbTradesBinance[[#This Row],[Qtt]]*TbTradesBinance[[#This Row],[Preço]],BM58+TbTradesBinance[[#This Row],[Qtt]]*TbTradesBinance[[#This Row],[Preço]])),BM58)-IF(TbTradesBinance[[#This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Row],[Tipo]]="DROP"),BM58+TbTradesBinance[[#This Row],[Qtt]],BM58-TbTradesBinance[[#This Row],[Qtt]]),IF(TbTradesBinance[[#This Row],[Tipo]]="BUY",BM58-TbTradesBinance[[#This Row],[Qtt]]*TbTradesBinance[[#This Row],[Preço]],BM58+TbTradesBinance[[#This Row],[Qtt]]*TbTradesBinance[[#This Row],[Preço]])),BM58)-IF(TbTradesBinance[[#This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Row],[Tipo]]="DROP"),BM58+TbTradesBinance[[#This Row],[Qtt]],BM58-TbTradesBinance[[#This Row],[Qtt]]),IF(TbTradesBinance[[#This Row],[Tipo]]="BUY",BM58-TbTradesBinance[[#This Row],[Qtt]]*TbTradesBinance[[#This Row],[Preço]],BM58+TbTradesBinance[[#This Row],[Qtt]]*TbTradesBinance[[#This Row],[Preço]])),BM58)-IF(TbTradesBinance[[#This Row],[Moeda da Taxa]]=MID(BM$1,9,5),TbTradesBinance[[#This Row],[Taxa]],0),8)))</f>
        <v>0</v>
      </c>
      <c r="BN59" s="145" cm="1">
        <f t="array" ref="BN59">IF(TbTradesBinance[[#This Row],[Tipo]]="EMPTY",0,BN58+IF(TbTradesBinance[[#This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Row],[Par]]))),$1:$1,0)),-(BM58-BM59)/BM58*BN58),0),0)+IF(TbTradesBinance[[#This Row],[Tipo]]="SELL",IF(ISNUMBER(FIND(MID(BN$1,10,5),TbTradesBinance[[#This Row],[Par]])),IF(FIND(MID(BN$1,10,5),TbTradesBinance[[#This Row],[Par]])=1, -(BM58-BM59)/BM58*BN58,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Row],[Par]])),(-(BM58-BM59)/BM58*BN58)+IF(TbTradesBinance[[#This Row],[Resultado]]&gt;0,0,TbTradesBinance[[#This Row],[Taxa]]),0),0))</f>
        <v>0</v>
      </c>
      <c r="BO59" s="145">
        <f t="shared" si="18"/>
        <v>0</v>
      </c>
    </row>
    <row r="60" spans="2:67" x14ac:dyDescent="0.3">
      <c r="B60" s="51"/>
      <c r="C60" s="40">
        <f>TRUNC(IF(AND(TbTradesBinance[[#This Row],[Tipo]]="SEND",TbTradesBinance[[#This Row],[Par]]="BRL"),TbTradesBinance[[#This Row],[Qtt]]*(1-P58)-IF(TbTradesBinance[[#This Row],[Moeda da Taxa]]="BRL",TbTradesBinance[[#This Row],[Taxa]],0),0)+IF(AND(TbTradesBinance[[#This Row],[Tipo]]="BURN",TbTradesBinance[[#This Row],[Par]]="BRL"),-TbTradesBinance[[#This Row],[Qtt]]*P58,0),2)</f>
        <v>0</v>
      </c>
      <c r="D60" s="53">
        <v>44264.378587962965</v>
      </c>
      <c r="E60" s="37" t="s">
        <v>138</v>
      </c>
      <c r="F60" s="47" t="s">
        <v>139</v>
      </c>
      <c r="G60" s="38">
        <v>313583</v>
      </c>
      <c r="H60" s="38">
        <v>1.9599999999999999E-4</v>
      </c>
      <c r="I60" s="38">
        <v>0</v>
      </c>
      <c r="J60" s="37" t="s">
        <v>45</v>
      </c>
      <c r="K60" s="52">
        <v>1</v>
      </c>
      <c r="L60" s="40">
        <f t="shared" si="0"/>
        <v>313583</v>
      </c>
      <c r="M60" s="40">
        <f>IF(OR(TbTradesBinance[[#This Row],[Tipo]]="BUY",TbTradesBinance[[#This Row],[Tipo]]="RECEIVE",TbTradesBinance[[#This Row],[Tipo]]="DROP"),L60*H60,-L60*H60)</f>
        <v>61.462267999999995</v>
      </c>
      <c r="N6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Row],[Tipo]]="DROP"),N59+TbTradesBinance[[#This Row],[Qtt]],N59-TbTradesBinance[[#This Row],[Qtt]]),IF(TbTradesBinance[[#This Row],[Tipo]]="BUY",N59-TbTradesBinance[[#This Row],[Qtt]]*TbTradesBinance[[#This Row],[Preço]],N59+TbTradesBinance[[#This Row],[Qtt]]*TbTradesBinance[[#This Row],[Preço]])),N59)-IF(TbTradesBinance[[#This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Row],[Tipo]]="DROP"),N59+TbTradesBinance[[#This Row],[Qtt]],N59-TbTradesBinance[[#This Row],[Qtt]]),IF(TbTradesBinance[[#This Row],[Tipo]]="BUY",N59-TbTradesBinance[[#This Row],[Qtt]]*TbTradesBinance[[#This Row],[Preço]],N59+TbTradesBinance[[#This Row],[Qtt]]*TbTradesBinance[[#This Row],[Preço]])),N59)-IF(TbTradesBinance[[#This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Row],[Tipo]]="DROP"),N59+TbTradesBinance[[#This Row],[Qtt]],N59-TbTradesBinance[[#This Row],[Qtt]]),IF(TbTradesBinance[[#This Row],[Tipo]]="BUY",N59-TbTradesBinance[[#This Row],[Qtt]]*TbTradesBinance[[#This Row],[Preço]],N59+TbTradesBinance[[#This Row],[Qtt]]*TbTradesBinance[[#This Row],[Preço]])),N59)-IF(TbTradesBinance[[#This Row],[Moeda da Taxa]]=MID(N$1,9,5),TbTradesBinance[[#This Row],[Taxa]],0),8)))</f>
        <v>119827.08914488999</v>
      </c>
      <c r="O60" s="145" cm="1">
        <f t="array" ref="O60">IF(TbTradesBinance[[#This Row],[Tipo]]="EMPTY",0,O59+IF(TbTradesBinance[[#This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Row],[Par]]))),$1:$1,0)),-(N59-N60)/N59*O59),0),0)+IF(TbTradesBinance[[#This Row],[Tipo]]="SELL",IF(ISNUMBER(FIND(MID(O$1,10,5),TbTradesBinance[[#This Row],[Par]])),IF(FIND(MID(O$1,10,5),TbTradesBinance[[#This Row],[Par]])=1, -(N59-N60)/N59*O59,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Row],[Par]])),(-(N59-N60)/N59*O59)+IF(TbTradesBinance[[#This Row],[Resultado]]&gt;0,0,TbTradesBinance[[#This Row],[Taxa]]),0),0))</f>
        <v>119729.69553030474</v>
      </c>
      <c r="P60" s="145">
        <f t="shared" si="1"/>
        <v>0.99918721538443211</v>
      </c>
      <c r="Q6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Row],[Tipo]]="DROP"),Q59+TbTradesBinance[[#This Row],[Qtt]],Q59-TbTradesBinance[[#This Row],[Qtt]]),IF(TbTradesBinance[[#This Row],[Tipo]]="BUY",Q59-TbTradesBinance[[#This Row],[Qtt]]*TbTradesBinance[[#This Row],[Preço]],Q59+TbTradesBinance[[#This Row],[Qtt]]*TbTradesBinance[[#This Row],[Preço]])),Q59)-IF(TbTradesBinance[[#This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Row],[Tipo]]="DROP"),Q59+TbTradesBinance[[#This Row],[Qtt]],Q59-TbTradesBinance[[#This Row],[Qtt]]),IF(TbTradesBinance[[#This Row],[Tipo]]="BUY",Q59-TbTradesBinance[[#This Row],[Qtt]]*TbTradesBinance[[#This Row],[Preço]],Q59+TbTradesBinance[[#This Row],[Qtt]]*TbTradesBinance[[#This Row],[Preço]])),Q59)-IF(TbTradesBinance[[#This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Row],[Tipo]]="DROP"),Q59+TbTradesBinance[[#This Row],[Qtt]],Q59-TbTradesBinance[[#This Row],[Qtt]]),IF(TbTradesBinance[[#This Row],[Tipo]]="BUY",Q59-TbTradesBinance[[#This Row],[Qtt]]*TbTradesBinance[[#This Row],[Preço]],Q59+TbTradesBinance[[#This Row],[Qtt]]*TbTradesBinance[[#This Row],[Preço]])),Q59)-IF(TbTradesBinance[[#This Row],[Moeda da Taxa]]=MID(Q$1,9,5),TbTradesBinance[[#This Row],[Taxa]],0),8)))</f>
        <v>0</v>
      </c>
      <c r="R60" s="145" cm="1">
        <f t="array" ref="R60">IF(TbTradesBinance[[#This Row],[Tipo]]="EMPTY",0,R59+IF(TbTradesBinance[[#This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Row],[Par]]))),$1:$1,0)),-(Q59-Q60)/Q59*R59),0),0)+IF(TbTradesBinance[[#This Row],[Tipo]]="SELL",IF(ISNUMBER(FIND(MID(R$1,10,5),TbTradesBinance[[#This Row],[Par]])),IF(FIND(MID(R$1,10,5),TbTradesBinance[[#This Row],[Par]])=1, -(Q59-Q60)/Q59*R59,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Row],[Par]])),(-(Q59-Q60)/Q59*R59)+IF(TbTradesBinance[[#This Row],[Resultado]]&gt;0,0,TbTradesBinance[[#This Row],[Taxa]]),0),0))</f>
        <v>0</v>
      </c>
      <c r="S60" s="145">
        <f t="shared" si="2"/>
        <v>0</v>
      </c>
      <c r="T6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Row],[Tipo]]="DROP"),T59+TbTradesBinance[[#This Row],[Qtt]],T59-TbTradesBinance[[#This Row],[Qtt]]),IF(TbTradesBinance[[#This Row],[Tipo]]="BUY",T59-TbTradesBinance[[#This Row],[Qtt]]*TbTradesBinance[[#This Row],[Preço]],T59+TbTradesBinance[[#This Row],[Qtt]]*TbTradesBinance[[#This Row],[Preço]])),T59)-IF(TbTradesBinance[[#This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Row],[Tipo]]="DROP"),T59+TbTradesBinance[[#This Row],[Qtt]],T59-TbTradesBinance[[#This Row],[Qtt]]),IF(TbTradesBinance[[#This Row],[Tipo]]="BUY",T59-TbTradesBinance[[#This Row],[Qtt]]*TbTradesBinance[[#This Row],[Preço]],T59+TbTradesBinance[[#This Row],[Qtt]]*TbTradesBinance[[#This Row],[Preço]])),T59)-IF(TbTradesBinance[[#This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Row],[Tipo]]="DROP"),T59+TbTradesBinance[[#This Row],[Qtt]],T59-TbTradesBinance[[#This Row],[Qtt]]),IF(TbTradesBinance[[#This Row],[Tipo]]="BUY",T59-TbTradesBinance[[#This Row],[Qtt]]*TbTradesBinance[[#This Row],[Preço]],T59+TbTradesBinance[[#This Row],[Qtt]]*TbTradesBinance[[#This Row],[Preço]])),T59)-IF(TbTradesBinance[[#This Row],[Moeda da Taxa]]=MID(T$1,9,5),TbTradesBinance[[#This Row],[Taxa]],0),8)))</f>
        <v>199735.32000169999</v>
      </c>
      <c r="U60" s="145" cm="1">
        <f t="array" ref="U60">IF(TbTradesBinance[[#This Row],[Tipo]]="EMPTY",0,U59+IF(TbTradesBinance[[#This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Row],[Par]]))),$1:$1,0)),-(T59-T60)/T59*U59),0),0)+IF(TbTradesBinance[[#This Row],[Tipo]]="SELL",IF(ISNUMBER(FIND(MID(U$1,10,5),TbTradesBinance[[#This Row],[Par]])),IF(FIND(MID(U$1,10,5),TbTradesBinance[[#This Row],[Par]])=1, -(T59-T60)/T59*U59,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Row],[Par]])),(-(T59-T60)/T59*U59)+IF(TbTradesBinance[[#This Row],[Resultado]]&gt;0,0,TbTradesBinance[[#This Row],[Taxa]]),0),0))</f>
        <v>1328239.8809817513</v>
      </c>
      <c r="V60" s="145">
        <f t="shared" si="3"/>
        <v>6.6500000148719129</v>
      </c>
      <c r="W6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Row],[Tipo]]="DROP"),W59+TbTradesBinance[[#This Row],[Qtt]],W59-TbTradesBinance[[#This Row],[Qtt]]),IF(TbTradesBinance[[#This Row],[Tipo]]="BUY",W59-TbTradesBinance[[#This Row],[Qtt]]*TbTradesBinance[[#This Row],[Preço]],W59+TbTradesBinance[[#This Row],[Qtt]]*TbTradesBinance[[#This Row],[Preço]])),W59)-IF(TbTradesBinance[[#This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Row],[Tipo]]="DROP"),W59+TbTradesBinance[[#This Row],[Qtt]],W59-TbTradesBinance[[#This Row],[Qtt]]),IF(TbTradesBinance[[#This Row],[Tipo]]="BUY",W59-TbTradesBinance[[#This Row],[Qtt]]*TbTradesBinance[[#This Row],[Preço]],W59+TbTradesBinance[[#This Row],[Qtt]]*TbTradesBinance[[#This Row],[Preço]])),W59)-IF(TbTradesBinance[[#This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Row],[Tipo]]="DROP"),W59+TbTradesBinance[[#This Row],[Qtt]],W59-TbTradesBinance[[#This Row],[Qtt]]),IF(TbTradesBinance[[#This Row],[Tipo]]="BUY",W59-TbTradesBinance[[#This Row],[Qtt]]*TbTradesBinance[[#This Row],[Preço]],W59+TbTradesBinance[[#This Row],[Qtt]]*TbTradesBinance[[#This Row],[Preço]])),W59)-IF(TbTradesBinance[[#This Row],[Moeda da Taxa]]=MID(W$1,9,5),TbTradesBinance[[#This Row],[Taxa]],0),8)))</f>
        <v>1.17964E-3</v>
      </c>
      <c r="X60" s="145" cm="1">
        <f t="array" ref="X60">IF(TbTradesBinance[[#This Row],[Tipo]]="EMPTY",0,X59+IF(TbTradesBinance[[#This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Row],[Par]]))),$1:$1,0)),-(W59-W60)/W59*X59),0),0)+IF(TbTradesBinance[[#This Row],[Tipo]]="SELL",IF(ISNUMBER(FIND(MID(X$1,10,5),TbTradesBinance[[#This Row],[Par]])),IF(FIND(MID(X$1,10,5),TbTradesBinance[[#This Row],[Par]])=1, -(W59-W60)/W59*X59,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Row],[Par]])),(-(W59-W60)/W59*X59)+IF(TbTradesBinance[[#This Row],[Resultado]]&gt;0,0,TbTradesBinance[[#This Row],[Taxa]]),0),0))</f>
        <v>354.03527978847438</v>
      </c>
      <c r="Y60" s="145">
        <f t="shared" si="4"/>
        <v>300121.46060533245</v>
      </c>
      <c r="Z6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Row],[Tipo]]="DROP"),Z59+TbTradesBinance[[#This Row],[Qtt]],Z59-TbTradesBinance[[#This Row],[Qtt]]),IF(TbTradesBinance[[#This Row],[Tipo]]="BUY",Z59-TbTradesBinance[[#This Row],[Qtt]]*TbTradesBinance[[#This Row],[Preço]],Z59+TbTradesBinance[[#This Row],[Qtt]]*TbTradesBinance[[#This Row],[Preço]])),Z59)-IF(TbTradesBinance[[#This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Row],[Tipo]]="DROP"),Z59+TbTradesBinance[[#This Row],[Qtt]],Z59-TbTradesBinance[[#This Row],[Qtt]]),IF(TbTradesBinance[[#This Row],[Tipo]]="BUY",Z59-TbTradesBinance[[#This Row],[Qtt]]*TbTradesBinance[[#This Row],[Preço]],Z59+TbTradesBinance[[#This Row],[Qtt]]*TbTradesBinance[[#This Row],[Preço]])),Z59)-IF(TbTradesBinance[[#This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Row],[Tipo]]="DROP"),Z59+TbTradesBinance[[#This Row],[Qtt]],Z59-TbTradesBinance[[#This Row],[Qtt]]),IF(TbTradesBinance[[#This Row],[Tipo]]="BUY",Z59-TbTradesBinance[[#This Row],[Qtt]]*TbTradesBinance[[#This Row],[Preço]],Z59+TbTradesBinance[[#This Row],[Qtt]]*TbTradesBinance[[#This Row],[Preço]])),Z59)-IF(TbTradesBinance[[#This Row],[Moeda da Taxa]]=MID(Z$1,9,5),TbTradesBinance[[#This Row],[Taxa]],0),8)))</f>
        <v>0</v>
      </c>
      <c r="AA60" s="145" cm="1">
        <f t="array" ref="AA60">IF(TbTradesBinance[[#This Row],[Tipo]]="EMPTY",0,AA59+IF(TbTradesBinance[[#This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Row],[Par]]))),$1:$1,0)),-(Z59-Z60)/Z59*AA59),0),0)+IF(TbTradesBinance[[#This Row],[Tipo]]="SELL",IF(ISNUMBER(FIND(MID(AA$1,10,5),TbTradesBinance[[#This Row],[Par]])),IF(FIND(MID(AA$1,10,5),TbTradesBinance[[#This Row],[Par]])=1, -(Z59-Z60)/Z59*AA59,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Row],[Par]])),(-(Z59-Z60)/Z59*AA59)+IF(TbTradesBinance[[#This Row],[Resultado]]&gt;0,0,TbTradesBinance[[#This Row],[Taxa]]),0),0))</f>
        <v>0</v>
      </c>
      <c r="AB60" s="145">
        <f t="shared" si="5"/>
        <v>0</v>
      </c>
      <c r="AC6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Row],[Tipo]]="DROP"),AC59+TbTradesBinance[[#This Row],[Qtt]],AC59-TbTradesBinance[[#This Row],[Qtt]]),IF(TbTradesBinance[[#This Row],[Tipo]]="BUY",AC59-TbTradesBinance[[#This Row],[Qtt]]*TbTradesBinance[[#This Row],[Preço]],AC59+TbTradesBinance[[#This Row],[Qtt]]*TbTradesBinance[[#This Row],[Preço]])),AC59)-IF(TbTradesBinance[[#This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Row],[Tipo]]="DROP"),AC59+TbTradesBinance[[#This Row],[Qtt]],AC59-TbTradesBinance[[#This Row],[Qtt]]),IF(TbTradesBinance[[#This Row],[Tipo]]="BUY",AC59-TbTradesBinance[[#This Row],[Qtt]]*TbTradesBinance[[#This Row],[Preço]],AC59+TbTradesBinance[[#This Row],[Qtt]]*TbTradesBinance[[#This Row],[Preço]])),AC59)-IF(TbTradesBinance[[#This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Row],[Tipo]]="DROP"),AC59+TbTradesBinance[[#This Row],[Qtt]],AC59-TbTradesBinance[[#This Row],[Qtt]]),IF(TbTradesBinance[[#This Row],[Tipo]]="BUY",AC59-TbTradesBinance[[#This Row],[Qtt]]*TbTradesBinance[[#This Row],[Preço]],AC59+TbTradesBinance[[#This Row],[Qtt]]*TbTradesBinance[[#This Row],[Preço]])),AC59)-IF(TbTradesBinance[[#This Row],[Moeda da Taxa]]=MID(AC$1,9,5),TbTradesBinance[[#This Row],[Taxa]],0),8)))</f>
        <v>0</v>
      </c>
      <c r="AD60" s="145" cm="1">
        <f t="array" ref="AD60">IF(TbTradesBinance[[#This Row],[Tipo]]="EMPTY",0,AD59+IF(TbTradesBinance[[#This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Row],[Par]]))),$1:$1,0)),-(AC59-AC60)/AC59*AD59),0),0)+IF(TbTradesBinance[[#This Row],[Tipo]]="SELL",IF(ISNUMBER(FIND(MID(AD$1,10,5),TbTradesBinance[[#This Row],[Par]])),IF(FIND(MID(AD$1,10,5),TbTradesBinance[[#This Row],[Par]])=1, -(AC59-AC60)/AC59*AD59,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Row],[Par]])),(-(AC59-AC60)/AC59*AD59)+IF(TbTradesBinance[[#This Row],[Resultado]]&gt;0,0,TbTradesBinance[[#This Row],[Taxa]]),0),0))</f>
        <v>0</v>
      </c>
      <c r="AE60" s="145">
        <f t="shared" si="6"/>
        <v>0</v>
      </c>
      <c r="AF6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Row],[Tipo]]="DROP"),AF59+TbTradesBinance[[#This Row],[Qtt]],AF59-TbTradesBinance[[#This Row],[Qtt]]),IF(TbTradesBinance[[#This Row],[Tipo]]="BUY",AF59-TbTradesBinance[[#This Row],[Qtt]]*TbTradesBinance[[#This Row],[Preço]],AF59+TbTradesBinance[[#This Row],[Qtt]]*TbTradesBinance[[#This Row],[Preço]])),AF59)-IF(TbTradesBinance[[#This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Row],[Tipo]]="DROP"),AF59+TbTradesBinance[[#This Row],[Qtt]],AF59-TbTradesBinance[[#This Row],[Qtt]]),IF(TbTradesBinance[[#This Row],[Tipo]]="BUY",AF59-TbTradesBinance[[#This Row],[Qtt]]*TbTradesBinance[[#This Row],[Preço]],AF59+TbTradesBinance[[#This Row],[Qtt]]*TbTradesBinance[[#This Row],[Preço]])),AF59)-IF(TbTradesBinance[[#This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Row],[Tipo]]="DROP"),AF59+TbTradesBinance[[#This Row],[Qtt]],AF59-TbTradesBinance[[#This Row],[Qtt]]),IF(TbTradesBinance[[#This Row],[Tipo]]="BUY",AF59-TbTradesBinance[[#This Row],[Qtt]]*TbTradesBinance[[#This Row],[Preço]],AF59+TbTradesBinance[[#This Row],[Qtt]]*TbTradesBinance[[#This Row],[Preço]])),AF59)-IF(TbTradesBinance[[#This Row],[Moeda da Taxa]]=MID(AF$1,9,5),TbTradesBinance[[#This Row],[Taxa]],0),8)))</f>
        <v>0</v>
      </c>
      <c r="AG60" s="145" cm="1">
        <f t="array" ref="AG60">IF(TbTradesBinance[[#This Row],[Tipo]]="EMPTY",0,AG59+IF(TbTradesBinance[[#This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Row],[Par]]))),$1:$1,0)),-(AF59-AF60)/AF59*AG59),0),0)+IF(TbTradesBinance[[#This Row],[Tipo]]="SELL",IF(ISNUMBER(FIND(MID(AG$1,10,5),TbTradesBinance[[#This Row],[Par]])),IF(FIND(MID(AG$1,10,5),TbTradesBinance[[#This Row],[Par]])=1, -(AF59-AF60)/AF59*AG59,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Row],[Par]])),(-(AF59-AF60)/AF59*AG59)+IF(TbTradesBinance[[#This Row],[Resultado]]&gt;0,0,TbTradesBinance[[#This Row],[Taxa]]),0),0))</f>
        <v>0</v>
      </c>
      <c r="AH60" s="145">
        <f t="shared" si="7"/>
        <v>0</v>
      </c>
      <c r="AI6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Row],[Tipo]]="DROP"),AI59+TbTradesBinance[[#This Row],[Qtt]],AI59-TbTradesBinance[[#This Row],[Qtt]]),IF(TbTradesBinance[[#This Row],[Tipo]]="BUY",AI59-TbTradesBinance[[#This Row],[Qtt]]*TbTradesBinance[[#This Row],[Preço]],AI59+TbTradesBinance[[#This Row],[Qtt]]*TbTradesBinance[[#This Row],[Preço]])),AI59)-IF(TbTradesBinance[[#This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Row],[Tipo]]="DROP"),AI59+TbTradesBinance[[#This Row],[Qtt]],AI59-TbTradesBinance[[#This Row],[Qtt]]),IF(TbTradesBinance[[#This Row],[Tipo]]="BUY",AI59-TbTradesBinance[[#This Row],[Qtt]]*TbTradesBinance[[#This Row],[Preço]],AI59+TbTradesBinance[[#This Row],[Qtt]]*TbTradesBinance[[#This Row],[Preço]])),AI59)-IF(TbTradesBinance[[#This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Row],[Tipo]]="DROP"),AI59+TbTradesBinance[[#This Row],[Qtt]],AI59-TbTradesBinance[[#This Row],[Qtt]]),IF(TbTradesBinance[[#This Row],[Tipo]]="BUY",AI59-TbTradesBinance[[#This Row],[Qtt]]*TbTradesBinance[[#This Row],[Preço]],AI59+TbTradesBinance[[#This Row],[Qtt]]*TbTradesBinance[[#This Row],[Preço]])),AI59)-IF(TbTradesBinance[[#This Row],[Moeda da Taxa]]=MID(AI$1,9,5),TbTradesBinance[[#This Row],[Taxa]],0),8)))</f>
        <v>0</v>
      </c>
      <c r="AJ60" s="145" cm="1">
        <f t="array" ref="AJ60">IF(TbTradesBinance[[#This Row],[Tipo]]="EMPTY",0,AJ59+IF(TbTradesBinance[[#This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Row],[Par]]))),$1:$1,0)),-(AI59-AI60)/AI59*AJ59),0),0)+IF(TbTradesBinance[[#This Row],[Tipo]]="SELL",IF(ISNUMBER(FIND(MID(AJ$1,10,5),TbTradesBinance[[#This Row],[Par]])),IF(FIND(MID(AJ$1,10,5),TbTradesBinance[[#This Row],[Par]])=1, -(AI59-AI60)/AI59*AJ59,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Row],[Par]])),(-(AI59-AI60)/AI59*AJ59)+IF(TbTradesBinance[[#This Row],[Resultado]]&gt;0,0,TbTradesBinance[[#This Row],[Taxa]]),0),0))</f>
        <v>0</v>
      </c>
      <c r="AK60" s="145">
        <f t="shared" si="8"/>
        <v>0</v>
      </c>
      <c r="AL6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Row],[Tipo]]="DROP"),AL59+TbTradesBinance[[#This Row],[Qtt]],AL59-TbTradesBinance[[#This Row],[Qtt]]),IF(TbTradesBinance[[#This Row],[Tipo]]="BUY",AL59-TbTradesBinance[[#This Row],[Qtt]]*TbTradesBinance[[#This Row],[Preço]],AL59+TbTradesBinance[[#This Row],[Qtt]]*TbTradesBinance[[#This Row],[Preço]])),AL59)-IF(TbTradesBinance[[#This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Row],[Tipo]]="DROP"),AL59+TbTradesBinance[[#This Row],[Qtt]],AL59-TbTradesBinance[[#This Row],[Qtt]]),IF(TbTradesBinance[[#This Row],[Tipo]]="BUY",AL59-TbTradesBinance[[#This Row],[Qtt]]*TbTradesBinance[[#This Row],[Preço]],AL59+TbTradesBinance[[#This Row],[Qtt]]*TbTradesBinance[[#This Row],[Preço]])),AL59)-IF(TbTradesBinance[[#This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Row],[Tipo]]="DROP"),AL59+TbTradesBinance[[#This Row],[Qtt]],AL59-TbTradesBinance[[#This Row],[Qtt]]),IF(TbTradesBinance[[#This Row],[Tipo]]="BUY",AL59-TbTradesBinance[[#This Row],[Qtt]]*TbTradesBinance[[#This Row],[Preço]],AL59+TbTradesBinance[[#This Row],[Qtt]]*TbTradesBinance[[#This Row],[Preço]])),AL59)-IF(TbTradesBinance[[#This Row],[Moeda da Taxa]]=MID(AL$1,9,5),TbTradesBinance[[#This Row],[Taxa]],0),8)))</f>
        <v>0</v>
      </c>
      <c r="AM60" s="145" cm="1">
        <f t="array" ref="AM60">IF(TbTradesBinance[[#This Row],[Tipo]]="EMPTY",0,AM59+IF(TbTradesBinance[[#This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Row],[Par]]))),$1:$1,0)),-(AL59-AL60)/AL59*AM59),0),0)+IF(TbTradesBinance[[#This Row],[Tipo]]="SELL",IF(ISNUMBER(FIND(MID(AM$1,10,5),TbTradesBinance[[#This Row],[Par]])),IF(FIND(MID(AM$1,10,5),TbTradesBinance[[#This Row],[Par]])=1, -(AL59-AL60)/AL59*AM59,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Row],[Par]])),(-(AL59-AL60)/AL59*AM59)+IF(TbTradesBinance[[#This Row],[Resultado]]&gt;0,0,TbTradesBinance[[#This Row],[Taxa]]),0),0))</f>
        <v>0</v>
      </c>
      <c r="AN60" s="145">
        <f t="shared" si="9"/>
        <v>0</v>
      </c>
      <c r="AO6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Row],[Tipo]]="DROP"),AO59+TbTradesBinance[[#This Row],[Qtt]],AO59-TbTradesBinance[[#This Row],[Qtt]]),IF(TbTradesBinance[[#This Row],[Tipo]]="BUY",AO59-TbTradesBinance[[#This Row],[Qtt]]*TbTradesBinance[[#This Row],[Preço]],AO59+TbTradesBinance[[#This Row],[Qtt]]*TbTradesBinance[[#This Row],[Preço]])),AO59)-IF(TbTradesBinance[[#This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Row],[Tipo]]="DROP"),AO59+TbTradesBinance[[#This Row],[Qtt]],AO59-TbTradesBinance[[#This Row],[Qtt]]),IF(TbTradesBinance[[#This Row],[Tipo]]="BUY",AO59-TbTradesBinance[[#This Row],[Qtt]]*TbTradesBinance[[#This Row],[Preço]],AO59+TbTradesBinance[[#This Row],[Qtt]]*TbTradesBinance[[#This Row],[Preço]])),AO59)-IF(TbTradesBinance[[#This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Row],[Tipo]]="DROP"),AO59+TbTradesBinance[[#This Row],[Qtt]],AO59-TbTradesBinance[[#This Row],[Qtt]]),IF(TbTradesBinance[[#This Row],[Tipo]]="BUY",AO59-TbTradesBinance[[#This Row],[Qtt]]*TbTradesBinance[[#This Row],[Preço]],AO59+TbTradesBinance[[#This Row],[Qtt]]*TbTradesBinance[[#This Row],[Preço]])),AO59)-IF(TbTradesBinance[[#This Row],[Moeda da Taxa]]=MID(AO$1,9,5),TbTradesBinance[[#This Row],[Taxa]],0),8)))</f>
        <v>1.2444699999999999E-3</v>
      </c>
      <c r="AP60" s="145" cm="1">
        <f t="array" ref="AP60">IF(TbTradesBinance[[#This Row],[Tipo]]="EMPTY",0,AP59+IF(TbTradesBinance[[#This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Row],[Par]]))),$1:$1,0)),-(AO59-AO60)/AO59*AP59),0),0)+IF(TbTradesBinance[[#This Row],[Tipo]]="SELL",IF(ISNUMBER(FIND(MID(AP$1,10,5),TbTradesBinance[[#This Row],[Par]])),IF(FIND(MID(AP$1,10,5),TbTradesBinance[[#This Row],[Par]])=1, -(AO59-AO60)/AO59*AP59,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Row],[Par]])),(-(AO59-AO60)/AO59*AP59)+IF(TbTradesBinance[[#This Row],[Resultado]]&gt;0,0,TbTradesBinance[[#This Row],[Taxa]]),0),0))</f>
        <v>1.7416212429180353</v>
      </c>
      <c r="AQ60" s="145">
        <f t="shared" si="10"/>
        <v>1399.4883307094872</v>
      </c>
      <c r="AR6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Row],[Tipo]]="DROP"),AR59+TbTradesBinance[[#This Row],[Qtt]],AR59-TbTradesBinance[[#This Row],[Qtt]]),IF(TbTradesBinance[[#This Row],[Tipo]]="BUY",AR59-TbTradesBinance[[#This Row],[Qtt]]*TbTradesBinance[[#This Row],[Preço]],AR59+TbTradesBinance[[#This Row],[Qtt]]*TbTradesBinance[[#This Row],[Preço]])),AR59)-IF(TbTradesBinance[[#This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Row],[Tipo]]="DROP"),AR59+TbTradesBinance[[#This Row],[Qtt]],AR59-TbTradesBinance[[#This Row],[Qtt]]),IF(TbTradesBinance[[#This Row],[Tipo]]="BUY",AR59-TbTradesBinance[[#This Row],[Qtt]]*TbTradesBinance[[#This Row],[Preço]],AR59+TbTradesBinance[[#This Row],[Qtt]]*TbTradesBinance[[#This Row],[Preço]])),AR59)-IF(TbTradesBinance[[#This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Row],[Tipo]]="DROP"),AR59+TbTradesBinance[[#This Row],[Qtt]],AR59-TbTradesBinance[[#This Row],[Qtt]]),IF(TbTradesBinance[[#This Row],[Tipo]]="BUY",AR59-TbTradesBinance[[#This Row],[Qtt]]*TbTradesBinance[[#This Row],[Preço]],AR59+TbTradesBinance[[#This Row],[Qtt]]*TbTradesBinance[[#This Row],[Preço]])),AR59)-IF(TbTradesBinance[[#This Row],[Moeda da Taxa]]=MID(AR$1,9,5),TbTradesBinance[[#This Row],[Taxa]],0),8)))</f>
        <v>0</v>
      </c>
      <c r="AS60" s="145" cm="1">
        <f t="array" ref="AS60">IF(TbTradesBinance[[#This Row],[Tipo]]="EMPTY",0,AS59+IF(TbTradesBinance[[#This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Row],[Par]]))),$1:$1,0)),-(AR59-AR60)/AR59*AS59),0),0)+IF(TbTradesBinance[[#This Row],[Tipo]]="SELL",IF(ISNUMBER(FIND(MID(AS$1,10,5),TbTradesBinance[[#This Row],[Par]])),IF(FIND(MID(AS$1,10,5),TbTradesBinance[[#This Row],[Par]])=1, -(AR59-AR60)/AR59*AS59,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Row],[Par]])),(-(AR59-AR60)/AR59*AS59)+IF(TbTradesBinance[[#This Row],[Resultado]]&gt;0,0,TbTradesBinance[[#This Row],[Taxa]]),0),0))</f>
        <v>0</v>
      </c>
      <c r="AT60" s="145">
        <f t="shared" si="11"/>
        <v>0</v>
      </c>
      <c r="AU6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Row],[Tipo]]="DROP"),AU59+TbTradesBinance[[#This Row],[Qtt]],AU59-TbTradesBinance[[#This Row],[Qtt]]),IF(TbTradesBinance[[#This Row],[Tipo]]="BUY",AU59-TbTradesBinance[[#This Row],[Qtt]]*TbTradesBinance[[#This Row],[Preço]],AU59+TbTradesBinance[[#This Row],[Qtt]]*TbTradesBinance[[#This Row],[Preço]])),AU59)-IF(TbTradesBinance[[#This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Row],[Tipo]]="DROP"),AU59+TbTradesBinance[[#This Row],[Qtt]],AU59-TbTradesBinance[[#This Row],[Qtt]]),IF(TbTradesBinance[[#This Row],[Tipo]]="BUY",AU59-TbTradesBinance[[#This Row],[Qtt]]*TbTradesBinance[[#This Row],[Preço]],AU59+TbTradesBinance[[#This Row],[Qtt]]*TbTradesBinance[[#This Row],[Preço]])),AU59)-IF(TbTradesBinance[[#This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Row],[Tipo]]="DROP"),AU59+TbTradesBinance[[#This Row],[Qtt]],AU59-TbTradesBinance[[#This Row],[Qtt]]),IF(TbTradesBinance[[#This Row],[Tipo]]="BUY",AU59-TbTradesBinance[[#This Row],[Qtt]]*TbTradesBinance[[#This Row],[Preço]],AU59+TbTradesBinance[[#This Row],[Qtt]]*TbTradesBinance[[#This Row],[Preço]])),AU59)-IF(TbTradesBinance[[#This Row],[Moeda da Taxa]]=MID(AU$1,9,5),TbTradesBinance[[#This Row],[Taxa]],0),8)))</f>
        <v>9.9900000000000003E-2</v>
      </c>
      <c r="AV60" s="145" cm="1">
        <f t="array" ref="AV60">IF(TbTradesBinance[[#This Row],[Tipo]]="EMPTY",0,AV59+IF(TbTradesBinance[[#This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Row],[Par]]))),$1:$1,0)),-(AU59-AU60)/AU59*AV59),0),0)+IF(TbTradesBinance[[#This Row],[Tipo]]="SELL",IF(ISNUMBER(FIND(MID(AV$1,10,5),TbTradesBinance[[#This Row],[Par]])),IF(FIND(MID(AV$1,10,5),TbTradesBinance[[#This Row],[Par]])=1, -(AU59-AU60)/AU59*AV59,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Row],[Par]])),(-(AU59-AU60)/AU59*AV59)+IF(TbTradesBinance[[#This Row],[Resultado]]&gt;0,0,TbTradesBinance[[#This Row],[Taxa]]),0),0))</f>
        <v>18.673922987511034</v>
      </c>
      <c r="AW60" s="145">
        <f t="shared" si="12"/>
        <v>186.92615603114149</v>
      </c>
      <c r="AX6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Row],[Tipo]]="DROP"),AX59+TbTradesBinance[[#This Row],[Qtt]],AX59-TbTradesBinance[[#This Row],[Qtt]]),IF(TbTradesBinance[[#This Row],[Tipo]]="BUY",AX59-TbTradesBinance[[#This Row],[Qtt]]*TbTradesBinance[[#This Row],[Preço]],AX59+TbTradesBinance[[#This Row],[Qtt]]*TbTradesBinance[[#This Row],[Preço]])),AX59)-IF(TbTradesBinance[[#This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Row],[Tipo]]="DROP"),AX59+TbTradesBinance[[#This Row],[Qtt]],AX59-TbTradesBinance[[#This Row],[Qtt]]),IF(TbTradesBinance[[#This Row],[Tipo]]="BUY",AX59-TbTradesBinance[[#This Row],[Qtt]]*TbTradesBinance[[#This Row],[Preço]],AX59+TbTradesBinance[[#This Row],[Qtt]]*TbTradesBinance[[#This Row],[Preço]])),AX59)-IF(TbTradesBinance[[#This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Row],[Tipo]]="DROP"),AX59+TbTradesBinance[[#This Row],[Qtt]],AX59-TbTradesBinance[[#This Row],[Qtt]]),IF(TbTradesBinance[[#This Row],[Tipo]]="BUY",AX59-TbTradesBinance[[#This Row],[Qtt]]*TbTradesBinance[[#This Row],[Preço]],AX59+TbTradesBinance[[#This Row],[Qtt]]*TbTradesBinance[[#This Row],[Preço]])),AX59)-IF(TbTradesBinance[[#This Row],[Moeda da Taxa]]=MID(AX$1,9,5),TbTradesBinance[[#This Row],[Taxa]],0),8)))</f>
        <v>0</v>
      </c>
      <c r="AY60" s="145" cm="1">
        <f t="array" ref="AY60">IF(TbTradesBinance[[#This Row],[Tipo]]="EMPTY",0,AY59+IF(TbTradesBinance[[#This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Row],[Par]]))),$1:$1,0)),-(AX59-AX60)/AX59*AY59),0),0)+IF(TbTradesBinance[[#This Row],[Tipo]]="SELL",IF(ISNUMBER(FIND(MID(AY$1,10,5),TbTradesBinance[[#This Row],[Par]])),IF(FIND(MID(AY$1,10,5),TbTradesBinance[[#This Row],[Par]])=1, -(AX59-AX60)/AX59*AY59,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Row],[Par]])),(-(AX59-AX60)/AX59*AY59)+IF(TbTradesBinance[[#This Row],[Resultado]]&gt;0,0,TbTradesBinance[[#This Row],[Taxa]]),0),0))</f>
        <v>0</v>
      </c>
      <c r="AZ60" s="145">
        <f t="shared" si="13"/>
        <v>0</v>
      </c>
      <c r="BA6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Row],[Tipo]]="DROP"),BA59+TbTradesBinance[[#This Row],[Qtt]],BA59-TbTradesBinance[[#This Row],[Qtt]]),IF(TbTradesBinance[[#This Row],[Tipo]]="BUY",BA59-TbTradesBinance[[#This Row],[Qtt]]*TbTradesBinance[[#This Row],[Preço]],BA59+TbTradesBinance[[#This Row],[Qtt]]*TbTradesBinance[[#This Row],[Preço]])),BA59)-IF(TbTradesBinance[[#This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Row],[Tipo]]="DROP"),BA59+TbTradesBinance[[#This Row],[Qtt]],BA59-TbTradesBinance[[#This Row],[Qtt]]),IF(TbTradesBinance[[#This Row],[Tipo]]="BUY",BA59-TbTradesBinance[[#This Row],[Qtt]]*TbTradesBinance[[#This Row],[Preço]],BA59+TbTradesBinance[[#This Row],[Qtt]]*TbTradesBinance[[#This Row],[Preço]])),BA59)-IF(TbTradesBinance[[#This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Row],[Tipo]]="DROP"),BA59+TbTradesBinance[[#This Row],[Qtt]],BA59-TbTradesBinance[[#This Row],[Qtt]]),IF(TbTradesBinance[[#This Row],[Tipo]]="BUY",BA59-TbTradesBinance[[#This Row],[Qtt]]*TbTradesBinance[[#This Row],[Preço]],BA59+TbTradesBinance[[#This Row],[Qtt]]*TbTradesBinance[[#This Row],[Preço]])),BA59)-IF(TbTradesBinance[[#This Row],[Moeda da Taxa]]=MID(BA$1,9,5),TbTradesBinance[[#This Row],[Taxa]],0),8)))</f>
        <v>0</v>
      </c>
      <c r="BB60" s="145" cm="1">
        <f t="array" ref="BB60">IF(TbTradesBinance[[#This Row],[Tipo]]="EMPTY",0,BB59+IF(TbTradesBinance[[#This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Row],[Par]]))),$1:$1,0)),-(BA59-BA60)/BA59*BB59),0),0)+IF(TbTradesBinance[[#This Row],[Tipo]]="SELL",IF(ISNUMBER(FIND(MID(BB$1,10,5),TbTradesBinance[[#This Row],[Par]])),IF(FIND(MID(BB$1,10,5),TbTradesBinance[[#This Row],[Par]])=1, -(BA59-BA60)/BA59*BB59,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Row],[Par]])),(-(BA59-BA60)/BA59*BB59)+IF(TbTradesBinance[[#This Row],[Resultado]]&gt;0,0,TbTradesBinance[[#This Row],[Taxa]]),0),0))</f>
        <v>0</v>
      </c>
      <c r="BC60" s="145">
        <f t="shared" si="14"/>
        <v>0</v>
      </c>
      <c r="BD6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Row],[Tipo]]="DROP"),BD59+TbTradesBinance[[#This Row],[Qtt]],BD59-TbTradesBinance[[#This Row],[Qtt]]),IF(TbTradesBinance[[#This Row],[Tipo]]="BUY",BD59-TbTradesBinance[[#This Row],[Qtt]]*TbTradesBinance[[#This Row],[Preço]],BD59+TbTradesBinance[[#This Row],[Qtt]]*TbTradesBinance[[#This Row],[Preço]])),BD59)-IF(TbTradesBinance[[#This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Row],[Tipo]]="DROP"),BD59+TbTradesBinance[[#This Row],[Qtt]],BD59-TbTradesBinance[[#This Row],[Qtt]]),IF(TbTradesBinance[[#This Row],[Tipo]]="BUY",BD59-TbTradesBinance[[#This Row],[Qtt]]*TbTradesBinance[[#This Row],[Preço]],BD59+TbTradesBinance[[#This Row],[Qtt]]*TbTradesBinance[[#This Row],[Preço]])),BD59)-IF(TbTradesBinance[[#This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Row],[Tipo]]="DROP"),BD59+TbTradesBinance[[#This Row],[Qtt]],BD59-TbTradesBinance[[#This Row],[Qtt]]),IF(TbTradesBinance[[#This Row],[Tipo]]="BUY",BD59-TbTradesBinance[[#This Row],[Qtt]]*TbTradesBinance[[#This Row],[Preço]],BD59+TbTradesBinance[[#This Row],[Qtt]]*TbTradesBinance[[#This Row],[Preço]])),BD59)-IF(TbTradesBinance[[#This Row],[Moeda da Taxa]]=MID(BD$1,9,5),TbTradesBinance[[#This Row],[Taxa]],0),8)))</f>
        <v>0.37962000000000001</v>
      </c>
      <c r="BE60" s="145" cm="1">
        <f t="array" ref="BE60">IF(TbTradesBinance[[#This Row],[Tipo]]="EMPTY",0,BE59+IF(TbTradesBinance[[#This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Row],[Par]]))),$1:$1,0)),-(BD59-BD60)/BD59*BE59),0),0)+IF(TbTradesBinance[[#This Row],[Tipo]]="SELL",IF(ISNUMBER(FIND(MID(BE$1,10,5),TbTradesBinance[[#This Row],[Par]])),IF(FIND(MID(BE$1,10,5),TbTradesBinance[[#This Row],[Par]])=1, -(BD59-BD60)/BD59*BE59,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Row],[Par]])),(-(BD59-BD60)/BD59*BE59)+IF(TbTradesBinance[[#This Row],[Resultado]]&gt;0,0,TbTradesBinance[[#This Row],[Taxa]]),0),0))</f>
        <v>63.647297001537943</v>
      </c>
      <c r="BF60" s="145">
        <f t="shared" si="15"/>
        <v>167.66054739354601</v>
      </c>
      <c r="BG6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Row],[Tipo]]="DROP"),BG59+TbTradesBinance[[#This Row],[Qtt]],BG59-TbTradesBinance[[#This Row],[Qtt]]),IF(TbTradesBinance[[#This Row],[Tipo]]="BUY",BG59-TbTradesBinance[[#This Row],[Qtt]]*TbTradesBinance[[#This Row],[Preço]],BG59+TbTradesBinance[[#This Row],[Qtt]]*TbTradesBinance[[#This Row],[Preço]])),BG59)-IF(TbTradesBinance[[#This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Row],[Tipo]]="DROP"),BG59+TbTradesBinance[[#This Row],[Qtt]],BG59-TbTradesBinance[[#This Row],[Qtt]]),IF(TbTradesBinance[[#This Row],[Tipo]]="BUY",BG59-TbTradesBinance[[#This Row],[Qtt]]*TbTradesBinance[[#This Row],[Preço]],BG59+TbTradesBinance[[#This Row],[Qtt]]*TbTradesBinance[[#This Row],[Preço]])),BG59)-IF(TbTradesBinance[[#This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Row],[Tipo]]="DROP"),BG59+TbTradesBinance[[#This Row],[Qtt]],BG59-TbTradesBinance[[#This Row],[Qtt]]),IF(TbTradesBinance[[#This Row],[Tipo]]="BUY",BG59-TbTradesBinance[[#This Row],[Qtt]]*TbTradesBinance[[#This Row],[Preço]],BG59+TbTradesBinance[[#This Row],[Qtt]]*TbTradesBinance[[#This Row],[Preço]])),BG59)-IF(TbTradesBinance[[#This Row],[Moeda da Taxa]]=MID(BG$1,9,5),TbTradesBinance[[#This Row],[Taxa]],0),8)))</f>
        <v>0</v>
      </c>
      <c r="BH60" s="145" cm="1">
        <f t="array" ref="BH60">IF(TbTradesBinance[[#This Row],[Tipo]]="EMPTY",0,BH59+IF(TbTradesBinance[[#This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Row],[Par]]))),$1:$1,0)),-(BG59-BG60)/BG59*BH59),0),0)+IF(TbTradesBinance[[#This Row],[Tipo]]="SELL",IF(ISNUMBER(FIND(MID(BH$1,10,5),TbTradesBinance[[#This Row],[Par]])),IF(FIND(MID(BH$1,10,5),TbTradesBinance[[#This Row],[Par]])=1, -(BG59-BG60)/BG59*BH59,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Row],[Par]])),(-(BG59-BG60)/BG59*BH59)+IF(TbTradesBinance[[#This Row],[Resultado]]&gt;0,0,TbTradesBinance[[#This Row],[Taxa]]),0),0))</f>
        <v>0</v>
      </c>
      <c r="BI60" s="145">
        <f t="shared" si="16"/>
        <v>0</v>
      </c>
      <c r="BJ6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Row],[Tipo]]="DROP"),BJ59+TbTradesBinance[[#This Row],[Qtt]],BJ59-TbTradesBinance[[#This Row],[Qtt]]),IF(TbTradesBinance[[#This Row],[Tipo]]="BUY",BJ59-TbTradesBinance[[#This Row],[Qtt]]*TbTradesBinance[[#This Row],[Preço]],BJ59+TbTradesBinance[[#This Row],[Qtt]]*TbTradesBinance[[#This Row],[Preço]])),BJ59)-IF(TbTradesBinance[[#This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Row],[Tipo]]="DROP"),BJ59+TbTradesBinance[[#This Row],[Qtt]],BJ59-TbTradesBinance[[#This Row],[Qtt]]),IF(TbTradesBinance[[#This Row],[Tipo]]="BUY",BJ59-TbTradesBinance[[#This Row],[Qtt]]*TbTradesBinance[[#This Row],[Preço]],BJ59+TbTradesBinance[[#This Row],[Qtt]]*TbTradesBinance[[#This Row],[Preço]])),BJ59)-IF(TbTradesBinance[[#This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Row],[Tipo]]="DROP"),BJ59+TbTradesBinance[[#This Row],[Qtt]],BJ59-TbTradesBinance[[#This Row],[Qtt]]),IF(TbTradesBinance[[#This Row],[Tipo]]="BUY",BJ59-TbTradesBinance[[#This Row],[Qtt]]*TbTradesBinance[[#This Row],[Preço]],BJ59+TbTradesBinance[[#This Row],[Qtt]]*TbTradesBinance[[#This Row],[Preço]])),BJ59)-IF(TbTradesBinance[[#This Row],[Moeda da Taxa]]=MID(BJ$1,9,5),TbTradesBinance[[#This Row],[Taxa]],0),8)))</f>
        <v>0</v>
      </c>
      <c r="BK60" s="145" cm="1">
        <f t="array" ref="BK60">IF(TbTradesBinance[[#This Row],[Tipo]]="EMPTY",0,BK59+IF(TbTradesBinance[[#This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Row],[Par]]))),$1:$1,0)),-(BJ59-BJ60)/BJ59*BK59),0),0)+IF(TbTradesBinance[[#This Row],[Tipo]]="SELL",IF(ISNUMBER(FIND(MID(BK$1,10,5),TbTradesBinance[[#This Row],[Par]])),IF(FIND(MID(BK$1,10,5),TbTradesBinance[[#This Row],[Par]])=1, -(BJ59-BJ60)/BJ59*BK59,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Row],[Par]])),(-(BJ59-BJ60)/BJ59*BK59)+IF(TbTradesBinance[[#This Row],[Resultado]]&gt;0,0,TbTradesBinance[[#This Row],[Taxa]]),0),0))</f>
        <v>0</v>
      </c>
      <c r="BL60" s="145">
        <f t="shared" si="17"/>
        <v>0</v>
      </c>
      <c r="BM6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Row],[Tipo]]="DROP"),BM59+TbTradesBinance[[#This Row],[Qtt]],BM59-TbTradesBinance[[#This Row],[Qtt]]),IF(TbTradesBinance[[#This Row],[Tipo]]="BUY",BM59-TbTradesBinance[[#This Row],[Qtt]]*TbTradesBinance[[#This Row],[Preço]],BM59+TbTradesBinance[[#This Row],[Qtt]]*TbTradesBinance[[#This Row],[Preço]])),BM59)-IF(TbTradesBinance[[#This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Row],[Tipo]]="DROP"),BM59+TbTradesBinance[[#This Row],[Qtt]],BM59-TbTradesBinance[[#This Row],[Qtt]]),IF(TbTradesBinance[[#This Row],[Tipo]]="BUY",BM59-TbTradesBinance[[#This Row],[Qtt]]*TbTradesBinance[[#This Row],[Preço]],BM59+TbTradesBinance[[#This Row],[Qtt]]*TbTradesBinance[[#This Row],[Preço]])),BM59)-IF(TbTradesBinance[[#This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Row],[Tipo]]="DROP"),BM59+TbTradesBinance[[#This Row],[Qtt]],BM59-TbTradesBinance[[#This Row],[Qtt]]),IF(TbTradesBinance[[#This Row],[Tipo]]="BUY",BM59-TbTradesBinance[[#This Row],[Qtt]]*TbTradesBinance[[#This Row],[Preço]],BM59+TbTradesBinance[[#This Row],[Qtt]]*TbTradesBinance[[#This Row],[Preço]])),BM59)-IF(TbTradesBinance[[#This Row],[Moeda da Taxa]]=MID(BM$1,9,5),TbTradesBinance[[#This Row],[Taxa]],0),8)))</f>
        <v>0</v>
      </c>
      <c r="BN60" s="145" cm="1">
        <f t="array" ref="BN60">IF(TbTradesBinance[[#This Row],[Tipo]]="EMPTY",0,BN59+IF(TbTradesBinance[[#This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Row],[Par]]))),$1:$1,0)),-(BM59-BM60)/BM59*BN59),0),0)+IF(TbTradesBinance[[#This Row],[Tipo]]="SELL",IF(ISNUMBER(FIND(MID(BN$1,10,5),TbTradesBinance[[#This Row],[Par]])),IF(FIND(MID(BN$1,10,5),TbTradesBinance[[#This Row],[Par]])=1, -(BM59-BM60)/BM59*BN59,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Row],[Par]])),(-(BM59-BM60)/BM59*BN59)+IF(TbTradesBinance[[#This Row],[Resultado]]&gt;0,0,TbTradesBinance[[#This Row],[Taxa]]),0),0))</f>
        <v>0</v>
      </c>
      <c r="BO60" s="145">
        <f t="shared" si="18"/>
        <v>0</v>
      </c>
    </row>
    <row r="61" spans="2:67" x14ac:dyDescent="0.3">
      <c r="B61" s="144" t="s">
        <v>247</v>
      </c>
      <c r="C61" s="40">
        <f>TRUNC(IF(AND(TbTradesBinance[[#This Row],[Tipo]]="SEND",TbTradesBinance[[#This Row],[Par]]="BRL"),TbTradesBinance[[#This Row],[Qtt]]*(1-P59)-IF(TbTradesBinance[[#This Row],[Moeda da Taxa]]="BRL",TbTradesBinance[[#This Row],[Taxa]],0),0)+IF(AND(TbTradesBinance[[#This Row],[Tipo]]="BURN",TbTradesBinance[[#This Row],[Par]]="BRL"),-TbTradesBinance[[#This Row],[Qtt]]*P59,0),2)</f>
        <v>0</v>
      </c>
      <c r="D61" s="53">
        <v>44264.633229166669</v>
      </c>
      <c r="E61" s="37" t="s">
        <v>6</v>
      </c>
      <c r="F61" s="47" t="s">
        <v>142</v>
      </c>
      <c r="G61" s="38">
        <v>279301.90327048959</v>
      </c>
      <c r="H61" s="38">
        <v>2.0191E-4</v>
      </c>
      <c r="I61" s="38">
        <v>5.1091000000000005E-4</v>
      </c>
      <c r="J61" s="37" t="s">
        <v>45</v>
      </c>
      <c r="K61" s="52">
        <v>1</v>
      </c>
      <c r="L61" s="40">
        <f t="shared" si="0"/>
        <v>279301.90000000002</v>
      </c>
      <c r="M61" s="40">
        <f>IF(OR(TbTradesBinance[[#This Row],[Tipo]]="BUY",TbTradesBinance[[#This Row],[Tipo]]="RECEIVE",TbTradesBinance[[#This Row],[Tipo]]="DROP"),L61*H61,-L61*H61)</f>
        <v>-56.393846629000002</v>
      </c>
      <c r="N6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Row],[Tipo]]="DROP"),N60+TbTradesBinance[[#This Row],[Qtt]],N60-TbTradesBinance[[#This Row],[Qtt]]),IF(TbTradesBinance[[#This Row],[Tipo]]="BUY",N60-TbTradesBinance[[#This Row],[Qtt]]*TbTradesBinance[[#This Row],[Preço]],N60+TbTradesBinance[[#This Row],[Qtt]]*TbTradesBinance[[#This Row],[Preço]])),N60)-IF(TbTradesBinance[[#This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Row],[Tipo]]="DROP"),N60+TbTradesBinance[[#This Row],[Qtt]],N60-TbTradesBinance[[#This Row],[Qtt]]),IF(TbTradesBinance[[#This Row],[Tipo]]="BUY",N60-TbTradesBinance[[#This Row],[Qtt]]*TbTradesBinance[[#This Row],[Preço]],N60+TbTradesBinance[[#This Row],[Qtt]]*TbTradesBinance[[#This Row],[Preço]])),N60)-IF(TbTradesBinance[[#This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Row],[Tipo]]="DROP"),N60+TbTradesBinance[[#This Row],[Qtt]],N60-TbTradesBinance[[#This Row],[Qtt]]),IF(TbTradesBinance[[#This Row],[Tipo]]="BUY",N60-TbTradesBinance[[#This Row],[Qtt]]*TbTradesBinance[[#This Row],[Preço]],N60+TbTradesBinance[[#This Row],[Qtt]]*TbTradesBinance[[#This Row],[Preço]])),N60)-IF(TbTradesBinance[[#This Row],[Moeda da Taxa]]=MID(N$1,9,5),TbTradesBinance[[#This Row],[Taxa]],0),8)))</f>
        <v>119827.08914488999</v>
      </c>
      <c r="O61" s="145" cm="1">
        <f t="array" ref="O61">IF(TbTradesBinance[[#This Row],[Tipo]]="EMPTY",0,O60+IF(TbTradesBinance[[#This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Row],[Par]]))),$1:$1,0)),-(N60-N61)/N60*O60),0),0)+IF(TbTradesBinance[[#This Row],[Tipo]]="SELL",IF(ISNUMBER(FIND(MID(O$1,10,5),TbTradesBinance[[#This Row],[Par]])),IF(FIND(MID(O$1,10,5),TbTradesBinance[[#This Row],[Par]])=1, -(N60-N61)/N60*O60,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Row],[Par]])),(-(N60-N61)/N60*O60)+IF(TbTradesBinance[[#This Row],[Resultado]]&gt;0,0,TbTradesBinance[[#This Row],[Taxa]]),0),0))</f>
        <v>119729.69553030474</v>
      </c>
      <c r="P61" s="145">
        <f t="shared" si="1"/>
        <v>0.99918721538443211</v>
      </c>
      <c r="Q6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Row],[Tipo]]="DROP"),Q60+TbTradesBinance[[#This Row],[Qtt]],Q60-TbTradesBinance[[#This Row],[Qtt]]),IF(TbTradesBinance[[#This Row],[Tipo]]="BUY",Q60-TbTradesBinance[[#This Row],[Qtt]]*TbTradesBinance[[#This Row],[Preço]],Q60+TbTradesBinance[[#This Row],[Qtt]]*TbTradesBinance[[#This Row],[Preço]])),Q60)-IF(TbTradesBinance[[#This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Row],[Tipo]]="DROP"),Q60+TbTradesBinance[[#This Row],[Qtt]],Q60-TbTradesBinance[[#This Row],[Qtt]]),IF(TbTradesBinance[[#This Row],[Tipo]]="BUY",Q60-TbTradesBinance[[#This Row],[Qtt]]*TbTradesBinance[[#This Row],[Preço]],Q60+TbTradesBinance[[#This Row],[Qtt]]*TbTradesBinance[[#This Row],[Preço]])),Q60)-IF(TbTradesBinance[[#This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Row],[Tipo]]="DROP"),Q60+TbTradesBinance[[#This Row],[Qtt]],Q60-TbTradesBinance[[#This Row],[Qtt]]),IF(TbTradesBinance[[#This Row],[Tipo]]="BUY",Q60-TbTradesBinance[[#This Row],[Qtt]]*TbTradesBinance[[#This Row],[Preço]],Q60+TbTradesBinance[[#This Row],[Qtt]]*TbTradesBinance[[#This Row],[Preço]])),Q60)-IF(TbTradesBinance[[#This Row],[Moeda da Taxa]]=MID(Q$1,9,5),TbTradesBinance[[#This Row],[Taxa]],0),8)))</f>
        <v>0</v>
      </c>
      <c r="R61" s="145" cm="1">
        <f t="array" ref="R61">IF(TbTradesBinance[[#This Row],[Tipo]]="EMPTY",0,R60+IF(TbTradesBinance[[#This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Row],[Par]]))),$1:$1,0)),-(Q60-Q61)/Q60*R60),0),0)+IF(TbTradesBinance[[#This Row],[Tipo]]="SELL",IF(ISNUMBER(FIND(MID(R$1,10,5),TbTradesBinance[[#This Row],[Par]])),IF(FIND(MID(R$1,10,5),TbTradesBinance[[#This Row],[Par]])=1, -(Q60-Q61)/Q60*R60,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Row],[Par]])),(-(Q60-Q61)/Q60*R60)+IF(TbTradesBinance[[#This Row],[Resultado]]&gt;0,0,TbTradesBinance[[#This Row],[Taxa]]),0),0))</f>
        <v>0</v>
      </c>
      <c r="S61" s="145">
        <f t="shared" si="2"/>
        <v>0</v>
      </c>
      <c r="T6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Row],[Tipo]]="DROP"),T60+TbTradesBinance[[#This Row],[Qtt]],T60-TbTradesBinance[[#This Row],[Qtt]]),IF(TbTradesBinance[[#This Row],[Tipo]]="BUY",T60-TbTradesBinance[[#This Row],[Qtt]]*TbTradesBinance[[#This Row],[Preço]],T60+TbTradesBinance[[#This Row],[Qtt]]*TbTradesBinance[[#This Row],[Preço]])),T60)-IF(TbTradesBinance[[#This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Row],[Tipo]]="DROP"),T60+TbTradesBinance[[#This Row],[Qtt]],T60-TbTradesBinance[[#This Row],[Qtt]]),IF(TbTradesBinance[[#This Row],[Tipo]]="BUY",T60-TbTradesBinance[[#This Row],[Qtt]]*TbTradesBinance[[#This Row],[Preço]],T60+TbTradesBinance[[#This Row],[Qtt]]*TbTradesBinance[[#This Row],[Preço]])),T60)-IF(TbTradesBinance[[#This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Row],[Tipo]]="DROP"),T60+TbTradesBinance[[#This Row],[Qtt]],T60-TbTradesBinance[[#This Row],[Qtt]]),IF(TbTradesBinance[[#This Row],[Tipo]]="BUY",T60-TbTradesBinance[[#This Row],[Qtt]]*TbTradesBinance[[#This Row],[Preço]],T60+TbTradesBinance[[#This Row],[Qtt]]*TbTradesBinance[[#This Row],[Preço]])),T60)-IF(TbTradesBinance[[#This Row],[Moeda da Taxa]]=MID(T$1,9,5),TbTradesBinance[[#This Row],[Taxa]],0),8)))</f>
        <v>199735.32000169999</v>
      </c>
      <c r="U61" s="145" cm="1">
        <f t="array" ref="U61">IF(TbTradesBinance[[#This Row],[Tipo]]="EMPTY",0,U60+IF(TbTradesBinance[[#This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Row],[Par]]))),$1:$1,0)),-(T60-T61)/T60*U60),0),0)+IF(TbTradesBinance[[#This Row],[Tipo]]="SELL",IF(ISNUMBER(FIND(MID(U$1,10,5),TbTradesBinance[[#This Row],[Par]])),IF(FIND(MID(U$1,10,5),TbTradesBinance[[#This Row],[Par]])=1, -(T60-T61)/T60*U60,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Row],[Par]])),(-(T60-T61)/T60*U60)+IF(TbTradesBinance[[#This Row],[Resultado]]&gt;0,0,TbTradesBinance[[#This Row],[Taxa]]),0),0))</f>
        <v>1328239.8809817513</v>
      </c>
      <c r="V61" s="145">
        <f t="shared" si="3"/>
        <v>6.6500000148719129</v>
      </c>
      <c r="W6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Row],[Tipo]]="DROP"),W60+TbTradesBinance[[#This Row],[Qtt]],W60-TbTradesBinance[[#This Row],[Qtt]]),IF(TbTradesBinance[[#This Row],[Tipo]]="BUY",W60-TbTradesBinance[[#This Row],[Qtt]]*TbTradesBinance[[#This Row],[Preço]],W60+TbTradesBinance[[#This Row],[Qtt]]*TbTradesBinance[[#This Row],[Preço]])),W60)-IF(TbTradesBinance[[#This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Row],[Tipo]]="DROP"),W60+TbTradesBinance[[#This Row],[Qtt]],W60-TbTradesBinance[[#This Row],[Qtt]]),IF(TbTradesBinance[[#This Row],[Tipo]]="BUY",W60-TbTradesBinance[[#This Row],[Qtt]]*TbTradesBinance[[#This Row],[Preço]],W60+TbTradesBinance[[#This Row],[Qtt]]*TbTradesBinance[[#This Row],[Preço]])),W60)-IF(TbTradesBinance[[#This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Row],[Tipo]]="DROP"),W60+TbTradesBinance[[#This Row],[Qtt]],W60-TbTradesBinance[[#This Row],[Qtt]]),IF(TbTradesBinance[[#This Row],[Tipo]]="BUY",W60-TbTradesBinance[[#This Row],[Qtt]]*TbTradesBinance[[#This Row],[Preço]],W60+TbTradesBinance[[#This Row],[Qtt]]*TbTradesBinance[[#This Row],[Preço]])),W60)-IF(TbTradesBinance[[#This Row],[Moeda da Taxa]]=MID(W$1,9,5),TbTradesBinance[[#This Row],[Taxa]],0),8)))</f>
        <v>9.7773000000000001E-4</v>
      </c>
      <c r="X61" s="145" cm="1">
        <f t="array" ref="X61">IF(TbTradesBinance[[#This Row],[Tipo]]="EMPTY",0,X60+IF(TbTradesBinance[[#This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Row],[Par]]))),$1:$1,0)),-(W60-W61)/W60*X60),0),0)+IF(TbTradesBinance[[#This Row],[Tipo]]="SELL",IF(ISNUMBER(FIND(MID(X$1,10,5),TbTradesBinance[[#This Row],[Par]])),IF(FIND(MID(X$1,10,5),TbTradesBinance[[#This Row],[Par]])=1, -(W60-W61)/W60*X60,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Row],[Par]])),(-(W60-W61)/W60*X60)+IF(TbTradesBinance[[#This Row],[Resultado]]&gt;0,0,TbTradesBinance[[#This Row],[Taxa]]),0),0))</f>
        <v>293.4382665876517</v>
      </c>
      <c r="Y61" s="145">
        <f t="shared" si="4"/>
        <v>300121.98315245693</v>
      </c>
      <c r="Z6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Row],[Tipo]]="DROP"),Z60+TbTradesBinance[[#This Row],[Qtt]],Z60-TbTradesBinance[[#This Row],[Qtt]]),IF(TbTradesBinance[[#This Row],[Tipo]]="BUY",Z60-TbTradesBinance[[#This Row],[Qtt]]*TbTradesBinance[[#This Row],[Preço]],Z60+TbTradesBinance[[#This Row],[Qtt]]*TbTradesBinance[[#This Row],[Preço]])),Z60)-IF(TbTradesBinance[[#This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Row],[Tipo]]="DROP"),Z60+TbTradesBinance[[#This Row],[Qtt]],Z60-TbTradesBinance[[#This Row],[Qtt]]),IF(TbTradesBinance[[#This Row],[Tipo]]="BUY",Z60-TbTradesBinance[[#This Row],[Qtt]]*TbTradesBinance[[#This Row],[Preço]],Z60+TbTradesBinance[[#This Row],[Qtt]]*TbTradesBinance[[#This Row],[Preço]])),Z60)-IF(TbTradesBinance[[#This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Row],[Tipo]]="DROP"),Z60+TbTradesBinance[[#This Row],[Qtt]],Z60-TbTradesBinance[[#This Row],[Qtt]]),IF(TbTradesBinance[[#This Row],[Tipo]]="BUY",Z60-TbTradesBinance[[#This Row],[Qtt]]*TbTradesBinance[[#This Row],[Preço]],Z60+TbTradesBinance[[#This Row],[Qtt]]*TbTradesBinance[[#This Row],[Preço]])),Z60)-IF(TbTradesBinance[[#This Row],[Moeda da Taxa]]=MID(Z$1,9,5),TbTradesBinance[[#This Row],[Taxa]],0),8)))</f>
        <v>0</v>
      </c>
      <c r="AA61" s="145" cm="1">
        <f t="array" ref="AA61">IF(TbTradesBinance[[#This Row],[Tipo]]="EMPTY",0,AA60+IF(TbTradesBinance[[#This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Row],[Par]]))),$1:$1,0)),-(Z60-Z61)/Z60*AA60),0),0)+IF(TbTradesBinance[[#This Row],[Tipo]]="SELL",IF(ISNUMBER(FIND(MID(AA$1,10,5),TbTradesBinance[[#This Row],[Par]])),IF(FIND(MID(AA$1,10,5),TbTradesBinance[[#This Row],[Par]])=1, -(Z60-Z61)/Z60*AA60,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Row],[Par]])),(-(Z60-Z61)/Z60*AA60)+IF(TbTradesBinance[[#This Row],[Resultado]]&gt;0,0,TbTradesBinance[[#This Row],[Taxa]]),0),0))</f>
        <v>0</v>
      </c>
      <c r="AB61" s="145">
        <f t="shared" si="5"/>
        <v>0</v>
      </c>
      <c r="AC6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Row],[Tipo]]="DROP"),AC60+TbTradesBinance[[#This Row],[Qtt]],AC60-TbTradesBinance[[#This Row],[Qtt]]),IF(TbTradesBinance[[#This Row],[Tipo]]="BUY",AC60-TbTradesBinance[[#This Row],[Qtt]]*TbTradesBinance[[#This Row],[Preço]],AC60+TbTradesBinance[[#This Row],[Qtt]]*TbTradesBinance[[#This Row],[Preço]])),AC60)-IF(TbTradesBinance[[#This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Row],[Tipo]]="DROP"),AC60+TbTradesBinance[[#This Row],[Qtt]],AC60-TbTradesBinance[[#This Row],[Qtt]]),IF(TbTradesBinance[[#This Row],[Tipo]]="BUY",AC60-TbTradesBinance[[#This Row],[Qtt]]*TbTradesBinance[[#This Row],[Preço]],AC60+TbTradesBinance[[#This Row],[Qtt]]*TbTradesBinance[[#This Row],[Preço]])),AC60)-IF(TbTradesBinance[[#This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Row],[Tipo]]="DROP"),AC60+TbTradesBinance[[#This Row],[Qtt]],AC60-TbTradesBinance[[#This Row],[Qtt]]),IF(TbTradesBinance[[#This Row],[Tipo]]="BUY",AC60-TbTradesBinance[[#This Row],[Qtt]]*TbTradesBinance[[#This Row],[Preço]],AC60+TbTradesBinance[[#This Row],[Qtt]]*TbTradesBinance[[#This Row],[Preço]])),AC60)-IF(TbTradesBinance[[#This Row],[Moeda da Taxa]]=MID(AC$1,9,5),TbTradesBinance[[#This Row],[Taxa]],0),8)))</f>
        <v>0</v>
      </c>
      <c r="AD61" s="145" cm="1">
        <f t="array" ref="AD61">IF(TbTradesBinance[[#This Row],[Tipo]]="EMPTY",0,AD60+IF(TbTradesBinance[[#This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Row],[Par]]))),$1:$1,0)),-(AC60-AC61)/AC60*AD60),0),0)+IF(TbTradesBinance[[#This Row],[Tipo]]="SELL",IF(ISNUMBER(FIND(MID(AD$1,10,5),TbTradesBinance[[#This Row],[Par]])),IF(FIND(MID(AD$1,10,5),TbTradesBinance[[#This Row],[Par]])=1, -(AC60-AC61)/AC60*AD60,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Row],[Par]])),(-(AC60-AC61)/AC60*AD60)+IF(TbTradesBinance[[#This Row],[Resultado]]&gt;0,0,TbTradesBinance[[#This Row],[Taxa]]),0),0))</f>
        <v>0</v>
      </c>
      <c r="AE61" s="145">
        <f t="shared" si="6"/>
        <v>0</v>
      </c>
      <c r="AF6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Row],[Tipo]]="DROP"),AF60+TbTradesBinance[[#This Row],[Qtt]],AF60-TbTradesBinance[[#This Row],[Qtt]]),IF(TbTradesBinance[[#This Row],[Tipo]]="BUY",AF60-TbTradesBinance[[#This Row],[Qtt]]*TbTradesBinance[[#This Row],[Preço]],AF60+TbTradesBinance[[#This Row],[Qtt]]*TbTradesBinance[[#This Row],[Preço]])),AF60)-IF(TbTradesBinance[[#This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Row],[Tipo]]="DROP"),AF60+TbTradesBinance[[#This Row],[Qtt]],AF60-TbTradesBinance[[#This Row],[Qtt]]),IF(TbTradesBinance[[#This Row],[Tipo]]="BUY",AF60-TbTradesBinance[[#This Row],[Qtt]]*TbTradesBinance[[#This Row],[Preço]],AF60+TbTradesBinance[[#This Row],[Qtt]]*TbTradesBinance[[#This Row],[Preço]])),AF60)-IF(TbTradesBinance[[#This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Row],[Tipo]]="DROP"),AF60+TbTradesBinance[[#This Row],[Qtt]],AF60-TbTradesBinance[[#This Row],[Qtt]]),IF(TbTradesBinance[[#This Row],[Tipo]]="BUY",AF60-TbTradesBinance[[#This Row],[Qtt]]*TbTradesBinance[[#This Row],[Preço]],AF60+TbTradesBinance[[#This Row],[Qtt]]*TbTradesBinance[[#This Row],[Preço]])),AF60)-IF(TbTradesBinance[[#This Row],[Moeda da Taxa]]=MID(AF$1,9,5),TbTradesBinance[[#This Row],[Taxa]],0),8)))</f>
        <v>0</v>
      </c>
      <c r="AG61" s="145" cm="1">
        <f t="array" ref="AG61">IF(TbTradesBinance[[#This Row],[Tipo]]="EMPTY",0,AG60+IF(TbTradesBinance[[#This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Row],[Par]]))),$1:$1,0)),-(AF60-AF61)/AF60*AG60),0),0)+IF(TbTradesBinance[[#This Row],[Tipo]]="SELL",IF(ISNUMBER(FIND(MID(AG$1,10,5),TbTradesBinance[[#This Row],[Par]])),IF(FIND(MID(AG$1,10,5),TbTradesBinance[[#This Row],[Par]])=1, -(AF60-AF61)/AF60*AG60,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Row],[Par]])),(-(AF60-AF61)/AF60*AG60)+IF(TbTradesBinance[[#This Row],[Resultado]]&gt;0,0,TbTradesBinance[[#This Row],[Taxa]]),0),0))</f>
        <v>0</v>
      </c>
      <c r="AH61" s="145">
        <f t="shared" si="7"/>
        <v>0</v>
      </c>
      <c r="AI6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Row],[Tipo]]="DROP"),AI60+TbTradesBinance[[#This Row],[Qtt]],AI60-TbTradesBinance[[#This Row],[Qtt]]),IF(TbTradesBinance[[#This Row],[Tipo]]="BUY",AI60-TbTradesBinance[[#This Row],[Qtt]]*TbTradesBinance[[#This Row],[Preço]],AI60+TbTradesBinance[[#This Row],[Qtt]]*TbTradesBinance[[#This Row],[Preço]])),AI60)-IF(TbTradesBinance[[#This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Row],[Tipo]]="DROP"),AI60+TbTradesBinance[[#This Row],[Qtt]],AI60-TbTradesBinance[[#This Row],[Qtt]]),IF(TbTradesBinance[[#This Row],[Tipo]]="BUY",AI60-TbTradesBinance[[#This Row],[Qtt]]*TbTradesBinance[[#This Row],[Preço]],AI60+TbTradesBinance[[#This Row],[Qtt]]*TbTradesBinance[[#This Row],[Preço]])),AI60)-IF(TbTradesBinance[[#This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Row],[Tipo]]="DROP"),AI60+TbTradesBinance[[#This Row],[Qtt]],AI60-TbTradesBinance[[#This Row],[Qtt]]),IF(TbTradesBinance[[#This Row],[Tipo]]="BUY",AI60-TbTradesBinance[[#This Row],[Qtt]]*TbTradesBinance[[#This Row],[Preço]],AI60+TbTradesBinance[[#This Row],[Qtt]]*TbTradesBinance[[#This Row],[Preço]])),AI60)-IF(TbTradesBinance[[#This Row],[Moeda da Taxa]]=MID(AI$1,9,5),TbTradesBinance[[#This Row],[Taxa]],0),8)))</f>
        <v>0</v>
      </c>
      <c r="AJ61" s="145" cm="1">
        <f t="array" ref="AJ61">IF(TbTradesBinance[[#This Row],[Tipo]]="EMPTY",0,AJ60+IF(TbTradesBinance[[#This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Row],[Par]]))),$1:$1,0)),-(AI60-AI61)/AI60*AJ60),0),0)+IF(TbTradesBinance[[#This Row],[Tipo]]="SELL",IF(ISNUMBER(FIND(MID(AJ$1,10,5),TbTradesBinance[[#This Row],[Par]])),IF(FIND(MID(AJ$1,10,5),TbTradesBinance[[#This Row],[Par]])=1, -(AI60-AI61)/AI60*AJ60,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Row],[Par]])),(-(AI60-AI61)/AI60*AJ60)+IF(TbTradesBinance[[#This Row],[Resultado]]&gt;0,0,TbTradesBinance[[#This Row],[Taxa]]),0),0))</f>
        <v>0</v>
      </c>
      <c r="AK61" s="145">
        <f t="shared" si="8"/>
        <v>0</v>
      </c>
      <c r="AL6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Row],[Tipo]]="DROP"),AL60+TbTradesBinance[[#This Row],[Qtt]],AL60-TbTradesBinance[[#This Row],[Qtt]]),IF(TbTradesBinance[[#This Row],[Tipo]]="BUY",AL60-TbTradesBinance[[#This Row],[Qtt]]*TbTradesBinance[[#This Row],[Preço]],AL60+TbTradesBinance[[#This Row],[Qtt]]*TbTradesBinance[[#This Row],[Preço]])),AL60)-IF(TbTradesBinance[[#This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Row],[Tipo]]="DROP"),AL60+TbTradesBinance[[#This Row],[Qtt]],AL60-TbTradesBinance[[#This Row],[Qtt]]),IF(TbTradesBinance[[#This Row],[Tipo]]="BUY",AL60-TbTradesBinance[[#This Row],[Qtt]]*TbTradesBinance[[#This Row],[Preço]],AL60+TbTradesBinance[[#This Row],[Qtt]]*TbTradesBinance[[#This Row],[Preço]])),AL60)-IF(TbTradesBinance[[#This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Row],[Tipo]]="DROP"),AL60+TbTradesBinance[[#This Row],[Qtt]],AL60-TbTradesBinance[[#This Row],[Qtt]]),IF(TbTradesBinance[[#This Row],[Tipo]]="BUY",AL60-TbTradesBinance[[#This Row],[Qtt]]*TbTradesBinance[[#This Row],[Preço]],AL60+TbTradesBinance[[#This Row],[Qtt]]*TbTradesBinance[[#This Row],[Preço]])),AL60)-IF(TbTradesBinance[[#This Row],[Moeda da Taxa]]=MID(AL$1,9,5),TbTradesBinance[[#This Row],[Taxa]],0),8)))</f>
        <v>0</v>
      </c>
      <c r="AM61" s="145" cm="1">
        <f t="array" ref="AM61">IF(TbTradesBinance[[#This Row],[Tipo]]="EMPTY",0,AM60+IF(TbTradesBinance[[#This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Row],[Par]]))),$1:$1,0)),-(AL60-AL61)/AL60*AM60),0),0)+IF(TbTradesBinance[[#This Row],[Tipo]]="SELL",IF(ISNUMBER(FIND(MID(AM$1,10,5),TbTradesBinance[[#This Row],[Par]])),IF(FIND(MID(AM$1,10,5),TbTradesBinance[[#This Row],[Par]])=1, -(AL60-AL61)/AL60*AM60,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Row],[Par]])),(-(AL60-AL61)/AL60*AM60)+IF(TbTradesBinance[[#This Row],[Resultado]]&gt;0,0,TbTradesBinance[[#This Row],[Taxa]]),0),0))</f>
        <v>0</v>
      </c>
      <c r="AN61" s="145">
        <f t="shared" si="9"/>
        <v>0</v>
      </c>
      <c r="AO6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Row],[Tipo]]="DROP"),AO60+TbTradesBinance[[#This Row],[Qtt]],AO60-TbTradesBinance[[#This Row],[Qtt]]),IF(TbTradesBinance[[#This Row],[Tipo]]="BUY",AO60-TbTradesBinance[[#This Row],[Qtt]]*TbTradesBinance[[#This Row],[Preço]],AO60+TbTradesBinance[[#This Row],[Qtt]]*TbTradesBinance[[#This Row],[Preço]])),AO60)-IF(TbTradesBinance[[#This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Row],[Tipo]]="DROP"),AO60+TbTradesBinance[[#This Row],[Qtt]],AO60-TbTradesBinance[[#This Row],[Qtt]]),IF(TbTradesBinance[[#This Row],[Tipo]]="BUY",AO60-TbTradesBinance[[#This Row],[Qtt]]*TbTradesBinance[[#This Row],[Preço]],AO60+TbTradesBinance[[#This Row],[Qtt]]*TbTradesBinance[[#This Row],[Preço]])),AO60)-IF(TbTradesBinance[[#This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Row],[Tipo]]="DROP"),AO60+TbTradesBinance[[#This Row],[Qtt]],AO60-TbTradesBinance[[#This Row],[Qtt]]),IF(TbTradesBinance[[#This Row],[Tipo]]="BUY",AO60-TbTradesBinance[[#This Row],[Qtt]]*TbTradesBinance[[#This Row],[Preço]],AO60+TbTradesBinance[[#This Row],[Qtt]]*TbTradesBinance[[#This Row],[Preço]])),AO60)-IF(TbTradesBinance[[#This Row],[Moeda da Taxa]]=MID(AO$1,9,5),TbTradesBinance[[#This Row],[Taxa]],0),8)))</f>
        <v>7.3355999999999996E-4</v>
      </c>
      <c r="AP61" s="145" cm="1">
        <f t="array" ref="AP61">IF(TbTradesBinance[[#This Row],[Tipo]]="EMPTY",0,AP60+IF(TbTradesBinance[[#This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Row],[Par]]))),$1:$1,0)),-(AO60-AO61)/AO60*AP60),0),0)+IF(TbTradesBinance[[#This Row],[Tipo]]="SELL",IF(ISNUMBER(FIND(MID(AP$1,10,5),TbTradesBinance[[#This Row],[Par]])),IF(FIND(MID(AP$1,10,5),TbTradesBinance[[#This Row],[Par]])=1, -(AO60-AO61)/AO60*AP60,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Row],[Par]])),(-(AO60-AO61)/AO60*AP60)+IF(TbTradesBinance[[#This Row],[Resultado]]&gt;0,0,TbTradesBinance[[#This Row],[Taxa]]),0),0))</f>
        <v>1.7416212429180353</v>
      </c>
      <c r="AQ61" s="145">
        <f t="shared" si="10"/>
        <v>2374.2042135858492</v>
      </c>
      <c r="AR6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Row],[Tipo]]="DROP"),AR60+TbTradesBinance[[#This Row],[Qtt]],AR60-TbTradesBinance[[#This Row],[Qtt]]),IF(TbTradesBinance[[#This Row],[Tipo]]="BUY",AR60-TbTradesBinance[[#This Row],[Qtt]]*TbTradesBinance[[#This Row],[Preço]],AR60+TbTradesBinance[[#This Row],[Qtt]]*TbTradesBinance[[#This Row],[Preço]])),AR60)-IF(TbTradesBinance[[#This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Row],[Tipo]]="DROP"),AR60+TbTradesBinance[[#This Row],[Qtt]],AR60-TbTradesBinance[[#This Row],[Qtt]]),IF(TbTradesBinance[[#This Row],[Tipo]]="BUY",AR60-TbTradesBinance[[#This Row],[Qtt]]*TbTradesBinance[[#This Row],[Preço]],AR60+TbTradesBinance[[#This Row],[Qtt]]*TbTradesBinance[[#This Row],[Preço]])),AR60)-IF(TbTradesBinance[[#This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Row],[Tipo]]="DROP"),AR60+TbTradesBinance[[#This Row],[Qtt]],AR60-TbTradesBinance[[#This Row],[Qtt]]),IF(TbTradesBinance[[#This Row],[Tipo]]="BUY",AR60-TbTradesBinance[[#This Row],[Qtt]]*TbTradesBinance[[#This Row],[Preço]],AR60+TbTradesBinance[[#This Row],[Qtt]]*TbTradesBinance[[#This Row],[Preço]])),AR60)-IF(TbTradesBinance[[#This Row],[Moeda da Taxa]]=MID(AR$1,9,5),TbTradesBinance[[#This Row],[Taxa]],0),8)))</f>
        <v>0</v>
      </c>
      <c r="AS61" s="145" cm="1">
        <f t="array" ref="AS61">IF(TbTradesBinance[[#This Row],[Tipo]]="EMPTY",0,AS60+IF(TbTradesBinance[[#This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Row],[Par]]))),$1:$1,0)),-(AR60-AR61)/AR60*AS60),0),0)+IF(TbTradesBinance[[#This Row],[Tipo]]="SELL",IF(ISNUMBER(FIND(MID(AS$1,10,5),TbTradesBinance[[#This Row],[Par]])),IF(FIND(MID(AS$1,10,5),TbTradesBinance[[#This Row],[Par]])=1, -(AR60-AR61)/AR60*AS60,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Row],[Par]])),(-(AR60-AR61)/AR60*AS60)+IF(TbTradesBinance[[#This Row],[Resultado]]&gt;0,0,TbTradesBinance[[#This Row],[Taxa]]),0),0))</f>
        <v>0</v>
      </c>
      <c r="AT61" s="145">
        <f t="shared" si="11"/>
        <v>0</v>
      </c>
      <c r="AU6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Row],[Tipo]]="DROP"),AU60+TbTradesBinance[[#This Row],[Qtt]],AU60-TbTradesBinance[[#This Row],[Qtt]]),IF(TbTradesBinance[[#This Row],[Tipo]]="BUY",AU60-TbTradesBinance[[#This Row],[Qtt]]*TbTradesBinance[[#This Row],[Preço]],AU60+TbTradesBinance[[#This Row],[Qtt]]*TbTradesBinance[[#This Row],[Preço]])),AU60)-IF(TbTradesBinance[[#This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Row],[Tipo]]="DROP"),AU60+TbTradesBinance[[#This Row],[Qtt]],AU60-TbTradesBinance[[#This Row],[Qtt]]),IF(TbTradesBinance[[#This Row],[Tipo]]="BUY",AU60-TbTradesBinance[[#This Row],[Qtt]]*TbTradesBinance[[#This Row],[Preço]],AU60+TbTradesBinance[[#This Row],[Qtt]]*TbTradesBinance[[#This Row],[Preço]])),AU60)-IF(TbTradesBinance[[#This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Row],[Tipo]]="DROP"),AU60+TbTradesBinance[[#This Row],[Qtt]],AU60-TbTradesBinance[[#This Row],[Qtt]]),IF(TbTradesBinance[[#This Row],[Tipo]]="BUY",AU60-TbTradesBinance[[#This Row],[Qtt]]*TbTradesBinance[[#This Row],[Preço]],AU60+TbTradesBinance[[#This Row],[Qtt]]*TbTradesBinance[[#This Row],[Preço]])),AU60)-IF(TbTradesBinance[[#This Row],[Moeda da Taxa]]=MID(AU$1,9,5),TbTradesBinance[[#This Row],[Taxa]],0),8)))</f>
        <v>9.9900000000000003E-2</v>
      </c>
      <c r="AV61" s="145" cm="1">
        <f t="array" ref="AV61">IF(TbTradesBinance[[#This Row],[Tipo]]="EMPTY",0,AV60+IF(TbTradesBinance[[#This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Row],[Par]]))),$1:$1,0)),-(AU60-AU61)/AU60*AV60),0),0)+IF(TbTradesBinance[[#This Row],[Tipo]]="SELL",IF(ISNUMBER(FIND(MID(AV$1,10,5),TbTradesBinance[[#This Row],[Par]])),IF(FIND(MID(AV$1,10,5),TbTradesBinance[[#This Row],[Par]])=1, -(AU60-AU61)/AU60*AV60,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Row],[Par]])),(-(AU60-AU61)/AU60*AV60)+IF(TbTradesBinance[[#This Row],[Resultado]]&gt;0,0,TbTradesBinance[[#This Row],[Taxa]]),0),0))</f>
        <v>18.673922987511034</v>
      </c>
      <c r="AW61" s="145">
        <f t="shared" si="12"/>
        <v>186.92615603114149</v>
      </c>
      <c r="AX6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Row],[Tipo]]="DROP"),AX60+TbTradesBinance[[#This Row],[Qtt]],AX60-TbTradesBinance[[#This Row],[Qtt]]),IF(TbTradesBinance[[#This Row],[Tipo]]="BUY",AX60-TbTradesBinance[[#This Row],[Qtt]]*TbTradesBinance[[#This Row],[Preço]],AX60+TbTradesBinance[[#This Row],[Qtt]]*TbTradesBinance[[#This Row],[Preço]])),AX60)-IF(TbTradesBinance[[#This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Row],[Tipo]]="DROP"),AX60+TbTradesBinance[[#This Row],[Qtt]],AX60-TbTradesBinance[[#This Row],[Qtt]]),IF(TbTradesBinance[[#This Row],[Tipo]]="BUY",AX60-TbTradesBinance[[#This Row],[Qtt]]*TbTradesBinance[[#This Row],[Preço]],AX60+TbTradesBinance[[#This Row],[Qtt]]*TbTradesBinance[[#This Row],[Preço]])),AX60)-IF(TbTradesBinance[[#This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Row],[Tipo]]="DROP"),AX60+TbTradesBinance[[#This Row],[Qtt]],AX60-TbTradesBinance[[#This Row],[Qtt]]),IF(TbTradesBinance[[#This Row],[Tipo]]="BUY",AX60-TbTradesBinance[[#This Row],[Qtt]]*TbTradesBinance[[#This Row],[Preço]],AX60+TbTradesBinance[[#This Row],[Qtt]]*TbTradesBinance[[#This Row],[Preço]])),AX60)-IF(TbTradesBinance[[#This Row],[Moeda da Taxa]]=MID(AX$1,9,5),TbTradesBinance[[#This Row],[Taxa]],0),8)))</f>
        <v>0</v>
      </c>
      <c r="AY61" s="145" cm="1">
        <f t="array" ref="AY61">IF(TbTradesBinance[[#This Row],[Tipo]]="EMPTY",0,AY60+IF(TbTradesBinance[[#This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Row],[Par]]))),$1:$1,0)),-(AX60-AX61)/AX60*AY60),0),0)+IF(TbTradesBinance[[#This Row],[Tipo]]="SELL",IF(ISNUMBER(FIND(MID(AY$1,10,5),TbTradesBinance[[#This Row],[Par]])),IF(FIND(MID(AY$1,10,5),TbTradesBinance[[#This Row],[Par]])=1, -(AX60-AX61)/AX60*AY60,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Row],[Par]])),(-(AX60-AX61)/AX60*AY60)+IF(TbTradesBinance[[#This Row],[Resultado]]&gt;0,0,TbTradesBinance[[#This Row],[Taxa]]),0),0))</f>
        <v>0</v>
      </c>
      <c r="AZ61" s="145">
        <f t="shared" si="13"/>
        <v>0</v>
      </c>
      <c r="BA6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Row],[Tipo]]="DROP"),BA60+TbTradesBinance[[#This Row],[Qtt]],BA60-TbTradesBinance[[#This Row],[Qtt]]),IF(TbTradesBinance[[#This Row],[Tipo]]="BUY",BA60-TbTradesBinance[[#This Row],[Qtt]]*TbTradesBinance[[#This Row],[Preço]],BA60+TbTradesBinance[[#This Row],[Qtt]]*TbTradesBinance[[#This Row],[Preço]])),BA60)-IF(TbTradesBinance[[#This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Row],[Tipo]]="DROP"),BA60+TbTradesBinance[[#This Row],[Qtt]],BA60-TbTradesBinance[[#This Row],[Qtt]]),IF(TbTradesBinance[[#This Row],[Tipo]]="BUY",BA60-TbTradesBinance[[#This Row],[Qtt]]*TbTradesBinance[[#This Row],[Preço]],BA60+TbTradesBinance[[#This Row],[Qtt]]*TbTradesBinance[[#This Row],[Preço]])),BA60)-IF(TbTradesBinance[[#This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Row],[Tipo]]="DROP"),BA60+TbTradesBinance[[#This Row],[Qtt]],BA60-TbTradesBinance[[#This Row],[Qtt]]),IF(TbTradesBinance[[#This Row],[Tipo]]="BUY",BA60-TbTradesBinance[[#This Row],[Qtt]]*TbTradesBinance[[#This Row],[Preço]],BA60+TbTradesBinance[[#This Row],[Qtt]]*TbTradesBinance[[#This Row],[Preço]])),BA60)-IF(TbTradesBinance[[#This Row],[Moeda da Taxa]]=MID(BA$1,9,5),TbTradesBinance[[#This Row],[Taxa]],0),8)))</f>
        <v>0</v>
      </c>
      <c r="BB61" s="145" cm="1">
        <f t="array" ref="BB61">IF(TbTradesBinance[[#This Row],[Tipo]]="EMPTY",0,BB60+IF(TbTradesBinance[[#This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Row],[Par]]))),$1:$1,0)),-(BA60-BA61)/BA60*BB60),0),0)+IF(TbTradesBinance[[#This Row],[Tipo]]="SELL",IF(ISNUMBER(FIND(MID(BB$1,10,5),TbTradesBinance[[#This Row],[Par]])),IF(FIND(MID(BB$1,10,5),TbTradesBinance[[#This Row],[Par]])=1, -(BA60-BA61)/BA60*BB60,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Row],[Par]])),(-(BA60-BA61)/BA60*BB60)+IF(TbTradesBinance[[#This Row],[Resultado]]&gt;0,0,TbTradesBinance[[#This Row],[Taxa]]),0),0))</f>
        <v>0</v>
      </c>
      <c r="BC61" s="145">
        <f t="shared" si="14"/>
        <v>0</v>
      </c>
      <c r="BD6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Row],[Tipo]]="DROP"),BD60+TbTradesBinance[[#This Row],[Qtt]],BD60-TbTradesBinance[[#This Row],[Qtt]]),IF(TbTradesBinance[[#This Row],[Tipo]]="BUY",BD60-TbTradesBinance[[#This Row],[Qtt]]*TbTradesBinance[[#This Row],[Preço]],BD60+TbTradesBinance[[#This Row],[Qtt]]*TbTradesBinance[[#This Row],[Preço]])),BD60)-IF(TbTradesBinance[[#This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Row],[Tipo]]="DROP"),BD60+TbTradesBinance[[#This Row],[Qtt]],BD60-TbTradesBinance[[#This Row],[Qtt]]),IF(TbTradesBinance[[#This Row],[Tipo]]="BUY",BD60-TbTradesBinance[[#This Row],[Qtt]]*TbTradesBinance[[#This Row],[Preço]],BD60+TbTradesBinance[[#This Row],[Qtt]]*TbTradesBinance[[#This Row],[Preço]])),BD60)-IF(TbTradesBinance[[#This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Row],[Tipo]]="DROP"),BD60+TbTradesBinance[[#This Row],[Qtt]],BD60-TbTradesBinance[[#This Row],[Qtt]]),IF(TbTradesBinance[[#This Row],[Tipo]]="BUY",BD60-TbTradesBinance[[#This Row],[Qtt]]*TbTradesBinance[[#This Row],[Preço]],BD60+TbTradesBinance[[#This Row],[Qtt]]*TbTradesBinance[[#This Row],[Preço]])),BD60)-IF(TbTradesBinance[[#This Row],[Moeda da Taxa]]=MID(BD$1,9,5),TbTradesBinance[[#This Row],[Taxa]],0),8)))</f>
        <v>0.37962000000000001</v>
      </c>
      <c r="BE61" s="145" cm="1">
        <f t="array" ref="BE61">IF(TbTradesBinance[[#This Row],[Tipo]]="EMPTY",0,BE60+IF(TbTradesBinance[[#This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Row],[Par]]))),$1:$1,0)),-(BD60-BD61)/BD60*BE60),0),0)+IF(TbTradesBinance[[#This Row],[Tipo]]="SELL",IF(ISNUMBER(FIND(MID(BE$1,10,5),TbTradesBinance[[#This Row],[Par]])),IF(FIND(MID(BE$1,10,5),TbTradesBinance[[#This Row],[Par]])=1, -(BD60-BD61)/BD60*BE60,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Row],[Par]])),(-(BD60-BD61)/BD60*BE60)+IF(TbTradesBinance[[#This Row],[Resultado]]&gt;0,0,TbTradesBinance[[#This Row],[Taxa]]),0),0))</f>
        <v>63.647297001537943</v>
      </c>
      <c r="BF61" s="145">
        <f t="shared" si="15"/>
        <v>167.66054739354601</v>
      </c>
      <c r="BG6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Row],[Tipo]]="DROP"),BG60+TbTradesBinance[[#This Row],[Qtt]],BG60-TbTradesBinance[[#This Row],[Qtt]]),IF(TbTradesBinance[[#This Row],[Tipo]]="BUY",BG60-TbTradesBinance[[#This Row],[Qtt]]*TbTradesBinance[[#This Row],[Preço]],BG60+TbTradesBinance[[#This Row],[Qtt]]*TbTradesBinance[[#This Row],[Preço]])),BG60)-IF(TbTradesBinance[[#This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Row],[Tipo]]="DROP"),BG60+TbTradesBinance[[#This Row],[Qtt]],BG60-TbTradesBinance[[#This Row],[Qtt]]),IF(TbTradesBinance[[#This Row],[Tipo]]="BUY",BG60-TbTradesBinance[[#This Row],[Qtt]]*TbTradesBinance[[#This Row],[Preço]],BG60+TbTradesBinance[[#This Row],[Qtt]]*TbTradesBinance[[#This Row],[Preço]])),BG60)-IF(TbTradesBinance[[#This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Row],[Tipo]]="DROP"),BG60+TbTradesBinance[[#This Row],[Qtt]],BG60-TbTradesBinance[[#This Row],[Qtt]]),IF(TbTradesBinance[[#This Row],[Tipo]]="BUY",BG60-TbTradesBinance[[#This Row],[Qtt]]*TbTradesBinance[[#This Row],[Preço]],BG60+TbTradesBinance[[#This Row],[Qtt]]*TbTradesBinance[[#This Row],[Preço]])),BG60)-IF(TbTradesBinance[[#This Row],[Moeda da Taxa]]=MID(BG$1,9,5),TbTradesBinance[[#This Row],[Taxa]],0),8)))</f>
        <v>0</v>
      </c>
      <c r="BH61" s="145" cm="1">
        <f t="array" ref="BH61">IF(TbTradesBinance[[#This Row],[Tipo]]="EMPTY",0,BH60+IF(TbTradesBinance[[#This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Row],[Par]]))),$1:$1,0)),-(BG60-BG61)/BG60*BH60),0),0)+IF(TbTradesBinance[[#This Row],[Tipo]]="SELL",IF(ISNUMBER(FIND(MID(BH$1,10,5),TbTradesBinance[[#This Row],[Par]])),IF(FIND(MID(BH$1,10,5),TbTradesBinance[[#This Row],[Par]])=1, -(BG60-BG61)/BG60*BH60,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Row],[Par]])),(-(BG60-BG61)/BG60*BH60)+IF(TbTradesBinance[[#This Row],[Resultado]]&gt;0,0,TbTradesBinance[[#This Row],[Taxa]]),0),0))</f>
        <v>0</v>
      </c>
      <c r="BI61" s="145">
        <f t="shared" si="16"/>
        <v>0</v>
      </c>
      <c r="BJ6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Row],[Tipo]]="DROP"),BJ60+TbTradesBinance[[#This Row],[Qtt]],BJ60-TbTradesBinance[[#This Row],[Qtt]]),IF(TbTradesBinance[[#This Row],[Tipo]]="BUY",BJ60-TbTradesBinance[[#This Row],[Qtt]]*TbTradesBinance[[#This Row],[Preço]],BJ60+TbTradesBinance[[#This Row],[Qtt]]*TbTradesBinance[[#This Row],[Preço]])),BJ60)-IF(TbTradesBinance[[#This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Row],[Tipo]]="DROP"),BJ60+TbTradesBinance[[#This Row],[Qtt]],BJ60-TbTradesBinance[[#This Row],[Qtt]]),IF(TbTradesBinance[[#This Row],[Tipo]]="BUY",BJ60-TbTradesBinance[[#This Row],[Qtt]]*TbTradesBinance[[#This Row],[Preço]],BJ60+TbTradesBinance[[#This Row],[Qtt]]*TbTradesBinance[[#This Row],[Preço]])),BJ60)-IF(TbTradesBinance[[#This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Row],[Tipo]]="DROP"),BJ60+TbTradesBinance[[#This Row],[Qtt]],BJ60-TbTradesBinance[[#This Row],[Qtt]]),IF(TbTradesBinance[[#This Row],[Tipo]]="BUY",BJ60-TbTradesBinance[[#This Row],[Qtt]]*TbTradesBinance[[#This Row],[Preço]],BJ60+TbTradesBinance[[#This Row],[Qtt]]*TbTradesBinance[[#This Row],[Preço]])),BJ60)-IF(TbTradesBinance[[#This Row],[Moeda da Taxa]]=MID(BJ$1,9,5),TbTradesBinance[[#This Row],[Taxa]],0),8)))</f>
        <v>0</v>
      </c>
      <c r="BK61" s="145" cm="1">
        <f t="array" ref="BK61">IF(TbTradesBinance[[#This Row],[Tipo]]="EMPTY",0,BK60+IF(TbTradesBinance[[#This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Row],[Par]]))),$1:$1,0)),-(BJ60-BJ61)/BJ60*BK60),0),0)+IF(TbTradesBinance[[#This Row],[Tipo]]="SELL",IF(ISNUMBER(FIND(MID(BK$1,10,5),TbTradesBinance[[#This Row],[Par]])),IF(FIND(MID(BK$1,10,5),TbTradesBinance[[#This Row],[Par]])=1, -(BJ60-BJ61)/BJ60*BK60,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Row],[Par]])),(-(BJ60-BJ61)/BJ60*BK60)+IF(TbTradesBinance[[#This Row],[Resultado]]&gt;0,0,TbTradesBinance[[#This Row],[Taxa]]),0),0))</f>
        <v>0</v>
      </c>
      <c r="BL61" s="145">
        <f t="shared" si="17"/>
        <v>0</v>
      </c>
      <c r="BM6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Row],[Tipo]]="DROP"),BM60+TbTradesBinance[[#This Row],[Qtt]],BM60-TbTradesBinance[[#This Row],[Qtt]]),IF(TbTradesBinance[[#This Row],[Tipo]]="BUY",BM60-TbTradesBinance[[#This Row],[Qtt]]*TbTradesBinance[[#This Row],[Preço]],BM60+TbTradesBinance[[#This Row],[Qtt]]*TbTradesBinance[[#This Row],[Preço]])),BM60)-IF(TbTradesBinance[[#This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Row],[Tipo]]="DROP"),BM60+TbTradesBinance[[#This Row],[Qtt]],BM60-TbTradesBinance[[#This Row],[Qtt]]),IF(TbTradesBinance[[#This Row],[Tipo]]="BUY",BM60-TbTradesBinance[[#This Row],[Qtt]]*TbTradesBinance[[#This Row],[Preço]],BM60+TbTradesBinance[[#This Row],[Qtt]]*TbTradesBinance[[#This Row],[Preço]])),BM60)-IF(TbTradesBinance[[#This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Row],[Tipo]]="DROP"),BM60+TbTradesBinance[[#This Row],[Qtt]],BM60-TbTradesBinance[[#This Row],[Qtt]]),IF(TbTradesBinance[[#This Row],[Tipo]]="BUY",BM60-TbTradesBinance[[#This Row],[Qtt]]*TbTradesBinance[[#This Row],[Preço]],BM60+TbTradesBinance[[#This Row],[Qtt]]*TbTradesBinance[[#This Row],[Preço]])),BM60)-IF(TbTradesBinance[[#This Row],[Moeda da Taxa]]=MID(BM$1,9,5),TbTradesBinance[[#This Row],[Taxa]],0),8)))</f>
        <v>0</v>
      </c>
      <c r="BN61" s="145" cm="1">
        <f t="array" ref="BN61">IF(TbTradesBinance[[#This Row],[Tipo]]="EMPTY",0,BN60+IF(TbTradesBinance[[#This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Row],[Par]]))),$1:$1,0)),-(BM60-BM61)/BM60*BN60),0),0)+IF(TbTradesBinance[[#This Row],[Tipo]]="SELL",IF(ISNUMBER(FIND(MID(BN$1,10,5),TbTradesBinance[[#This Row],[Par]])),IF(FIND(MID(BN$1,10,5),TbTradesBinance[[#This Row],[Par]])=1, -(BM60-BM61)/BM60*BN60,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Row],[Par]])),(-(BM60-BM61)/BM60*BN60)+IF(TbTradesBinance[[#This Row],[Resultado]]&gt;0,0,TbTradesBinance[[#This Row],[Taxa]]),0),0))</f>
        <v>0</v>
      </c>
      <c r="BO61" s="145">
        <f t="shared" si="18"/>
        <v>0</v>
      </c>
    </row>
    <row r="62" spans="2:67" x14ac:dyDescent="0.3">
      <c r="B62" s="51"/>
      <c r="C62" s="40">
        <f>TRUNC(IF(AND(TbTradesBinance[[#This Row],[Tipo]]="SEND",TbTradesBinance[[#This Row],[Par]]="BRL"),TbTradesBinance[[#This Row],[Qtt]]*(1-P60)-IF(TbTradesBinance[[#This Row],[Moeda da Taxa]]="BRL",TbTradesBinance[[#This Row],[Taxa]],0),0)+IF(AND(TbTradesBinance[[#This Row],[Tipo]]="BURN",TbTradesBinance[[#This Row],[Par]]="BRL"),-TbTradesBinance[[#This Row],[Qtt]]*P60,0),2)</f>
        <v>0</v>
      </c>
      <c r="D62" s="53">
        <v>44264.734236111108</v>
      </c>
      <c r="E62" s="37" t="s">
        <v>143</v>
      </c>
      <c r="F62" s="47" t="s">
        <v>139</v>
      </c>
      <c r="G62" s="38">
        <v>180.3</v>
      </c>
      <c r="H62" s="38">
        <v>0.22636999999999999</v>
      </c>
      <c r="I62" s="38">
        <v>1.878E-5</v>
      </c>
      <c r="J62" s="37" t="s">
        <v>45</v>
      </c>
      <c r="K62" s="52">
        <v>1</v>
      </c>
      <c r="L62" s="40">
        <f t="shared" si="0"/>
        <v>180.3</v>
      </c>
      <c r="M62" s="40">
        <f>IF(OR(TbTradesBinance[[#This Row],[Tipo]]="BUY",TbTradesBinance[[#This Row],[Tipo]]="RECEIVE",TbTradesBinance[[#This Row],[Tipo]]="DROP"),L62*H62,-L62*H62)</f>
        <v>40.814511000000003</v>
      </c>
      <c r="N6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Row],[Tipo]]="DROP"),N61+TbTradesBinance[[#This Row],[Qtt]],N61-TbTradesBinance[[#This Row],[Qtt]]),IF(TbTradesBinance[[#This Row],[Tipo]]="BUY",N61-TbTradesBinance[[#This Row],[Qtt]]*TbTradesBinance[[#This Row],[Preço]],N61+TbTradesBinance[[#This Row],[Qtt]]*TbTradesBinance[[#This Row],[Preço]])),N61)-IF(TbTradesBinance[[#This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Row],[Tipo]]="DROP"),N61+TbTradesBinance[[#This Row],[Qtt]],N61-TbTradesBinance[[#This Row],[Qtt]]),IF(TbTradesBinance[[#This Row],[Tipo]]="BUY",N61-TbTradesBinance[[#This Row],[Qtt]]*TbTradesBinance[[#This Row],[Preço]],N61+TbTradesBinance[[#This Row],[Qtt]]*TbTradesBinance[[#This Row],[Preço]])),N61)-IF(TbTradesBinance[[#This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Row],[Tipo]]="DROP"),N61+TbTradesBinance[[#This Row],[Qtt]],N61-TbTradesBinance[[#This Row],[Qtt]]),IF(TbTradesBinance[[#This Row],[Tipo]]="BUY",N61-TbTradesBinance[[#This Row],[Qtt]]*TbTradesBinance[[#This Row],[Preço]],N61+TbTradesBinance[[#This Row],[Qtt]]*TbTradesBinance[[#This Row],[Preço]])),N61)-IF(TbTradesBinance[[#This Row],[Moeda da Taxa]]=MID(N$1,9,5),TbTradesBinance[[#This Row],[Taxa]],0),8)))</f>
        <v>119786.27463389</v>
      </c>
      <c r="O62" s="145" cm="1">
        <f t="array" ref="O62">IF(TbTradesBinance[[#This Row],[Tipo]]="EMPTY",0,O61+IF(TbTradesBinance[[#This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Row],[Par]]))),$1:$1,0)),-(N61-N62)/N61*O61),0),0)+IF(TbTradesBinance[[#This Row],[Tipo]]="SELL",IF(ISNUMBER(FIND(MID(O$1,10,5),TbTradesBinance[[#This Row],[Par]])),IF(FIND(MID(O$1,10,5),TbTradesBinance[[#This Row],[Par]])=1, -(N61-N62)/N61*O61,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Row],[Par]])),(-(N61-N62)/N61*O61)+IF(TbTradesBinance[[#This Row],[Resultado]]&gt;0,0,TbTradesBinance[[#This Row],[Taxa]]),0),0))</f>
        <v>119688.91419271138</v>
      </c>
      <c r="P62" s="145">
        <f t="shared" si="1"/>
        <v>0.99918721538443211</v>
      </c>
      <c r="Q6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Row],[Tipo]]="DROP"),Q61+TbTradesBinance[[#This Row],[Qtt]],Q61-TbTradesBinance[[#This Row],[Qtt]]),IF(TbTradesBinance[[#This Row],[Tipo]]="BUY",Q61-TbTradesBinance[[#This Row],[Qtt]]*TbTradesBinance[[#This Row],[Preço]],Q61+TbTradesBinance[[#This Row],[Qtt]]*TbTradesBinance[[#This Row],[Preço]])),Q61)-IF(TbTradesBinance[[#This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Row],[Tipo]]="DROP"),Q61+TbTradesBinance[[#This Row],[Qtt]],Q61-TbTradesBinance[[#This Row],[Qtt]]),IF(TbTradesBinance[[#This Row],[Tipo]]="BUY",Q61-TbTradesBinance[[#This Row],[Qtt]]*TbTradesBinance[[#This Row],[Preço]],Q61+TbTradesBinance[[#This Row],[Qtt]]*TbTradesBinance[[#This Row],[Preço]])),Q61)-IF(TbTradesBinance[[#This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Row],[Tipo]]="DROP"),Q61+TbTradesBinance[[#This Row],[Qtt]],Q61-TbTradesBinance[[#This Row],[Qtt]]),IF(TbTradesBinance[[#This Row],[Tipo]]="BUY",Q61-TbTradesBinance[[#This Row],[Qtt]]*TbTradesBinance[[#This Row],[Preço]],Q61+TbTradesBinance[[#This Row],[Qtt]]*TbTradesBinance[[#This Row],[Preço]])),Q61)-IF(TbTradesBinance[[#This Row],[Moeda da Taxa]]=MID(Q$1,9,5),TbTradesBinance[[#This Row],[Taxa]],0),8)))</f>
        <v>0</v>
      </c>
      <c r="R62" s="145" cm="1">
        <f t="array" ref="R62">IF(TbTradesBinance[[#This Row],[Tipo]]="EMPTY",0,R61+IF(TbTradesBinance[[#This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Row],[Par]]))),$1:$1,0)),-(Q61-Q62)/Q61*R61),0),0)+IF(TbTradesBinance[[#This Row],[Tipo]]="SELL",IF(ISNUMBER(FIND(MID(R$1,10,5),TbTradesBinance[[#This Row],[Par]])),IF(FIND(MID(R$1,10,5),TbTradesBinance[[#This Row],[Par]])=1, -(Q61-Q62)/Q61*R61,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Row],[Par]])),(-(Q61-Q62)/Q61*R61)+IF(TbTradesBinance[[#This Row],[Resultado]]&gt;0,0,TbTradesBinance[[#This Row],[Taxa]]),0),0))</f>
        <v>0</v>
      </c>
      <c r="S62" s="145">
        <f t="shared" si="2"/>
        <v>0</v>
      </c>
      <c r="T6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Row],[Tipo]]="DROP"),T61+TbTradesBinance[[#This Row],[Qtt]],T61-TbTradesBinance[[#This Row],[Qtt]]),IF(TbTradesBinance[[#This Row],[Tipo]]="BUY",T61-TbTradesBinance[[#This Row],[Qtt]]*TbTradesBinance[[#This Row],[Preço]],T61+TbTradesBinance[[#This Row],[Qtt]]*TbTradesBinance[[#This Row],[Preço]])),T61)-IF(TbTradesBinance[[#This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Row],[Tipo]]="DROP"),T61+TbTradesBinance[[#This Row],[Qtt]],T61-TbTradesBinance[[#This Row],[Qtt]]),IF(TbTradesBinance[[#This Row],[Tipo]]="BUY",T61-TbTradesBinance[[#This Row],[Qtt]]*TbTradesBinance[[#This Row],[Preço]],T61+TbTradesBinance[[#This Row],[Qtt]]*TbTradesBinance[[#This Row],[Preço]])),T61)-IF(TbTradesBinance[[#This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Row],[Tipo]]="DROP"),T61+TbTradesBinance[[#This Row],[Qtt]],T61-TbTradesBinance[[#This Row],[Qtt]]),IF(TbTradesBinance[[#This Row],[Tipo]]="BUY",T61-TbTradesBinance[[#This Row],[Qtt]]*TbTradesBinance[[#This Row],[Preço]],T61+TbTradesBinance[[#This Row],[Qtt]]*TbTradesBinance[[#This Row],[Preço]])),T61)-IF(TbTradesBinance[[#This Row],[Moeda da Taxa]]=MID(T$1,9,5),TbTradesBinance[[#This Row],[Taxa]],0),8)))</f>
        <v>199735.32000169999</v>
      </c>
      <c r="U62" s="145" cm="1">
        <f t="array" ref="U62">IF(TbTradesBinance[[#This Row],[Tipo]]="EMPTY",0,U61+IF(TbTradesBinance[[#This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Row],[Par]]))),$1:$1,0)),-(T61-T62)/T61*U61),0),0)+IF(TbTradesBinance[[#This Row],[Tipo]]="SELL",IF(ISNUMBER(FIND(MID(U$1,10,5),TbTradesBinance[[#This Row],[Par]])),IF(FIND(MID(U$1,10,5),TbTradesBinance[[#This Row],[Par]])=1, -(T61-T62)/T61*U61,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Row],[Par]])),(-(T61-T62)/T61*U61)+IF(TbTradesBinance[[#This Row],[Resultado]]&gt;0,0,TbTradesBinance[[#This Row],[Taxa]]),0),0))</f>
        <v>1328239.8809817513</v>
      </c>
      <c r="V62" s="145">
        <f t="shared" si="3"/>
        <v>6.6500000148719129</v>
      </c>
      <c r="W6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Row],[Tipo]]="DROP"),W61+TbTradesBinance[[#This Row],[Qtt]],W61-TbTradesBinance[[#This Row],[Qtt]]),IF(TbTradesBinance[[#This Row],[Tipo]]="BUY",W61-TbTradesBinance[[#This Row],[Qtt]]*TbTradesBinance[[#This Row],[Preço]],W61+TbTradesBinance[[#This Row],[Qtt]]*TbTradesBinance[[#This Row],[Preço]])),W61)-IF(TbTradesBinance[[#This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Row],[Tipo]]="DROP"),W61+TbTradesBinance[[#This Row],[Qtt]],W61-TbTradesBinance[[#This Row],[Qtt]]),IF(TbTradesBinance[[#This Row],[Tipo]]="BUY",W61-TbTradesBinance[[#This Row],[Qtt]]*TbTradesBinance[[#This Row],[Preço]],W61+TbTradesBinance[[#This Row],[Qtt]]*TbTradesBinance[[#This Row],[Preço]])),W61)-IF(TbTradesBinance[[#This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Row],[Tipo]]="DROP"),W61+TbTradesBinance[[#This Row],[Qtt]],W61-TbTradesBinance[[#This Row],[Qtt]]),IF(TbTradesBinance[[#This Row],[Tipo]]="BUY",W61-TbTradesBinance[[#This Row],[Qtt]]*TbTradesBinance[[#This Row],[Preço]],W61+TbTradesBinance[[#This Row],[Qtt]]*TbTradesBinance[[#This Row],[Preço]])),W61)-IF(TbTradesBinance[[#This Row],[Moeda da Taxa]]=MID(W$1,9,5),TbTradesBinance[[#This Row],[Taxa]],0),8)))</f>
        <v>9.7773000000000001E-4</v>
      </c>
      <c r="X62" s="145" cm="1">
        <f t="array" ref="X62">IF(TbTradesBinance[[#This Row],[Tipo]]="EMPTY",0,X61+IF(TbTradesBinance[[#This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Row],[Par]]))),$1:$1,0)),-(W61-W62)/W61*X61),0),0)+IF(TbTradesBinance[[#This Row],[Tipo]]="SELL",IF(ISNUMBER(FIND(MID(X$1,10,5),TbTradesBinance[[#This Row],[Par]])),IF(FIND(MID(X$1,10,5),TbTradesBinance[[#This Row],[Par]])=1, -(W61-W62)/W61*X61,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Row],[Par]])),(-(W61-W62)/W61*X61)+IF(TbTradesBinance[[#This Row],[Resultado]]&gt;0,0,TbTradesBinance[[#This Row],[Taxa]]),0),0))</f>
        <v>293.4382665876517</v>
      </c>
      <c r="Y62" s="145">
        <f t="shared" si="4"/>
        <v>300121.98315245693</v>
      </c>
      <c r="Z6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Row],[Tipo]]="DROP"),Z61+TbTradesBinance[[#This Row],[Qtt]],Z61-TbTradesBinance[[#This Row],[Qtt]]),IF(TbTradesBinance[[#This Row],[Tipo]]="BUY",Z61-TbTradesBinance[[#This Row],[Qtt]]*TbTradesBinance[[#This Row],[Preço]],Z61+TbTradesBinance[[#This Row],[Qtt]]*TbTradesBinance[[#This Row],[Preço]])),Z61)-IF(TbTradesBinance[[#This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Row],[Tipo]]="DROP"),Z61+TbTradesBinance[[#This Row],[Qtt]],Z61-TbTradesBinance[[#This Row],[Qtt]]),IF(TbTradesBinance[[#This Row],[Tipo]]="BUY",Z61-TbTradesBinance[[#This Row],[Qtt]]*TbTradesBinance[[#This Row],[Preço]],Z61+TbTradesBinance[[#This Row],[Qtt]]*TbTradesBinance[[#This Row],[Preço]])),Z61)-IF(TbTradesBinance[[#This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Row],[Tipo]]="DROP"),Z61+TbTradesBinance[[#This Row],[Qtt]],Z61-TbTradesBinance[[#This Row],[Qtt]]),IF(TbTradesBinance[[#This Row],[Tipo]]="BUY",Z61-TbTradesBinance[[#This Row],[Qtt]]*TbTradesBinance[[#This Row],[Preço]],Z61+TbTradesBinance[[#This Row],[Qtt]]*TbTradesBinance[[#This Row],[Preço]])),Z61)-IF(TbTradesBinance[[#This Row],[Moeda da Taxa]]=MID(Z$1,9,5),TbTradesBinance[[#This Row],[Taxa]],0),8)))</f>
        <v>0</v>
      </c>
      <c r="AA62" s="145" cm="1">
        <f t="array" ref="AA62">IF(TbTradesBinance[[#This Row],[Tipo]]="EMPTY",0,AA61+IF(TbTradesBinance[[#This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Row],[Par]]))),$1:$1,0)),-(Z61-Z62)/Z61*AA61),0),0)+IF(TbTradesBinance[[#This Row],[Tipo]]="SELL",IF(ISNUMBER(FIND(MID(AA$1,10,5),TbTradesBinance[[#This Row],[Par]])),IF(FIND(MID(AA$1,10,5),TbTradesBinance[[#This Row],[Par]])=1, -(Z61-Z62)/Z61*AA61,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Row],[Par]])),(-(Z61-Z62)/Z61*AA61)+IF(TbTradesBinance[[#This Row],[Resultado]]&gt;0,0,TbTradesBinance[[#This Row],[Taxa]]),0),0))</f>
        <v>0</v>
      </c>
      <c r="AB62" s="145">
        <f t="shared" si="5"/>
        <v>0</v>
      </c>
      <c r="AC6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Row],[Tipo]]="DROP"),AC61+TbTradesBinance[[#This Row],[Qtt]],AC61-TbTradesBinance[[#This Row],[Qtt]]),IF(TbTradesBinance[[#This Row],[Tipo]]="BUY",AC61-TbTradesBinance[[#This Row],[Qtt]]*TbTradesBinance[[#This Row],[Preço]],AC61+TbTradesBinance[[#This Row],[Qtt]]*TbTradesBinance[[#This Row],[Preço]])),AC61)-IF(TbTradesBinance[[#This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Row],[Tipo]]="DROP"),AC61+TbTradesBinance[[#This Row],[Qtt]],AC61-TbTradesBinance[[#This Row],[Qtt]]),IF(TbTradesBinance[[#This Row],[Tipo]]="BUY",AC61-TbTradesBinance[[#This Row],[Qtt]]*TbTradesBinance[[#This Row],[Preço]],AC61+TbTradesBinance[[#This Row],[Qtt]]*TbTradesBinance[[#This Row],[Preço]])),AC61)-IF(TbTradesBinance[[#This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Row],[Tipo]]="DROP"),AC61+TbTradesBinance[[#This Row],[Qtt]],AC61-TbTradesBinance[[#This Row],[Qtt]]),IF(TbTradesBinance[[#This Row],[Tipo]]="BUY",AC61-TbTradesBinance[[#This Row],[Qtt]]*TbTradesBinance[[#This Row],[Preço]],AC61+TbTradesBinance[[#This Row],[Qtt]]*TbTradesBinance[[#This Row],[Preço]])),AC61)-IF(TbTradesBinance[[#This Row],[Moeda da Taxa]]=MID(AC$1,9,5),TbTradesBinance[[#This Row],[Taxa]],0),8)))</f>
        <v>0</v>
      </c>
      <c r="AD62" s="145" cm="1">
        <f t="array" ref="AD62">IF(TbTradesBinance[[#This Row],[Tipo]]="EMPTY",0,AD61+IF(TbTradesBinance[[#This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Row],[Par]]))),$1:$1,0)),-(AC61-AC62)/AC61*AD61),0),0)+IF(TbTradesBinance[[#This Row],[Tipo]]="SELL",IF(ISNUMBER(FIND(MID(AD$1,10,5),TbTradesBinance[[#This Row],[Par]])),IF(FIND(MID(AD$1,10,5),TbTradesBinance[[#This Row],[Par]])=1, -(AC61-AC62)/AC61*AD61,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Row],[Par]])),(-(AC61-AC62)/AC61*AD61)+IF(TbTradesBinance[[#This Row],[Resultado]]&gt;0,0,TbTradesBinance[[#This Row],[Taxa]]),0),0))</f>
        <v>0</v>
      </c>
      <c r="AE62" s="145">
        <f t="shared" si="6"/>
        <v>0</v>
      </c>
      <c r="AF6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Row],[Tipo]]="DROP"),AF61+TbTradesBinance[[#This Row],[Qtt]],AF61-TbTradesBinance[[#This Row],[Qtt]]),IF(TbTradesBinance[[#This Row],[Tipo]]="BUY",AF61-TbTradesBinance[[#This Row],[Qtt]]*TbTradesBinance[[#This Row],[Preço]],AF61+TbTradesBinance[[#This Row],[Qtt]]*TbTradesBinance[[#This Row],[Preço]])),AF61)-IF(TbTradesBinance[[#This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Row],[Tipo]]="DROP"),AF61+TbTradesBinance[[#This Row],[Qtt]],AF61-TbTradesBinance[[#This Row],[Qtt]]),IF(TbTradesBinance[[#This Row],[Tipo]]="BUY",AF61-TbTradesBinance[[#This Row],[Qtt]]*TbTradesBinance[[#This Row],[Preço]],AF61+TbTradesBinance[[#This Row],[Qtt]]*TbTradesBinance[[#This Row],[Preço]])),AF61)-IF(TbTradesBinance[[#This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Row],[Tipo]]="DROP"),AF61+TbTradesBinance[[#This Row],[Qtt]],AF61-TbTradesBinance[[#This Row],[Qtt]]),IF(TbTradesBinance[[#This Row],[Tipo]]="BUY",AF61-TbTradesBinance[[#This Row],[Qtt]]*TbTradesBinance[[#This Row],[Preço]],AF61+TbTradesBinance[[#This Row],[Qtt]]*TbTradesBinance[[#This Row],[Preço]])),AF61)-IF(TbTradesBinance[[#This Row],[Moeda da Taxa]]=MID(AF$1,9,5),TbTradesBinance[[#This Row],[Taxa]],0),8)))</f>
        <v>0</v>
      </c>
      <c r="AG62" s="145" cm="1">
        <f t="array" ref="AG62">IF(TbTradesBinance[[#This Row],[Tipo]]="EMPTY",0,AG61+IF(TbTradesBinance[[#This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Row],[Par]]))),$1:$1,0)),-(AF61-AF62)/AF61*AG61),0),0)+IF(TbTradesBinance[[#This Row],[Tipo]]="SELL",IF(ISNUMBER(FIND(MID(AG$1,10,5),TbTradesBinance[[#This Row],[Par]])),IF(FIND(MID(AG$1,10,5),TbTradesBinance[[#This Row],[Par]])=1, -(AF61-AF62)/AF61*AG61,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Row],[Par]])),(-(AF61-AF62)/AF61*AG61)+IF(TbTradesBinance[[#This Row],[Resultado]]&gt;0,0,TbTradesBinance[[#This Row],[Taxa]]),0),0))</f>
        <v>0</v>
      </c>
      <c r="AH62" s="145">
        <f t="shared" si="7"/>
        <v>0</v>
      </c>
      <c r="AI6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Row],[Tipo]]="DROP"),AI61+TbTradesBinance[[#This Row],[Qtt]],AI61-TbTradesBinance[[#This Row],[Qtt]]),IF(TbTradesBinance[[#This Row],[Tipo]]="BUY",AI61-TbTradesBinance[[#This Row],[Qtt]]*TbTradesBinance[[#This Row],[Preço]],AI61+TbTradesBinance[[#This Row],[Qtt]]*TbTradesBinance[[#This Row],[Preço]])),AI61)-IF(TbTradesBinance[[#This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Row],[Tipo]]="DROP"),AI61+TbTradesBinance[[#This Row],[Qtt]],AI61-TbTradesBinance[[#This Row],[Qtt]]),IF(TbTradesBinance[[#This Row],[Tipo]]="BUY",AI61-TbTradesBinance[[#This Row],[Qtt]]*TbTradesBinance[[#This Row],[Preço]],AI61+TbTradesBinance[[#This Row],[Qtt]]*TbTradesBinance[[#This Row],[Preço]])),AI61)-IF(TbTradesBinance[[#This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Row],[Tipo]]="DROP"),AI61+TbTradesBinance[[#This Row],[Qtt]],AI61-TbTradesBinance[[#This Row],[Qtt]]),IF(TbTradesBinance[[#This Row],[Tipo]]="BUY",AI61-TbTradesBinance[[#This Row],[Qtt]]*TbTradesBinance[[#This Row],[Preço]],AI61+TbTradesBinance[[#This Row],[Qtt]]*TbTradesBinance[[#This Row],[Preço]])),AI61)-IF(TbTradesBinance[[#This Row],[Moeda da Taxa]]=MID(AI$1,9,5),TbTradesBinance[[#This Row],[Taxa]],0),8)))</f>
        <v>0</v>
      </c>
      <c r="AJ62" s="145" cm="1">
        <f t="array" ref="AJ62">IF(TbTradesBinance[[#This Row],[Tipo]]="EMPTY",0,AJ61+IF(TbTradesBinance[[#This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Row],[Par]]))),$1:$1,0)),-(AI61-AI62)/AI61*AJ61),0),0)+IF(TbTradesBinance[[#This Row],[Tipo]]="SELL",IF(ISNUMBER(FIND(MID(AJ$1,10,5),TbTradesBinance[[#This Row],[Par]])),IF(FIND(MID(AJ$1,10,5),TbTradesBinance[[#This Row],[Par]])=1, -(AI61-AI62)/AI61*AJ61,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Row],[Par]])),(-(AI61-AI62)/AI61*AJ61)+IF(TbTradesBinance[[#This Row],[Resultado]]&gt;0,0,TbTradesBinance[[#This Row],[Taxa]]),0),0))</f>
        <v>0</v>
      </c>
      <c r="AK62" s="145">
        <f t="shared" si="8"/>
        <v>0</v>
      </c>
      <c r="AL6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Row],[Tipo]]="DROP"),AL61+TbTradesBinance[[#This Row],[Qtt]],AL61-TbTradesBinance[[#This Row],[Qtt]]),IF(TbTradesBinance[[#This Row],[Tipo]]="BUY",AL61-TbTradesBinance[[#This Row],[Qtt]]*TbTradesBinance[[#This Row],[Preço]],AL61+TbTradesBinance[[#This Row],[Qtt]]*TbTradesBinance[[#This Row],[Preço]])),AL61)-IF(TbTradesBinance[[#This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Row],[Tipo]]="DROP"),AL61+TbTradesBinance[[#This Row],[Qtt]],AL61-TbTradesBinance[[#This Row],[Qtt]]),IF(TbTradesBinance[[#This Row],[Tipo]]="BUY",AL61-TbTradesBinance[[#This Row],[Qtt]]*TbTradesBinance[[#This Row],[Preço]],AL61+TbTradesBinance[[#This Row],[Qtt]]*TbTradesBinance[[#This Row],[Preço]])),AL61)-IF(TbTradesBinance[[#This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Row],[Tipo]]="DROP"),AL61+TbTradesBinance[[#This Row],[Qtt]],AL61-TbTradesBinance[[#This Row],[Qtt]]),IF(TbTradesBinance[[#This Row],[Tipo]]="BUY",AL61-TbTradesBinance[[#This Row],[Qtt]]*TbTradesBinance[[#This Row],[Preço]],AL61+TbTradesBinance[[#This Row],[Qtt]]*TbTradesBinance[[#This Row],[Preço]])),AL61)-IF(TbTradesBinance[[#This Row],[Moeda da Taxa]]=MID(AL$1,9,5),TbTradesBinance[[#This Row],[Taxa]],0),8)))</f>
        <v>0</v>
      </c>
      <c r="AM62" s="145" cm="1">
        <f t="array" ref="AM62">IF(TbTradesBinance[[#This Row],[Tipo]]="EMPTY",0,AM61+IF(TbTradesBinance[[#This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Row],[Par]]))),$1:$1,0)),-(AL61-AL62)/AL61*AM61),0),0)+IF(TbTradesBinance[[#This Row],[Tipo]]="SELL",IF(ISNUMBER(FIND(MID(AM$1,10,5),TbTradesBinance[[#This Row],[Par]])),IF(FIND(MID(AM$1,10,5),TbTradesBinance[[#This Row],[Par]])=1, -(AL61-AL62)/AL61*AM61,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Row],[Par]])),(-(AL61-AL62)/AL61*AM61)+IF(TbTradesBinance[[#This Row],[Resultado]]&gt;0,0,TbTradesBinance[[#This Row],[Taxa]]),0),0))</f>
        <v>0</v>
      </c>
      <c r="AN62" s="145">
        <f t="shared" si="9"/>
        <v>0</v>
      </c>
      <c r="AO6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Row],[Tipo]]="DROP"),AO61+TbTradesBinance[[#This Row],[Qtt]],AO61-TbTradesBinance[[#This Row],[Qtt]]),IF(TbTradesBinance[[#This Row],[Tipo]]="BUY",AO61-TbTradesBinance[[#This Row],[Qtt]]*TbTradesBinance[[#This Row],[Preço]],AO61+TbTradesBinance[[#This Row],[Qtt]]*TbTradesBinance[[#This Row],[Preço]])),AO61)-IF(TbTradesBinance[[#This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Row],[Tipo]]="DROP"),AO61+TbTradesBinance[[#This Row],[Qtt]],AO61-TbTradesBinance[[#This Row],[Qtt]]),IF(TbTradesBinance[[#This Row],[Tipo]]="BUY",AO61-TbTradesBinance[[#This Row],[Qtt]]*TbTradesBinance[[#This Row],[Preço]],AO61+TbTradesBinance[[#This Row],[Qtt]]*TbTradesBinance[[#This Row],[Preço]])),AO61)-IF(TbTradesBinance[[#This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Row],[Tipo]]="DROP"),AO61+TbTradesBinance[[#This Row],[Qtt]],AO61-TbTradesBinance[[#This Row],[Qtt]]),IF(TbTradesBinance[[#This Row],[Tipo]]="BUY",AO61-TbTradesBinance[[#This Row],[Qtt]]*TbTradesBinance[[#This Row],[Preço]],AO61+TbTradesBinance[[#This Row],[Qtt]]*TbTradesBinance[[#This Row],[Preço]])),AO61)-IF(TbTradesBinance[[#This Row],[Moeda da Taxa]]=MID(AO$1,9,5),TbTradesBinance[[#This Row],[Taxa]],0),8)))</f>
        <v>7.1478000000000004E-4</v>
      </c>
      <c r="AP62" s="145" cm="1">
        <f t="array" ref="AP62">IF(TbTradesBinance[[#This Row],[Tipo]]="EMPTY",0,AP61+IF(TbTradesBinance[[#This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Row],[Par]]))),$1:$1,0)),-(AO61-AO62)/AO61*AP61),0),0)+IF(TbTradesBinance[[#This Row],[Tipo]]="SELL",IF(ISNUMBER(FIND(MID(AP$1,10,5),TbTradesBinance[[#This Row],[Par]])),IF(FIND(MID(AP$1,10,5),TbTradesBinance[[#This Row],[Par]])=1, -(AO61-AO62)/AO61*AP61,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Row],[Par]])),(-(AO61-AO62)/AO61*AP61)+IF(TbTradesBinance[[#This Row],[Resultado]]&gt;0,0,TbTradesBinance[[#This Row],[Taxa]]),0),0))</f>
        <v>1.7416212429180353</v>
      </c>
      <c r="AQ62" s="145">
        <f t="shared" si="10"/>
        <v>2436.5836242172909</v>
      </c>
      <c r="AR6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Row],[Tipo]]="DROP"),AR61+TbTradesBinance[[#This Row],[Qtt]],AR61-TbTradesBinance[[#This Row],[Qtt]]),IF(TbTradesBinance[[#This Row],[Tipo]]="BUY",AR61-TbTradesBinance[[#This Row],[Qtt]]*TbTradesBinance[[#This Row],[Preço]],AR61+TbTradesBinance[[#This Row],[Qtt]]*TbTradesBinance[[#This Row],[Preço]])),AR61)-IF(TbTradesBinance[[#This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Row],[Tipo]]="DROP"),AR61+TbTradesBinance[[#This Row],[Qtt]],AR61-TbTradesBinance[[#This Row],[Qtt]]),IF(TbTradesBinance[[#This Row],[Tipo]]="BUY",AR61-TbTradesBinance[[#This Row],[Qtt]]*TbTradesBinance[[#This Row],[Preço]],AR61+TbTradesBinance[[#This Row],[Qtt]]*TbTradesBinance[[#This Row],[Preço]])),AR61)-IF(TbTradesBinance[[#This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Row],[Tipo]]="DROP"),AR61+TbTradesBinance[[#This Row],[Qtt]],AR61-TbTradesBinance[[#This Row],[Qtt]]),IF(TbTradesBinance[[#This Row],[Tipo]]="BUY",AR61-TbTradesBinance[[#This Row],[Qtt]]*TbTradesBinance[[#This Row],[Preço]],AR61+TbTradesBinance[[#This Row],[Qtt]]*TbTradesBinance[[#This Row],[Preço]])),AR61)-IF(TbTradesBinance[[#This Row],[Moeda da Taxa]]=MID(AR$1,9,5),TbTradesBinance[[#This Row],[Taxa]],0),8)))</f>
        <v>0</v>
      </c>
      <c r="AS62" s="145" cm="1">
        <f t="array" ref="AS62">IF(TbTradesBinance[[#This Row],[Tipo]]="EMPTY",0,AS61+IF(TbTradesBinance[[#This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Row],[Par]]))),$1:$1,0)),-(AR61-AR62)/AR61*AS61),0),0)+IF(TbTradesBinance[[#This Row],[Tipo]]="SELL",IF(ISNUMBER(FIND(MID(AS$1,10,5),TbTradesBinance[[#This Row],[Par]])),IF(FIND(MID(AS$1,10,5),TbTradesBinance[[#This Row],[Par]])=1, -(AR61-AR62)/AR61*AS61,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Row],[Par]])),(-(AR61-AR62)/AR61*AS61)+IF(TbTradesBinance[[#This Row],[Resultado]]&gt;0,0,TbTradesBinance[[#This Row],[Taxa]]),0),0))</f>
        <v>0</v>
      </c>
      <c r="AT62" s="145">
        <f t="shared" si="11"/>
        <v>0</v>
      </c>
      <c r="AU6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Row],[Tipo]]="DROP"),AU61+TbTradesBinance[[#This Row],[Qtt]],AU61-TbTradesBinance[[#This Row],[Qtt]]),IF(TbTradesBinance[[#This Row],[Tipo]]="BUY",AU61-TbTradesBinance[[#This Row],[Qtt]]*TbTradesBinance[[#This Row],[Preço]],AU61+TbTradesBinance[[#This Row],[Qtt]]*TbTradesBinance[[#This Row],[Preço]])),AU61)-IF(TbTradesBinance[[#This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Row],[Tipo]]="DROP"),AU61+TbTradesBinance[[#This Row],[Qtt]],AU61-TbTradesBinance[[#This Row],[Qtt]]),IF(TbTradesBinance[[#This Row],[Tipo]]="BUY",AU61-TbTradesBinance[[#This Row],[Qtt]]*TbTradesBinance[[#This Row],[Preço]],AU61+TbTradesBinance[[#This Row],[Qtt]]*TbTradesBinance[[#This Row],[Preço]])),AU61)-IF(TbTradesBinance[[#This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Row],[Tipo]]="DROP"),AU61+TbTradesBinance[[#This Row],[Qtt]],AU61-TbTradesBinance[[#This Row],[Qtt]]),IF(TbTradesBinance[[#This Row],[Tipo]]="BUY",AU61-TbTradesBinance[[#This Row],[Qtt]]*TbTradesBinance[[#This Row],[Preço]],AU61+TbTradesBinance[[#This Row],[Qtt]]*TbTradesBinance[[#This Row],[Preço]])),AU61)-IF(TbTradesBinance[[#This Row],[Moeda da Taxa]]=MID(AU$1,9,5),TbTradesBinance[[#This Row],[Taxa]],0),8)))</f>
        <v>9.9900000000000003E-2</v>
      </c>
      <c r="AV62" s="145" cm="1">
        <f t="array" ref="AV62">IF(TbTradesBinance[[#This Row],[Tipo]]="EMPTY",0,AV61+IF(TbTradesBinance[[#This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Row],[Par]]))),$1:$1,0)),-(AU61-AU62)/AU61*AV61),0),0)+IF(TbTradesBinance[[#This Row],[Tipo]]="SELL",IF(ISNUMBER(FIND(MID(AV$1,10,5),TbTradesBinance[[#This Row],[Par]])),IF(FIND(MID(AV$1,10,5),TbTradesBinance[[#This Row],[Par]])=1, -(AU61-AU62)/AU61*AV61,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Row],[Par]])),(-(AU61-AU62)/AU61*AV61)+IF(TbTradesBinance[[#This Row],[Resultado]]&gt;0,0,TbTradesBinance[[#This Row],[Taxa]]),0),0))</f>
        <v>18.673922987511034</v>
      </c>
      <c r="AW62" s="145">
        <f t="shared" si="12"/>
        <v>186.92615603114149</v>
      </c>
      <c r="AX6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Row],[Tipo]]="DROP"),AX61+TbTradesBinance[[#This Row],[Qtt]],AX61-TbTradesBinance[[#This Row],[Qtt]]),IF(TbTradesBinance[[#This Row],[Tipo]]="BUY",AX61-TbTradesBinance[[#This Row],[Qtt]]*TbTradesBinance[[#This Row],[Preço]],AX61+TbTradesBinance[[#This Row],[Qtt]]*TbTradesBinance[[#This Row],[Preço]])),AX61)-IF(TbTradesBinance[[#This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Row],[Tipo]]="DROP"),AX61+TbTradesBinance[[#This Row],[Qtt]],AX61-TbTradesBinance[[#This Row],[Qtt]]),IF(TbTradesBinance[[#This Row],[Tipo]]="BUY",AX61-TbTradesBinance[[#This Row],[Qtt]]*TbTradesBinance[[#This Row],[Preço]],AX61+TbTradesBinance[[#This Row],[Qtt]]*TbTradesBinance[[#This Row],[Preço]])),AX61)-IF(TbTradesBinance[[#This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Row],[Tipo]]="DROP"),AX61+TbTradesBinance[[#This Row],[Qtt]],AX61-TbTradesBinance[[#This Row],[Qtt]]),IF(TbTradesBinance[[#This Row],[Tipo]]="BUY",AX61-TbTradesBinance[[#This Row],[Qtt]]*TbTradesBinance[[#This Row],[Preço]],AX61+TbTradesBinance[[#This Row],[Qtt]]*TbTradesBinance[[#This Row],[Preço]])),AX61)-IF(TbTradesBinance[[#This Row],[Moeda da Taxa]]=MID(AX$1,9,5),TbTradesBinance[[#This Row],[Taxa]],0),8)))</f>
        <v>0.22636999999999999</v>
      </c>
      <c r="AY62" s="145" cm="1">
        <f t="array" ref="AY62">IF(TbTradesBinance[[#This Row],[Tipo]]="EMPTY",0,AY61+IF(TbTradesBinance[[#This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Row],[Par]]))),$1:$1,0)),-(AX61-AX62)/AX61*AY61),0),0)+IF(TbTradesBinance[[#This Row],[Tipo]]="SELL",IF(ISNUMBER(FIND(MID(AY$1,10,5),TbTradesBinance[[#This Row],[Par]])),IF(FIND(MID(AY$1,10,5),TbTradesBinance[[#This Row],[Par]])=1, -(AX61-AX62)/AX61*AY61,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Row],[Par]])),(-(AX61-AX62)/AX61*AY61)+IF(TbTradesBinance[[#This Row],[Resultado]]&gt;0,0,TbTradesBinance[[#This Row],[Taxa]]),0),0))</f>
        <v>40.781337593356859</v>
      </c>
      <c r="AZ62" s="145">
        <f t="shared" si="13"/>
        <v>180.15345493376711</v>
      </c>
      <c r="BA6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Row],[Tipo]]="DROP"),BA61+TbTradesBinance[[#This Row],[Qtt]],BA61-TbTradesBinance[[#This Row],[Qtt]]),IF(TbTradesBinance[[#This Row],[Tipo]]="BUY",BA61-TbTradesBinance[[#This Row],[Qtt]]*TbTradesBinance[[#This Row],[Preço]],BA61+TbTradesBinance[[#This Row],[Qtt]]*TbTradesBinance[[#This Row],[Preço]])),BA61)-IF(TbTradesBinance[[#This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Row],[Tipo]]="DROP"),BA61+TbTradesBinance[[#This Row],[Qtt]],BA61-TbTradesBinance[[#This Row],[Qtt]]),IF(TbTradesBinance[[#This Row],[Tipo]]="BUY",BA61-TbTradesBinance[[#This Row],[Qtt]]*TbTradesBinance[[#This Row],[Preço]],BA61+TbTradesBinance[[#This Row],[Qtt]]*TbTradesBinance[[#This Row],[Preço]])),BA61)-IF(TbTradesBinance[[#This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Row],[Tipo]]="DROP"),BA61+TbTradesBinance[[#This Row],[Qtt]],BA61-TbTradesBinance[[#This Row],[Qtt]]),IF(TbTradesBinance[[#This Row],[Tipo]]="BUY",BA61-TbTradesBinance[[#This Row],[Qtt]]*TbTradesBinance[[#This Row],[Preço]],BA61+TbTradesBinance[[#This Row],[Qtt]]*TbTradesBinance[[#This Row],[Preço]])),BA61)-IF(TbTradesBinance[[#This Row],[Moeda da Taxa]]=MID(BA$1,9,5),TbTradesBinance[[#This Row],[Taxa]],0),8)))</f>
        <v>0</v>
      </c>
      <c r="BB62" s="145" cm="1">
        <f t="array" ref="BB62">IF(TbTradesBinance[[#This Row],[Tipo]]="EMPTY",0,BB61+IF(TbTradesBinance[[#This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Row],[Par]]))),$1:$1,0)),-(BA61-BA62)/BA61*BB61),0),0)+IF(TbTradesBinance[[#This Row],[Tipo]]="SELL",IF(ISNUMBER(FIND(MID(BB$1,10,5),TbTradesBinance[[#This Row],[Par]])),IF(FIND(MID(BB$1,10,5),TbTradesBinance[[#This Row],[Par]])=1, -(BA61-BA62)/BA61*BB61,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Row],[Par]])),(-(BA61-BA62)/BA61*BB61)+IF(TbTradesBinance[[#This Row],[Resultado]]&gt;0,0,TbTradesBinance[[#This Row],[Taxa]]),0),0))</f>
        <v>0</v>
      </c>
      <c r="BC62" s="145">
        <f t="shared" si="14"/>
        <v>0</v>
      </c>
      <c r="BD6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Row],[Tipo]]="DROP"),BD61+TbTradesBinance[[#This Row],[Qtt]],BD61-TbTradesBinance[[#This Row],[Qtt]]),IF(TbTradesBinance[[#This Row],[Tipo]]="BUY",BD61-TbTradesBinance[[#This Row],[Qtt]]*TbTradesBinance[[#This Row],[Preço]],BD61+TbTradesBinance[[#This Row],[Qtt]]*TbTradesBinance[[#This Row],[Preço]])),BD61)-IF(TbTradesBinance[[#This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Row],[Tipo]]="DROP"),BD61+TbTradesBinance[[#This Row],[Qtt]],BD61-TbTradesBinance[[#This Row],[Qtt]]),IF(TbTradesBinance[[#This Row],[Tipo]]="BUY",BD61-TbTradesBinance[[#This Row],[Qtt]]*TbTradesBinance[[#This Row],[Preço]],BD61+TbTradesBinance[[#This Row],[Qtt]]*TbTradesBinance[[#This Row],[Preço]])),BD61)-IF(TbTradesBinance[[#This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Row],[Tipo]]="DROP"),BD61+TbTradesBinance[[#This Row],[Qtt]],BD61-TbTradesBinance[[#This Row],[Qtt]]),IF(TbTradesBinance[[#This Row],[Tipo]]="BUY",BD61-TbTradesBinance[[#This Row],[Qtt]]*TbTradesBinance[[#This Row],[Preço]],BD61+TbTradesBinance[[#This Row],[Qtt]]*TbTradesBinance[[#This Row],[Preço]])),BD61)-IF(TbTradesBinance[[#This Row],[Moeda da Taxa]]=MID(BD$1,9,5),TbTradesBinance[[#This Row],[Taxa]],0),8)))</f>
        <v>0.37962000000000001</v>
      </c>
      <c r="BE62" s="145" cm="1">
        <f t="array" ref="BE62">IF(TbTradesBinance[[#This Row],[Tipo]]="EMPTY",0,BE61+IF(TbTradesBinance[[#This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Row],[Par]]))),$1:$1,0)),-(BD61-BD62)/BD61*BE61),0),0)+IF(TbTradesBinance[[#This Row],[Tipo]]="SELL",IF(ISNUMBER(FIND(MID(BE$1,10,5),TbTradesBinance[[#This Row],[Par]])),IF(FIND(MID(BE$1,10,5),TbTradesBinance[[#This Row],[Par]])=1, -(BD61-BD62)/BD61*BE61,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Row],[Par]])),(-(BD61-BD62)/BD61*BE61)+IF(TbTradesBinance[[#This Row],[Resultado]]&gt;0,0,TbTradesBinance[[#This Row],[Taxa]]),0),0))</f>
        <v>63.647297001537943</v>
      </c>
      <c r="BF62" s="145">
        <f t="shared" si="15"/>
        <v>167.66054739354601</v>
      </c>
      <c r="BG6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Row],[Tipo]]="DROP"),BG61+TbTradesBinance[[#This Row],[Qtt]],BG61-TbTradesBinance[[#This Row],[Qtt]]),IF(TbTradesBinance[[#This Row],[Tipo]]="BUY",BG61-TbTradesBinance[[#This Row],[Qtt]]*TbTradesBinance[[#This Row],[Preço]],BG61+TbTradesBinance[[#This Row],[Qtt]]*TbTradesBinance[[#This Row],[Preço]])),BG61)-IF(TbTradesBinance[[#This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Row],[Tipo]]="DROP"),BG61+TbTradesBinance[[#This Row],[Qtt]],BG61-TbTradesBinance[[#This Row],[Qtt]]),IF(TbTradesBinance[[#This Row],[Tipo]]="BUY",BG61-TbTradesBinance[[#This Row],[Qtt]]*TbTradesBinance[[#This Row],[Preço]],BG61+TbTradesBinance[[#This Row],[Qtt]]*TbTradesBinance[[#This Row],[Preço]])),BG61)-IF(TbTradesBinance[[#This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Row],[Tipo]]="DROP"),BG61+TbTradesBinance[[#This Row],[Qtt]],BG61-TbTradesBinance[[#This Row],[Qtt]]),IF(TbTradesBinance[[#This Row],[Tipo]]="BUY",BG61-TbTradesBinance[[#This Row],[Qtt]]*TbTradesBinance[[#This Row],[Preço]],BG61+TbTradesBinance[[#This Row],[Qtt]]*TbTradesBinance[[#This Row],[Preço]])),BG61)-IF(TbTradesBinance[[#This Row],[Moeda da Taxa]]=MID(BG$1,9,5),TbTradesBinance[[#This Row],[Taxa]],0),8)))</f>
        <v>0</v>
      </c>
      <c r="BH62" s="145" cm="1">
        <f t="array" ref="BH62">IF(TbTradesBinance[[#This Row],[Tipo]]="EMPTY",0,BH61+IF(TbTradesBinance[[#This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Row],[Par]]))),$1:$1,0)),-(BG61-BG62)/BG61*BH61),0),0)+IF(TbTradesBinance[[#This Row],[Tipo]]="SELL",IF(ISNUMBER(FIND(MID(BH$1,10,5),TbTradesBinance[[#This Row],[Par]])),IF(FIND(MID(BH$1,10,5),TbTradesBinance[[#This Row],[Par]])=1, -(BG61-BG62)/BG61*BH61,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Row],[Par]])),(-(BG61-BG62)/BG61*BH61)+IF(TbTradesBinance[[#This Row],[Resultado]]&gt;0,0,TbTradesBinance[[#This Row],[Taxa]]),0),0))</f>
        <v>0</v>
      </c>
      <c r="BI62" s="145">
        <f t="shared" si="16"/>
        <v>0</v>
      </c>
      <c r="BJ6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Row],[Tipo]]="DROP"),BJ61+TbTradesBinance[[#This Row],[Qtt]],BJ61-TbTradesBinance[[#This Row],[Qtt]]),IF(TbTradesBinance[[#This Row],[Tipo]]="BUY",BJ61-TbTradesBinance[[#This Row],[Qtt]]*TbTradesBinance[[#This Row],[Preço]],BJ61+TbTradesBinance[[#This Row],[Qtt]]*TbTradesBinance[[#This Row],[Preço]])),BJ61)-IF(TbTradesBinance[[#This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Row],[Tipo]]="DROP"),BJ61+TbTradesBinance[[#This Row],[Qtt]],BJ61-TbTradesBinance[[#This Row],[Qtt]]),IF(TbTradesBinance[[#This Row],[Tipo]]="BUY",BJ61-TbTradesBinance[[#This Row],[Qtt]]*TbTradesBinance[[#This Row],[Preço]],BJ61+TbTradesBinance[[#This Row],[Qtt]]*TbTradesBinance[[#This Row],[Preço]])),BJ61)-IF(TbTradesBinance[[#This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Row],[Tipo]]="DROP"),BJ61+TbTradesBinance[[#This Row],[Qtt]],BJ61-TbTradesBinance[[#This Row],[Qtt]]),IF(TbTradesBinance[[#This Row],[Tipo]]="BUY",BJ61-TbTradesBinance[[#This Row],[Qtt]]*TbTradesBinance[[#This Row],[Preço]],BJ61+TbTradesBinance[[#This Row],[Qtt]]*TbTradesBinance[[#This Row],[Preço]])),BJ61)-IF(TbTradesBinance[[#This Row],[Moeda da Taxa]]=MID(BJ$1,9,5),TbTradesBinance[[#This Row],[Taxa]],0),8)))</f>
        <v>0</v>
      </c>
      <c r="BK62" s="145" cm="1">
        <f t="array" ref="BK62">IF(TbTradesBinance[[#This Row],[Tipo]]="EMPTY",0,BK61+IF(TbTradesBinance[[#This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Row],[Par]]))),$1:$1,0)),-(BJ61-BJ62)/BJ61*BK61),0),0)+IF(TbTradesBinance[[#This Row],[Tipo]]="SELL",IF(ISNUMBER(FIND(MID(BK$1,10,5),TbTradesBinance[[#This Row],[Par]])),IF(FIND(MID(BK$1,10,5),TbTradesBinance[[#This Row],[Par]])=1, -(BJ61-BJ62)/BJ61*BK61,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Row],[Par]])),(-(BJ61-BJ62)/BJ61*BK61)+IF(TbTradesBinance[[#This Row],[Resultado]]&gt;0,0,TbTradesBinance[[#This Row],[Taxa]]),0),0))</f>
        <v>0</v>
      </c>
      <c r="BL62" s="145">
        <f t="shared" si="17"/>
        <v>0</v>
      </c>
      <c r="BM6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Row],[Tipo]]="DROP"),BM61+TbTradesBinance[[#This Row],[Qtt]],BM61-TbTradesBinance[[#This Row],[Qtt]]),IF(TbTradesBinance[[#This Row],[Tipo]]="BUY",BM61-TbTradesBinance[[#This Row],[Qtt]]*TbTradesBinance[[#This Row],[Preço]],BM61+TbTradesBinance[[#This Row],[Qtt]]*TbTradesBinance[[#This Row],[Preço]])),BM61)-IF(TbTradesBinance[[#This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Row],[Tipo]]="DROP"),BM61+TbTradesBinance[[#This Row],[Qtt]],BM61-TbTradesBinance[[#This Row],[Qtt]]),IF(TbTradesBinance[[#This Row],[Tipo]]="BUY",BM61-TbTradesBinance[[#This Row],[Qtt]]*TbTradesBinance[[#This Row],[Preço]],BM61+TbTradesBinance[[#This Row],[Qtt]]*TbTradesBinance[[#This Row],[Preço]])),BM61)-IF(TbTradesBinance[[#This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Row],[Tipo]]="DROP"),BM61+TbTradesBinance[[#This Row],[Qtt]],BM61-TbTradesBinance[[#This Row],[Qtt]]),IF(TbTradesBinance[[#This Row],[Tipo]]="BUY",BM61-TbTradesBinance[[#This Row],[Qtt]]*TbTradesBinance[[#This Row],[Preço]],BM61+TbTradesBinance[[#This Row],[Qtt]]*TbTradesBinance[[#This Row],[Preço]])),BM61)-IF(TbTradesBinance[[#This Row],[Moeda da Taxa]]=MID(BM$1,9,5),TbTradesBinance[[#This Row],[Taxa]],0),8)))</f>
        <v>0</v>
      </c>
      <c r="BN62" s="145" cm="1">
        <f t="array" ref="BN62">IF(TbTradesBinance[[#This Row],[Tipo]]="EMPTY",0,BN61+IF(TbTradesBinance[[#This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Row],[Par]]))),$1:$1,0)),-(BM61-BM62)/BM61*BN61),0),0)+IF(TbTradesBinance[[#This Row],[Tipo]]="SELL",IF(ISNUMBER(FIND(MID(BN$1,10,5),TbTradesBinance[[#This Row],[Par]])),IF(FIND(MID(BN$1,10,5),TbTradesBinance[[#This Row],[Par]])=1, -(BM61-BM62)/BM61*BN61,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Row],[Par]])),(-(BM61-BM62)/BM61*BN61)+IF(TbTradesBinance[[#This Row],[Resultado]]&gt;0,0,TbTradesBinance[[#This Row],[Taxa]]),0),0))</f>
        <v>0</v>
      </c>
      <c r="BO62" s="145">
        <f t="shared" si="18"/>
        <v>0</v>
      </c>
    </row>
    <row r="63" spans="2:67" x14ac:dyDescent="0.3">
      <c r="B63" s="51"/>
      <c r="C63" s="40">
        <f>TRUNC(IF(AND(TbTradesBinance[[#This Row],[Tipo]]="SEND",TbTradesBinance[[#This Row],[Par]]="BRL"),TbTradesBinance[[#This Row],[Qtt]]*(1-P61)-IF(TbTradesBinance[[#This Row],[Moeda da Taxa]]="BRL",TbTradesBinance[[#This Row],[Taxa]],0),0)+IF(AND(TbTradesBinance[[#This Row],[Tipo]]="BURN",TbTradesBinance[[#This Row],[Par]]="BRL"),-TbTradesBinance[[#This Row],[Qtt]]*P61,0),2)</f>
        <v>0</v>
      </c>
      <c r="D63" s="53">
        <v>44264.735347222224</v>
      </c>
      <c r="E63" s="37" t="s">
        <v>144</v>
      </c>
      <c r="F63" s="47" t="s">
        <v>139</v>
      </c>
      <c r="G63" s="38">
        <v>220.32</v>
      </c>
      <c r="H63" s="38">
        <v>0.17</v>
      </c>
      <c r="I63" s="38">
        <v>1.713E-5</v>
      </c>
      <c r="J63" s="37" t="s">
        <v>45</v>
      </c>
      <c r="K63" s="52">
        <v>1</v>
      </c>
      <c r="L63" s="40">
        <f t="shared" si="0"/>
        <v>220.32</v>
      </c>
      <c r="M63" s="40">
        <f>IF(OR(TbTradesBinance[[#This Row],[Tipo]]="BUY",TbTradesBinance[[#This Row],[Tipo]]="RECEIVE",TbTradesBinance[[#This Row],[Tipo]]="DROP"),L63*H63,-L63*H63)</f>
        <v>37.4544</v>
      </c>
      <c r="N6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Row],[Tipo]]="DROP"),N62+TbTradesBinance[[#This Row],[Qtt]],N62-TbTradesBinance[[#This Row],[Qtt]]),IF(TbTradesBinance[[#This Row],[Tipo]]="BUY",N62-TbTradesBinance[[#This Row],[Qtt]]*TbTradesBinance[[#This Row],[Preço]],N62+TbTradesBinance[[#This Row],[Qtt]]*TbTradesBinance[[#This Row],[Preço]])),N62)-IF(TbTradesBinance[[#This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Row],[Tipo]]="DROP"),N62+TbTradesBinance[[#This Row],[Qtt]],N62-TbTradesBinance[[#This Row],[Qtt]]),IF(TbTradesBinance[[#This Row],[Tipo]]="BUY",N62-TbTradesBinance[[#This Row],[Qtt]]*TbTradesBinance[[#This Row],[Preço]],N62+TbTradesBinance[[#This Row],[Qtt]]*TbTradesBinance[[#This Row],[Preço]])),N62)-IF(TbTradesBinance[[#This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Row],[Tipo]]="DROP"),N62+TbTradesBinance[[#This Row],[Qtt]],N62-TbTradesBinance[[#This Row],[Qtt]]),IF(TbTradesBinance[[#This Row],[Tipo]]="BUY",N62-TbTradesBinance[[#This Row],[Qtt]]*TbTradesBinance[[#This Row],[Preço]],N62+TbTradesBinance[[#This Row],[Qtt]]*TbTradesBinance[[#This Row],[Preço]])),N62)-IF(TbTradesBinance[[#This Row],[Moeda da Taxa]]=MID(N$1,9,5),TbTradesBinance[[#This Row],[Taxa]],0),8)))</f>
        <v>119748.82023389</v>
      </c>
      <c r="O63" s="145" cm="1">
        <f t="array" ref="O63">IF(TbTradesBinance[[#This Row],[Tipo]]="EMPTY",0,O62+IF(TbTradesBinance[[#This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Row],[Par]]))),$1:$1,0)),-(N62-N63)/N62*O62),0),0)+IF(TbTradesBinance[[#This Row],[Tipo]]="SELL",IF(ISNUMBER(FIND(MID(O$1,10,5),TbTradesBinance[[#This Row],[Par]])),IF(FIND(MID(O$1,10,5),TbTradesBinance[[#This Row],[Par]])=1, -(N62-N63)/N62*O62,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Row],[Par]])),(-(N62-N63)/N62*O62)+IF(TbTradesBinance[[#This Row],[Resultado]]&gt;0,0,TbTradesBinance[[#This Row],[Taxa]]),0),0))</f>
        <v>119651.49023507148</v>
      </c>
      <c r="P63" s="145">
        <f t="shared" si="1"/>
        <v>0.999187215384432</v>
      </c>
      <c r="Q6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Row],[Tipo]]="DROP"),Q62+TbTradesBinance[[#This Row],[Qtt]],Q62-TbTradesBinance[[#This Row],[Qtt]]),IF(TbTradesBinance[[#This Row],[Tipo]]="BUY",Q62-TbTradesBinance[[#This Row],[Qtt]]*TbTradesBinance[[#This Row],[Preço]],Q62+TbTradesBinance[[#This Row],[Qtt]]*TbTradesBinance[[#This Row],[Preço]])),Q62)-IF(TbTradesBinance[[#This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Row],[Tipo]]="DROP"),Q62+TbTradesBinance[[#This Row],[Qtt]],Q62-TbTradesBinance[[#This Row],[Qtt]]),IF(TbTradesBinance[[#This Row],[Tipo]]="BUY",Q62-TbTradesBinance[[#This Row],[Qtt]]*TbTradesBinance[[#This Row],[Preço]],Q62+TbTradesBinance[[#This Row],[Qtt]]*TbTradesBinance[[#This Row],[Preço]])),Q62)-IF(TbTradesBinance[[#This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Row],[Tipo]]="DROP"),Q62+TbTradesBinance[[#This Row],[Qtt]],Q62-TbTradesBinance[[#This Row],[Qtt]]),IF(TbTradesBinance[[#This Row],[Tipo]]="BUY",Q62-TbTradesBinance[[#This Row],[Qtt]]*TbTradesBinance[[#This Row],[Preço]],Q62+TbTradesBinance[[#This Row],[Qtt]]*TbTradesBinance[[#This Row],[Preço]])),Q62)-IF(TbTradesBinance[[#This Row],[Moeda da Taxa]]=MID(Q$1,9,5),TbTradesBinance[[#This Row],[Taxa]],0),8)))</f>
        <v>0</v>
      </c>
      <c r="R63" s="145" cm="1">
        <f t="array" ref="R63">IF(TbTradesBinance[[#This Row],[Tipo]]="EMPTY",0,R62+IF(TbTradesBinance[[#This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Row],[Par]]))),$1:$1,0)),-(Q62-Q63)/Q62*R62),0),0)+IF(TbTradesBinance[[#This Row],[Tipo]]="SELL",IF(ISNUMBER(FIND(MID(R$1,10,5),TbTradesBinance[[#This Row],[Par]])),IF(FIND(MID(R$1,10,5),TbTradesBinance[[#This Row],[Par]])=1, -(Q62-Q63)/Q62*R62,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Row],[Par]])),(-(Q62-Q63)/Q62*R62)+IF(TbTradesBinance[[#This Row],[Resultado]]&gt;0,0,TbTradesBinance[[#This Row],[Taxa]]),0),0))</f>
        <v>0</v>
      </c>
      <c r="S63" s="145">
        <f t="shared" si="2"/>
        <v>0</v>
      </c>
      <c r="T6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Row],[Tipo]]="DROP"),T62+TbTradesBinance[[#This Row],[Qtt]],T62-TbTradesBinance[[#This Row],[Qtt]]),IF(TbTradesBinance[[#This Row],[Tipo]]="BUY",T62-TbTradesBinance[[#This Row],[Qtt]]*TbTradesBinance[[#This Row],[Preço]],T62+TbTradesBinance[[#This Row],[Qtt]]*TbTradesBinance[[#This Row],[Preço]])),T62)-IF(TbTradesBinance[[#This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Row],[Tipo]]="DROP"),T62+TbTradesBinance[[#This Row],[Qtt]],T62-TbTradesBinance[[#This Row],[Qtt]]),IF(TbTradesBinance[[#This Row],[Tipo]]="BUY",T62-TbTradesBinance[[#This Row],[Qtt]]*TbTradesBinance[[#This Row],[Preço]],T62+TbTradesBinance[[#This Row],[Qtt]]*TbTradesBinance[[#This Row],[Preço]])),T62)-IF(TbTradesBinance[[#This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Row],[Tipo]]="DROP"),T62+TbTradesBinance[[#This Row],[Qtt]],T62-TbTradesBinance[[#This Row],[Qtt]]),IF(TbTradesBinance[[#This Row],[Tipo]]="BUY",T62-TbTradesBinance[[#This Row],[Qtt]]*TbTradesBinance[[#This Row],[Preço]],T62+TbTradesBinance[[#This Row],[Qtt]]*TbTradesBinance[[#This Row],[Preço]])),T62)-IF(TbTradesBinance[[#This Row],[Moeda da Taxa]]=MID(T$1,9,5),TbTradesBinance[[#This Row],[Taxa]],0),8)))</f>
        <v>199735.32000169999</v>
      </c>
      <c r="U63" s="145" cm="1">
        <f t="array" ref="U63">IF(TbTradesBinance[[#This Row],[Tipo]]="EMPTY",0,U62+IF(TbTradesBinance[[#This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Row],[Par]]))),$1:$1,0)),-(T62-T63)/T62*U62),0),0)+IF(TbTradesBinance[[#This Row],[Tipo]]="SELL",IF(ISNUMBER(FIND(MID(U$1,10,5),TbTradesBinance[[#This Row],[Par]])),IF(FIND(MID(U$1,10,5),TbTradesBinance[[#This Row],[Par]])=1, -(T62-T63)/T62*U62,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Row],[Par]])),(-(T62-T63)/T62*U62)+IF(TbTradesBinance[[#This Row],[Resultado]]&gt;0,0,TbTradesBinance[[#This Row],[Taxa]]),0),0))</f>
        <v>1328239.8809817513</v>
      </c>
      <c r="V63" s="145">
        <f t="shared" si="3"/>
        <v>6.6500000148719129</v>
      </c>
      <c r="W6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Row],[Tipo]]="DROP"),W62+TbTradesBinance[[#This Row],[Qtt]],W62-TbTradesBinance[[#This Row],[Qtt]]),IF(TbTradesBinance[[#This Row],[Tipo]]="BUY",W62-TbTradesBinance[[#This Row],[Qtt]]*TbTradesBinance[[#This Row],[Preço]],W62+TbTradesBinance[[#This Row],[Qtt]]*TbTradesBinance[[#This Row],[Preço]])),W62)-IF(TbTradesBinance[[#This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Row],[Tipo]]="DROP"),W62+TbTradesBinance[[#This Row],[Qtt]],W62-TbTradesBinance[[#This Row],[Qtt]]),IF(TbTradesBinance[[#This Row],[Tipo]]="BUY",W62-TbTradesBinance[[#This Row],[Qtt]]*TbTradesBinance[[#This Row],[Preço]],W62+TbTradesBinance[[#This Row],[Qtt]]*TbTradesBinance[[#This Row],[Preço]])),W62)-IF(TbTradesBinance[[#This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Row],[Tipo]]="DROP"),W62+TbTradesBinance[[#This Row],[Qtt]],W62-TbTradesBinance[[#This Row],[Qtt]]),IF(TbTradesBinance[[#This Row],[Tipo]]="BUY",W62-TbTradesBinance[[#This Row],[Qtt]]*TbTradesBinance[[#This Row],[Preço]],W62+TbTradesBinance[[#This Row],[Qtt]]*TbTradesBinance[[#This Row],[Preço]])),W62)-IF(TbTradesBinance[[#This Row],[Moeda da Taxa]]=MID(W$1,9,5),TbTradesBinance[[#This Row],[Taxa]],0),8)))</f>
        <v>9.7773000000000001E-4</v>
      </c>
      <c r="X63" s="145" cm="1">
        <f t="array" ref="X63">IF(TbTradesBinance[[#This Row],[Tipo]]="EMPTY",0,X62+IF(TbTradesBinance[[#This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Row],[Par]]))),$1:$1,0)),-(W62-W63)/W62*X62),0),0)+IF(TbTradesBinance[[#This Row],[Tipo]]="SELL",IF(ISNUMBER(FIND(MID(X$1,10,5),TbTradesBinance[[#This Row],[Par]])),IF(FIND(MID(X$1,10,5),TbTradesBinance[[#This Row],[Par]])=1, -(W62-W63)/W62*X62,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Row],[Par]])),(-(W62-W63)/W62*X62)+IF(TbTradesBinance[[#This Row],[Resultado]]&gt;0,0,TbTradesBinance[[#This Row],[Taxa]]),0),0))</f>
        <v>293.4382665876517</v>
      </c>
      <c r="Y63" s="145">
        <f t="shared" si="4"/>
        <v>300121.98315245693</v>
      </c>
      <c r="Z6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Row],[Tipo]]="DROP"),Z62+TbTradesBinance[[#This Row],[Qtt]],Z62-TbTradesBinance[[#This Row],[Qtt]]),IF(TbTradesBinance[[#This Row],[Tipo]]="BUY",Z62-TbTradesBinance[[#This Row],[Qtt]]*TbTradesBinance[[#This Row],[Preço]],Z62+TbTradesBinance[[#This Row],[Qtt]]*TbTradesBinance[[#This Row],[Preço]])),Z62)-IF(TbTradesBinance[[#This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Row],[Tipo]]="DROP"),Z62+TbTradesBinance[[#This Row],[Qtt]],Z62-TbTradesBinance[[#This Row],[Qtt]]),IF(TbTradesBinance[[#This Row],[Tipo]]="BUY",Z62-TbTradesBinance[[#This Row],[Qtt]]*TbTradesBinance[[#This Row],[Preço]],Z62+TbTradesBinance[[#This Row],[Qtt]]*TbTradesBinance[[#This Row],[Preço]])),Z62)-IF(TbTradesBinance[[#This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Row],[Tipo]]="DROP"),Z62+TbTradesBinance[[#This Row],[Qtt]],Z62-TbTradesBinance[[#This Row],[Qtt]]),IF(TbTradesBinance[[#This Row],[Tipo]]="BUY",Z62-TbTradesBinance[[#This Row],[Qtt]]*TbTradesBinance[[#This Row],[Preço]],Z62+TbTradesBinance[[#This Row],[Qtt]]*TbTradesBinance[[#This Row],[Preço]])),Z62)-IF(TbTradesBinance[[#This Row],[Moeda da Taxa]]=MID(Z$1,9,5),TbTradesBinance[[#This Row],[Taxa]],0),8)))</f>
        <v>0</v>
      </c>
      <c r="AA63" s="145" cm="1">
        <f t="array" ref="AA63">IF(TbTradesBinance[[#This Row],[Tipo]]="EMPTY",0,AA62+IF(TbTradesBinance[[#This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Row],[Par]]))),$1:$1,0)),-(Z62-Z63)/Z62*AA62),0),0)+IF(TbTradesBinance[[#This Row],[Tipo]]="SELL",IF(ISNUMBER(FIND(MID(AA$1,10,5),TbTradesBinance[[#This Row],[Par]])),IF(FIND(MID(AA$1,10,5),TbTradesBinance[[#This Row],[Par]])=1, -(Z62-Z63)/Z62*AA62,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Row],[Par]])),(-(Z62-Z63)/Z62*AA62)+IF(TbTradesBinance[[#This Row],[Resultado]]&gt;0,0,TbTradesBinance[[#This Row],[Taxa]]),0),0))</f>
        <v>0</v>
      </c>
      <c r="AB63" s="145">
        <f t="shared" si="5"/>
        <v>0</v>
      </c>
      <c r="AC6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Row],[Tipo]]="DROP"),AC62+TbTradesBinance[[#This Row],[Qtt]],AC62-TbTradesBinance[[#This Row],[Qtt]]),IF(TbTradesBinance[[#This Row],[Tipo]]="BUY",AC62-TbTradesBinance[[#This Row],[Qtt]]*TbTradesBinance[[#This Row],[Preço]],AC62+TbTradesBinance[[#This Row],[Qtt]]*TbTradesBinance[[#This Row],[Preço]])),AC62)-IF(TbTradesBinance[[#This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Row],[Tipo]]="DROP"),AC62+TbTradesBinance[[#This Row],[Qtt]],AC62-TbTradesBinance[[#This Row],[Qtt]]),IF(TbTradesBinance[[#This Row],[Tipo]]="BUY",AC62-TbTradesBinance[[#This Row],[Qtt]]*TbTradesBinance[[#This Row],[Preço]],AC62+TbTradesBinance[[#This Row],[Qtt]]*TbTradesBinance[[#This Row],[Preço]])),AC62)-IF(TbTradesBinance[[#This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Row],[Tipo]]="DROP"),AC62+TbTradesBinance[[#This Row],[Qtt]],AC62-TbTradesBinance[[#This Row],[Qtt]]),IF(TbTradesBinance[[#This Row],[Tipo]]="BUY",AC62-TbTradesBinance[[#This Row],[Qtt]]*TbTradesBinance[[#This Row],[Preço]],AC62+TbTradesBinance[[#This Row],[Qtt]]*TbTradesBinance[[#This Row],[Preço]])),AC62)-IF(TbTradesBinance[[#This Row],[Moeda da Taxa]]=MID(AC$1,9,5),TbTradesBinance[[#This Row],[Taxa]],0),8)))</f>
        <v>0</v>
      </c>
      <c r="AD63" s="145" cm="1">
        <f t="array" ref="AD63">IF(TbTradesBinance[[#This Row],[Tipo]]="EMPTY",0,AD62+IF(TbTradesBinance[[#This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Row],[Par]]))),$1:$1,0)),-(AC62-AC63)/AC62*AD62),0),0)+IF(TbTradesBinance[[#This Row],[Tipo]]="SELL",IF(ISNUMBER(FIND(MID(AD$1,10,5),TbTradesBinance[[#This Row],[Par]])),IF(FIND(MID(AD$1,10,5),TbTradesBinance[[#This Row],[Par]])=1, -(AC62-AC63)/AC62*AD62,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Row],[Par]])),(-(AC62-AC63)/AC62*AD62)+IF(TbTradesBinance[[#This Row],[Resultado]]&gt;0,0,TbTradesBinance[[#This Row],[Taxa]]),0),0))</f>
        <v>0</v>
      </c>
      <c r="AE63" s="145">
        <f t="shared" si="6"/>
        <v>0</v>
      </c>
      <c r="AF6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Row],[Tipo]]="DROP"),AF62+TbTradesBinance[[#This Row],[Qtt]],AF62-TbTradesBinance[[#This Row],[Qtt]]),IF(TbTradesBinance[[#This Row],[Tipo]]="BUY",AF62-TbTradesBinance[[#This Row],[Qtt]]*TbTradesBinance[[#This Row],[Preço]],AF62+TbTradesBinance[[#This Row],[Qtt]]*TbTradesBinance[[#This Row],[Preço]])),AF62)-IF(TbTradesBinance[[#This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Row],[Tipo]]="DROP"),AF62+TbTradesBinance[[#This Row],[Qtt]],AF62-TbTradesBinance[[#This Row],[Qtt]]),IF(TbTradesBinance[[#This Row],[Tipo]]="BUY",AF62-TbTradesBinance[[#This Row],[Qtt]]*TbTradesBinance[[#This Row],[Preço]],AF62+TbTradesBinance[[#This Row],[Qtt]]*TbTradesBinance[[#This Row],[Preço]])),AF62)-IF(TbTradesBinance[[#This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Row],[Tipo]]="DROP"),AF62+TbTradesBinance[[#This Row],[Qtt]],AF62-TbTradesBinance[[#This Row],[Qtt]]),IF(TbTradesBinance[[#This Row],[Tipo]]="BUY",AF62-TbTradesBinance[[#This Row],[Qtt]]*TbTradesBinance[[#This Row],[Preço]],AF62+TbTradesBinance[[#This Row],[Qtt]]*TbTradesBinance[[#This Row],[Preço]])),AF62)-IF(TbTradesBinance[[#This Row],[Moeda da Taxa]]=MID(AF$1,9,5),TbTradesBinance[[#This Row],[Taxa]],0),8)))</f>
        <v>0</v>
      </c>
      <c r="AG63" s="145" cm="1">
        <f t="array" ref="AG63">IF(TbTradesBinance[[#This Row],[Tipo]]="EMPTY",0,AG62+IF(TbTradesBinance[[#This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Row],[Par]]))),$1:$1,0)),-(AF62-AF63)/AF62*AG62),0),0)+IF(TbTradesBinance[[#This Row],[Tipo]]="SELL",IF(ISNUMBER(FIND(MID(AG$1,10,5),TbTradesBinance[[#This Row],[Par]])),IF(FIND(MID(AG$1,10,5),TbTradesBinance[[#This Row],[Par]])=1, -(AF62-AF63)/AF62*AG62,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Row],[Par]])),(-(AF62-AF63)/AF62*AG62)+IF(TbTradesBinance[[#This Row],[Resultado]]&gt;0,0,TbTradesBinance[[#This Row],[Taxa]]),0),0))</f>
        <v>0</v>
      </c>
      <c r="AH63" s="145">
        <f t="shared" si="7"/>
        <v>0</v>
      </c>
      <c r="AI6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Row],[Tipo]]="DROP"),AI62+TbTradesBinance[[#This Row],[Qtt]],AI62-TbTradesBinance[[#This Row],[Qtt]]),IF(TbTradesBinance[[#This Row],[Tipo]]="BUY",AI62-TbTradesBinance[[#This Row],[Qtt]]*TbTradesBinance[[#This Row],[Preço]],AI62+TbTradesBinance[[#This Row],[Qtt]]*TbTradesBinance[[#This Row],[Preço]])),AI62)-IF(TbTradesBinance[[#This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Row],[Tipo]]="DROP"),AI62+TbTradesBinance[[#This Row],[Qtt]],AI62-TbTradesBinance[[#This Row],[Qtt]]),IF(TbTradesBinance[[#This Row],[Tipo]]="BUY",AI62-TbTradesBinance[[#This Row],[Qtt]]*TbTradesBinance[[#This Row],[Preço]],AI62+TbTradesBinance[[#This Row],[Qtt]]*TbTradesBinance[[#This Row],[Preço]])),AI62)-IF(TbTradesBinance[[#This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Row],[Tipo]]="DROP"),AI62+TbTradesBinance[[#This Row],[Qtt]],AI62-TbTradesBinance[[#This Row],[Qtt]]),IF(TbTradesBinance[[#This Row],[Tipo]]="BUY",AI62-TbTradesBinance[[#This Row],[Qtt]]*TbTradesBinance[[#This Row],[Preço]],AI62+TbTradesBinance[[#This Row],[Qtt]]*TbTradesBinance[[#This Row],[Preço]])),AI62)-IF(TbTradesBinance[[#This Row],[Moeda da Taxa]]=MID(AI$1,9,5),TbTradesBinance[[#This Row],[Taxa]],0),8)))</f>
        <v>0</v>
      </c>
      <c r="AJ63" s="145" cm="1">
        <f t="array" ref="AJ63">IF(TbTradesBinance[[#This Row],[Tipo]]="EMPTY",0,AJ62+IF(TbTradesBinance[[#This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Row],[Par]]))),$1:$1,0)),-(AI62-AI63)/AI62*AJ62),0),0)+IF(TbTradesBinance[[#This Row],[Tipo]]="SELL",IF(ISNUMBER(FIND(MID(AJ$1,10,5),TbTradesBinance[[#This Row],[Par]])),IF(FIND(MID(AJ$1,10,5),TbTradesBinance[[#This Row],[Par]])=1, -(AI62-AI63)/AI62*AJ62,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Row],[Par]])),(-(AI62-AI63)/AI62*AJ62)+IF(TbTradesBinance[[#This Row],[Resultado]]&gt;0,0,TbTradesBinance[[#This Row],[Taxa]]),0),0))</f>
        <v>0</v>
      </c>
      <c r="AK63" s="145">
        <f t="shared" si="8"/>
        <v>0</v>
      </c>
      <c r="AL6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Row],[Tipo]]="DROP"),AL62+TbTradesBinance[[#This Row],[Qtt]],AL62-TbTradesBinance[[#This Row],[Qtt]]),IF(TbTradesBinance[[#This Row],[Tipo]]="BUY",AL62-TbTradesBinance[[#This Row],[Qtt]]*TbTradesBinance[[#This Row],[Preço]],AL62+TbTradesBinance[[#This Row],[Qtt]]*TbTradesBinance[[#This Row],[Preço]])),AL62)-IF(TbTradesBinance[[#This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Row],[Tipo]]="DROP"),AL62+TbTradesBinance[[#This Row],[Qtt]],AL62-TbTradesBinance[[#This Row],[Qtt]]),IF(TbTradesBinance[[#This Row],[Tipo]]="BUY",AL62-TbTradesBinance[[#This Row],[Qtt]]*TbTradesBinance[[#This Row],[Preço]],AL62+TbTradesBinance[[#This Row],[Qtt]]*TbTradesBinance[[#This Row],[Preço]])),AL62)-IF(TbTradesBinance[[#This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Row],[Tipo]]="DROP"),AL62+TbTradesBinance[[#This Row],[Qtt]],AL62-TbTradesBinance[[#This Row],[Qtt]]),IF(TbTradesBinance[[#This Row],[Tipo]]="BUY",AL62-TbTradesBinance[[#This Row],[Qtt]]*TbTradesBinance[[#This Row],[Preço]],AL62+TbTradesBinance[[#This Row],[Qtt]]*TbTradesBinance[[#This Row],[Preço]])),AL62)-IF(TbTradesBinance[[#This Row],[Moeda da Taxa]]=MID(AL$1,9,5),TbTradesBinance[[#This Row],[Taxa]],0),8)))</f>
        <v>0</v>
      </c>
      <c r="AM63" s="145" cm="1">
        <f t="array" ref="AM63">IF(TbTradesBinance[[#This Row],[Tipo]]="EMPTY",0,AM62+IF(TbTradesBinance[[#This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Row],[Par]]))),$1:$1,0)),-(AL62-AL63)/AL62*AM62),0),0)+IF(TbTradesBinance[[#This Row],[Tipo]]="SELL",IF(ISNUMBER(FIND(MID(AM$1,10,5),TbTradesBinance[[#This Row],[Par]])),IF(FIND(MID(AM$1,10,5),TbTradesBinance[[#This Row],[Par]])=1, -(AL62-AL63)/AL62*AM62,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Row],[Par]])),(-(AL62-AL63)/AL62*AM62)+IF(TbTradesBinance[[#This Row],[Resultado]]&gt;0,0,TbTradesBinance[[#This Row],[Taxa]]),0),0))</f>
        <v>0</v>
      </c>
      <c r="AN63" s="145">
        <f t="shared" si="9"/>
        <v>0</v>
      </c>
      <c r="AO6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Row],[Tipo]]="DROP"),AO62+TbTradesBinance[[#This Row],[Qtt]],AO62-TbTradesBinance[[#This Row],[Qtt]]),IF(TbTradesBinance[[#This Row],[Tipo]]="BUY",AO62-TbTradesBinance[[#This Row],[Qtt]]*TbTradesBinance[[#This Row],[Preço]],AO62+TbTradesBinance[[#This Row],[Qtt]]*TbTradesBinance[[#This Row],[Preço]])),AO62)-IF(TbTradesBinance[[#This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Row],[Tipo]]="DROP"),AO62+TbTradesBinance[[#This Row],[Qtt]],AO62-TbTradesBinance[[#This Row],[Qtt]]),IF(TbTradesBinance[[#This Row],[Tipo]]="BUY",AO62-TbTradesBinance[[#This Row],[Qtt]]*TbTradesBinance[[#This Row],[Preço]],AO62+TbTradesBinance[[#This Row],[Qtt]]*TbTradesBinance[[#This Row],[Preço]])),AO62)-IF(TbTradesBinance[[#This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Row],[Tipo]]="DROP"),AO62+TbTradesBinance[[#This Row],[Qtt]],AO62-TbTradesBinance[[#This Row],[Qtt]]),IF(TbTradesBinance[[#This Row],[Tipo]]="BUY",AO62-TbTradesBinance[[#This Row],[Qtt]]*TbTradesBinance[[#This Row],[Preço]],AO62+TbTradesBinance[[#This Row],[Qtt]]*TbTradesBinance[[#This Row],[Preço]])),AO62)-IF(TbTradesBinance[[#This Row],[Moeda da Taxa]]=MID(AO$1,9,5),TbTradesBinance[[#This Row],[Taxa]],0),8)))</f>
        <v>6.9764999999999996E-4</v>
      </c>
      <c r="AP63" s="145" cm="1">
        <f t="array" ref="AP63">IF(TbTradesBinance[[#This Row],[Tipo]]="EMPTY",0,AP62+IF(TbTradesBinance[[#This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Row],[Par]]))),$1:$1,0)),-(AO62-AO63)/AO62*AP62),0),0)+IF(TbTradesBinance[[#This Row],[Tipo]]="SELL",IF(ISNUMBER(FIND(MID(AP$1,10,5),TbTradesBinance[[#This Row],[Par]])),IF(FIND(MID(AP$1,10,5),TbTradesBinance[[#This Row],[Par]])=1, -(AO62-AO63)/AO62*AP62,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Row],[Par]])),(-(AO62-AO63)/AO62*AP62)+IF(TbTradesBinance[[#This Row],[Resultado]]&gt;0,0,TbTradesBinance[[#This Row],[Taxa]]),0),0))</f>
        <v>1.7416212429180353</v>
      </c>
      <c r="AQ63" s="145">
        <f t="shared" si="10"/>
        <v>2496.4111559063076</v>
      </c>
      <c r="AR6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Row],[Tipo]]="DROP"),AR62+TbTradesBinance[[#This Row],[Qtt]],AR62-TbTradesBinance[[#This Row],[Qtt]]),IF(TbTradesBinance[[#This Row],[Tipo]]="BUY",AR62-TbTradesBinance[[#This Row],[Qtt]]*TbTradesBinance[[#This Row],[Preço]],AR62+TbTradesBinance[[#This Row],[Qtt]]*TbTradesBinance[[#This Row],[Preço]])),AR62)-IF(TbTradesBinance[[#This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Row],[Tipo]]="DROP"),AR62+TbTradesBinance[[#This Row],[Qtt]],AR62-TbTradesBinance[[#This Row],[Qtt]]),IF(TbTradesBinance[[#This Row],[Tipo]]="BUY",AR62-TbTradesBinance[[#This Row],[Qtt]]*TbTradesBinance[[#This Row],[Preço]],AR62+TbTradesBinance[[#This Row],[Qtt]]*TbTradesBinance[[#This Row],[Preço]])),AR62)-IF(TbTradesBinance[[#This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Row],[Tipo]]="DROP"),AR62+TbTradesBinance[[#This Row],[Qtt]],AR62-TbTradesBinance[[#This Row],[Qtt]]),IF(TbTradesBinance[[#This Row],[Tipo]]="BUY",AR62-TbTradesBinance[[#This Row],[Qtt]]*TbTradesBinance[[#This Row],[Preço]],AR62+TbTradesBinance[[#This Row],[Qtt]]*TbTradesBinance[[#This Row],[Preço]])),AR62)-IF(TbTradesBinance[[#This Row],[Moeda da Taxa]]=MID(AR$1,9,5),TbTradesBinance[[#This Row],[Taxa]],0),8)))</f>
        <v>0</v>
      </c>
      <c r="AS63" s="145" cm="1">
        <f t="array" ref="AS63">IF(TbTradesBinance[[#This Row],[Tipo]]="EMPTY",0,AS62+IF(TbTradesBinance[[#This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Row],[Par]]))),$1:$1,0)),-(AR62-AR63)/AR62*AS62),0),0)+IF(TbTradesBinance[[#This Row],[Tipo]]="SELL",IF(ISNUMBER(FIND(MID(AS$1,10,5),TbTradesBinance[[#This Row],[Par]])),IF(FIND(MID(AS$1,10,5),TbTradesBinance[[#This Row],[Par]])=1, -(AR62-AR63)/AR62*AS62,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Row],[Par]])),(-(AR62-AR63)/AR62*AS62)+IF(TbTradesBinance[[#This Row],[Resultado]]&gt;0,0,TbTradesBinance[[#This Row],[Taxa]]),0),0))</f>
        <v>0</v>
      </c>
      <c r="AT63" s="145">
        <f t="shared" si="11"/>
        <v>0</v>
      </c>
      <c r="AU6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Row],[Tipo]]="DROP"),AU62+TbTradesBinance[[#This Row],[Qtt]],AU62-TbTradesBinance[[#This Row],[Qtt]]),IF(TbTradesBinance[[#This Row],[Tipo]]="BUY",AU62-TbTradesBinance[[#This Row],[Qtt]]*TbTradesBinance[[#This Row],[Preço]],AU62+TbTradesBinance[[#This Row],[Qtt]]*TbTradesBinance[[#This Row],[Preço]])),AU62)-IF(TbTradesBinance[[#This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Row],[Tipo]]="DROP"),AU62+TbTradesBinance[[#This Row],[Qtt]],AU62-TbTradesBinance[[#This Row],[Qtt]]),IF(TbTradesBinance[[#This Row],[Tipo]]="BUY",AU62-TbTradesBinance[[#This Row],[Qtt]]*TbTradesBinance[[#This Row],[Preço]],AU62+TbTradesBinance[[#This Row],[Qtt]]*TbTradesBinance[[#This Row],[Preço]])),AU62)-IF(TbTradesBinance[[#This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Row],[Tipo]]="DROP"),AU62+TbTradesBinance[[#This Row],[Qtt]],AU62-TbTradesBinance[[#This Row],[Qtt]]),IF(TbTradesBinance[[#This Row],[Tipo]]="BUY",AU62-TbTradesBinance[[#This Row],[Qtt]]*TbTradesBinance[[#This Row],[Preço]],AU62+TbTradesBinance[[#This Row],[Qtt]]*TbTradesBinance[[#This Row],[Preço]])),AU62)-IF(TbTradesBinance[[#This Row],[Moeda da Taxa]]=MID(AU$1,9,5),TbTradesBinance[[#This Row],[Taxa]],0),8)))</f>
        <v>0.26989999999999997</v>
      </c>
      <c r="AV63" s="145" cm="1">
        <f t="array" ref="AV63">IF(TbTradesBinance[[#This Row],[Tipo]]="EMPTY",0,AV62+IF(TbTradesBinance[[#This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Row],[Par]]))),$1:$1,0)),-(AU62-AU63)/AU62*AV62),0),0)+IF(TbTradesBinance[[#This Row],[Tipo]]="SELL",IF(ISNUMBER(FIND(MID(AV$1,10,5),TbTradesBinance[[#This Row],[Par]])),IF(FIND(MID(AV$1,10,5),TbTradesBinance[[#This Row],[Par]])=1, -(AU62-AU63)/AU62*AV62,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Row],[Par]])),(-(AU62-AU63)/AU62*AV62)+IF(TbTradesBinance[[#This Row],[Resultado]]&gt;0,0,TbTradesBinance[[#This Row],[Taxa]]),0),0))</f>
        <v>56.09788062740806</v>
      </c>
      <c r="AW63" s="145">
        <f t="shared" si="12"/>
        <v>207.8469085861729</v>
      </c>
      <c r="AX6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Row],[Tipo]]="DROP"),AX62+TbTradesBinance[[#This Row],[Qtt]],AX62-TbTradesBinance[[#This Row],[Qtt]]),IF(TbTradesBinance[[#This Row],[Tipo]]="BUY",AX62-TbTradesBinance[[#This Row],[Qtt]]*TbTradesBinance[[#This Row],[Preço]],AX62+TbTradesBinance[[#This Row],[Qtt]]*TbTradesBinance[[#This Row],[Preço]])),AX62)-IF(TbTradesBinance[[#This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Row],[Tipo]]="DROP"),AX62+TbTradesBinance[[#This Row],[Qtt]],AX62-TbTradesBinance[[#This Row],[Qtt]]),IF(TbTradesBinance[[#This Row],[Tipo]]="BUY",AX62-TbTradesBinance[[#This Row],[Qtt]]*TbTradesBinance[[#This Row],[Preço]],AX62+TbTradesBinance[[#This Row],[Qtt]]*TbTradesBinance[[#This Row],[Preço]])),AX62)-IF(TbTradesBinance[[#This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Row],[Tipo]]="DROP"),AX62+TbTradesBinance[[#This Row],[Qtt]],AX62-TbTradesBinance[[#This Row],[Qtt]]),IF(TbTradesBinance[[#This Row],[Tipo]]="BUY",AX62-TbTradesBinance[[#This Row],[Qtt]]*TbTradesBinance[[#This Row],[Preço]],AX62+TbTradesBinance[[#This Row],[Qtt]]*TbTradesBinance[[#This Row],[Preço]])),AX62)-IF(TbTradesBinance[[#This Row],[Moeda da Taxa]]=MID(AX$1,9,5),TbTradesBinance[[#This Row],[Taxa]],0),8)))</f>
        <v>0.22636999999999999</v>
      </c>
      <c r="AY63" s="145" cm="1">
        <f t="array" ref="AY63">IF(TbTradesBinance[[#This Row],[Tipo]]="EMPTY",0,AY62+IF(TbTradesBinance[[#This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Row],[Par]]))),$1:$1,0)),-(AX62-AX63)/AX62*AY62),0),0)+IF(TbTradesBinance[[#This Row],[Tipo]]="SELL",IF(ISNUMBER(FIND(MID(AY$1,10,5),TbTradesBinance[[#This Row],[Par]])),IF(FIND(MID(AY$1,10,5),TbTradesBinance[[#This Row],[Par]])=1, -(AX62-AX63)/AX62*AY62,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Row],[Par]])),(-(AX62-AX63)/AX62*AY62)+IF(TbTradesBinance[[#This Row],[Resultado]]&gt;0,0,TbTradesBinance[[#This Row],[Taxa]]),0),0))</f>
        <v>40.781337593356859</v>
      </c>
      <c r="AZ63" s="145">
        <f t="shared" si="13"/>
        <v>180.15345493376711</v>
      </c>
      <c r="BA6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Row],[Tipo]]="DROP"),BA62+TbTradesBinance[[#This Row],[Qtt]],BA62-TbTradesBinance[[#This Row],[Qtt]]),IF(TbTradesBinance[[#This Row],[Tipo]]="BUY",BA62-TbTradesBinance[[#This Row],[Qtt]]*TbTradesBinance[[#This Row],[Preço]],BA62+TbTradesBinance[[#This Row],[Qtt]]*TbTradesBinance[[#This Row],[Preço]])),BA62)-IF(TbTradesBinance[[#This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Row],[Tipo]]="DROP"),BA62+TbTradesBinance[[#This Row],[Qtt]],BA62-TbTradesBinance[[#This Row],[Qtt]]),IF(TbTradesBinance[[#This Row],[Tipo]]="BUY",BA62-TbTradesBinance[[#This Row],[Qtt]]*TbTradesBinance[[#This Row],[Preço]],BA62+TbTradesBinance[[#This Row],[Qtt]]*TbTradesBinance[[#This Row],[Preço]])),BA62)-IF(TbTradesBinance[[#This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Row],[Tipo]]="DROP"),BA62+TbTradesBinance[[#This Row],[Qtt]],BA62-TbTradesBinance[[#This Row],[Qtt]]),IF(TbTradesBinance[[#This Row],[Tipo]]="BUY",BA62-TbTradesBinance[[#This Row],[Qtt]]*TbTradesBinance[[#This Row],[Preço]],BA62+TbTradesBinance[[#This Row],[Qtt]]*TbTradesBinance[[#This Row],[Preço]])),BA62)-IF(TbTradesBinance[[#This Row],[Moeda da Taxa]]=MID(BA$1,9,5),TbTradesBinance[[#This Row],[Taxa]],0),8)))</f>
        <v>0</v>
      </c>
      <c r="BB63" s="145" cm="1">
        <f t="array" ref="BB63">IF(TbTradesBinance[[#This Row],[Tipo]]="EMPTY",0,BB62+IF(TbTradesBinance[[#This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Row],[Par]]))),$1:$1,0)),-(BA62-BA63)/BA62*BB62),0),0)+IF(TbTradesBinance[[#This Row],[Tipo]]="SELL",IF(ISNUMBER(FIND(MID(BB$1,10,5),TbTradesBinance[[#This Row],[Par]])),IF(FIND(MID(BB$1,10,5),TbTradesBinance[[#This Row],[Par]])=1, -(BA62-BA63)/BA62*BB62,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Row],[Par]])),(-(BA62-BA63)/BA62*BB62)+IF(TbTradesBinance[[#This Row],[Resultado]]&gt;0,0,TbTradesBinance[[#This Row],[Taxa]]),0),0))</f>
        <v>0</v>
      </c>
      <c r="BC63" s="145">
        <f t="shared" si="14"/>
        <v>0</v>
      </c>
      <c r="BD6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Row],[Tipo]]="DROP"),BD62+TbTradesBinance[[#This Row],[Qtt]],BD62-TbTradesBinance[[#This Row],[Qtt]]),IF(TbTradesBinance[[#This Row],[Tipo]]="BUY",BD62-TbTradesBinance[[#This Row],[Qtt]]*TbTradesBinance[[#This Row],[Preço]],BD62+TbTradesBinance[[#This Row],[Qtt]]*TbTradesBinance[[#This Row],[Preço]])),BD62)-IF(TbTradesBinance[[#This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Row],[Tipo]]="DROP"),BD62+TbTradesBinance[[#This Row],[Qtt]],BD62-TbTradesBinance[[#This Row],[Qtt]]),IF(TbTradesBinance[[#This Row],[Tipo]]="BUY",BD62-TbTradesBinance[[#This Row],[Qtt]]*TbTradesBinance[[#This Row],[Preço]],BD62+TbTradesBinance[[#This Row],[Qtt]]*TbTradesBinance[[#This Row],[Preço]])),BD62)-IF(TbTradesBinance[[#This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Row],[Tipo]]="DROP"),BD62+TbTradesBinance[[#This Row],[Qtt]],BD62-TbTradesBinance[[#This Row],[Qtt]]),IF(TbTradesBinance[[#This Row],[Tipo]]="BUY",BD62-TbTradesBinance[[#This Row],[Qtt]]*TbTradesBinance[[#This Row],[Preço]],BD62+TbTradesBinance[[#This Row],[Qtt]]*TbTradesBinance[[#This Row],[Preço]])),BD62)-IF(TbTradesBinance[[#This Row],[Moeda da Taxa]]=MID(BD$1,9,5),TbTradesBinance[[#This Row],[Taxa]],0),8)))</f>
        <v>0.37962000000000001</v>
      </c>
      <c r="BE63" s="145" cm="1">
        <f t="array" ref="BE63">IF(TbTradesBinance[[#This Row],[Tipo]]="EMPTY",0,BE62+IF(TbTradesBinance[[#This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Row],[Par]]))),$1:$1,0)),-(BD62-BD63)/BD62*BE62),0),0)+IF(TbTradesBinance[[#This Row],[Tipo]]="SELL",IF(ISNUMBER(FIND(MID(BE$1,10,5),TbTradesBinance[[#This Row],[Par]])),IF(FIND(MID(BE$1,10,5),TbTradesBinance[[#This Row],[Par]])=1, -(BD62-BD63)/BD62*BE62,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Row],[Par]])),(-(BD62-BD63)/BD62*BE62)+IF(TbTradesBinance[[#This Row],[Resultado]]&gt;0,0,TbTradesBinance[[#This Row],[Taxa]]),0),0))</f>
        <v>63.647297001537943</v>
      </c>
      <c r="BF63" s="145">
        <f t="shared" si="15"/>
        <v>167.66054739354601</v>
      </c>
      <c r="BG6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Row],[Tipo]]="DROP"),BG62+TbTradesBinance[[#This Row],[Qtt]],BG62-TbTradesBinance[[#This Row],[Qtt]]),IF(TbTradesBinance[[#This Row],[Tipo]]="BUY",BG62-TbTradesBinance[[#This Row],[Qtt]]*TbTradesBinance[[#This Row],[Preço]],BG62+TbTradesBinance[[#This Row],[Qtt]]*TbTradesBinance[[#This Row],[Preço]])),BG62)-IF(TbTradesBinance[[#This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Row],[Tipo]]="DROP"),BG62+TbTradesBinance[[#This Row],[Qtt]],BG62-TbTradesBinance[[#This Row],[Qtt]]),IF(TbTradesBinance[[#This Row],[Tipo]]="BUY",BG62-TbTradesBinance[[#This Row],[Qtt]]*TbTradesBinance[[#This Row],[Preço]],BG62+TbTradesBinance[[#This Row],[Qtt]]*TbTradesBinance[[#This Row],[Preço]])),BG62)-IF(TbTradesBinance[[#This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Row],[Tipo]]="DROP"),BG62+TbTradesBinance[[#This Row],[Qtt]],BG62-TbTradesBinance[[#This Row],[Qtt]]),IF(TbTradesBinance[[#This Row],[Tipo]]="BUY",BG62-TbTradesBinance[[#This Row],[Qtt]]*TbTradesBinance[[#This Row],[Preço]],BG62+TbTradesBinance[[#This Row],[Qtt]]*TbTradesBinance[[#This Row],[Preço]])),BG62)-IF(TbTradesBinance[[#This Row],[Moeda da Taxa]]=MID(BG$1,9,5),TbTradesBinance[[#This Row],[Taxa]],0),8)))</f>
        <v>0</v>
      </c>
      <c r="BH63" s="145" cm="1">
        <f t="array" ref="BH63">IF(TbTradesBinance[[#This Row],[Tipo]]="EMPTY",0,BH62+IF(TbTradesBinance[[#This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Row],[Par]]))),$1:$1,0)),-(BG62-BG63)/BG62*BH62),0),0)+IF(TbTradesBinance[[#This Row],[Tipo]]="SELL",IF(ISNUMBER(FIND(MID(BH$1,10,5),TbTradesBinance[[#This Row],[Par]])),IF(FIND(MID(BH$1,10,5),TbTradesBinance[[#This Row],[Par]])=1, -(BG62-BG63)/BG62*BH62,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Row],[Par]])),(-(BG62-BG63)/BG62*BH62)+IF(TbTradesBinance[[#This Row],[Resultado]]&gt;0,0,TbTradesBinance[[#This Row],[Taxa]]),0),0))</f>
        <v>0</v>
      </c>
      <c r="BI63" s="145">
        <f t="shared" si="16"/>
        <v>0</v>
      </c>
      <c r="BJ6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Row],[Tipo]]="DROP"),BJ62+TbTradesBinance[[#This Row],[Qtt]],BJ62-TbTradesBinance[[#This Row],[Qtt]]),IF(TbTradesBinance[[#This Row],[Tipo]]="BUY",BJ62-TbTradesBinance[[#This Row],[Qtt]]*TbTradesBinance[[#This Row],[Preço]],BJ62+TbTradesBinance[[#This Row],[Qtt]]*TbTradesBinance[[#This Row],[Preço]])),BJ62)-IF(TbTradesBinance[[#This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Row],[Tipo]]="DROP"),BJ62+TbTradesBinance[[#This Row],[Qtt]],BJ62-TbTradesBinance[[#This Row],[Qtt]]),IF(TbTradesBinance[[#This Row],[Tipo]]="BUY",BJ62-TbTradesBinance[[#This Row],[Qtt]]*TbTradesBinance[[#This Row],[Preço]],BJ62+TbTradesBinance[[#This Row],[Qtt]]*TbTradesBinance[[#This Row],[Preço]])),BJ62)-IF(TbTradesBinance[[#This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Row],[Tipo]]="DROP"),BJ62+TbTradesBinance[[#This Row],[Qtt]],BJ62-TbTradesBinance[[#This Row],[Qtt]]),IF(TbTradesBinance[[#This Row],[Tipo]]="BUY",BJ62-TbTradesBinance[[#This Row],[Qtt]]*TbTradesBinance[[#This Row],[Preço]],BJ62+TbTradesBinance[[#This Row],[Qtt]]*TbTradesBinance[[#This Row],[Preço]])),BJ62)-IF(TbTradesBinance[[#This Row],[Moeda da Taxa]]=MID(BJ$1,9,5),TbTradesBinance[[#This Row],[Taxa]],0),8)))</f>
        <v>0</v>
      </c>
      <c r="BK63" s="145" cm="1">
        <f t="array" ref="BK63">IF(TbTradesBinance[[#This Row],[Tipo]]="EMPTY",0,BK62+IF(TbTradesBinance[[#This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Row],[Par]]))),$1:$1,0)),-(BJ62-BJ63)/BJ62*BK62),0),0)+IF(TbTradesBinance[[#This Row],[Tipo]]="SELL",IF(ISNUMBER(FIND(MID(BK$1,10,5),TbTradesBinance[[#This Row],[Par]])),IF(FIND(MID(BK$1,10,5),TbTradesBinance[[#This Row],[Par]])=1, -(BJ62-BJ63)/BJ62*BK62,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Row],[Par]])),(-(BJ62-BJ63)/BJ62*BK62)+IF(TbTradesBinance[[#This Row],[Resultado]]&gt;0,0,TbTradesBinance[[#This Row],[Taxa]]),0),0))</f>
        <v>0</v>
      </c>
      <c r="BL63" s="145">
        <f t="shared" si="17"/>
        <v>0</v>
      </c>
      <c r="BM6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Row],[Tipo]]="DROP"),BM62+TbTradesBinance[[#This Row],[Qtt]],BM62-TbTradesBinance[[#This Row],[Qtt]]),IF(TbTradesBinance[[#This Row],[Tipo]]="BUY",BM62-TbTradesBinance[[#This Row],[Qtt]]*TbTradesBinance[[#This Row],[Preço]],BM62+TbTradesBinance[[#This Row],[Qtt]]*TbTradesBinance[[#This Row],[Preço]])),BM62)-IF(TbTradesBinance[[#This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Row],[Tipo]]="DROP"),BM62+TbTradesBinance[[#This Row],[Qtt]],BM62-TbTradesBinance[[#This Row],[Qtt]]),IF(TbTradesBinance[[#This Row],[Tipo]]="BUY",BM62-TbTradesBinance[[#This Row],[Qtt]]*TbTradesBinance[[#This Row],[Preço]],BM62+TbTradesBinance[[#This Row],[Qtt]]*TbTradesBinance[[#This Row],[Preço]])),BM62)-IF(TbTradesBinance[[#This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Row],[Tipo]]="DROP"),BM62+TbTradesBinance[[#This Row],[Qtt]],BM62-TbTradesBinance[[#This Row],[Qtt]]),IF(TbTradesBinance[[#This Row],[Tipo]]="BUY",BM62-TbTradesBinance[[#This Row],[Qtt]]*TbTradesBinance[[#This Row],[Preço]],BM62+TbTradesBinance[[#This Row],[Qtt]]*TbTradesBinance[[#This Row],[Preço]])),BM62)-IF(TbTradesBinance[[#This Row],[Moeda da Taxa]]=MID(BM$1,9,5),TbTradesBinance[[#This Row],[Taxa]],0),8)))</f>
        <v>0</v>
      </c>
      <c r="BN63" s="145" cm="1">
        <f t="array" ref="BN63">IF(TbTradesBinance[[#This Row],[Tipo]]="EMPTY",0,BN62+IF(TbTradesBinance[[#This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Row],[Par]]))),$1:$1,0)),-(BM62-BM63)/BM62*BN62),0),0)+IF(TbTradesBinance[[#This Row],[Tipo]]="SELL",IF(ISNUMBER(FIND(MID(BN$1,10,5),TbTradesBinance[[#This Row],[Par]])),IF(FIND(MID(BN$1,10,5),TbTradesBinance[[#This Row],[Par]])=1, -(BM62-BM63)/BM62*BN62,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Row],[Par]])),(-(BM62-BM63)/BM62*BN62)+IF(TbTradesBinance[[#This Row],[Resultado]]&gt;0,0,TbTradesBinance[[#This Row],[Taxa]]),0),0))</f>
        <v>0</v>
      </c>
      <c r="BO63" s="145">
        <f t="shared" si="18"/>
        <v>0</v>
      </c>
    </row>
    <row r="64" spans="2:67" x14ac:dyDescent="0.3">
      <c r="B64" s="51" t="s">
        <v>107</v>
      </c>
      <c r="C64" s="40">
        <f>TRUNC(IF(AND(TbTradesBinance[[#This Row],[Tipo]]="SEND",TbTradesBinance[[#This Row],[Par]]="BRL"),TbTradesBinance[[#This Row],[Qtt]]*(1-P62)-IF(TbTradesBinance[[#This Row],[Moeda da Taxa]]="BRL",TbTradesBinance[[#This Row],[Taxa]],0),0)+IF(AND(TbTradesBinance[[#This Row],[Tipo]]="BURN",TbTradesBinance[[#This Row],[Par]]="BRL"),-TbTradesBinance[[#This Row],[Qtt]]*P62,0),2)</f>
        <v>0</v>
      </c>
      <c r="D64" s="53">
        <v>44264.759837962964</v>
      </c>
      <c r="E64" s="37" t="s">
        <v>248</v>
      </c>
      <c r="F64" s="47" t="s">
        <v>139</v>
      </c>
      <c r="G64" s="38">
        <v>1671.0983275399999</v>
      </c>
      <c r="H64" s="38">
        <v>2.0347299999999998E-3</v>
      </c>
      <c r="I64" s="38">
        <v>4.0689999999999998E-5</v>
      </c>
      <c r="J64" s="37" t="s">
        <v>45</v>
      </c>
      <c r="K64" s="52">
        <v>1</v>
      </c>
      <c r="L64" s="40">
        <f t="shared" si="0"/>
        <v>1671.09</v>
      </c>
      <c r="M64" s="40">
        <f>IF(OR(TbTradesBinance[[#This Row],[Tipo]]="BUY",TbTradesBinance[[#This Row],[Tipo]]="RECEIVE",TbTradesBinance[[#This Row],[Tipo]]="DROP"),L64*H64,-L64*H64)</f>
        <v>3.4002169556999995</v>
      </c>
      <c r="N6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Row],[Tipo]]="DROP"),N63+TbTradesBinance[[#This Row],[Qtt]],N63-TbTradesBinance[[#This Row],[Qtt]]),IF(TbTradesBinance[[#This Row],[Tipo]]="BUY",N63-TbTradesBinance[[#This Row],[Qtt]]*TbTradesBinance[[#This Row],[Preço]],N63+TbTradesBinance[[#This Row],[Qtt]]*TbTradesBinance[[#This Row],[Preço]])),N63)-IF(TbTradesBinance[[#This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Row],[Tipo]]="DROP"),N63+TbTradesBinance[[#This Row],[Qtt]],N63-TbTradesBinance[[#This Row],[Qtt]]),IF(TbTradesBinance[[#This Row],[Tipo]]="BUY",N63-TbTradesBinance[[#This Row],[Qtt]]*TbTradesBinance[[#This Row],[Preço]],N63+TbTradesBinance[[#This Row],[Qtt]]*TbTradesBinance[[#This Row],[Preço]])),N63)-IF(TbTradesBinance[[#This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Row],[Tipo]]="DROP"),N63+TbTradesBinance[[#This Row],[Qtt]],N63-TbTradesBinance[[#This Row],[Qtt]]),IF(TbTradesBinance[[#This Row],[Tipo]]="BUY",N63-TbTradesBinance[[#This Row],[Qtt]]*TbTradesBinance[[#This Row],[Preço]],N63+TbTradesBinance[[#This Row],[Qtt]]*TbTradesBinance[[#This Row],[Preço]])),N63)-IF(TbTradesBinance[[#This Row],[Moeda da Taxa]]=MID(N$1,9,5),TbTradesBinance[[#This Row],[Taxa]],0),8)))</f>
        <v>119745.41999999</v>
      </c>
      <c r="O64" s="145" cm="1">
        <f t="array" ref="O64">IF(TbTradesBinance[[#This Row],[Tipo]]="EMPTY",0,O63+IF(TbTradesBinance[[#This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Row],[Par]]))),$1:$1,0)),-(N63-N64)/N63*O63),0),0)+IF(TbTradesBinance[[#This Row],[Tipo]]="SELL",IF(ISNUMBER(FIND(MID(O$1,10,5),TbTradesBinance[[#This Row],[Par]])),IF(FIND(MID(O$1,10,5),TbTradesBinance[[#This Row],[Par]])=1, -(N63-N64)/N63*O63,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Row],[Par]])),(-(N63-N64)/N63*O63)+IF(TbTradesBinance[[#This Row],[Resultado]]&gt;0,0,TbTradesBinance[[#This Row],[Taxa]]),0),0))</f>
        <v>119648.09276482929</v>
      </c>
      <c r="P64" s="145">
        <f t="shared" si="1"/>
        <v>0.999187215384432</v>
      </c>
      <c r="Q6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Row],[Tipo]]="DROP"),Q63+TbTradesBinance[[#This Row],[Qtt]],Q63-TbTradesBinance[[#This Row],[Qtt]]),IF(TbTradesBinance[[#This Row],[Tipo]]="BUY",Q63-TbTradesBinance[[#This Row],[Qtt]]*TbTradesBinance[[#This Row],[Preço]],Q63+TbTradesBinance[[#This Row],[Qtt]]*TbTradesBinance[[#This Row],[Preço]])),Q63)-IF(TbTradesBinance[[#This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Row],[Tipo]]="DROP"),Q63+TbTradesBinance[[#This Row],[Qtt]],Q63-TbTradesBinance[[#This Row],[Qtt]]),IF(TbTradesBinance[[#This Row],[Tipo]]="BUY",Q63-TbTradesBinance[[#This Row],[Qtt]]*TbTradesBinance[[#This Row],[Preço]],Q63+TbTradesBinance[[#This Row],[Qtt]]*TbTradesBinance[[#This Row],[Preço]])),Q63)-IF(TbTradesBinance[[#This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Row],[Tipo]]="DROP"),Q63+TbTradesBinance[[#This Row],[Qtt]],Q63-TbTradesBinance[[#This Row],[Qtt]]),IF(TbTradesBinance[[#This Row],[Tipo]]="BUY",Q63-TbTradesBinance[[#This Row],[Qtt]]*TbTradesBinance[[#This Row],[Preço]],Q63+TbTradesBinance[[#This Row],[Qtt]]*TbTradesBinance[[#This Row],[Preço]])),Q63)-IF(TbTradesBinance[[#This Row],[Moeda da Taxa]]=MID(Q$1,9,5),TbTradesBinance[[#This Row],[Taxa]],0),8)))</f>
        <v>0</v>
      </c>
      <c r="R64" s="145" cm="1">
        <f t="array" ref="R64">IF(TbTradesBinance[[#This Row],[Tipo]]="EMPTY",0,R63+IF(TbTradesBinance[[#This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Row],[Par]]))),$1:$1,0)),-(Q63-Q64)/Q63*R63),0),0)+IF(TbTradesBinance[[#This Row],[Tipo]]="SELL",IF(ISNUMBER(FIND(MID(R$1,10,5),TbTradesBinance[[#This Row],[Par]])),IF(FIND(MID(R$1,10,5),TbTradesBinance[[#This Row],[Par]])=1, -(Q63-Q64)/Q63*R63,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Row],[Par]])),(-(Q63-Q64)/Q63*R63)+IF(TbTradesBinance[[#This Row],[Resultado]]&gt;0,0,TbTradesBinance[[#This Row],[Taxa]]),0),0))</f>
        <v>0</v>
      </c>
      <c r="S64" s="145">
        <f t="shared" si="2"/>
        <v>0</v>
      </c>
      <c r="T6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Row],[Tipo]]="DROP"),T63+TbTradesBinance[[#This Row],[Qtt]],T63-TbTradesBinance[[#This Row],[Qtt]]),IF(TbTradesBinance[[#This Row],[Tipo]]="BUY",T63-TbTradesBinance[[#This Row],[Qtt]]*TbTradesBinance[[#This Row],[Preço]],T63+TbTradesBinance[[#This Row],[Qtt]]*TbTradesBinance[[#This Row],[Preço]])),T63)-IF(TbTradesBinance[[#This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Row],[Tipo]]="DROP"),T63+TbTradesBinance[[#This Row],[Qtt]],T63-TbTradesBinance[[#This Row],[Qtt]]),IF(TbTradesBinance[[#This Row],[Tipo]]="BUY",T63-TbTradesBinance[[#This Row],[Qtt]]*TbTradesBinance[[#This Row],[Preço]],T63+TbTradesBinance[[#This Row],[Qtt]]*TbTradesBinance[[#This Row],[Preço]])),T63)-IF(TbTradesBinance[[#This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Row],[Tipo]]="DROP"),T63+TbTradesBinance[[#This Row],[Qtt]],T63-TbTradesBinance[[#This Row],[Qtt]]),IF(TbTradesBinance[[#This Row],[Tipo]]="BUY",T63-TbTradesBinance[[#This Row],[Qtt]]*TbTradesBinance[[#This Row],[Preço]],T63+TbTradesBinance[[#This Row],[Qtt]]*TbTradesBinance[[#This Row],[Preço]])),T63)-IF(TbTradesBinance[[#This Row],[Moeda da Taxa]]=MID(T$1,9,5),TbTradesBinance[[#This Row],[Taxa]],0),8)))</f>
        <v>199735.32000169999</v>
      </c>
      <c r="U64" s="145" cm="1">
        <f t="array" ref="U64">IF(TbTradesBinance[[#This Row],[Tipo]]="EMPTY",0,U63+IF(TbTradesBinance[[#This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Row],[Par]]))),$1:$1,0)),-(T63-T64)/T63*U63),0),0)+IF(TbTradesBinance[[#This Row],[Tipo]]="SELL",IF(ISNUMBER(FIND(MID(U$1,10,5),TbTradesBinance[[#This Row],[Par]])),IF(FIND(MID(U$1,10,5),TbTradesBinance[[#This Row],[Par]])=1, -(T63-T64)/T63*U63,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Row],[Par]])),(-(T63-T64)/T63*U63)+IF(TbTradesBinance[[#This Row],[Resultado]]&gt;0,0,TbTradesBinance[[#This Row],[Taxa]]),0),0))</f>
        <v>1328239.8809817513</v>
      </c>
      <c r="V64" s="145">
        <f t="shared" si="3"/>
        <v>6.6500000148719129</v>
      </c>
      <c r="W6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Row],[Tipo]]="DROP"),W63+TbTradesBinance[[#This Row],[Qtt]],W63-TbTradesBinance[[#This Row],[Qtt]]),IF(TbTradesBinance[[#This Row],[Tipo]]="BUY",W63-TbTradesBinance[[#This Row],[Qtt]]*TbTradesBinance[[#This Row],[Preço]],W63+TbTradesBinance[[#This Row],[Qtt]]*TbTradesBinance[[#This Row],[Preço]])),W63)-IF(TbTradesBinance[[#This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Row],[Tipo]]="DROP"),W63+TbTradesBinance[[#This Row],[Qtt]],W63-TbTradesBinance[[#This Row],[Qtt]]),IF(TbTradesBinance[[#This Row],[Tipo]]="BUY",W63-TbTradesBinance[[#This Row],[Qtt]]*TbTradesBinance[[#This Row],[Preço]],W63+TbTradesBinance[[#This Row],[Qtt]]*TbTradesBinance[[#This Row],[Preço]])),W63)-IF(TbTradesBinance[[#This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Row],[Tipo]]="DROP"),W63+TbTradesBinance[[#This Row],[Qtt]],W63-TbTradesBinance[[#This Row],[Qtt]]),IF(TbTradesBinance[[#This Row],[Tipo]]="BUY",W63-TbTradesBinance[[#This Row],[Qtt]]*TbTradesBinance[[#This Row],[Preço]],W63+TbTradesBinance[[#This Row],[Qtt]]*TbTradesBinance[[#This Row],[Preço]])),W63)-IF(TbTradesBinance[[#This Row],[Moeda da Taxa]]=MID(W$1,9,5),TbTradesBinance[[#This Row],[Taxa]],0),8)))</f>
        <v>9.7773000000000001E-4</v>
      </c>
      <c r="X64" s="145" cm="1">
        <f t="array" ref="X64">IF(TbTradesBinance[[#This Row],[Tipo]]="EMPTY",0,X63+IF(TbTradesBinance[[#This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Row],[Par]]))),$1:$1,0)),-(W63-W64)/W63*X63),0),0)+IF(TbTradesBinance[[#This Row],[Tipo]]="SELL",IF(ISNUMBER(FIND(MID(X$1,10,5),TbTradesBinance[[#This Row],[Par]])),IF(FIND(MID(X$1,10,5),TbTradesBinance[[#This Row],[Par]])=1, -(W63-W64)/W63*X63,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Row],[Par]])),(-(W63-W64)/W63*X63)+IF(TbTradesBinance[[#This Row],[Resultado]]&gt;0,0,TbTradesBinance[[#This Row],[Taxa]]),0),0))</f>
        <v>293.4382665876517</v>
      </c>
      <c r="Y64" s="145">
        <f t="shared" si="4"/>
        <v>300121.98315245693</v>
      </c>
      <c r="Z6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Row],[Tipo]]="DROP"),Z63+TbTradesBinance[[#This Row],[Qtt]],Z63-TbTradesBinance[[#This Row],[Qtt]]),IF(TbTradesBinance[[#This Row],[Tipo]]="BUY",Z63-TbTradesBinance[[#This Row],[Qtt]]*TbTradesBinance[[#This Row],[Preço]],Z63+TbTradesBinance[[#This Row],[Qtt]]*TbTradesBinance[[#This Row],[Preço]])),Z63)-IF(TbTradesBinance[[#This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Row],[Tipo]]="DROP"),Z63+TbTradesBinance[[#This Row],[Qtt]],Z63-TbTradesBinance[[#This Row],[Qtt]]),IF(TbTradesBinance[[#This Row],[Tipo]]="BUY",Z63-TbTradesBinance[[#This Row],[Qtt]]*TbTradesBinance[[#This Row],[Preço]],Z63+TbTradesBinance[[#This Row],[Qtt]]*TbTradesBinance[[#This Row],[Preço]])),Z63)-IF(TbTradesBinance[[#This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Row],[Tipo]]="DROP"),Z63+TbTradesBinance[[#This Row],[Qtt]],Z63-TbTradesBinance[[#This Row],[Qtt]]),IF(TbTradesBinance[[#This Row],[Tipo]]="BUY",Z63-TbTradesBinance[[#This Row],[Qtt]]*TbTradesBinance[[#This Row],[Preço]],Z63+TbTradesBinance[[#This Row],[Qtt]]*TbTradesBinance[[#This Row],[Preço]])),Z63)-IF(TbTradesBinance[[#This Row],[Moeda da Taxa]]=MID(Z$1,9,5),TbTradesBinance[[#This Row],[Taxa]],0),8)))</f>
        <v>0</v>
      </c>
      <c r="AA64" s="145" cm="1">
        <f t="array" ref="AA64">IF(TbTradesBinance[[#This Row],[Tipo]]="EMPTY",0,AA63+IF(TbTradesBinance[[#This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Row],[Par]]))),$1:$1,0)),-(Z63-Z64)/Z63*AA63),0),0)+IF(TbTradesBinance[[#This Row],[Tipo]]="SELL",IF(ISNUMBER(FIND(MID(AA$1,10,5),TbTradesBinance[[#This Row],[Par]])),IF(FIND(MID(AA$1,10,5),TbTradesBinance[[#This Row],[Par]])=1, -(Z63-Z64)/Z63*AA63,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Row],[Par]])),(-(Z63-Z64)/Z63*AA63)+IF(TbTradesBinance[[#This Row],[Resultado]]&gt;0,0,TbTradesBinance[[#This Row],[Taxa]]),0),0))</f>
        <v>0</v>
      </c>
      <c r="AB64" s="145">
        <f t="shared" si="5"/>
        <v>0</v>
      </c>
      <c r="AC6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Row],[Tipo]]="DROP"),AC63+TbTradesBinance[[#This Row],[Qtt]],AC63-TbTradesBinance[[#This Row],[Qtt]]),IF(TbTradesBinance[[#This Row],[Tipo]]="BUY",AC63-TbTradesBinance[[#This Row],[Qtt]]*TbTradesBinance[[#This Row],[Preço]],AC63+TbTradesBinance[[#This Row],[Qtt]]*TbTradesBinance[[#This Row],[Preço]])),AC63)-IF(TbTradesBinance[[#This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Row],[Tipo]]="DROP"),AC63+TbTradesBinance[[#This Row],[Qtt]],AC63-TbTradesBinance[[#This Row],[Qtt]]),IF(TbTradesBinance[[#This Row],[Tipo]]="BUY",AC63-TbTradesBinance[[#This Row],[Qtt]]*TbTradesBinance[[#This Row],[Preço]],AC63+TbTradesBinance[[#This Row],[Qtt]]*TbTradesBinance[[#This Row],[Preço]])),AC63)-IF(TbTradesBinance[[#This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Row],[Tipo]]="DROP"),AC63+TbTradesBinance[[#This Row],[Qtt]],AC63-TbTradesBinance[[#This Row],[Qtt]]),IF(TbTradesBinance[[#This Row],[Tipo]]="BUY",AC63-TbTradesBinance[[#This Row],[Qtt]]*TbTradesBinance[[#This Row],[Preço]],AC63+TbTradesBinance[[#This Row],[Qtt]]*TbTradesBinance[[#This Row],[Preço]])),AC63)-IF(TbTradesBinance[[#This Row],[Moeda da Taxa]]=MID(AC$1,9,5),TbTradesBinance[[#This Row],[Taxa]],0),8)))</f>
        <v>0</v>
      </c>
      <c r="AD64" s="145" cm="1">
        <f t="array" ref="AD64">IF(TbTradesBinance[[#This Row],[Tipo]]="EMPTY",0,AD63+IF(TbTradesBinance[[#This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Row],[Par]]))),$1:$1,0)),-(AC63-AC64)/AC63*AD63),0),0)+IF(TbTradesBinance[[#This Row],[Tipo]]="SELL",IF(ISNUMBER(FIND(MID(AD$1,10,5),TbTradesBinance[[#This Row],[Par]])),IF(FIND(MID(AD$1,10,5),TbTradesBinance[[#This Row],[Par]])=1, -(AC63-AC64)/AC63*AD63,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Row],[Par]])),(-(AC63-AC64)/AC63*AD63)+IF(TbTradesBinance[[#This Row],[Resultado]]&gt;0,0,TbTradesBinance[[#This Row],[Taxa]]),0),0))</f>
        <v>0</v>
      </c>
      <c r="AE64" s="145">
        <f t="shared" si="6"/>
        <v>0</v>
      </c>
      <c r="AF6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Row],[Tipo]]="DROP"),AF63+TbTradesBinance[[#This Row],[Qtt]],AF63-TbTradesBinance[[#This Row],[Qtt]]),IF(TbTradesBinance[[#This Row],[Tipo]]="BUY",AF63-TbTradesBinance[[#This Row],[Qtt]]*TbTradesBinance[[#This Row],[Preço]],AF63+TbTradesBinance[[#This Row],[Qtt]]*TbTradesBinance[[#This Row],[Preço]])),AF63)-IF(TbTradesBinance[[#This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Row],[Tipo]]="DROP"),AF63+TbTradesBinance[[#This Row],[Qtt]],AF63-TbTradesBinance[[#This Row],[Qtt]]),IF(TbTradesBinance[[#This Row],[Tipo]]="BUY",AF63-TbTradesBinance[[#This Row],[Qtt]]*TbTradesBinance[[#This Row],[Preço]],AF63+TbTradesBinance[[#This Row],[Qtt]]*TbTradesBinance[[#This Row],[Preço]])),AF63)-IF(TbTradesBinance[[#This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Row],[Tipo]]="DROP"),AF63+TbTradesBinance[[#This Row],[Qtt]],AF63-TbTradesBinance[[#This Row],[Qtt]]),IF(TbTradesBinance[[#This Row],[Tipo]]="BUY",AF63-TbTradesBinance[[#This Row],[Qtt]]*TbTradesBinance[[#This Row],[Preço]],AF63+TbTradesBinance[[#This Row],[Qtt]]*TbTradesBinance[[#This Row],[Preço]])),AF63)-IF(TbTradesBinance[[#This Row],[Moeda da Taxa]]=MID(AF$1,9,5),TbTradesBinance[[#This Row],[Taxa]],0),8)))</f>
        <v>0</v>
      </c>
      <c r="AG64" s="145" cm="1">
        <f t="array" ref="AG64">IF(TbTradesBinance[[#This Row],[Tipo]]="EMPTY",0,AG63+IF(TbTradesBinance[[#This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Row],[Par]]))),$1:$1,0)),-(AF63-AF64)/AF63*AG63),0),0)+IF(TbTradesBinance[[#This Row],[Tipo]]="SELL",IF(ISNUMBER(FIND(MID(AG$1,10,5),TbTradesBinance[[#This Row],[Par]])),IF(FIND(MID(AG$1,10,5),TbTradesBinance[[#This Row],[Par]])=1, -(AF63-AF64)/AF63*AG63,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Row],[Par]])),(-(AF63-AF64)/AF63*AG63)+IF(TbTradesBinance[[#This Row],[Resultado]]&gt;0,0,TbTradesBinance[[#This Row],[Taxa]]),0),0))</f>
        <v>0</v>
      </c>
      <c r="AH64" s="145">
        <f t="shared" si="7"/>
        <v>0</v>
      </c>
      <c r="AI6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Row],[Tipo]]="DROP"),AI63+TbTradesBinance[[#This Row],[Qtt]],AI63-TbTradesBinance[[#This Row],[Qtt]]),IF(TbTradesBinance[[#This Row],[Tipo]]="BUY",AI63-TbTradesBinance[[#This Row],[Qtt]]*TbTradesBinance[[#This Row],[Preço]],AI63+TbTradesBinance[[#This Row],[Qtt]]*TbTradesBinance[[#This Row],[Preço]])),AI63)-IF(TbTradesBinance[[#This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Row],[Tipo]]="DROP"),AI63+TbTradesBinance[[#This Row],[Qtt]],AI63-TbTradesBinance[[#This Row],[Qtt]]),IF(TbTradesBinance[[#This Row],[Tipo]]="BUY",AI63-TbTradesBinance[[#This Row],[Qtt]]*TbTradesBinance[[#This Row],[Preço]],AI63+TbTradesBinance[[#This Row],[Qtt]]*TbTradesBinance[[#This Row],[Preço]])),AI63)-IF(TbTradesBinance[[#This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Row],[Tipo]]="DROP"),AI63+TbTradesBinance[[#This Row],[Qtt]],AI63-TbTradesBinance[[#This Row],[Qtt]]),IF(TbTradesBinance[[#This Row],[Tipo]]="BUY",AI63-TbTradesBinance[[#This Row],[Qtt]]*TbTradesBinance[[#This Row],[Preço]],AI63+TbTradesBinance[[#This Row],[Qtt]]*TbTradesBinance[[#This Row],[Preço]])),AI63)-IF(TbTradesBinance[[#This Row],[Moeda da Taxa]]=MID(AI$1,9,5),TbTradesBinance[[#This Row],[Taxa]],0),8)))</f>
        <v>0</v>
      </c>
      <c r="AJ64" s="145" cm="1">
        <f t="array" ref="AJ64">IF(TbTradesBinance[[#This Row],[Tipo]]="EMPTY",0,AJ63+IF(TbTradesBinance[[#This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Row],[Par]]))),$1:$1,0)),-(AI63-AI64)/AI63*AJ63),0),0)+IF(TbTradesBinance[[#This Row],[Tipo]]="SELL",IF(ISNUMBER(FIND(MID(AJ$1,10,5),TbTradesBinance[[#This Row],[Par]])),IF(FIND(MID(AJ$1,10,5),TbTradesBinance[[#This Row],[Par]])=1, -(AI63-AI64)/AI63*AJ63,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Row],[Par]])),(-(AI63-AI64)/AI63*AJ63)+IF(TbTradesBinance[[#This Row],[Resultado]]&gt;0,0,TbTradesBinance[[#This Row],[Taxa]]),0),0))</f>
        <v>0</v>
      </c>
      <c r="AK64" s="145">
        <f t="shared" si="8"/>
        <v>0</v>
      </c>
      <c r="AL6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Row],[Tipo]]="DROP"),AL63+TbTradesBinance[[#This Row],[Qtt]],AL63-TbTradesBinance[[#This Row],[Qtt]]),IF(TbTradesBinance[[#This Row],[Tipo]]="BUY",AL63-TbTradesBinance[[#This Row],[Qtt]]*TbTradesBinance[[#This Row],[Preço]],AL63+TbTradesBinance[[#This Row],[Qtt]]*TbTradesBinance[[#This Row],[Preço]])),AL63)-IF(TbTradesBinance[[#This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Row],[Tipo]]="DROP"),AL63+TbTradesBinance[[#This Row],[Qtt]],AL63-TbTradesBinance[[#This Row],[Qtt]]),IF(TbTradesBinance[[#This Row],[Tipo]]="BUY",AL63-TbTradesBinance[[#This Row],[Qtt]]*TbTradesBinance[[#This Row],[Preço]],AL63+TbTradesBinance[[#This Row],[Qtt]]*TbTradesBinance[[#This Row],[Preço]])),AL63)-IF(TbTradesBinance[[#This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Row],[Tipo]]="DROP"),AL63+TbTradesBinance[[#This Row],[Qtt]],AL63-TbTradesBinance[[#This Row],[Qtt]]),IF(TbTradesBinance[[#This Row],[Tipo]]="BUY",AL63-TbTradesBinance[[#This Row],[Qtt]]*TbTradesBinance[[#This Row],[Preço]],AL63+TbTradesBinance[[#This Row],[Qtt]]*TbTradesBinance[[#This Row],[Preço]])),AL63)-IF(TbTradesBinance[[#This Row],[Moeda da Taxa]]=MID(AL$1,9,5),TbTradesBinance[[#This Row],[Taxa]],0),8)))</f>
        <v>0</v>
      </c>
      <c r="AM64" s="145" cm="1">
        <f t="array" ref="AM64">IF(TbTradesBinance[[#This Row],[Tipo]]="EMPTY",0,AM63+IF(TbTradesBinance[[#This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Row],[Par]]))),$1:$1,0)),-(AL63-AL64)/AL63*AM63),0),0)+IF(TbTradesBinance[[#This Row],[Tipo]]="SELL",IF(ISNUMBER(FIND(MID(AM$1,10,5),TbTradesBinance[[#This Row],[Par]])),IF(FIND(MID(AM$1,10,5),TbTradesBinance[[#This Row],[Par]])=1, -(AL63-AL64)/AL63*AM63,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Row],[Par]])),(-(AL63-AL64)/AL63*AM63)+IF(TbTradesBinance[[#This Row],[Resultado]]&gt;0,0,TbTradesBinance[[#This Row],[Taxa]]),0),0))</f>
        <v>0</v>
      </c>
      <c r="AN64" s="145">
        <f t="shared" si="9"/>
        <v>0</v>
      </c>
      <c r="AO6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Row],[Tipo]]="DROP"),AO63+TbTradesBinance[[#This Row],[Qtt]],AO63-TbTradesBinance[[#This Row],[Qtt]]),IF(TbTradesBinance[[#This Row],[Tipo]]="BUY",AO63-TbTradesBinance[[#This Row],[Qtt]]*TbTradesBinance[[#This Row],[Preço]],AO63+TbTradesBinance[[#This Row],[Qtt]]*TbTradesBinance[[#This Row],[Preço]])),AO63)-IF(TbTradesBinance[[#This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Row],[Tipo]]="DROP"),AO63+TbTradesBinance[[#This Row],[Qtt]],AO63-TbTradesBinance[[#This Row],[Qtt]]),IF(TbTradesBinance[[#This Row],[Tipo]]="BUY",AO63-TbTradesBinance[[#This Row],[Qtt]]*TbTradesBinance[[#This Row],[Preço]],AO63+TbTradesBinance[[#This Row],[Qtt]]*TbTradesBinance[[#This Row],[Preço]])),AO63)-IF(TbTradesBinance[[#This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Row],[Tipo]]="DROP"),AO63+TbTradesBinance[[#This Row],[Qtt]],AO63-TbTradesBinance[[#This Row],[Qtt]]),IF(TbTradesBinance[[#This Row],[Tipo]]="BUY",AO63-TbTradesBinance[[#This Row],[Qtt]]*TbTradesBinance[[#This Row],[Preço]],AO63+TbTradesBinance[[#This Row],[Qtt]]*TbTradesBinance[[#This Row],[Preço]])),AO63)-IF(TbTradesBinance[[#This Row],[Moeda da Taxa]]=MID(AO$1,9,5),TbTradesBinance[[#This Row],[Taxa]],0),8)))</f>
        <v>2.6916900000000001E-3</v>
      </c>
      <c r="AP64" s="145" cm="1">
        <f t="array" ref="AP64">IF(TbTradesBinance[[#This Row],[Tipo]]="EMPTY",0,AP63+IF(TbTradesBinance[[#This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Row],[Par]]))),$1:$1,0)),-(AO63-AO64)/AO63*AP63),0),0)+IF(TbTradesBinance[[#This Row],[Tipo]]="SELL",IF(ISNUMBER(FIND(MID(AP$1,10,5),TbTradesBinance[[#This Row],[Par]])),IF(FIND(MID(AP$1,10,5),TbTradesBinance[[#This Row],[Par]])=1, -(AO63-AO64)/AO63*AP63,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Row],[Par]])),(-(AO63-AO64)/AO63*AP63)+IF(TbTradesBinance[[#This Row],[Resultado]]&gt;0,0,TbTradesBinance[[#This Row],[Taxa]]),0),0))</f>
        <v>5.1390914851146583</v>
      </c>
      <c r="AQ64" s="145">
        <f t="shared" si="10"/>
        <v>1909.2434437526827</v>
      </c>
      <c r="AR6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Row],[Tipo]]="DROP"),AR63+TbTradesBinance[[#This Row],[Qtt]],AR63-TbTradesBinance[[#This Row],[Qtt]]),IF(TbTradesBinance[[#This Row],[Tipo]]="BUY",AR63-TbTradesBinance[[#This Row],[Qtt]]*TbTradesBinance[[#This Row],[Preço]],AR63+TbTradesBinance[[#This Row],[Qtt]]*TbTradesBinance[[#This Row],[Preço]])),AR63)-IF(TbTradesBinance[[#This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Row],[Tipo]]="DROP"),AR63+TbTradesBinance[[#This Row],[Qtt]],AR63-TbTradesBinance[[#This Row],[Qtt]]),IF(TbTradesBinance[[#This Row],[Tipo]]="BUY",AR63-TbTradesBinance[[#This Row],[Qtt]]*TbTradesBinance[[#This Row],[Preço]],AR63+TbTradesBinance[[#This Row],[Qtt]]*TbTradesBinance[[#This Row],[Preço]])),AR63)-IF(TbTradesBinance[[#This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Row],[Tipo]]="DROP"),AR63+TbTradesBinance[[#This Row],[Qtt]],AR63-TbTradesBinance[[#This Row],[Qtt]]),IF(TbTradesBinance[[#This Row],[Tipo]]="BUY",AR63-TbTradesBinance[[#This Row],[Qtt]]*TbTradesBinance[[#This Row],[Preço]],AR63+TbTradesBinance[[#This Row],[Qtt]]*TbTradesBinance[[#This Row],[Preço]])),AR63)-IF(TbTradesBinance[[#This Row],[Moeda da Taxa]]=MID(AR$1,9,5),TbTradesBinance[[#This Row],[Taxa]],0),8)))</f>
        <v>0</v>
      </c>
      <c r="AS64" s="145" cm="1">
        <f t="array" ref="AS64">IF(TbTradesBinance[[#This Row],[Tipo]]="EMPTY",0,AS63+IF(TbTradesBinance[[#This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Row],[Par]]))),$1:$1,0)),-(AR63-AR64)/AR63*AS63),0),0)+IF(TbTradesBinance[[#This Row],[Tipo]]="SELL",IF(ISNUMBER(FIND(MID(AS$1,10,5),TbTradesBinance[[#This Row],[Par]])),IF(FIND(MID(AS$1,10,5),TbTradesBinance[[#This Row],[Par]])=1, -(AR63-AR64)/AR63*AS63,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Row],[Par]])),(-(AR63-AR64)/AR63*AS63)+IF(TbTradesBinance[[#This Row],[Resultado]]&gt;0,0,TbTradesBinance[[#This Row],[Taxa]]),0),0))</f>
        <v>0</v>
      </c>
      <c r="AT64" s="145">
        <f t="shared" si="11"/>
        <v>0</v>
      </c>
      <c r="AU6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Row],[Tipo]]="DROP"),AU63+TbTradesBinance[[#This Row],[Qtt]],AU63-TbTradesBinance[[#This Row],[Qtt]]),IF(TbTradesBinance[[#This Row],[Tipo]]="BUY",AU63-TbTradesBinance[[#This Row],[Qtt]]*TbTradesBinance[[#This Row],[Preço]],AU63+TbTradesBinance[[#This Row],[Qtt]]*TbTradesBinance[[#This Row],[Preço]])),AU63)-IF(TbTradesBinance[[#This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Row],[Tipo]]="DROP"),AU63+TbTradesBinance[[#This Row],[Qtt]],AU63-TbTradesBinance[[#This Row],[Qtt]]),IF(TbTradesBinance[[#This Row],[Tipo]]="BUY",AU63-TbTradesBinance[[#This Row],[Qtt]]*TbTradesBinance[[#This Row],[Preço]],AU63+TbTradesBinance[[#This Row],[Qtt]]*TbTradesBinance[[#This Row],[Preço]])),AU63)-IF(TbTradesBinance[[#This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Row],[Tipo]]="DROP"),AU63+TbTradesBinance[[#This Row],[Qtt]],AU63-TbTradesBinance[[#This Row],[Qtt]]),IF(TbTradesBinance[[#This Row],[Tipo]]="BUY",AU63-TbTradesBinance[[#This Row],[Qtt]]*TbTradesBinance[[#This Row],[Preço]],AU63+TbTradesBinance[[#This Row],[Qtt]]*TbTradesBinance[[#This Row],[Preço]])),AU63)-IF(TbTradesBinance[[#This Row],[Moeda da Taxa]]=MID(AU$1,9,5),TbTradesBinance[[#This Row],[Taxa]],0),8)))</f>
        <v>0.26989999999999997</v>
      </c>
      <c r="AV64" s="145" cm="1">
        <f t="array" ref="AV64">IF(TbTradesBinance[[#This Row],[Tipo]]="EMPTY",0,AV63+IF(TbTradesBinance[[#This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Row],[Par]]))),$1:$1,0)),-(AU63-AU64)/AU63*AV63),0),0)+IF(TbTradesBinance[[#This Row],[Tipo]]="SELL",IF(ISNUMBER(FIND(MID(AV$1,10,5),TbTradesBinance[[#This Row],[Par]])),IF(FIND(MID(AV$1,10,5),TbTradesBinance[[#This Row],[Par]])=1, -(AU63-AU64)/AU63*AV63,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Row],[Par]])),(-(AU63-AU64)/AU63*AV63)+IF(TbTradesBinance[[#This Row],[Resultado]]&gt;0,0,TbTradesBinance[[#This Row],[Taxa]]),0),0))</f>
        <v>56.09788062740806</v>
      </c>
      <c r="AW64" s="145">
        <f t="shared" si="12"/>
        <v>207.8469085861729</v>
      </c>
      <c r="AX6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Row],[Tipo]]="DROP"),AX63+TbTradesBinance[[#This Row],[Qtt]],AX63-TbTradesBinance[[#This Row],[Qtt]]),IF(TbTradesBinance[[#This Row],[Tipo]]="BUY",AX63-TbTradesBinance[[#This Row],[Qtt]]*TbTradesBinance[[#This Row],[Preço]],AX63+TbTradesBinance[[#This Row],[Qtt]]*TbTradesBinance[[#This Row],[Preço]])),AX63)-IF(TbTradesBinance[[#This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Row],[Tipo]]="DROP"),AX63+TbTradesBinance[[#This Row],[Qtt]],AX63-TbTradesBinance[[#This Row],[Qtt]]),IF(TbTradesBinance[[#This Row],[Tipo]]="BUY",AX63-TbTradesBinance[[#This Row],[Qtt]]*TbTradesBinance[[#This Row],[Preço]],AX63+TbTradesBinance[[#This Row],[Qtt]]*TbTradesBinance[[#This Row],[Preço]])),AX63)-IF(TbTradesBinance[[#This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Row],[Tipo]]="DROP"),AX63+TbTradesBinance[[#This Row],[Qtt]],AX63-TbTradesBinance[[#This Row],[Qtt]]),IF(TbTradesBinance[[#This Row],[Tipo]]="BUY",AX63-TbTradesBinance[[#This Row],[Qtt]]*TbTradesBinance[[#This Row],[Preço]],AX63+TbTradesBinance[[#This Row],[Qtt]]*TbTradesBinance[[#This Row],[Preço]])),AX63)-IF(TbTradesBinance[[#This Row],[Moeda da Taxa]]=MID(AX$1,9,5),TbTradesBinance[[#This Row],[Taxa]],0),8)))</f>
        <v>0.22636999999999999</v>
      </c>
      <c r="AY64" s="145" cm="1">
        <f t="array" ref="AY64">IF(TbTradesBinance[[#This Row],[Tipo]]="EMPTY",0,AY63+IF(TbTradesBinance[[#This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Row],[Par]]))),$1:$1,0)),-(AX63-AX64)/AX63*AY63),0),0)+IF(TbTradesBinance[[#This Row],[Tipo]]="SELL",IF(ISNUMBER(FIND(MID(AY$1,10,5),TbTradesBinance[[#This Row],[Par]])),IF(FIND(MID(AY$1,10,5),TbTradesBinance[[#This Row],[Par]])=1, -(AX63-AX64)/AX63*AY63,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Row],[Par]])),(-(AX63-AX64)/AX63*AY63)+IF(TbTradesBinance[[#This Row],[Resultado]]&gt;0,0,TbTradesBinance[[#This Row],[Taxa]]),0),0))</f>
        <v>40.781337593356859</v>
      </c>
      <c r="AZ64" s="145">
        <f t="shared" si="13"/>
        <v>180.15345493376711</v>
      </c>
      <c r="BA6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Row],[Tipo]]="DROP"),BA63+TbTradesBinance[[#This Row],[Qtt]],BA63-TbTradesBinance[[#This Row],[Qtt]]),IF(TbTradesBinance[[#This Row],[Tipo]]="BUY",BA63-TbTradesBinance[[#This Row],[Qtt]]*TbTradesBinance[[#This Row],[Preço]],BA63+TbTradesBinance[[#This Row],[Qtt]]*TbTradesBinance[[#This Row],[Preço]])),BA63)-IF(TbTradesBinance[[#This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Row],[Tipo]]="DROP"),BA63+TbTradesBinance[[#This Row],[Qtt]],BA63-TbTradesBinance[[#This Row],[Qtt]]),IF(TbTradesBinance[[#This Row],[Tipo]]="BUY",BA63-TbTradesBinance[[#This Row],[Qtt]]*TbTradesBinance[[#This Row],[Preço]],BA63+TbTradesBinance[[#This Row],[Qtt]]*TbTradesBinance[[#This Row],[Preço]])),BA63)-IF(TbTradesBinance[[#This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Row],[Tipo]]="DROP"),BA63+TbTradesBinance[[#This Row],[Qtt]],BA63-TbTradesBinance[[#This Row],[Qtt]]),IF(TbTradesBinance[[#This Row],[Tipo]]="BUY",BA63-TbTradesBinance[[#This Row],[Qtt]]*TbTradesBinance[[#This Row],[Preço]],BA63+TbTradesBinance[[#This Row],[Qtt]]*TbTradesBinance[[#This Row],[Preço]])),BA63)-IF(TbTradesBinance[[#This Row],[Moeda da Taxa]]=MID(BA$1,9,5),TbTradesBinance[[#This Row],[Taxa]],0),8)))</f>
        <v>0</v>
      </c>
      <c r="BB64" s="145" cm="1">
        <f t="array" ref="BB64">IF(TbTradesBinance[[#This Row],[Tipo]]="EMPTY",0,BB63+IF(TbTradesBinance[[#This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Row],[Par]]))),$1:$1,0)),-(BA63-BA64)/BA63*BB63),0),0)+IF(TbTradesBinance[[#This Row],[Tipo]]="SELL",IF(ISNUMBER(FIND(MID(BB$1,10,5),TbTradesBinance[[#This Row],[Par]])),IF(FIND(MID(BB$1,10,5),TbTradesBinance[[#This Row],[Par]])=1, -(BA63-BA64)/BA63*BB63,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Row],[Par]])),(-(BA63-BA64)/BA63*BB63)+IF(TbTradesBinance[[#This Row],[Resultado]]&gt;0,0,TbTradesBinance[[#This Row],[Taxa]]),0),0))</f>
        <v>0</v>
      </c>
      <c r="BC64" s="145">
        <f t="shared" si="14"/>
        <v>0</v>
      </c>
      <c r="BD6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Row],[Tipo]]="DROP"),BD63+TbTradesBinance[[#This Row],[Qtt]],BD63-TbTradesBinance[[#This Row],[Qtt]]),IF(TbTradesBinance[[#This Row],[Tipo]]="BUY",BD63-TbTradesBinance[[#This Row],[Qtt]]*TbTradesBinance[[#This Row],[Preço]],BD63+TbTradesBinance[[#This Row],[Qtt]]*TbTradesBinance[[#This Row],[Preço]])),BD63)-IF(TbTradesBinance[[#This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Row],[Tipo]]="DROP"),BD63+TbTradesBinance[[#This Row],[Qtt]],BD63-TbTradesBinance[[#This Row],[Qtt]]),IF(TbTradesBinance[[#This Row],[Tipo]]="BUY",BD63-TbTradesBinance[[#This Row],[Qtt]]*TbTradesBinance[[#This Row],[Preço]],BD63+TbTradesBinance[[#This Row],[Qtt]]*TbTradesBinance[[#This Row],[Preço]])),BD63)-IF(TbTradesBinance[[#This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Row],[Tipo]]="DROP"),BD63+TbTradesBinance[[#This Row],[Qtt]],BD63-TbTradesBinance[[#This Row],[Qtt]]),IF(TbTradesBinance[[#This Row],[Tipo]]="BUY",BD63-TbTradesBinance[[#This Row],[Qtt]]*TbTradesBinance[[#This Row],[Preço]],BD63+TbTradesBinance[[#This Row],[Qtt]]*TbTradesBinance[[#This Row],[Preço]])),BD63)-IF(TbTradesBinance[[#This Row],[Moeda da Taxa]]=MID(BD$1,9,5),TbTradesBinance[[#This Row],[Taxa]],0),8)))</f>
        <v>0.37962000000000001</v>
      </c>
      <c r="BE64" s="145" cm="1">
        <f t="array" ref="BE64">IF(TbTradesBinance[[#This Row],[Tipo]]="EMPTY",0,BE63+IF(TbTradesBinance[[#This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Row],[Par]]))),$1:$1,0)),-(BD63-BD64)/BD63*BE63),0),0)+IF(TbTradesBinance[[#This Row],[Tipo]]="SELL",IF(ISNUMBER(FIND(MID(BE$1,10,5),TbTradesBinance[[#This Row],[Par]])),IF(FIND(MID(BE$1,10,5),TbTradesBinance[[#This Row],[Par]])=1, -(BD63-BD64)/BD63*BE63,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Row],[Par]])),(-(BD63-BD64)/BD63*BE63)+IF(TbTradesBinance[[#This Row],[Resultado]]&gt;0,0,TbTradesBinance[[#This Row],[Taxa]]),0),0))</f>
        <v>63.647297001537943</v>
      </c>
      <c r="BF64" s="145">
        <f t="shared" si="15"/>
        <v>167.66054739354601</v>
      </c>
      <c r="BG6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Row],[Tipo]]="DROP"),BG63+TbTradesBinance[[#This Row],[Qtt]],BG63-TbTradesBinance[[#This Row],[Qtt]]),IF(TbTradesBinance[[#This Row],[Tipo]]="BUY",BG63-TbTradesBinance[[#This Row],[Qtt]]*TbTradesBinance[[#This Row],[Preço]],BG63+TbTradesBinance[[#This Row],[Qtt]]*TbTradesBinance[[#This Row],[Preço]])),BG63)-IF(TbTradesBinance[[#This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Row],[Tipo]]="DROP"),BG63+TbTradesBinance[[#This Row],[Qtt]],BG63-TbTradesBinance[[#This Row],[Qtt]]),IF(TbTradesBinance[[#This Row],[Tipo]]="BUY",BG63-TbTradesBinance[[#This Row],[Qtt]]*TbTradesBinance[[#This Row],[Preço]],BG63+TbTradesBinance[[#This Row],[Qtt]]*TbTradesBinance[[#This Row],[Preço]])),BG63)-IF(TbTradesBinance[[#This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Row],[Tipo]]="DROP"),BG63+TbTradesBinance[[#This Row],[Qtt]],BG63-TbTradesBinance[[#This Row],[Qtt]]),IF(TbTradesBinance[[#This Row],[Tipo]]="BUY",BG63-TbTradesBinance[[#This Row],[Qtt]]*TbTradesBinance[[#This Row],[Preço]],BG63+TbTradesBinance[[#This Row],[Qtt]]*TbTradesBinance[[#This Row],[Preço]])),BG63)-IF(TbTradesBinance[[#This Row],[Moeda da Taxa]]=MID(BG$1,9,5),TbTradesBinance[[#This Row],[Taxa]],0),8)))</f>
        <v>0</v>
      </c>
      <c r="BH64" s="145" cm="1">
        <f t="array" ref="BH64">IF(TbTradesBinance[[#This Row],[Tipo]]="EMPTY",0,BH63+IF(TbTradesBinance[[#This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Row],[Par]]))),$1:$1,0)),-(BG63-BG64)/BG63*BH63),0),0)+IF(TbTradesBinance[[#This Row],[Tipo]]="SELL",IF(ISNUMBER(FIND(MID(BH$1,10,5),TbTradesBinance[[#This Row],[Par]])),IF(FIND(MID(BH$1,10,5),TbTradesBinance[[#This Row],[Par]])=1, -(BG63-BG64)/BG63*BH63,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Row],[Par]])),(-(BG63-BG64)/BG63*BH63)+IF(TbTradesBinance[[#This Row],[Resultado]]&gt;0,0,TbTradesBinance[[#This Row],[Taxa]]),0),0))</f>
        <v>0</v>
      </c>
      <c r="BI64" s="145">
        <f t="shared" si="16"/>
        <v>0</v>
      </c>
      <c r="BJ6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Row],[Tipo]]="DROP"),BJ63+TbTradesBinance[[#This Row],[Qtt]],BJ63-TbTradesBinance[[#This Row],[Qtt]]),IF(TbTradesBinance[[#This Row],[Tipo]]="BUY",BJ63-TbTradesBinance[[#This Row],[Qtt]]*TbTradesBinance[[#This Row],[Preço]],BJ63+TbTradesBinance[[#This Row],[Qtt]]*TbTradesBinance[[#This Row],[Preço]])),BJ63)-IF(TbTradesBinance[[#This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Row],[Tipo]]="DROP"),BJ63+TbTradesBinance[[#This Row],[Qtt]],BJ63-TbTradesBinance[[#This Row],[Qtt]]),IF(TbTradesBinance[[#This Row],[Tipo]]="BUY",BJ63-TbTradesBinance[[#This Row],[Qtt]]*TbTradesBinance[[#This Row],[Preço]],BJ63+TbTradesBinance[[#This Row],[Qtt]]*TbTradesBinance[[#This Row],[Preço]])),BJ63)-IF(TbTradesBinance[[#This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Row],[Tipo]]="DROP"),BJ63+TbTradesBinance[[#This Row],[Qtt]],BJ63-TbTradesBinance[[#This Row],[Qtt]]),IF(TbTradesBinance[[#This Row],[Tipo]]="BUY",BJ63-TbTradesBinance[[#This Row],[Qtt]]*TbTradesBinance[[#This Row],[Preço]],BJ63+TbTradesBinance[[#This Row],[Qtt]]*TbTradesBinance[[#This Row],[Preço]])),BJ63)-IF(TbTradesBinance[[#This Row],[Moeda da Taxa]]=MID(BJ$1,9,5),TbTradesBinance[[#This Row],[Taxa]],0),8)))</f>
        <v>0</v>
      </c>
      <c r="BK64" s="145" cm="1">
        <f t="array" ref="BK64">IF(TbTradesBinance[[#This Row],[Tipo]]="EMPTY",0,BK63+IF(TbTradesBinance[[#This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Row],[Par]]))),$1:$1,0)),-(BJ63-BJ64)/BJ63*BK63),0),0)+IF(TbTradesBinance[[#This Row],[Tipo]]="SELL",IF(ISNUMBER(FIND(MID(BK$1,10,5),TbTradesBinance[[#This Row],[Par]])),IF(FIND(MID(BK$1,10,5),TbTradesBinance[[#This Row],[Par]])=1, -(BJ63-BJ64)/BJ63*BK63,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Row],[Par]])),(-(BJ63-BJ64)/BJ63*BK63)+IF(TbTradesBinance[[#This Row],[Resultado]]&gt;0,0,TbTradesBinance[[#This Row],[Taxa]]),0),0))</f>
        <v>0</v>
      </c>
      <c r="BL64" s="145">
        <f t="shared" si="17"/>
        <v>0</v>
      </c>
      <c r="BM6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Row],[Tipo]]="DROP"),BM63+TbTradesBinance[[#This Row],[Qtt]],BM63-TbTradesBinance[[#This Row],[Qtt]]),IF(TbTradesBinance[[#This Row],[Tipo]]="BUY",BM63-TbTradesBinance[[#This Row],[Qtt]]*TbTradesBinance[[#This Row],[Preço]],BM63+TbTradesBinance[[#This Row],[Qtt]]*TbTradesBinance[[#This Row],[Preço]])),BM63)-IF(TbTradesBinance[[#This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Row],[Tipo]]="DROP"),BM63+TbTradesBinance[[#This Row],[Qtt]],BM63-TbTradesBinance[[#This Row],[Qtt]]),IF(TbTradesBinance[[#This Row],[Tipo]]="BUY",BM63-TbTradesBinance[[#This Row],[Qtt]]*TbTradesBinance[[#This Row],[Preço]],BM63+TbTradesBinance[[#This Row],[Qtt]]*TbTradesBinance[[#This Row],[Preço]])),BM63)-IF(TbTradesBinance[[#This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Row],[Tipo]]="DROP"),BM63+TbTradesBinance[[#This Row],[Qtt]],BM63-TbTradesBinance[[#This Row],[Qtt]]),IF(TbTradesBinance[[#This Row],[Tipo]]="BUY",BM63-TbTradesBinance[[#This Row],[Qtt]]*TbTradesBinance[[#This Row],[Preço]],BM63+TbTradesBinance[[#This Row],[Qtt]]*TbTradesBinance[[#This Row],[Preço]])),BM63)-IF(TbTradesBinance[[#This Row],[Moeda da Taxa]]=MID(BM$1,9,5),TbTradesBinance[[#This Row],[Taxa]],0),8)))</f>
        <v>0</v>
      </c>
      <c r="BN64" s="145" cm="1">
        <f t="array" ref="BN64">IF(TbTradesBinance[[#This Row],[Tipo]]="EMPTY",0,BN63+IF(TbTradesBinance[[#This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Row],[Par]]))),$1:$1,0)),-(BM63-BM64)/BM63*BN63),0),0)+IF(TbTradesBinance[[#This Row],[Tipo]]="SELL",IF(ISNUMBER(FIND(MID(BN$1,10,5),TbTradesBinance[[#This Row],[Par]])),IF(FIND(MID(BN$1,10,5),TbTradesBinance[[#This Row],[Par]])=1, -(BM63-BM64)/BM63*BN63,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Row],[Par]])),(-(BM63-BM64)/BM63*BN63)+IF(TbTradesBinance[[#This Row],[Resultado]]&gt;0,0,TbTradesBinance[[#This Row],[Taxa]]),0),0))</f>
        <v>0</v>
      </c>
      <c r="BO64" s="145">
        <f t="shared" si="18"/>
        <v>0</v>
      </c>
    </row>
    <row r="65" spans="2:67" x14ac:dyDescent="0.3">
      <c r="B65" s="51"/>
      <c r="C65" s="40">
        <f>TRUNC(IF(AND(TbTradesBinance[[#This Row],[Tipo]]="SEND",TbTradesBinance[[#This Row],[Par]]="BRL"),TbTradesBinance[[#This Row],[Qtt]]*(1-P63)-IF(TbTradesBinance[[#This Row],[Moeda da Taxa]]="BRL",TbTradesBinance[[#This Row],[Taxa]],0),0)+IF(AND(TbTradesBinance[[#This Row],[Tipo]]="BURN",TbTradesBinance[[#This Row],[Par]]="BRL"),-TbTradesBinance[[#This Row],[Qtt]]*P63,0),2)</f>
        <v>0</v>
      </c>
      <c r="D65" s="53">
        <v>44264.860486111109</v>
      </c>
      <c r="E65" s="37" t="s">
        <v>249</v>
      </c>
      <c r="F65" s="47" t="s">
        <v>140</v>
      </c>
      <c r="G65" s="38">
        <v>54700.01</v>
      </c>
      <c r="H65" s="38">
        <v>4.8700000000000002E-4</v>
      </c>
      <c r="I65" s="38">
        <v>2.66389E-2</v>
      </c>
      <c r="J65" s="37" t="s">
        <v>42</v>
      </c>
      <c r="K65" s="52">
        <v>5.7969999999999997</v>
      </c>
      <c r="L65" s="40">
        <f t="shared" si="0"/>
        <v>317095.95</v>
      </c>
      <c r="M65" s="40">
        <f>IF(OR(TbTradesBinance[[#This Row],[Tipo]]="BUY",TbTradesBinance[[#This Row],[Tipo]]="RECEIVE",TbTradesBinance[[#This Row],[Tipo]]="DROP"),L65*H65,-L65*H65)</f>
        <v>-154.42572765</v>
      </c>
      <c r="N6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Row],[Tipo]]="DROP"),N64+TbTradesBinance[[#This Row],[Qtt]],N64-TbTradesBinance[[#This Row],[Qtt]]),IF(TbTradesBinance[[#This Row],[Tipo]]="BUY",N64-TbTradesBinance[[#This Row],[Qtt]]*TbTradesBinance[[#This Row],[Preço]],N64+TbTradesBinance[[#This Row],[Qtt]]*TbTradesBinance[[#This Row],[Preço]])),N64)-IF(TbTradesBinance[[#This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Row],[Tipo]]="DROP"),N64+TbTradesBinance[[#This Row],[Qtt]],N64-TbTradesBinance[[#This Row],[Qtt]]),IF(TbTradesBinance[[#This Row],[Tipo]]="BUY",N64-TbTradesBinance[[#This Row],[Qtt]]*TbTradesBinance[[#This Row],[Preço]],N64+TbTradesBinance[[#This Row],[Qtt]]*TbTradesBinance[[#This Row],[Preço]])),N64)-IF(TbTradesBinance[[#This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Row],[Tipo]]="DROP"),N64+TbTradesBinance[[#This Row],[Qtt]],N64-TbTradesBinance[[#This Row],[Qtt]]),IF(TbTradesBinance[[#This Row],[Tipo]]="BUY",N64-TbTradesBinance[[#This Row],[Qtt]]*TbTradesBinance[[#This Row],[Preço]],N64+TbTradesBinance[[#This Row],[Qtt]]*TbTradesBinance[[#This Row],[Preço]])),N64)-IF(TbTradesBinance[[#This Row],[Moeda da Taxa]]=MID(N$1,9,5),TbTradesBinance[[#This Row],[Taxa]],0),8)))</f>
        <v>119745.41999999</v>
      </c>
      <c r="O65" s="145" cm="1">
        <f t="array" ref="O65">IF(TbTradesBinance[[#This Row],[Tipo]]="EMPTY",0,O64+IF(TbTradesBinance[[#This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Row],[Par]]))),$1:$1,0)),-(N64-N65)/N64*O64),0),0)+IF(TbTradesBinance[[#This Row],[Tipo]]="SELL",IF(ISNUMBER(FIND(MID(O$1,10,5),TbTradesBinance[[#This Row],[Par]])),IF(FIND(MID(O$1,10,5),TbTradesBinance[[#This Row],[Par]])=1, -(N64-N65)/N64*O64,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Row],[Par]])),(-(N64-N65)/N64*O64)+IF(TbTradesBinance[[#This Row],[Resultado]]&gt;0,0,TbTradesBinance[[#This Row],[Taxa]]),0),0))</f>
        <v>119648.09276482929</v>
      </c>
      <c r="P65" s="145">
        <f t="shared" si="1"/>
        <v>0.999187215384432</v>
      </c>
      <c r="Q6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Row],[Tipo]]="DROP"),Q64+TbTradesBinance[[#This Row],[Qtt]],Q64-TbTradesBinance[[#This Row],[Qtt]]),IF(TbTradesBinance[[#This Row],[Tipo]]="BUY",Q64-TbTradesBinance[[#This Row],[Qtt]]*TbTradesBinance[[#This Row],[Preço]],Q64+TbTradesBinance[[#This Row],[Qtt]]*TbTradesBinance[[#This Row],[Preço]])),Q64)-IF(TbTradesBinance[[#This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Row],[Tipo]]="DROP"),Q64+TbTradesBinance[[#This Row],[Qtt]],Q64-TbTradesBinance[[#This Row],[Qtt]]),IF(TbTradesBinance[[#This Row],[Tipo]]="BUY",Q64-TbTradesBinance[[#This Row],[Qtt]]*TbTradesBinance[[#This Row],[Preço]],Q64+TbTradesBinance[[#This Row],[Qtt]]*TbTradesBinance[[#This Row],[Preço]])),Q64)-IF(TbTradesBinance[[#This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Row],[Tipo]]="DROP"),Q64+TbTradesBinance[[#This Row],[Qtt]],Q64-TbTradesBinance[[#This Row],[Qtt]]),IF(TbTradesBinance[[#This Row],[Tipo]]="BUY",Q64-TbTradesBinance[[#This Row],[Qtt]]*TbTradesBinance[[#This Row],[Preço]],Q64+TbTradesBinance[[#This Row],[Qtt]]*TbTradesBinance[[#This Row],[Preço]])),Q64)-IF(TbTradesBinance[[#This Row],[Moeda da Taxa]]=MID(Q$1,9,5),TbTradesBinance[[#This Row],[Taxa]],0),8)))</f>
        <v>26.612265969999999</v>
      </c>
      <c r="R65" s="145" cm="1">
        <f t="array" ref="R65">IF(TbTradesBinance[[#This Row],[Tipo]]="EMPTY",0,R64+IF(TbTradesBinance[[#This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Row],[Par]]))),$1:$1,0)),-(Q64-Q65)/Q64*R64),0),0)+IF(TbTradesBinance[[#This Row],[Tipo]]="SELL",IF(ISNUMBER(FIND(MID(R$1,10,5),TbTradesBinance[[#This Row],[Par]])),IF(FIND(MID(R$1,10,5),TbTradesBinance[[#This Row],[Par]])=1, -(Q64-Q65)/Q64*R64,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Row],[Par]])),(-(Q64-Q65)/Q64*R64)+IF(TbTradesBinance[[#This Row],[Resultado]]&gt;0,0,TbTradesBinance[[#This Row],[Taxa]]),0),0))</f>
        <v>146.15940579524653</v>
      </c>
      <c r="S65" s="145">
        <f t="shared" si="2"/>
        <v>5.4921819119052842</v>
      </c>
      <c r="T6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Row],[Tipo]]="DROP"),T64+TbTradesBinance[[#This Row],[Qtt]],T64-TbTradesBinance[[#This Row],[Qtt]]),IF(TbTradesBinance[[#This Row],[Tipo]]="BUY",T64-TbTradesBinance[[#This Row],[Qtt]]*TbTradesBinance[[#This Row],[Preço]],T64+TbTradesBinance[[#This Row],[Qtt]]*TbTradesBinance[[#This Row],[Preço]])),T64)-IF(TbTradesBinance[[#This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Row],[Tipo]]="DROP"),T64+TbTradesBinance[[#This Row],[Qtt]],T64-TbTradesBinance[[#This Row],[Qtt]]),IF(TbTradesBinance[[#This Row],[Tipo]]="BUY",T64-TbTradesBinance[[#This Row],[Qtt]]*TbTradesBinance[[#This Row],[Preço]],T64+TbTradesBinance[[#This Row],[Qtt]]*TbTradesBinance[[#This Row],[Preço]])),T64)-IF(TbTradesBinance[[#This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Row],[Tipo]]="DROP"),T64+TbTradesBinance[[#This Row],[Qtt]],T64-TbTradesBinance[[#This Row],[Qtt]]),IF(TbTradesBinance[[#This Row],[Tipo]]="BUY",T64-TbTradesBinance[[#This Row],[Qtt]]*TbTradesBinance[[#This Row],[Preço]],T64+TbTradesBinance[[#This Row],[Qtt]]*TbTradesBinance[[#This Row],[Preço]])),T64)-IF(TbTradesBinance[[#This Row],[Moeda da Taxa]]=MID(T$1,9,5),TbTradesBinance[[#This Row],[Taxa]],0),8)))</f>
        <v>199735.32000169999</v>
      </c>
      <c r="U65" s="145" cm="1">
        <f t="array" ref="U65">IF(TbTradesBinance[[#This Row],[Tipo]]="EMPTY",0,U64+IF(TbTradesBinance[[#This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Row],[Par]]))),$1:$1,0)),-(T64-T65)/T64*U64),0),0)+IF(TbTradesBinance[[#This Row],[Tipo]]="SELL",IF(ISNUMBER(FIND(MID(U$1,10,5),TbTradesBinance[[#This Row],[Par]])),IF(FIND(MID(U$1,10,5),TbTradesBinance[[#This Row],[Par]])=1, -(T64-T65)/T64*U64,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Row],[Par]])),(-(T64-T65)/T64*U64)+IF(TbTradesBinance[[#This Row],[Resultado]]&gt;0,0,TbTradesBinance[[#This Row],[Taxa]]),0),0))</f>
        <v>1328239.8809817513</v>
      </c>
      <c r="V65" s="145">
        <f t="shared" si="3"/>
        <v>6.6500000148719129</v>
      </c>
      <c r="W6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Row],[Tipo]]="DROP"),W64+TbTradesBinance[[#This Row],[Qtt]],W64-TbTradesBinance[[#This Row],[Qtt]]),IF(TbTradesBinance[[#This Row],[Tipo]]="BUY",W64-TbTradesBinance[[#This Row],[Qtt]]*TbTradesBinance[[#This Row],[Preço]],W64+TbTradesBinance[[#This Row],[Qtt]]*TbTradesBinance[[#This Row],[Preço]])),W64)-IF(TbTradesBinance[[#This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Row],[Tipo]]="DROP"),W64+TbTradesBinance[[#This Row],[Qtt]],W64-TbTradesBinance[[#This Row],[Qtt]]),IF(TbTradesBinance[[#This Row],[Tipo]]="BUY",W64-TbTradesBinance[[#This Row],[Qtt]]*TbTradesBinance[[#This Row],[Preço]],W64+TbTradesBinance[[#This Row],[Qtt]]*TbTradesBinance[[#This Row],[Preço]])),W64)-IF(TbTradesBinance[[#This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Row],[Tipo]]="DROP"),W64+TbTradesBinance[[#This Row],[Qtt]],W64-TbTradesBinance[[#This Row],[Qtt]]),IF(TbTradesBinance[[#This Row],[Tipo]]="BUY",W64-TbTradesBinance[[#This Row],[Qtt]]*TbTradesBinance[[#This Row],[Preço]],W64+TbTradesBinance[[#This Row],[Qtt]]*TbTradesBinance[[#This Row],[Preço]])),W64)-IF(TbTradesBinance[[#This Row],[Moeda da Taxa]]=MID(W$1,9,5),TbTradesBinance[[#This Row],[Taxa]],0),8)))</f>
        <v>4.9072999999999999E-4</v>
      </c>
      <c r="X65" s="145" cm="1">
        <f t="array" ref="X65">IF(TbTradesBinance[[#This Row],[Tipo]]="EMPTY",0,X64+IF(TbTradesBinance[[#This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Row],[Par]]))),$1:$1,0)),-(W64-W65)/W64*X64),0),0)+IF(TbTradesBinance[[#This Row],[Tipo]]="SELL",IF(ISNUMBER(FIND(MID(X$1,10,5),TbTradesBinance[[#This Row],[Par]])),IF(FIND(MID(X$1,10,5),TbTradesBinance[[#This Row],[Par]])=1, -(W64-W65)/W64*X64,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Row],[Par]])),(-(W64-W65)/W64*X64)+IF(TbTradesBinance[[#This Row],[Resultado]]&gt;0,0,TbTradesBinance[[#This Row],[Taxa]]),0),0))</f>
        <v>147.27886079240517</v>
      </c>
      <c r="Y65" s="145">
        <f t="shared" si="4"/>
        <v>300121.98315245687</v>
      </c>
      <c r="Z6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Row],[Tipo]]="DROP"),Z64+TbTradesBinance[[#This Row],[Qtt]],Z64-TbTradesBinance[[#This Row],[Qtt]]),IF(TbTradesBinance[[#This Row],[Tipo]]="BUY",Z64-TbTradesBinance[[#This Row],[Qtt]]*TbTradesBinance[[#This Row],[Preço]],Z64+TbTradesBinance[[#This Row],[Qtt]]*TbTradesBinance[[#This Row],[Preço]])),Z64)-IF(TbTradesBinance[[#This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Row],[Tipo]]="DROP"),Z64+TbTradesBinance[[#This Row],[Qtt]],Z64-TbTradesBinance[[#This Row],[Qtt]]),IF(TbTradesBinance[[#This Row],[Tipo]]="BUY",Z64-TbTradesBinance[[#This Row],[Qtt]]*TbTradesBinance[[#This Row],[Preço]],Z64+TbTradesBinance[[#This Row],[Qtt]]*TbTradesBinance[[#This Row],[Preço]])),Z64)-IF(TbTradesBinance[[#This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Row],[Tipo]]="DROP"),Z64+TbTradesBinance[[#This Row],[Qtt]],Z64-TbTradesBinance[[#This Row],[Qtt]]),IF(TbTradesBinance[[#This Row],[Tipo]]="BUY",Z64-TbTradesBinance[[#This Row],[Qtt]]*TbTradesBinance[[#This Row],[Preço]],Z64+TbTradesBinance[[#This Row],[Qtt]]*TbTradesBinance[[#This Row],[Preço]])),Z64)-IF(TbTradesBinance[[#This Row],[Moeda da Taxa]]=MID(Z$1,9,5),TbTradesBinance[[#This Row],[Taxa]],0),8)))</f>
        <v>0</v>
      </c>
      <c r="AA65" s="145" cm="1">
        <f t="array" ref="AA65">IF(TbTradesBinance[[#This Row],[Tipo]]="EMPTY",0,AA64+IF(TbTradesBinance[[#This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Row],[Par]]))),$1:$1,0)),-(Z64-Z65)/Z64*AA64),0),0)+IF(TbTradesBinance[[#This Row],[Tipo]]="SELL",IF(ISNUMBER(FIND(MID(AA$1,10,5),TbTradesBinance[[#This Row],[Par]])),IF(FIND(MID(AA$1,10,5),TbTradesBinance[[#This Row],[Par]])=1, -(Z64-Z65)/Z64*AA64,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Row],[Par]])),(-(Z64-Z65)/Z64*AA64)+IF(TbTradesBinance[[#This Row],[Resultado]]&gt;0,0,TbTradesBinance[[#This Row],[Taxa]]),0),0))</f>
        <v>0</v>
      </c>
      <c r="AB65" s="145">
        <f t="shared" si="5"/>
        <v>0</v>
      </c>
      <c r="AC6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Row],[Tipo]]="DROP"),AC64+TbTradesBinance[[#This Row],[Qtt]],AC64-TbTradesBinance[[#This Row],[Qtt]]),IF(TbTradesBinance[[#This Row],[Tipo]]="BUY",AC64-TbTradesBinance[[#This Row],[Qtt]]*TbTradesBinance[[#This Row],[Preço]],AC64+TbTradesBinance[[#This Row],[Qtt]]*TbTradesBinance[[#This Row],[Preço]])),AC64)-IF(TbTradesBinance[[#This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Row],[Tipo]]="DROP"),AC64+TbTradesBinance[[#This Row],[Qtt]],AC64-TbTradesBinance[[#This Row],[Qtt]]),IF(TbTradesBinance[[#This Row],[Tipo]]="BUY",AC64-TbTradesBinance[[#This Row],[Qtt]]*TbTradesBinance[[#This Row],[Preço]],AC64+TbTradesBinance[[#This Row],[Qtt]]*TbTradesBinance[[#This Row],[Preço]])),AC64)-IF(TbTradesBinance[[#This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Row],[Tipo]]="DROP"),AC64+TbTradesBinance[[#This Row],[Qtt]],AC64-TbTradesBinance[[#This Row],[Qtt]]),IF(TbTradesBinance[[#This Row],[Tipo]]="BUY",AC64-TbTradesBinance[[#This Row],[Qtt]]*TbTradesBinance[[#This Row],[Preço]],AC64+TbTradesBinance[[#This Row],[Qtt]]*TbTradesBinance[[#This Row],[Preço]])),AC64)-IF(TbTradesBinance[[#This Row],[Moeda da Taxa]]=MID(AC$1,9,5),TbTradesBinance[[#This Row],[Taxa]],0),8)))</f>
        <v>0</v>
      </c>
      <c r="AD65" s="145" cm="1">
        <f t="array" ref="AD65">IF(TbTradesBinance[[#This Row],[Tipo]]="EMPTY",0,AD64+IF(TbTradesBinance[[#This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Row],[Par]]))),$1:$1,0)),-(AC64-AC65)/AC64*AD64),0),0)+IF(TbTradesBinance[[#This Row],[Tipo]]="SELL",IF(ISNUMBER(FIND(MID(AD$1,10,5),TbTradesBinance[[#This Row],[Par]])),IF(FIND(MID(AD$1,10,5),TbTradesBinance[[#This Row],[Par]])=1, -(AC64-AC65)/AC64*AD64,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Row],[Par]])),(-(AC64-AC65)/AC64*AD64)+IF(TbTradesBinance[[#This Row],[Resultado]]&gt;0,0,TbTradesBinance[[#This Row],[Taxa]]),0),0))</f>
        <v>0</v>
      </c>
      <c r="AE65" s="145">
        <f t="shared" si="6"/>
        <v>0</v>
      </c>
      <c r="AF6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Row],[Tipo]]="DROP"),AF64+TbTradesBinance[[#This Row],[Qtt]],AF64-TbTradesBinance[[#This Row],[Qtt]]),IF(TbTradesBinance[[#This Row],[Tipo]]="BUY",AF64-TbTradesBinance[[#This Row],[Qtt]]*TbTradesBinance[[#This Row],[Preço]],AF64+TbTradesBinance[[#This Row],[Qtt]]*TbTradesBinance[[#This Row],[Preço]])),AF64)-IF(TbTradesBinance[[#This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Row],[Tipo]]="DROP"),AF64+TbTradesBinance[[#This Row],[Qtt]],AF64-TbTradesBinance[[#This Row],[Qtt]]),IF(TbTradesBinance[[#This Row],[Tipo]]="BUY",AF64-TbTradesBinance[[#This Row],[Qtt]]*TbTradesBinance[[#This Row],[Preço]],AF64+TbTradesBinance[[#This Row],[Qtt]]*TbTradesBinance[[#This Row],[Preço]])),AF64)-IF(TbTradesBinance[[#This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Row],[Tipo]]="DROP"),AF64+TbTradesBinance[[#This Row],[Qtt]],AF64-TbTradesBinance[[#This Row],[Qtt]]),IF(TbTradesBinance[[#This Row],[Tipo]]="BUY",AF64-TbTradesBinance[[#This Row],[Qtt]]*TbTradesBinance[[#This Row],[Preço]],AF64+TbTradesBinance[[#This Row],[Qtt]]*TbTradesBinance[[#This Row],[Preço]])),AF64)-IF(TbTradesBinance[[#This Row],[Moeda da Taxa]]=MID(AF$1,9,5),TbTradesBinance[[#This Row],[Taxa]],0),8)))</f>
        <v>0</v>
      </c>
      <c r="AG65" s="145" cm="1">
        <f t="array" ref="AG65">IF(TbTradesBinance[[#This Row],[Tipo]]="EMPTY",0,AG64+IF(TbTradesBinance[[#This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Row],[Par]]))),$1:$1,0)),-(AF64-AF65)/AF64*AG64),0),0)+IF(TbTradesBinance[[#This Row],[Tipo]]="SELL",IF(ISNUMBER(FIND(MID(AG$1,10,5),TbTradesBinance[[#This Row],[Par]])),IF(FIND(MID(AG$1,10,5),TbTradesBinance[[#This Row],[Par]])=1, -(AF64-AF65)/AF64*AG64,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Row],[Par]])),(-(AF64-AF65)/AF64*AG64)+IF(TbTradesBinance[[#This Row],[Resultado]]&gt;0,0,TbTradesBinance[[#This Row],[Taxa]]),0),0))</f>
        <v>0</v>
      </c>
      <c r="AH65" s="145">
        <f t="shared" si="7"/>
        <v>0</v>
      </c>
      <c r="AI6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Row],[Tipo]]="DROP"),AI64+TbTradesBinance[[#This Row],[Qtt]],AI64-TbTradesBinance[[#This Row],[Qtt]]),IF(TbTradesBinance[[#This Row],[Tipo]]="BUY",AI64-TbTradesBinance[[#This Row],[Qtt]]*TbTradesBinance[[#This Row],[Preço]],AI64+TbTradesBinance[[#This Row],[Qtt]]*TbTradesBinance[[#This Row],[Preço]])),AI64)-IF(TbTradesBinance[[#This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Row],[Tipo]]="DROP"),AI64+TbTradesBinance[[#This Row],[Qtt]],AI64-TbTradesBinance[[#This Row],[Qtt]]),IF(TbTradesBinance[[#This Row],[Tipo]]="BUY",AI64-TbTradesBinance[[#This Row],[Qtt]]*TbTradesBinance[[#This Row],[Preço]],AI64+TbTradesBinance[[#This Row],[Qtt]]*TbTradesBinance[[#This Row],[Preço]])),AI64)-IF(TbTradesBinance[[#This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Row],[Tipo]]="DROP"),AI64+TbTradesBinance[[#This Row],[Qtt]],AI64-TbTradesBinance[[#This Row],[Qtt]]),IF(TbTradesBinance[[#This Row],[Tipo]]="BUY",AI64-TbTradesBinance[[#This Row],[Qtt]]*TbTradesBinance[[#This Row],[Preço]],AI64+TbTradesBinance[[#This Row],[Qtt]]*TbTradesBinance[[#This Row],[Preço]])),AI64)-IF(TbTradesBinance[[#This Row],[Moeda da Taxa]]=MID(AI$1,9,5),TbTradesBinance[[#This Row],[Taxa]],0),8)))</f>
        <v>0</v>
      </c>
      <c r="AJ65" s="145" cm="1">
        <f t="array" ref="AJ65">IF(TbTradesBinance[[#This Row],[Tipo]]="EMPTY",0,AJ64+IF(TbTradesBinance[[#This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Row],[Par]]))),$1:$1,0)),-(AI64-AI65)/AI64*AJ64),0),0)+IF(TbTradesBinance[[#This Row],[Tipo]]="SELL",IF(ISNUMBER(FIND(MID(AJ$1,10,5),TbTradesBinance[[#This Row],[Par]])),IF(FIND(MID(AJ$1,10,5),TbTradesBinance[[#This Row],[Par]])=1, -(AI64-AI65)/AI64*AJ64,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Row],[Par]])),(-(AI64-AI65)/AI64*AJ64)+IF(TbTradesBinance[[#This Row],[Resultado]]&gt;0,0,TbTradesBinance[[#This Row],[Taxa]]),0),0))</f>
        <v>0</v>
      </c>
      <c r="AK65" s="145">
        <f t="shared" si="8"/>
        <v>0</v>
      </c>
      <c r="AL6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Row],[Tipo]]="DROP"),AL64+TbTradesBinance[[#This Row],[Qtt]],AL64-TbTradesBinance[[#This Row],[Qtt]]),IF(TbTradesBinance[[#This Row],[Tipo]]="BUY",AL64-TbTradesBinance[[#This Row],[Qtt]]*TbTradesBinance[[#This Row],[Preço]],AL64+TbTradesBinance[[#This Row],[Qtt]]*TbTradesBinance[[#This Row],[Preço]])),AL64)-IF(TbTradesBinance[[#This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Row],[Tipo]]="DROP"),AL64+TbTradesBinance[[#This Row],[Qtt]],AL64-TbTradesBinance[[#This Row],[Qtt]]),IF(TbTradesBinance[[#This Row],[Tipo]]="BUY",AL64-TbTradesBinance[[#This Row],[Qtt]]*TbTradesBinance[[#This Row],[Preço]],AL64+TbTradesBinance[[#This Row],[Qtt]]*TbTradesBinance[[#This Row],[Preço]])),AL64)-IF(TbTradesBinance[[#This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Row],[Tipo]]="DROP"),AL64+TbTradesBinance[[#This Row],[Qtt]],AL64-TbTradesBinance[[#This Row],[Qtt]]),IF(TbTradesBinance[[#This Row],[Tipo]]="BUY",AL64-TbTradesBinance[[#This Row],[Qtt]]*TbTradesBinance[[#This Row],[Preço]],AL64+TbTradesBinance[[#This Row],[Qtt]]*TbTradesBinance[[#This Row],[Preço]])),AL64)-IF(TbTradesBinance[[#This Row],[Moeda da Taxa]]=MID(AL$1,9,5),TbTradesBinance[[#This Row],[Taxa]],0),8)))</f>
        <v>0</v>
      </c>
      <c r="AM65" s="145" cm="1">
        <f t="array" ref="AM65">IF(TbTradesBinance[[#This Row],[Tipo]]="EMPTY",0,AM64+IF(TbTradesBinance[[#This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Row],[Par]]))),$1:$1,0)),-(AL64-AL65)/AL64*AM64),0),0)+IF(TbTradesBinance[[#This Row],[Tipo]]="SELL",IF(ISNUMBER(FIND(MID(AM$1,10,5),TbTradesBinance[[#This Row],[Par]])),IF(FIND(MID(AM$1,10,5),TbTradesBinance[[#This Row],[Par]])=1, -(AL64-AL65)/AL64*AM64,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Row],[Par]])),(-(AL64-AL65)/AL64*AM64)+IF(TbTradesBinance[[#This Row],[Resultado]]&gt;0,0,TbTradesBinance[[#This Row],[Taxa]]),0),0))</f>
        <v>0</v>
      </c>
      <c r="AN65" s="145">
        <f t="shared" si="9"/>
        <v>0</v>
      </c>
      <c r="AO6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Row],[Tipo]]="DROP"),AO64+TbTradesBinance[[#This Row],[Qtt]],AO64-TbTradesBinance[[#This Row],[Qtt]]),IF(TbTradesBinance[[#This Row],[Tipo]]="BUY",AO64-TbTradesBinance[[#This Row],[Qtt]]*TbTradesBinance[[#This Row],[Preço]],AO64+TbTradesBinance[[#This Row],[Qtt]]*TbTradesBinance[[#This Row],[Preço]])),AO64)-IF(TbTradesBinance[[#This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Row],[Tipo]]="DROP"),AO64+TbTradesBinance[[#This Row],[Qtt]],AO64-TbTradesBinance[[#This Row],[Qtt]]),IF(TbTradesBinance[[#This Row],[Tipo]]="BUY",AO64-TbTradesBinance[[#This Row],[Qtt]]*TbTradesBinance[[#This Row],[Preço]],AO64+TbTradesBinance[[#This Row],[Qtt]]*TbTradesBinance[[#This Row],[Preço]])),AO64)-IF(TbTradesBinance[[#This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Row],[Tipo]]="DROP"),AO64+TbTradesBinance[[#This Row],[Qtt]],AO64-TbTradesBinance[[#This Row],[Qtt]]),IF(TbTradesBinance[[#This Row],[Tipo]]="BUY",AO64-TbTradesBinance[[#This Row],[Qtt]]*TbTradesBinance[[#This Row],[Preço]],AO64+TbTradesBinance[[#This Row],[Qtt]]*TbTradesBinance[[#This Row],[Preço]])),AO64)-IF(TbTradesBinance[[#This Row],[Moeda da Taxa]]=MID(AO$1,9,5),TbTradesBinance[[#This Row],[Taxa]],0),8)))</f>
        <v>2.6916900000000001E-3</v>
      </c>
      <c r="AP65" s="145" cm="1">
        <f t="array" ref="AP65">IF(TbTradesBinance[[#This Row],[Tipo]]="EMPTY",0,AP64+IF(TbTradesBinance[[#This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Row],[Par]]))),$1:$1,0)),-(AO64-AO65)/AO64*AP64),0),0)+IF(TbTradesBinance[[#This Row],[Tipo]]="SELL",IF(ISNUMBER(FIND(MID(AP$1,10,5),TbTradesBinance[[#This Row],[Par]])),IF(FIND(MID(AP$1,10,5),TbTradesBinance[[#This Row],[Par]])=1, -(AO64-AO65)/AO64*AP64,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Row],[Par]])),(-(AO64-AO65)/AO64*AP64)+IF(TbTradesBinance[[#This Row],[Resultado]]&gt;0,0,TbTradesBinance[[#This Row],[Taxa]]),0),0))</f>
        <v>5.1390914851146583</v>
      </c>
      <c r="AQ65" s="145">
        <f t="shared" si="10"/>
        <v>1909.2434437526827</v>
      </c>
      <c r="AR6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Row],[Tipo]]="DROP"),AR64+TbTradesBinance[[#This Row],[Qtt]],AR64-TbTradesBinance[[#This Row],[Qtt]]),IF(TbTradesBinance[[#This Row],[Tipo]]="BUY",AR64-TbTradesBinance[[#This Row],[Qtt]]*TbTradesBinance[[#This Row],[Preço]],AR64+TbTradesBinance[[#This Row],[Qtt]]*TbTradesBinance[[#This Row],[Preço]])),AR64)-IF(TbTradesBinance[[#This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Row],[Tipo]]="DROP"),AR64+TbTradesBinance[[#This Row],[Qtt]],AR64-TbTradesBinance[[#This Row],[Qtt]]),IF(TbTradesBinance[[#This Row],[Tipo]]="BUY",AR64-TbTradesBinance[[#This Row],[Qtt]]*TbTradesBinance[[#This Row],[Preço]],AR64+TbTradesBinance[[#This Row],[Qtt]]*TbTradesBinance[[#This Row],[Preço]])),AR64)-IF(TbTradesBinance[[#This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Row],[Tipo]]="DROP"),AR64+TbTradesBinance[[#This Row],[Qtt]],AR64-TbTradesBinance[[#This Row],[Qtt]]),IF(TbTradesBinance[[#This Row],[Tipo]]="BUY",AR64-TbTradesBinance[[#This Row],[Qtt]]*TbTradesBinance[[#This Row],[Preço]],AR64+TbTradesBinance[[#This Row],[Qtt]]*TbTradesBinance[[#This Row],[Preço]])),AR64)-IF(TbTradesBinance[[#This Row],[Moeda da Taxa]]=MID(AR$1,9,5),TbTradesBinance[[#This Row],[Taxa]],0),8)))</f>
        <v>0</v>
      </c>
      <c r="AS65" s="145" cm="1">
        <f t="array" ref="AS65">IF(TbTradesBinance[[#This Row],[Tipo]]="EMPTY",0,AS64+IF(TbTradesBinance[[#This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Row],[Par]]))),$1:$1,0)),-(AR64-AR65)/AR64*AS64),0),0)+IF(TbTradesBinance[[#This Row],[Tipo]]="SELL",IF(ISNUMBER(FIND(MID(AS$1,10,5),TbTradesBinance[[#This Row],[Par]])),IF(FIND(MID(AS$1,10,5),TbTradesBinance[[#This Row],[Par]])=1, -(AR64-AR65)/AR64*AS64,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Row],[Par]])),(-(AR64-AR65)/AR64*AS64)+IF(TbTradesBinance[[#This Row],[Resultado]]&gt;0,0,TbTradesBinance[[#This Row],[Taxa]]),0),0))</f>
        <v>0</v>
      </c>
      <c r="AT65" s="145">
        <f t="shared" si="11"/>
        <v>0</v>
      </c>
      <c r="AU6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Row],[Tipo]]="DROP"),AU64+TbTradesBinance[[#This Row],[Qtt]],AU64-TbTradesBinance[[#This Row],[Qtt]]),IF(TbTradesBinance[[#This Row],[Tipo]]="BUY",AU64-TbTradesBinance[[#This Row],[Qtt]]*TbTradesBinance[[#This Row],[Preço]],AU64+TbTradesBinance[[#This Row],[Qtt]]*TbTradesBinance[[#This Row],[Preço]])),AU64)-IF(TbTradesBinance[[#This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Row],[Tipo]]="DROP"),AU64+TbTradesBinance[[#This Row],[Qtt]],AU64-TbTradesBinance[[#This Row],[Qtt]]),IF(TbTradesBinance[[#This Row],[Tipo]]="BUY",AU64-TbTradesBinance[[#This Row],[Qtt]]*TbTradesBinance[[#This Row],[Preço]],AU64+TbTradesBinance[[#This Row],[Qtt]]*TbTradesBinance[[#This Row],[Preço]])),AU64)-IF(TbTradesBinance[[#This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Row],[Tipo]]="DROP"),AU64+TbTradesBinance[[#This Row],[Qtt]],AU64-TbTradesBinance[[#This Row],[Qtt]]),IF(TbTradesBinance[[#This Row],[Tipo]]="BUY",AU64-TbTradesBinance[[#This Row],[Qtt]]*TbTradesBinance[[#This Row],[Preço]],AU64+TbTradesBinance[[#This Row],[Qtt]]*TbTradesBinance[[#This Row],[Preço]])),AU64)-IF(TbTradesBinance[[#This Row],[Moeda da Taxa]]=MID(AU$1,9,5),TbTradesBinance[[#This Row],[Taxa]],0),8)))</f>
        <v>0.26989999999999997</v>
      </c>
      <c r="AV65" s="145" cm="1">
        <f t="array" ref="AV65">IF(TbTradesBinance[[#This Row],[Tipo]]="EMPTY",0,AV64+IF(TbTradesBinance[[#This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Row],[Par]]))),$1:$1,0)),-(AU64-AU65)/AU64*AV64),0),0)+IF(TbTradesBinance[[#This Row],[Tipo]]="SELL",IF(ISNUMBER(FIND(MID(AV$1,10,5),TbTradesBinance[[#This Row],[Par]])),IF(FIND(MID(AV$1,10,5),TbTradesBinance[[#This Row],[Par]])=1, -(AU64-AU65)/AU64*AV64,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Row],[Par]])),(-(AU64-AU65)/AU64*AV64)+IF(TbTradesBinance[[#This Row],[Resultado]]&gt;0,0,TbTradesBinance[[#This Row],[Taxa]]),0),0))</f>
        <v>56.09788062740806</v>
      </c>
      <c r="AW65" s="145">
        <f t="shared" si="12"/>
        <v>207.8469085861729</v>
      </c>
      <c r="AX6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Row],[Tipo]]="DROP"),AX64+TbTradesBinance[[#This Row],[Qtt]],AX64-TbTradesBinance[[#This Row],[Qtt]]),IF(TbTradesBinance[[#This Row],[Tipo]]="BUY",AX64-TbTradesBinance[[#This Row],[Qtt]]*TbTradesBinance[[#This Row],[Preço]],AX64+TbTradesBinance[[#This Row],[Qtt]]*TbTradesBinance[[#This Row],[Preço]])),AX64)-IF(TbTradesBinance[[#This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Row],[Tipo]]="DROP"),AX64+TbTradesBinance[[#This Row],[Qtt]],AX64-TbTradesBinance[[#This Row],[Qtt]]),IF(TbTradesBinance[[#This Row],[Tipo]]="BUY",AX64-TbTradesBinance[[#This Row],[Qtt]]*TbTradesBinance[[#This Row],[Preço]],AX64+TbTradesBinance[[#This Row],[Qtt]]*TbTradesBinance[[#This Row],[Preço]])),AX64)-IF(TbTradesBinance[[#This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Row],[Tipo]]="DROP"),AX64+TbTradesBinance[[#This Row],[Qtt]],AX64-TbTradesBinance[[#This Row],[Qtt]]),IF(TbTradesBinance[[#This Row],[Tipo]]="BUY",AX64-TbTradesBinance[[#This Row],[Qtt]]*TbTradesBinance[[#This Row],[Preço]],AX64+TbTradesBinance[[#This Row],[Qtt]]*TbTradesBinance[[#This Row],[Preço]])),AX64)-IF(TbTradesBinance[[#This Row],[Moeda da Taxa]]=MID(AX$1,9,5),TbTradesBinance[[#This Row],[Taxa]],0),8)))</f>
        <v>0.22636999999999999</v>
      </c>
      <c r="AY65" s="145" cm="1">
        <f t="array" ref="AY65">IF(TbTradesBinance[[#This Row],[Tipo]]="EMPTY",0,AY64+IF(TbTradesBinance[[#This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Row],[Par]]))),$1:$1,0)),-(AX64-AX65)/AX64*AY64),0),0)+IF(TbTradesBinance[[#This Row],[Tipo]]="SELL",IF(ISNUMBER(FIND(MID(AY$1,10,5),TbTradesBinance[[#This Row],[Par]])),IF(FIND(MID(AY$1,10,5),TbTradesBinance[[#This Row],[Par]])=1, -(AX64-AX65)/AX64*AY64,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Row],[Par]])),(-(AX64-AX65)/AX64*AY64)+IF(TbTradesBinance[[#This Row],[Resultado]]&gt;0,0,TbTradesBinance[[#This Row],[Taxa]]),0),0))</f>
        <v>40.781337593356859</v>
      </c>
      <c r="AZ65" s="145">
        <f t="shared" si="13"/>
        <v>180.15345493376711</v>
      </c>
      <c r="BA6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Row],[Tipo]]="DROP"),BA64+TbTradesBinance[[#This Row],[Qtt]],BA64-TbTradesBinance[[#This Row],[Qtt]]),IF(TbTradesBinance[[#This Row],[Tipo]]="BUY",BA64-TbTradesBinance[[#This Row],[Qtt]]*TbTradesBinance[[#This Row],[Preço]],BA64+TbTradesBinance[[#This Row],[Qtt]]*TbTradesBinance[[#This Row],[Preço]])),BA64)-IF(TbTradesBinance[[#This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Row],[Tipo]]="DROP"),BA64+TbTradesBinance[[#This Row],[Qtt]],BA64-TbTradesBinance[[#This Row],[Qtt]]),IF(TbTradesBinance[[#This Row],[Tipo]]="BUY",BA64-TbTradesBinance[[#This Row],[Qtt]]*TbTradesBinance[[#This Row],[Preço]],BA64+TbTradesBinance[[#This Row],[Qtt]]*TbTradesBinance[[#This Row],[Preço]])),BA64)-IF(TbTradesBinance[[#This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Row],[Tipo]]="DROP"),BA64+TbTradesBinance[[#This Row],[Qtt]],BA64-TbTradesBinance[[#This Row],[Qtt]]),IF(TbTradesBinance[[#This Row],[Tipo]]="BUY",BA64-TbTradesBinance[[#This Row],[Qtt]]*TbTradesBinance[[#This Row],[Preço]],BA64+TbTradesBinance[[#This Row],[Qtt]]*TbTradesBinance[[#This Row],[Preço]])),BA64)-IF(TbTradesBinance[[#This Row],[Moeda da Taxa]]=MID(BA$1,9,5),TbTradesBinance[[#This Row],[Taxa]],0),8)))</f>
        <v>0</v>
      </c>
      <c r="BB65" s="145" cm="1">
        <f t="array" ref="BB65">IF(TbTradesBinance[[#This Row],[Tipo]]="EMPTY",0,BB64+IF(TbTradesBinance[[#This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Row],[Par]]))),$1:$1,0)),-(BA64-BA65)/BA64*BB64),0),0)+IF(TbTradesBinance[[#This Row],[Tipo]]="SELL",IF(ISNUMBER(FIND(MID(BB$1,10,5),TbTradesBinance[[#This Row],[Par]])),IF(FIND(MID(BB$1,10,5),TbTradesBinance[[#This Row],[Par]])=1, -(BA64-BA65)/BA64*BB64,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Row],[Par]])),(-(BA64-BA65)/BA64*BB64)+IF(TbTradesBinance[[#This Row],[Resultado]]&gt;0,0,TbTradesBinance[[#This Row],[Taxa]]),0),0))</f>
        <v>0</v>
      </c>
      <c r="BC65" s="145">
        <f t="shared" si="14"/>
        <v>0</v>
      </c>
      <c r="BD6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Row],[Tipo]]="DROP"),BD64+TbTradesBinance[[#This Row],[Qtt]],BD64-TbTradesBinance[[#This Row],[Qtt]]),IF(TbTradesBinance[[#This Row],[Tipo]]="BUY",BD64-TbTradesBinance[[#This Row],[Qtt]]*TbTradesBinance[[#This Row],[Preço]],BD64+TbTradesBinance[[#This Row],[Qtt]]*TbTradesBinance[[#This Row],[Preço]])),BD64)-IF(TbTradesBinance[[#This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Row],[Tipo]]="DROP"),BD64+TbTradesBinance[[#This Row],[Qtt]],BD64-TbTradesBinance[[#This Row],[Qtt]]),IF(TbTradesBinance[[#This Row],[Tipo]]="BUY",BD64-TbTradesBinance[[#This Row],[Qtt]]*TbTradesBinance[[#This Row],[Preço]],BD64+TbTradesBinance[[#This Row],[Qtt]]*TbTradesBinance[[#This Row],[Preço]])),BD64)-IF(TbTradesBinance[[#This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Row],[Tipo]]="DROP"),BD64+TbTradesBinance[[#This Row],[Qtt]],BD64-TbTradesBinance[[#This Row],[Qtt]]),IF(TbTradesBinance[[#This Row],[Tipo]]="BUY",BD64-TbTradesBinance[[#This Row],[Qtt]]*TbTradesBinance[[#This Row],[Preço]],BD64+TbTradesBinance[[#This Row],[Qtt]]*TbTradesBinance[[#This Row],[Preço]])),BD64)-IF(TbTradesBinance[[#This Row],[Moeda da Taxa]]=MID(BD$1,9,5),TbTradesBinance[[#This Row],[Taxa]],0),8)))</f>
        <v>0.37962000000000001</v>
      </c>
      <c r="BE65" s="145" cm="1">
        <f t="array" ref="BE65">IF(TbTradesBinance[[#This Row],[Tipo]]="EMPTY",0,BE64+IF(TbTradesBinance[[#This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Row],[Par]]))),$1:$1,0)),-(BD64-BD65)/BD64*BE64),0),0)+IF(TbTradesBinance[[#This Row],[Tipo]]="SELL",IF(ISNUMBER(FIND(MID(BE$1,10,5),TbTradesBinance[[#This Row],[Par]])),IF(FIND(MID(BE$1,10,5),TbTradesBinance[[#This Row],[Par]])=1, -(BD64-BD65)/BD64*BE64,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Row],[Par]])),(-(BD64-BD65)/BD64*BE64)+IF(TbTradesBinance[[#This Row],[Resultado]]&gt;0,0,TbTradesBinance[[#This Row],[Taxa]]),0),0))</f>
        <v>63.647297001537943</v>
      </c>
      <c r="BF65" s="145">
        <f t="shared" si="15"/>
        <v>167.66054739354601</v>
      </c>
      <c r="BG6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Row],[Tipo]]="DROP"),BG64+TbTradesBinance[[#This Row],[Qtt]],BG64-TbTradesBinance[[#This Row],[Qtt]]),IF(TbTradesBinance[[#This Row],[Tipo]]="BUY",BG64-TbTradesBinance[[#This Row],[Qtt]]*TbTradesBinance[[#This Row],[Preço]],BG64+TbTradesBinance[[#This Row],[Qtt]]*TbTradesBinance[[#This Row],[Preço]])),BG64)-IF(TbTradesBinance[[#This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Row],[Tipo]]="DROP"),BG64+TbTradesBinance[[#This Row],[Qtt]],BG64-TbTradesBinance[[#This Row],[Qtt]]),IF(TbTradesBinance[[#This Row],[Tipo]]="BUY",BG64-TbTradesBinance[[#This Row],[Qtt]]*TbTradesBinance[[#This Row],[Preço]],BG64+TbTradesBinance[[#This Row],[Qtt]]*TbTradesBinance[[#This Row],[Preço]])),BG64)-IF(TbTradesBinance[[#This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Row],[Tipo]]="DROP"),BG64+TbTradesBinance[[#This Row],[Qtt]],BG64-TbTradesBinance[[#This Row],[Qtt]]),IF(TbTradesBinance[[#This Row],[Tipo]]="BUY",BG64-TbTradesBinance[[#This Row],[Qtt]]*TbTradesBinance[[#This Row],[Preço]],BG64+TbTradesBinance[[#This Row],[Qtt]]*TbTradesBinance[[#This Row],[Preço]])),BG64)-IF(TbTradesBinance[[#This Row],[Moeda da Taxa]]=MID(BG$1,9,5),TbTradesBinance[[#This Row],[Taxa]],0),8)))</f>
        <v>0</v>
      </c>
      <c r="BH65" s="145" cm="1">
        <f t="array" ref="BH65">IF(TbTradesBinance[[#This Row],[Tipo]]="EMPTY",0,BH64+IF(TbTradesBinance[[#This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Row],[Par]]))),$1:$1,0)),-(BG64-BG65)/BG64*BH64),0),0)+IF(TbTradesBinance[[#This Row],[Tipo]]="SELL",IF(ISNUMBER(FIND(MID(BH$1,10,5),TbTradesBinance[[#This Row],[Par]])),IF(FIND(MID(BH$1,10,5),TbTradesBinance[[#This Row],[Par]])=1, -(BG64-BG65)/BG64*BH64,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Row],[Par]])),(-(BG64-BG65)/BG64*BH64)+IF(TbTradesBinance[[#This Row],[Resultado]]&gt;0,0,TbTradesBinance[[#This Row],[Taxa]]),0),0))</f>
        <v>0</v>
      </c>
      <c r="BI65" s="145">
        <f t="shared" si="16"/>
        <v>0</v>
      </c>
      <c r="BJ6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Row],[Tipo]]="DROP"),BJ64+TbTradesBinance[[#This Row],[Qtt]],BJ64-TbTradesBinance[[#This Row],[Qtt]]),IF(TbTradesBinance[[#This Row],[Tipo]]="BUY",BJ64-TbTradesBinance[[#This Row],[Qtt]]*TbTradesBinance[[#This Row],[Preço]],BJ64+TbTradesBinance[[#This Row],[Qtt]]*TbTradesBinance[[#This Row],[Preço]])),BJ64)-IF(TbTradesBinance[[#This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Row],[Tipo]]="DROP"),BJ64+TbTradesBinance[[#This Row],[Qtt]],BJ64-TbTradesBinance[[#This Row],[Qtt]]),IF(TbTradesBinance[[#This Row],[Tipo]]="BUY",BJ64-TbTradesBinance[[#This Row],[Qtt]]*TbTradesBinance[[#This Row],[Preço]],BJ64+TbTradesBinance[[#This Row],[Qtt]]*TbTradesBinance[[#This Row],[Preço]])),BJ64)-IF(TbTradesBinance[[#This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Row],[Tipo]]="DROP"),BJ64+TbTradesBinance[[#This Row],[Qtt]],BJ64-TbTradesBinance[[#This Row],[Qtt]]),IF(TbTradesBinance[[#This Row],[Tipo]]="BUY",BJ64-TbTradesBinance[[#This Row],[Qtt]]*TbTradesBinance[[#This Row],[Preço]],BJ64+TbTradesBinance[[#This Row],[Qtt]]*TbTradesBinance[[#This Row],[Preço]])),BJ64)-IF(TbTradesBinance[[#This Row],[Moeda da Taxa]]=MID(BJ$1,9,5),TbTradesBinance[[#This Row],[Taxa]],0),8)))</f>
        <v>0</v>
      </c>
      <c r="BK65" s="145" cm="1">
        <f t="array" ref="BK65">IF(TbTradesBinance[[#This Row],[Tipo]]="EMPTY",0,BK64+IF(TbTradesBinance[[#This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Row],[Par]]))),$1:$1,0)),-(BJ64-BJ65)/BJ64*BK64),0),0)+IF(TbTradesBinance[[#This Row],[Tipo]]="SELL",IF(ISNUMBER(FIND(MID(BK$1,10,5),TbTradesBinance[[#This Row],[Par]])),IF(FIND(MID(BK$1,10,5),TbTradesBinance[[#This Row],[Par]])=1, -(BJ64-BJ65)/BJ64*BK64,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Row],[Par]])),(-(BJ64-BJ65)/BJ64*BK64)+IF(TbTradesBinance[[#This Row],[Resultado]]&gt;0,0,TbTradesBinance[[#This Row],[Taxa]]),0),0))</f>
        <v>0</v>
      </c>
      <c r="BL65" s="145">
        <f t="shared" si="17"/>
        <v>0</v>
      </c>
      <c r="BM6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Row],[Tipo]]="DROP"),BM64+TbTradesBinance[[#This Row],[Qtt]],BM64-TbTradesBinance[[#This Row],[Qtt]]),IF(TbTradesBinance[[#This Row],[Tipo]]="BUY",BM64-TbTradesBinance[[#This Row],[Qtt]]*TbTradesBinance[[#This Row],[Preço]],BM64+TbTradesBinance[[#This Row],[Qtt]]*TbTradesBinance[[#This Row],[Preço]])),BM64)-IF(TbTradesBinance[[#This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Row],[Tipo]]="DROP"),BM64+TbTradesBinance[[#This Row],[Qtt]],BM64-TbTradesBinance[[#This Row],[Qtt]]),IF(TbTradesBinance[[#This Row],[Tipo]]="BUY",BM64-TbTradesBinance[[#This Row],[Qtt]]*TbTradesBinance[[#This Row],[Preço]],BM64+TbTradesBinance[[#This Row],[Qtt]]*TbTradesBinance[[#This Row],[Preço]])),BM64)-IF(TbTradesBinance[[#This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Row],[Tipo]]="DROP"),BM64+TbTradesBinance[[#This Row],[Qtt]],BM64-TbTradesBinance[[#This Row],[Qtt]]),IF(TbTradesBinance[[#This Row],[Tipo]]="BUY",BM64-TbTradesBinance[[#This Row],[Qtt]]*TbTradesBinance[[#This Row],[Preço]],BM64+TbTradesBinance[[#This Row],[Qtt]]*TbTradesBinance[[#This Row],[Preço]])),BM64)-IF(TbTradesBinance[[#This Row],[Moeda da Taxa]]=MID(BM$1,9,5),TbTradesBinance[[#This Row],[Taxa]],0),8)))</f>
        <v>0</v>
      </c>
      <c r="BN65" s="145" cm="1">
        <f t="array" ref="BN65">IF(TbTradesBinance[[#This Row],[Tipo]]="EMPTY",0,BN64+IF(TbTradesBinance[[#This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Row],[Par]]))),$1:$1,0)),-(BM64-BM65)/BM64*BN64),0),0)+IF(TbTradesBinance[[#This Row],[Tipo]]="SELL",IF(ISNUMBER(FIND(MID(BN$1,10,5),TbTradesBinance[[#This Row],[Par]])),IF(FIND(MID(BN$1,10,5),TbTradesBinance[[#This Row],[Par]])=1, -(BM64-BM65)/BM64*BN64,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Row],[Par]])),(-(BM64-BM65)/BM64*BN64)+IF(TbTradesBinance[[#This Row],[Resultado]]&gt;0,0,TbTradesBinance[[#This Row],[Taxa]]),0),0))</f>
        <v>0</v>
      </c>
      <c r="BO65" s="145">
        <f t="shared" si="18"/>
        <v>0</v>
      </c>
    </row>
    <row r="66" spans="2:67" x14ac:dyDescent="0.3">
      <c r="B66" s="51"/>
      <c r="C66" s="40">
        <f>TRUNC(IF(AND(TbTradesBinance[[#This Row],[Tipo]]="SEND",TbTradesBinance[[#This Row],[Par]]="BRL"),TbTradesBinance[[#This Row],[Qtt]]*(1-P64)-IF(TbTradesBinance[[#This Row],[Moeda da Taxa]]="BRL",TbTradesBinance[[#This Row],[Taxa]],0),0)+IF(AND(TbTradesBinance[[#This Row],[Tipo]]="BURN",TbTradesBinance[[#This Row],[Par]]="BRL"),-TbTradesBinance[[#This Row],[Qtt]]*P64,0),2)</f>
        <v>0</v>
      </c>
      <c r="D66" s="53">
        <v>44264.894513888888</v>
      </c>
      <c r="E66" s="37" t="s">
        <v>250</v>
      </c>
      <c r="F66" s="47" t="s">
        <v>139</v>
      </c>
      <c r="G66" s="38">
        <v>14.9558</v>
      </c>
      <c r="H66" s="38">
        <v>1.76</v>
      </c>
      <c r="I66" s="38">
        <v>1.7600000000000001E-3</v>
      </c>
      <c r="J66" s="37" t="s">
        <v>59</v>
      </c>
      <c r="K66" s="52">
        <v>5.6529999999999996</v>
      </c>
      <c r="L66" s="40">
        <f t="shared" ref="L66:L129" si="19">TRUNC(K66*G66,2)</f>
        <v>84.54</v>
      </c>
      <c r="M66" s="40">
        <f>IF(OR(TbTradesBinance[[#This Row],[Tipo]]="BUY",TbTradesBinance[[#This Row],[Tipo]]="RECEIVE",TbTradesBinance[[#This Row],[Tipo]]="DROP"),L66*H66,-L66*H66)</f>
        <v>148.79040000000001</v>
      </c>
      <c r="N6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Row],[Tipo]]="DROP"),N65+TbTradesBinance[[#This Row],[Qtt]],N65-TbTradesBinance[[#This Row],[Qtt]]),IF(TbTradesBinance[[#This Row],[Tipo]]="BUY",N65-TbTradesBinance[[#This Row],[Qtt]]*TbTradesBinance[[#This Row],[Preço]],N65+TbTradesBinance[[#This Row],[Qtt]]*TbTradesBinance[[#This Row],[Preço]])),N65)-IF(TbTradesBinance[[#This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Row],[Tipo]]="DROP"),N65+TbTradesBinance[[#This Row],[Qtt]],N65-TbTradesBinance[[#This Row],[Qtt]]),IF(TbTradesBinance[[#This Row],[Tipo]]="BUY",N65-TbTradesBinance[[#This Row],[Qtt]]*TbTradesBinance[[#This Row],[Preço]],N65+TbTradesBinance[[#This Row],[Qtt]]*TbTradesBinance[[#This Row],[Preço]])),N65)-IF(TbTradesBinance[[#This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Row],[Tipo]]="DROP"),N65+TbTradesBinance[[#This Row],[Qtt]],N65-TbTradesBinance[[#This Row],[Qtt]]),IF(TbTradesBinance[[#This Row],[Tipo]]="BUY",N65-TbTradesBinance[[#This Row],[Qtt]]*TbTradesBinance[[#This Row],[Preço]],N65+TbTradesBinance[[#This Row],[Qtt]]*TbTradesBinance[[#This Row],[Preço]])),N65)-IF(TbTradesBinance[[#This Row],[Moeda da Taxa]]=MID(N$1,9,5),TbTradesBinance[[#This Row],[Taxa]],0),8)))</f>
        <v>119745.41999999</v>
      </c>
      <c r="O66" s="145" cm="1">
        <f t="array" ref="O66">IF(TbTradesBinance[[#This Row],[Tipo]]="EMPTY",0,O65+IF(TbTradesBinance[[#This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Row],[Par]]))),$1:$1,0)),-(N65-N66)/N65*O65),0),0)+IF(TbTradesBinance[[#This Row],[Tipo]]="SELL",IF(ISNUMBER(FIND(MID(O$1,10,5),TbTradesBinance[[#This Row],[Par]])),IF(FIND(MID(O$1,10,5),TbTradesBinance[[#This Row],[Par]])=1, -(N65-N66)/N65*O65,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Row],[Par]])),(-(N65-N66)/N65*O65)+IF(TbTradesBinance[[#This Row],[Resultado]]&gt;0,0,TbTradesBinance[[#This Row],[Taxa]]),0),0))</f>
        <v>119648.09276482929</v>
      </c>
      <c r="P66" s="145">
        <f t="shared" ref="P66:P129" si="20">IF(N66=0,0,O66/N66)</f>
        <v>0.999187215384432</v>
      </c>
      <c r="Q6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Row],[Tipo]]="DROP"),Q65+TbTradesBinance[[#This Row],[Qtt]],Q65-TbTradesBinance[[#This Row],[Qtt]]),IF(TbTradesBinance[[#This Row],[Tipo]]="BUY",Q65-TbTradesBinance[[#This Row],[Qtt]]*TbTradesBinance[[#This Row],[Preço]],Q65+TbTradesBinance[[#This Row],[Qtt]]*TbTradesBinance[[#This Row],[Preço]])),Q65)-IF(TbTradesBinance[[#This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Row],[Tipo]]="DROP"),Q65+TbTradesBinance[[#This Row],[Qtt]],Q65-TbTradesBinance[[#This Row],[Qtt]]),IF(TbTradesBinance[[#This Row],[Tipo]]="BUY",Q65-TbTradesBinance[[#This Row],[Qtt]]*TbTradesBinance[[#This Row],[Preço]],Q65+TbTradesBinance[[#This Row],[Qtt]]*TbTradesBinance[[#This Row],[Preço]])),Q65)-IF(TbTradesBinance[[#This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Row],[Tipo]]="DROP"),Q65+TbTradesBinance[[#This Row],[Qtt]],Q65-TbTradesBinance[[#This Row],[Qtt]]),IF(TbTradesBinance[[#This Row],[Tipo]]="BUY",Q65-TbTradesBinance[[#This Row],[Qtt]]*TbTradesBinance[[#This Row],[Preço]],Q65+TbTradesBinance[[#This Row],[Qtt]]*TbTradesBinance[[#This Row],[Preço]])),Q65)-IF(TbTradesBinance[[#This Row],[Moeda da Taxa]]=MID(Q$1,9,5),TbTradesBinance[[#This Row],[Taxa]],0),8)))</f>
        <v>0.29005796</v>
      </c>
      <c r="R66" s="145" cm="1">
        <f t="array" ref="R66">IF(TbTradesBinance[[#This Row],[Tipo]]="EMPTY",0,R65+IF(TbTradesBinance[[#This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Row],[Par]]))),$1:$1,0)),-(Q65-Q66)/Q65*R65),0),0)+IF(TbTradesBinance[[#This Row],[Tipo]]="SELL",IF(ISNUMBER(FIND(MID(R$1,10,5),TbTradesBinance[[#This Row],[Par]])),IF(FIND(MID(R$1,10,5),TbTradesBinance[[#This Row],[Par]])=1, -(Q65-Q66)/Q65*R65,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Row],[Par]])),(-(Q65-Q66)/Q65*R65)+IF(TbTradesBinance[[#This Row],[Resultado]]&gt;0,0,TbTradesBinance[[#This Row],[Taxa]]),0),0))</f>
        <v>1.5930510813161334</v>
      </c>
      <c r="S66" s="145">
        <f t="shared" ref="S66:S129" si="21">IF(Q66=0,0,R66/Q66)</f>
        <v>5.4921819119052389</v>
      </c>
      <c r="T6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Row],[Tipo]]="DROP"),T65+TbTradesBinance[[#This Row],[Qtt]],T65-TbTradesBinance[[#This Row],[Qtt]]),IF(TbTradesBinance[[#This Row],[Tipo]]="BUY",T65-TbTradesBinance[[#This Row],[Qtt]]*TbTradesBinance[[#This Row],[Preço]],T65+TbTradesBinance[[#This Row],[Qtt]]*TbTradesBinance[[#This Row],[Preço]])),T65)-IF(TbTradesBinance[[#This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Row],[Tipo]]="DROP"),T65+TbTradesBinance[[#This Row],[Qtt]],T65-TbTradesBinance[[#This Row],[Qtt]]),IF(TbTradesBinance[[#This Row],[Tipo]]="BUY",T65-TbTradesBinance[[#This Row],[Qtt]]*TbTradesBinance[[#This Row],[Preço]],T65+TbTradesBinance[[#This Row],[Qtt]]*TbTradesBinance[[#This Row],[Preço]])),T65)-IF(TbTradesBinance[[#This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Row],[Tipo]]="DROP"),T65+TbTradesBinance[[#This Row],[Qtt]],T65-TbTradesBinance[[#This Row],[Qtt]]),IF(TbTradesBinance[[#This Row],[Tipo]]="BUY",T65-TbTradesBinance[[#This Row],[Qtt]]*TbTradesBinance[[#This Row],[Preço]],T65+TbTradesBinance[[#This Row],[Qtt]]*TbTradesBinance[[#This Row],[Preço]])),T65)-IF(TbTradesBinance[[#This Row],[Moeda da Taxa]]=MID(T$1,9,5),TbTradesBinance[[#This Row],[Taxa]],0),8)))</f>
        <v>199735.32000169999</v>
      </c>
      <c r="U66" s="145" cm="1">
        <f t="array" ref="U66">IF(TbTradesBinance[[#This Row],[Tipo]]="EMPTY",0,U65+IF(TbTradesBinance[[#This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Row],[Par]]))),$1:$1,0)),-(T65-T66)/T65*U65),0),0)+IF(TbTradesBinance[[#This Row],[Tipo]]="SELL",IF(ISNUMBER(FIND(MID(U$1,10,5),TbTradesBinance[[#This Row],[Par]])),IF(FIND(MID(U$1,10,5),TbTradesBinance[[#This Row],[Par]])=1, -(T65-T66)/T65*U65,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Row],[Par]])),(-(T65-T66)/T65*U65)+IF(TbTradesBinance[[#This Row],[Resultado]]&gt;0,0,TbTradesBinance[[#This Row],[Taxa]]),0),0))</f>
        <v>1328239.8809817513</v>
      </c>
      <c r="V66" s="145">
        <f t="shared" ref="V66:V129" si="22">IF(T66=0,0,U66/T66)</f>
        <v>6.6500000148719129</v>
      </c>
      <c r="W6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Row],[Tipo]]="DROP"),W65+TbTradesBinance[[#This Row],[Qtt]],W65-TbTradesBinance[[#This Row],[Qtt]]),IF(TbTradesBinance[[#This Row],[Tipo]]="BUY",W65-TbTradesBinance[[#This Row],[Qtt]]*TbTradesBinance[[#This Row],[Preço]],W65+TbTradesBinance[[#This Row],[Qtt]]*TbTradesBinance[[#This Row],[Preço]])),W65)-IF(TbTradesBinance[[#This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Row],[Tipo]]="DROP"),W65+TbTradesBinance[[#This Row],[Qtt]],W65-TbTradesBinance[[#This Row],[Qtt]]),IF(TbTradesBinance[[#This Row],[Tipo]]="BUY",W65-TbTradesBinance[[#This Row],[Qtt]]*TbTradesBinance[[#This Row],[Preço]],W65+TbTradesBinance[[#This Row],[Qtt]]*TbTradesBinance[[#This Row],[Preço]])),W65)-IF(TbTradesBinance[[#This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Row],[Tipo]]="DROP"),W65+TbTradesBinance[[#This Row],[Qtt]],W65-TbTradesBinance[[#This Row],[Qtt]]),IF(TbTradesBinance[[#This Row],[Tipo]]="BUY",W65-TbTradesBinance[[#This Row],[Qtt]]*TbTradesBinance[[#This Row],[Preço]],W65+TbTradesBinance[[#This Row],[Qtt]]*TbTradesBinance[[#This Row],[Preço]])),W65)-IF(TbTradesBinance[[#This Row],[Moeda da Taxa]]=MID(W$1,9,5),TbTradesBinance[[#This Row],[Taxa]],0),8)))</f>
        <v>4.9072999999999999E-4</v>
      </c>
      <c r="X66" s="145" cm="1">
        <f t="array" ref="X66">IF(TbTradesBinance[[#This Row],[Tipo]]="EMPTY",0,X65+IF(TbTradesBinance[[#This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Row],[Par]]))),$1:$1,0)),-(W65-W66)/W65*X65),0),0)+IF(TbTradesBinance[[#This Row],[Tipo]]="SELL",IF(ISNUMBER(FIND(MID(X$1,10,5),TbTradesBinance[[#This Row],[Par]])),IF(FIND(MID(X$1,10,5),TbTradesBinance[[#This Row],[Par]])=1, -(W65-W66)/W65*X65,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Row],[Par]])),(-(W65-W66)/W65*X65)+IF(TbTradesBinance[[#This Row],[Resultado]]&gt;0,0,TbTradesBinance[[#This Row],[Taxa]]),0),0))</f>
        <v>147.27886079240517</v>
      </c>
      <c r="Y66" s="145">
        <f t="shared" ref="Y66:Y129" si="23">IF(W66=0,0,X66/W66)</f>
        <v>300121.98315245687</v>
      </c>
      <c r="Z6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Row],[Tipo]]="DROP"),Z65+TbTradesBinance[[#This Row],[Qtt]],Z65-TbTradesBinance[[#This Row],[Qtt]]),IF(TbTradesBinance[[#This Row],[Tipo]]="BUY",Z65-TbTradesBinance[[#This Row],[Qtt]]*TbTradesBinance[[#This Row],[Preço]],Z65+TbTradesBinance[[#This Row],[Qtt]]*TbTradesBinance[[#This Row],[Preço]])),Z65)-IF(TbTradesBinance[[#This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Row],[Tipo]]="DROP"),Z65+TbTradesBinance[[#This Row],[Qtt]],Z65-TbTradesBinance[[#This Row],[Qtt]]),IF(TbTradesBinance[[#This Row],[Tipo]]="BUY",Z65-TbTradesBinance[[#This Row],[Qtt]]*TbTradesBinance[[#This Row],[Preço]],Z65+TbTradesBinance[[#This Row],[Qtt]]*TbTradesBinance[[#This Row],[Preço]])),Z65)-IF(TbTradesBinance[[#This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Row],[Tipo]]="DROP"),Z65+TbTradesBinance[[#This Row],[Qtt]],Z65-TbTradesBinance[[#This Row],[Qtt]]),IF(TbTradesBinance[[#This Row],[Tipo]]="BUY",Z65-TbTradesBinance[[#This Row],[Qtt]]*TbTradesBinance[[#This Row],[Preço]],Z65+TbTradesBinance[[#This Row],[Qtt]]*TbTradesBinance[[#This Row],[Preço]])),Z65)-IF(TbTradesBinance[[#This Row],[Moeda da Taxa]]=MID(Z$1,9,5),TbTradesBinance[[#This Row],[Taxa]],0),8)))</f>
        <v>0</v>
      </c>
      <c r="AA66" s="145" cm="1">
        <f t="array" ref="AA66">IF(TbTradesBinance[[#This Row],[Tipo]]="EMPTY",0,AA65+IF(TbTradesBinance[[#This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Row],[Par]]))),$1:$1,0)),-(Z65-Z66)/Z65*AA65),0),0)+IF(TbTradesBinance[[#This Row],[Tipo]]="SELL",IF(ISNUMBER(FIND(MID(AA$1,10,5),TbTradesBinance[[#This Row],[Par]])),IF(FIND(MID(AA$1,10,5),TbTradesBinance[[#This Row],[Par]])=1, -(Z65-Z66)/Z65*AA65,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Row],[Par]])),(-(Z65-Z66)/Z65*AA65)+IF(TbTradesBinance[[#This Row],[Resultado]]&gt;0,0,TbTradesBinance[[#This Row],[Taxa]]),0),0))</f>
        <v>0</v>
      </c>
      <c r="AB66" s="145">
        <f t="shared" ref="AB66:AB129" si="24">IF(Z66=0,0,AA66/Z66)</f>
        <v>0</v>
      </c>
      <c r="AC6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Row],[Tipo]]="DROP"),AC65+TbTradesBinance[[#This Row],[Qtt]],AC65-TbTradesBinance[[#This Row],[Qtt]]),IF(TbTradesBinance[[#This Row],[Tipo]]="BUY",AC65-TbTradesBinance[[#This Row],[Qtt]]*TbTradesBinance[[#This Row],[Preço]],AC65+TbTradesBinance[[#This Row],[Qtt]]*TbTradesBinance[[#This Row],[Preço]])),AC65)-IF(TbTradesBinance[[#This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Row],[Tipo]]="DROP"),AC65+TbTradesBinance[[#This Row],[Qtt]],AC65-TbTradesBinance[[#This Row],[Qtt]]),IF(TbTradesBinance[[#This Row],[Tipo]]="BUY",AC65-TbTradesBinance[[#This Row],[Qtt]]*TbTradesBinance[[#This Row],[Preço]],AC65+TbTradesBinance[[#This Row],[Qtt]]*TbTradesBinance[[#This Row],[Preço]])),AC65)-IF(TbTradesBinance[[#This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Row],[Tipo]]="DROP"),AC65+TbTradesBinance[[#This Row],[Qtt]],AC65-TbTradesBinance[[#This Row],[Qtt]]),IF(TbTradesBinance[[#This Row],[Tipo]]="BUY",AC65-TbTradesBinance[[#This Row],[Qtt]]*TbTradesBinance[[#This Row],[Preço]],AC65+TbTradesBinance[[#This Row],[Qtt]]*TbTradesBinance[[#This Row],[Preço]])),AC65)-IF(TbTradesBinance[[#This Row],[Moeda da Taxa]]=MID(AC$1,9,5),TbTradesBinance[[#This Row],[Taxa]],0),8)))</f>
        <v>0</v>
      </c>
      <c r="AD66" s="145" cm="1">
        <f t="array" ref="AD66">IF(TbTradesBinance[[#This Row],[Tipo]]="EMPTY",0,AD65+IF(TbTradesBinance[[#This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Row],[Par]]))),$1:$1,0)),-(AC65-AC66)/AC65*AD65),0),0)+IF(TbTradesBinance[[#This Row],[Tipo]]="SELL",IF(ISNUMBER(FIND(MID(AD$1,10,5),TbTradesBinance[[#This Row],[Par]])),IF(FIND(MID(AD$1,10,5),TbTradesBinance[[#This Row],[Par]])=1, -(AC65-AC66)/AC65*AD65,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Row],[Par]])),(-(AC65-AC66)/AC65*AD65)+IF(TbTradesBinance[[#This Row],[Resultado]]&gt;0,0,TbTradesBinance[[#This Row],[Taxa]]),0),0))</f>
        <v>0</v>
      </c>
      <c r="AE66" s="145">
        <f t="shared" ref="AE66:AE129" si="25">IF(AC66=0,0,AD66/AC66)</f>
        <v>0</v>
      </c>
      <c r="AF6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Row],[Tipo]]="DROP"),AF65+TbTradesBinance[[#This Row],[Qtt]],AF65-TbTradesBinance[[#This Row],[Qtt]]),IF(TbTradesBinance[[#This Row],[Tipo]]="BUY",AF65-TbTradesBinance[[#This Row],[Qtt]]*TbTradesBinance[[#This Row],[Preço]],AF65+TbTradesBinance[[#This Row],[Qtt]]*TbTradesBinance[[#This Row],[Preço]])),AF65)-IF(TbTradesBinance[[#This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Row],[Tipo]]="DROP"),AF65+TbTradesBinance[[#This Row],[Qtt]],AF65-TbTradesBinance[[#This Row],[Qtt]]),IF(TbTradesBinance[[#This Row],[Tipo]]="BUY",AF65-TbTradesBinance[[#This Row],[Qtt]]*TbTradesBinance[[#This Row],[Preço]],AF65+TbTradesBinance[[#This Row],[Qtt]]*TbTradesBinance[[#This Row],[Preço]])),AF65)-IF(TbTradesBinance[[#This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Row],[Tipo]]="DROP"),AF65+TbTradesBinance[[#This Row],[Qtt]],AF65-TbTradesBinance[[#This Row],[Qtt]]),IF(TbTradesBinance[[#This Row],[Tipo]]="BUY",AF65-TbTradesBinance[[#This Row],[Qtt]]*TbTradesBinance[[#This Row],[Preço]],AF65+TbTradesBinance[[#This Row],[Qtt]]*TbTradesBinance[[#This Row],[Preço]])),AF65)-IF(TbTradesBinance[[#This Row],[Moeda da Taxa]]=MID(AF$1,9,5),TbTradesBinance[[#This Row],[Taxa]],0),8)))</f>
        <v>0</v>
      </c>
      <c r="AG66" s="145" cm="1">
        <f t="array" ref="AG66">IF(TbTradesBinance[[#This Row],[Tipo]]="EMPTY",0,AG65+IF(TbTradesBinance[[#This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Row],[Par]]))),$1:$1,0)),-(AF65-AF66)/AF65*AG65),0),0)+IF(TbTradesBinance[[#This Row],[Tipo]]="SELL",IF(ISNUMBER(FIND(MID(AG$1,10,5),TbTradesBinance[[#This Row],[Par]])),IF(FIND(MID(AG$1,10,5),TbTradesBinance[[#This Row],[Par]])=1, -(AF65-AF66)/AF65*AG65,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Row],[Par]])),(-(AF65-AF66)/AF65*AG65)+IF(TbTradesBinance[[#This Row],[Resultado]]&gt;0,0,TbTradesBinance[[#This Row],[Taxa]]),0),0))</f>
        <v>0</v>
      </c>
      <c r="AH66" s="145">
        <f t="shared" ref="AH66:AH129" si="26">IF(AF66=0,0,AG66/AF66)</f>
        <v>0</v>
      </c>
      <c r="AI6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Row],[Tipo]]="DROP"),AI65+TbTradesBinance[[#This Row],[Qtt]],AI65-TbTradesBinance[[#This Row],[Qtt]]),IF(TbTradesBinance[[#This Row],[Tipo]]="BUY",AI65-TbTradesBinance[[#This Row],[Qtt]]*TbTradesBinance[[#This Row],[Preço]],AI65+TbTradesBinance[[#This Row],[Qtt]]*TbTradesBinance[[#This Row],[Preço]])),AI65)-IF(TbTradesBinance[[#This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Row],[Tipo]]="DROP"),AI65+TbTradesBinance[[#This Row],[Qtt]],AI65-TbTradesBinance[[#This Row],[Qtt]]),IF(TbTradesBinance[[#This Row],[Tipo]]="BUY",AI65-TbTradesBinance[[#This Row],[Qtt]]*TbTradesBinance[[#This Row],[Preço]],AI65+TbTradesBinance[[#This Row],[Qtt]]*TbTradesBinance[[#This Row],[Preço]])),AI65)-IF(TbTradesBinance[[#This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Row],[Tipo]]="DROP"),AI65+TbTradesBinance[[#This Row],[Qtt]],AI65-TbTradesBinance[[#This Row],[Qtt]]),IF(TbTradesBinance[[#This Row],[Tipo]]="BUY",AI65-TbTradesBinance[[#This Row],[Qtt]]*TbTradesBinance[[#This Row],[Preço]],AI65+TbTradesBinance[[#This Row],[Qtt]]*TbTradesBinance[[#This Row],[Preço]])),AI65)-IF(TbTradesBinance[[#This Row],[Moeda da Taxa]]=MID(AI$1,9,5),TbTradesBinance[[#This Row],[Taxa]],0),8)))</f>
        <v>0</v>
      </c>
      <c r="AJ66" s="145" cm="1">
        <f t="array" ref="AJ66">IF(TbTradesBinance[[#This Row],[Tipo]]="EMPTY",0,AJ65+IF(TbTradesBinance[[#This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Row],[Par]]))),$1:$1,0)),-(AI65-AI66)/AI65*AJ65),0),0)+IF(TbTradesBinance[[#This Row],[Tipo]]="SELL",IF(ISNUMBER(FIND(MID(AJ$1,10,5),TbTradesBinance[[#This Row],[Par]])),IF(FIND(MID(AJ$1,10,5),TbTradesBinance[[#This Row],[Par]])=1, -(AI65-AI66)/AI65*AJ65,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Row],[Par]])),(-(AI65-AI66)/AI65*AJ65)+IF(TbTradesBinance[[#This Row],[Resultado]]&gt;0,0,TbTradesBinance[[#This Row],[Taxa]]),0),0))</f>
        <v>0</v>
      </c>
      <c r="AK66" s="145">
        <f t="shared" ref="AK66:AK129" si="27">IF(AI66=0,0,AJ66/AI66)</f>
        <v>0</v>
      </c>
      <c r="AL6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Row],[Tipo]]="DROP"),AL65+TbTradesBinance[[#This Row],[Qtt]],AL65-TbTradesBinance[[#This Row],[Qtt]]),IF(TbTradesBinance[[#This Row],[Tipo]]="BUY",AL65-TbTradesBinance[[#This Row],[Qtt]]*TbTradesBinance[[#This Row],[Preço]],AL65+TbTradesBinance[[#This Row],[Qtt]]*TbTradesBinance[[#This Row],[Preço]])),AL65)-IF(TbTradesBinance[[#This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Row],[Tipo]]="DROP"),AL65+TbTradesBinance[[#This Row],[Qtt]],AL65-TbTradesBinance[[#This Row],[Qtt]]),IF(TbTradesBinance[[#This Row],[Tipo]]="BUY",AL65-TbTradesBinance[[#This Row],[Qtt]]*TbTradesBinance[[#This Row],[Preço]],AL65+TbTradesBinance[[#This Row],[Qtt]]*TbTradesBinance[[#This Row],[Preço]])),AL65)-IF(TbTradesBinance[[#This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Row],[Tipo]]="DROP"),AL65+TbTradesBinance[[#This Row],[Qtt]],AL65-TbTradesBinance[[#This Row],[Qtt]]),IF(TbTradesBinance[[#This Row],[Tipo]]="BUY",AL65-TbTradesBinance[[#This Row],[Qtt]]*TbTradesBinance[[#This Row],[Preço]],AL65+TbTradesBinance[[#This Row],[Qtt]]*TbTradesBinance[[#This Row],[Preço]])),AL65)-IF(TbTradesBinance[[#This Row],[Moeda da Taxa]]=MID(AL$1,9,5),TbTradesBinance[[#This Row],[Taxa]],0),8)))</f>
        <v>1.75824</v>
      </c>
      <c r="AM66" s="145" cm="1">
        <f t="array" ref="AM66">IF(TbTradesBinance[[#This Row],[Tipo]]="EMPTY",0,AM65+IF(TbTradesBinance[[#This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Row],[Par]]))),$1:$1,0)),-(AL65-AL66)/AL65*AM65),0),0)+IF(TbTradesBinance[[#This Row],[Tipo]]="SELL",IF(ISNUMBER(FIND(MID(AM$1,10,5),TbTradesBinance[[#This Row],[Par]])),IF(FIND(MID(AM$1,10,5),TbTradesBinance[[#This Row],[Par]])=1, -(AL65-AL66)/AL65*AM65,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Row],[Par]])),(-(AL65-AL66)/AL65*AM65)+IF(TbTradesBinance[[#This Row],[Resultado]]&gt;0,0,TbTradesBinance[[#This Row],[Taxa]]),0),0))</f>
        <v>144.56635471393039</v>
      </c>
      <c r="AN66" s="145">
        <f t="shared" ref="AN66:AN129" si="28">IF(AL66=0,0,AM66/AL66)</f>
        <v>82.222196465744375</v>
      </c>
      <c r="AO6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Row],[Tipo]]="DROP"),AO65+TbTradesBinance[[#This Row],[Qtt]],AO65-TbTradesBinance[[#This Row],[Qtt]]),IF(TbTradesBinance[[#This Row],[Tipo]]="BUY",AO65-TbTradesBinance[[#This Row],[Qtt]]*TbTradesBinance[[#This Row],[Preço]],AO65+TbTradesBinance[[#This Row],[Qtt]]*TbTradesBinance[[#This Row],[Preço]])),AO65)-IF(TbTradesBinance[[#This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Row],[Tipo]]="DROP"),AO65+TbTradesBinance[[#This Row],[Qtt]],AO65-TbTradesBinance[[#This Row],[Qtt]]),IF(TbTradesBinance[[#This Row],[Tipo]]="BUY",AO65-TbTradesBinance[[#This Row],[Qtt]]*TbTradesBinance[[#This Row],[Preço]],AO65+TbTradesBinance[[#This Row],[Qtt]]*TbTradesBinance[[#This Row],[Preço]])),AO65)-IF(TbTradesBinance[[#This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Row],[Tipo]]="DROP"),AO65+TbTradesBinance[[#This Row],[Qtt]],AO65-TbTradesBinance[[#This Row],[Qtt]]),IF(TbTradesBinance[[#This Row],[Tipo]]="BUY",AO65-TbTradesBinance[[#This Row],[Qtt]]*TbTradesBinance[[#This Row],[Preço]],AO65+TbTradesBinance[[#This Row],[Qtt]]*TbTradesBinance[[#This Row],[Preço]])),AO65)-IF(TbTradesBinance[[#This Row],[Moeda da Taxa]]=MID(AO$1,9,5),TbTradesBinance[[#This Row],[Taxa]],0),8)))</f>
        <v>2.6916900000000001E-3</v>
      </c>
      <c r="AP66" s="145" cm="1">
        <f t="array" ref="AP66">IF(TbTradesBinance[[#This Row],[Tipo]]="EMPTY",0,AP65+IF(TbTradesBinance[[#This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Row],[Par]]))),$1:$1,0)),-(AO65-AO66)/AO65*AP65),0),0)+IF(TbTradesBinance[[#This Row],[Tipo]]="SELL",IF(ISNUMBER(FIND(MID(AP$1,10,5),TbTradesBinance[[#This Row],[Par]])),IF(FIND(MID(AP$1,10,5),TbTradesBinance[[#This Row],[Par]])=1, -(AO65-AO66)/AO65*AP65,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Row],[Par]])),(-(AO65-AO66)/AO65*AP65)+IF(TbTradesBinance[[#This Row],[Resultado]]&gt;0,0,TbTradesBinance[[#This Row],[Taxa]]),0),0))</f>
        <v>5.1390914851146583</v>
      </c>
      <c r="AQ66" s="145">
        <f t="shared" ref="AQ66:AQ129" si="29">IF(AO66=0,0,AP66/AO66)</f>
        <v>1909.2434437526827</v>
      </c>
      <c r="AR6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Row],[Tipo]]="DROP"),AR65+TbTradesBinance[[#This Row],[Qtt]],AR65-TbTradesBinance[[#This Row],[Qtt]]),IF(TbTradesBinance[[#This Row],[Tipo]]="BUY",AR65-TbTradesBinance[[#This Row],[Qtt]]*TbTradesBinance[[#This Row],[Preço]],AR65+TbTradesBinance[[#This Row],[Qtt]]*TbTradesBinance[[#This Row],[Preço]])),AR65)-IF(TbTradesBinance[[#This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Row],[Tipo]]="DROP"),AR65+TbTradesBinance[[#This Row],[Qtt]],AR65-TbTradesBinance[[#This Row],[Qtt]]),IF(TbTradesBinance[[#This Row],[Tipo]]="BUY",AR65-TbTradesBinance[[#This Row],[Qtt]]*TbTradesBinance[[#This Row],[Preço]],AR65+TbTradesBinance[[#This Row],[Qtt]]*TbTradesBinance[[#This Row],[Preço]])),AR65)-IF(TbTradesBinance[[#This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Row],[Tipo]]="DROP"),AR65+TbTradesBinance[[#This Row],[Qtt]],AR65-TbTradesBinance[[#This Row],[Qtt]]),IF(TbTradesBinance[[#This Row],[Tipo]]="BUY",AR65-TbTradesBinance[[#This Row],[Qtt]]*TbTradesBinance[[#This Row],[Preço]],AR65+TbTradesBinance[[#This Row],[Qtt]]*TbTradesBinance[[#This Row],[Preço]])),AR65)-IF(TbTradesBinance[[#This Row],[Moeda da Taxa]]=MID(AR$1,9,5),TbTradesBinance[[#This Row],[Taxa]],0),8)))</f>
        <v>0</v>
      </c>
      <c r="AS66" s="145" cm="1">
        <f t="array" ref="AS66">IF(TbTradesBinance[[#This Row],[Tipo]]="EMPTY",0,AS65+IF(TbTradesBinance[[#This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Row],[Par]]))),$1:$1,0)),-(AR65-AR66)/AR65*AS65),0),0)+IF(TbTradesBinance[[#This Row],[Tipo]]="SELL",IF(ISNUMBER(FIND(MID(AS$1,10,5),TbTradesBinance[[#This Row],[Par]])),IF(FIND(MID(AS$1,10,5),TbTradesBinance[[#This Row],[Par]])=1, -(AR65-AR66)/AR65*AS65,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Row],[Par]])),(-(AR65-AR66)/AR65*AS65)+IF(TbTradesBinance[[#This Row],[Resultado]]&gt;0,0,TbTradesBinance[[#This Row],[Taxa]]),0),0))</f>
        <v>0</v>
      </c>
      <c r="AT66" s="145">
        <f t="shared" ref="AT66:AT129" si="30">IF(AR66=0,0,AS66/AR66)</f>
        <v>0</v>
      </c>
      <c r="AU6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Row],[Tipo]]="DROP"),AU65+TbTradesBinance[[#This Row],[Qtt]],AU65-TbTradesBinance[[#This Row],[Qtt]]),IF(TbTradesBinance[[#This Row],[Tipo]]="BUY",AU65-TbTradesBinance[[#This Row],[Qtt]]*TbTradesBinance[[#This Row],[Preço]],AU65+TbTradesBinance[[#This Row],[Qtt]]*TbTradesBinance[[#This Row],[Preço]])),AU65)-IF(TbTradesBinance[[#This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Row],[Tipo]]="DROP"),AU65+TbTradesBinance[[#This Row],[Qtt]],AU65-TbTradesBinance[[#This Row],[Qtt]]),IF(TbTradesBinance[[#This Row],[Tipo]]="BUY",AU65-TbTradesBinance[[#This Row],[Qtt]]*TbTradesBinance[[#This Row],[Preço]],AU65+TbTradesBinance[[#This Row],[Qtt]]*TbTradesBinance[[#This Row],[Preço]])),AU65)-IF(TbTradesBinance[[#This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Row],[Tipo]]="DROP"),AU65+TbTradesBinance[[#This Row],[Qtt]],AU65-TbTradesBinance[[#This Row],[Qtt]]),IF(TbTradesBinance[[#This Row],[Tipo]]="BUY",AU65-TbTradesBinance[[#This Row],[Qtt]]*TbTradesBinance[[#This Row],[Preço]],AU65+TbTradesBinance[[#This Row],[Qtt]]*TbTradesBinance[[#This Row],[Preço]])),AU65)-IF(TbTradesBinance[[#This Row],[Moeda da Taxa]]=MID(AU$1,9,5),TbTradesBinance[[#This Row],[Taxa]],0),8)))</f>
        <v>0.26989999999999997</v>
      </c>
      <c r="AV66" s="145" cm="1">
        <f t="array" ref="AV66">IF(TbTradesBinance[[#This Row],[Tipo]]="EMPTY",0,AV65+IF(TbTradesBinance[[#This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Row],[Par]]))),$1:$1,0)),-(AU65-AU66)/AU65*AV65),0),0)+IF(TbTradesBinance[[#This Row],[Tipo]]="SELL",IF(ISNUMBER(FIND(MID(AV$1,10,5),TbTradesBinance[[#This Row],[Par]])),IF(FIND(MID(AV$1,10,5),TbTradesBinance[[#This Row],[Par]])=1, -(AU65-AU66)/AU65*AV65,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Row],[Par]])),(-(AU65-AU66)/AU65*AV65)+IF(TbTradesBinance[[#This Row],[Resultado]]&gt;0,0,TbTradesBinance[[#This Row],[Taxa]]),0),0))</f>
        <v>56.09788062740806</v>
      </c>
      <c r="AW66" s="145">
        <f t="shared" ref="AW66:AW129" si="31">IF(AU66=0,0,AV66/AU66)</f>
        <v>207.8469085861729</v>
      </c>
      <c r="AX6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Row],[Tipo]]="DROP"),AX65+TbTradesBinance[[#This Row],[Qtt]],AX65-TbTradesBinance[[#This Row],[Qtt]]),IF(TbTradesBinance[[#This Row],[Tipo]]="BUY",AX65-TbTradesBinance[[#This Row],[Qtt]]*TbTradesBinance[[#This Row],[Preço]],AX65+TbTradesBinance[[#This Row],[Qtt]]*TbTradesBinance[[#This Row],[Preço]])),AX65)-IF(TbTradesBinance[[#This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Row],[Tipo]]="DROP"),AX65+TbTradesBinance[[#This Row],[Qtt]],AX65-TbTradesBinance[[#This Row],[Qtt]]),IF(TbTradesBinance[[#This Row],[Tipo]]="BUY",AX65-TbTradesBinance[[#This Row],[Qtt]]*TbTradesBinance[[#This Row],[Preço]],AX65+TbTradesBinance[[#This Row],[Qtt]]*TbTradesBinance[[#This Row],[Preço]])),AX65)-IF(TbTradesBinance[[#This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Row],[Tipo]]="DROP"),AX65+TbTradesBinance[[#This Row],[Qtt]],AX65-TbTradesBinance[[#This Row],[Qtt]]),IF(TbTradesBinance[[#This Row],[Tipo]]="BUY",AX65-TbTradesBinance[[#This Row],[Qtt]]*TbTradesBinance[[#This Row],[Preço]],AX65+TbTradesBinance[[#This Row],[Qtt]]*TbTradesBinance[[#This Row],[Preço]])),AX65)-IF(TbTradesBinance[[#This Row],[Moeda da Taxa]]=MID(AX$1,9,5),TbTradesBinance[[#This Row],[Taxa]],0),8)))</f>
        <v>0.22636999999999999</v>
      </c>
      <c r="AY66" s="145" cm="1">
        <f t="array" ref="AY66">IF(TbTradesBinance[[#This Row],[Tipo]]="EMPTY",0,AY65+IF(TbTradesBinance[[#This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Row],[Par]]))),$1:$1,0)),-(AX65-AX66)/AX65*AY65),0),0)+IF(TbTradesBinance[[#This Row],[Tipo]]="SELL",IF(ISNUMBER(FIND(MID(AY$1,10,5),TbTradesBinance[[#This Row],[Par]])),IF(FIND(MID(AY$1,10,5),TbTradesBinance[[#This Row],[Par]])=1, -(AX65-AX66)/AX65*AY65,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Row],[Par]])),(-(AX65-AX66)/AX65*AY65)+IF(TbTradesBinance[[#This Row],[Resultado]]&gt;0,0,TbTradesBinance[[#This Row],[Taxa]]),0),0))</f>
        <v>40.781337593356859</v>
      </c>
      <c r="AZ66" s="145">
        <f t="shared" ref="AZ66:AZ129" si="32">IF(AX66=0,0,AY66/AX66)</f>
        <v>180.15345493376711</v>
      </c>
      <c r="BA6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Row],[Tipo]]="DROP"),BA65+TbTradesBinance[[#This Row],[Qtt]],BA65-TbTradesBinance[[#This Row],[Qtt]]),IF(TbTradesBinance[[#This Row],[Tipo]]="BUY",BA65-TbTradesBinance[[#This Row],[Qtt]]*TbTradesBinance[[#This Row],[Preço]],BA65+TbTradesBinance[[#This Row],[Qtt]]*TbTradesBinance[[#This Row],[Preço]])),BA65)-IF(TbTradesBinance[[#This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Row],[Tipo]]="DROP"),BA65+TbTradesBinance[[#This Row],[Qtt]],BA65-TbTradesBinance[[#This Row],[Qtt]]),IF(TbTradesBinance[[#This Row],[Tipo]]="BUY",BA65-TbTradesBinance[[#This Row],[Qtt]]*TbTradesBinance[[#This Row],[Preço]],BA65+TbTradesBinance[[#This Row],[Qtt]]*TbTradesBinance[[#This Row],[Preço]])),BA65)-IF(TbTradesBinance[[#This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Row],[Tipo]]="DROP"),BA65+TbTradesBinance[[#This Row],[Qtt]],BA65-TbTradesBinance[[#This Row],[Qtt]]),IF(TbTradesBinance[[#This Row],[Tipo]]="BUY",BA65-TbTradesBinance[[#This Row],[Qtt]]*TbTradesBinance[[#This Row],[Preço]],BA65+TbTradesBinance[[#This Row],[Qtt]]*TbTradesBinance[[#This Row],[Preço]])),BA65)-IF(TbTradesBinance[[#This Row],[Moeda da Taxa]]=MID(BA$1,9,5),TbTradesBinance[[#This Row],[Taxa]],0),8)))</f>
        <v>0</v>
      </c>
      <c r="BB66" s="145" cm="1">
        <f t="array" ref="BB66">IF(TbTradesBinance[[#This Row],[Tipo]]="EMPTY",0,BB65+IF(TbTradesBinance[[#This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Row],[Par]]))),$1:$1,0)),-(BA65-BA66)/BA65*BB65),0),0)+IF(TbTradesBinance[[#This Row],[Tipo]]="SELL",IF(ISNUMBER(FIND(MID(BB$1,10,5),TbTradesBinance[[#This Row],[Par]])),IF(FIND(MID(BB$1,10,5),TbTradesBinance[[#This Row],[Par]])=1, -(BA65-BA66)/BA65*BB65,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Row],[Par]])),(-(BA65-BA66)/BA65*BB65)+IF(TbTradesBinance[[#This Row],[Resultado]]&gt;0,0,TbTradesBinance[[#This Row],[Taxa]]),0),0))</f>
        <v>0</v>
      </c>
      <c r="BC66" s="145">
        <f t="shared" ref="BC66:BC129" si="33">IF(BA66=0,0,BB66/BA66)</f>
        <v>0</v>
      </c>
      <c r="BD6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Row],[Tipo]]="DROP"),BD65+TbTradesBinance[[#This Row],[Qtt]],BD65-TbTradesBinance[[#This Row],[Qtt]]),IF(TbTradesBinance[[#This Row],[Tipo]]="BUY",BD65-TbTradesBinance[[#This Row],[Qtt]]*TbTradesBinance[[#This Row],[Preço]],BD65+TbTradesBinance[[#This Row],[Qtt]]*TbTradesBinance[[#This Row],[Preço]])),BD65)-IF(TbTradesBinance[[#This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Row],[Tipo]]="DROP"),BD65+TbTradesBinance[[#This Row],[Qtt]],BD65-TbTradesBinance[[#This Row],[Qtt]]),IF(TbTradesBinance[[#This Row],[Tipo]]="BUY",BD65-TbTradesBinance[[#This Row],[Qtt]]*TbTradesBinance[[#This Row],[Preço]],BD65+TbTradesBinance[[#This Row],[Qtt]]*TbTradesBinance[[#This Row],[Preço]])),BD65)-IF(TbTradesBinance[[#This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Row],[Tipo]]="DROP"),BD65+TbTradesBinance[[#This Row],[Qtt]],BD65-TbTradesBinance[[#This Row],[Qtt]]),IF(TbTradesBinance[[#This Row],[Tipo]]="BUY",BD65-TbTradesBinance[[#This Row],[Qtt]]*TbTradesBinance[[#This Row],[Preço]],BD65+TbTradesBinance[[#This Row],[Qtt]]*TbTradesBinance[[#This Row],[Preço]])),BD65)-IF(TbTradesBinance[[#This Row],[Moeda da Taxa]]=MID(BD$1,9,5),TbTradesBinance[[#This Row],[Taxa]],0),8)))</f>
        <v>0.37962000000000001</v>
      </c>
      <c r="BE66" s="145" cm="1">
        <f t="array" ref="BE66">IF(TbTradesBinance[[#This Row],[Tipo]]="EMPTY",0,BE65+IF(TbTradesBinance[[#This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Row],[Par]]))),$1:$1,0)),-(BD65-BD66)/BD65*BE65),0),0)+IF(TbTradesBinance[[#This Row],[Tipo]]="SELL",IF(ISNUMBER(FIND(MID(BE$1,10,5),TbTradesBinance[[#This Row],[Par]])),IF(FIND(MID(BE$1,10,5),TbTradesBinance[[#This Row],[Par]])=1, -(BD65-BD66)/BD65*BE65,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Row],[Par]])),(-(BD65-BD66)/BD65*BE65)+IF(TbTradesBinance[[#This Row],[Resultado]]&gt;0,0,TbTradesBinance[[#This Row],[Taxa]]),0),0))</f>
        <v>63.647297001537943</v>
      </c>
      <c r="BF66" s="145">
        <f t="shared" ref="BF66:BF129" si="34">IF(BD66=0,0,BE66/BD66)</f>
        <v>167.66054739354601</v>
      </c>
      <c r="BG6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Row],[Tipo]]="DROP"),BG65+TbTradesBinance[[#This Row],[Qtt]],BG65-TbTradesBinance[[#This Row],[Qtt]]),IF(TbTradesBinance[[#This Row],[Tipo]]="BUY",BG65-TbTradesBinance[[#This Row],[Qtt]]*TbTradesBinance[[#This Row],[Preço]],BG65+TbTradesBinance[[#This Row],[Qtt]]*TbTradesBinance[[#This Row],[Preço]])),BG65)-IF(TbTradesBinance[[#This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Row],[Tipo]]="DROP"),BG65+TbTradesBinance[[#This Row],[Qtt]],BG65-TbTradesBinance[[#This Row],[Qtt]]),IF(TbTradesBinance[[#This Row],[Tipo]]="BUY",BG65-TbTradesBinance[[#This Row],[Qtt]]*TbTradesBinance[[#This Row],[Preço]],BG65+TbTradesBinance[[#This Row],[Qtt]]*TbTradesBinance[[#This Row],[Preço]])),BG65)-IF(TbTradesBinance[[#This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Row],[Tipo]]="DROP"),BG65+TbTradesBinance[[#This Row],[Qtt]],BG65-TbTradesBinance[[#This Row],[Qtt]]),IF(TbTradesBinance[[#This Row],[Tipo]]="BUY",BG65-TbTradesBinance[[#This Row],[Qtt]]*TbTradesBinance[[#This Row],[Preço]],BG65+TbTradesBinance[[#This Row],[Qtt]]*TbTradesBinance[[#This Row],[Preço]])),BG65)-IF(TbTradesBinance[[#This Row],[Moeda da Taxa]]=MID(BG$1,9,5),TbTradesBinance[[#This Row],[Taxa]],0),8)))</f>
        <v>0</v>
      </c>
      <c r="BH66" s="145" cm="1">
        <f t="array" ref="BH66">IF(TbTradesBinance[[#This Row],[Tipo]]="EMPTY",0,BH65+IF(TbTradesBinance[[#This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Row],[Par]]))),$1:$1,0)),-(BG65-BG66)/BG65*BH65),0),0)+IF(TbTradesBinance[[#This Row],[Tipo]]="SELL",IF(ISNUMBER(FIND(MID(BH$1,10,5),TbTradesBinance[[#This Row],[Par]])),IF(FIND(MID(BH$1,10,5),TbTradesBinance[[#This Row],[Par]])=1, -(BG65-BG66)/BG65*BH65,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Row],[Par]])),(-(BG65-BG66)/BG65*BH65)+IF(TbTradesBinance[[#This Row],[Resultado]]&gt;0,0,TbTradesBinance[[#This Row],[Taxa]]),0),0))</f>
        <v>0</v>
      </c>
      <c r="BI66" s="145">
        <f t="shared" ref="BI66:BI129" si="35">IF(BG66=0,0,BH66/BG66)</f>
        <v>0</v>
      </c>
      <c r="BJ6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Row],[Tipo]]="DROP"),BJ65+TbTradesBinance[[#This Row],[Qtt]],BJ65-TbTradesBinance[[#This Row],[Qtt]]),IF(TbTradesBinance[[#This Row],[Tipo]]="BUY",BJ65-TbTradesBinance[[#This Row],[Qtt]]*TbTradesBinance[[#This Row],[Preço]],BJ65+TbTradesBinance[[#This Row],[Qtt]]*TbTradesBinance[[#This Row],[Preço]])),BJ65)-IF(TbTradesBinance[[#This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Row],[Tipo]]="DROP"),BJ65+TbTradesBinance[[#This Row],[Qtt]],BJ65-TbTradesBinance[[#This Row],[Qtt]]),IF(TbTradesBinance[[#This Row],[Tipo]]="BUY",BJ65-TbTradesBinance[[#This Row],[Qtt]]*TbTradesBinance[[#This Row],[Preço]],BJ65+TbTradesBinance[[#This Row],[Qtt]]*TbTradesBinance[[#This Row],[Preço]])),BJ65)-IF(TbTradesBinance[[#This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Row],[Tipo]]="DROP"),BJ65+TbTradesBinance[[#This Row],[Qtt]],BJ65-TbTradesBinance[[#This Row],[Qtt]]),IF(TbTradesBinance[[#This Row],[Tipo]]="BUY",BJ65-TbTradesBinance[[#This Row],[Qtt]]*TbTradesBinance[[#This Row],[Preço]],BJ65+TbTradesBinance[[#This Row],[Qtt]]*TbTradesBinance[[#This Row],[Preço]])),BJ65)-IF(TbTradesBinance[[#This Row],[Moeda da Taxa]]=MID(BJ$1,9,5),TbTradesBinance[[#This Row],[Taxa]],0),8)))</f>
        <v>0</v>
      </c>
      <c r="BK66" s="145" cm="1">
        <f t="array" ref="BK66">IF(TbTradesBinance[[#This Row],[Tipo]]="EMPTY",0,BK65+IF(TbTradesBinance[[#This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Row],[Par]]))),$1:$1,0)),-(BJ65-BJ66)/BJ65*BK65),0),0)+IF(TbTradesBinance[[#This Row],[Tipo]]="SELL",IF(ISNUMBER(FIND(MID(BK$1,10,5),TbTradesBinance[[#This Row],[Par]])),IF(FIND(MID(BK$1,10,5),TbTradesBinance[[#This Row],[Par]])=1, -(BJ65-BJ66)/BJ65*BK65,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Row],[Par]])),(-(BJ65-BJ66)/BJ65*BK65)+IF(TbTradesBinance[[#This Row],[Resultado]]&gt;0,0,TbTradesBinance[[#This Row],[Taxa]]),0),0))</f>
        <v>0</v>
      </c>
      <c r="BL66" s="145">
        <f t="shared" ref="BL66:BL129" si="36">IF(BJ66=0,0,BK66/BJ66)</f>
        <v>0</v>
      </c>
      <c r="BM6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Row],[Tipo]]="DROP"),BM65+TbTradesBinance[[#This Row],[Qtt]],BM65-TbTradesBinance[[#This Row],[Qtt]]),IF(TbTradesBinance[[#This Row],[Tipo]]="BUY",BM65-TbTradesBinance[[#This Row],[Qtt]]*TbTradesBinance[[#This Row],[Preço]],BM65+TbTradesBinance[[#This Row],[Qtt]]*TbTradesBinance[[#This Row],[Preço]])),BM65)-IF(TbTradesBinance[[#This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Row],[Tipo]]="DROP"),BM65+TbTradesBinance[[#This Row],[Qtt]],BM65-TbTradesBinance[[#This Row],[Qtt]]),IF(TbTradesBinance[[#This Row],[Tipo]]="BUY",BM65-TbTradesBinance[[#This Row],[Qtt]]*TbTradesBinance[[#This Row],[Preço]],BM65+TbTradesBinance[[#This Row],[Qtt]]*TbTradesBinance[[#This Row],[Preço]])),BM65)-IF(TbTradesBinance[[#This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Row],[Tipo]]="DROP"),BM65+TbTradesBinance[[#This Row],[Qtt]],BM65-TbTradesBinance[[#This Row],[Qtt]]),IF(TbTradesBinance[[#This Row],[Tipo]]="BUY",BM65-TbTradesBinance[[#This Row],[Qtt]]*TbTradesBinance[[#This Row],[Preço]],BM65+TbTradesBinance[[#This Row],[Qtt]]*TbTradesBinance[[#This Row],[Preço]])),BM65)-IF(TbTradesBinance[[#This Row],[Moeda da Taxa]]=MID(BM$1,9,5),TbTradesBinance[[#This Row],[Taxa]],0),8)))</f>
        <v>0</v>
      </c>
      <c r="BN66" s="145" cm="1">
        <f t="array" ref="BN66">IF(TbTradesBinance[[#This Row],[Tipo]]="EMPTY",0,BN65+IF(TbTradesBinance[[#This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Row],[Par]]))),$1:$1,0)),-(BM65-BM66)/BM65*BN65),0),0)+IF(TbTradesBinance[[#This Row],[Tipo]]="SELL",IF(ISNUMBER(FIND(MID(BN$1,10,5),TbTradesBinance[[#This Row],[Par]])),IF(FIND(MID(BN$1,10,5),TbTradesBinance[[#This Row],[Par]])=1, -(BM65-BM66)/BM65*BN65,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Row],[Par]])),(-(BM65-BM66)/BM65*BN65)+IF(TbTradesBinance[[#This Row],[Resultado]]&gt;0,0,TbTradesBinance[[#This Row],[Taxa]]),0),0))</f>
        <v>0</v>
      </c>
      <c r="BO66" s="145">
        <f t="shared" ref="BO66:BO129" si="37">IF(BM66=0,0,BN66/BM66)</f>
        <v>0</v>
      </c>
    </row>
    <row r="67" spans="2:67" x14ac:dyDescent="0.3">
      <c r="B67" s="51" t="s">
        <v>136</v>
      </c>
      <c r="C67" s="40">
        <f>TRUNC(IF(AND(TbTradesBinance[[#This Row],[Tipo]]="SEND",TbTradesBinance[[#This Row],[Par]]="BRL"),TbTradesBinance[[#This Row],[Qtt]]*(1-P65)-IF(TbTradesBinance[[#This Row],[Moeda da Taxa]]="BRL",TbTradesBinance[[#This Row],[Taxa]],0),0)+IF(AND(TbTradesBinance[[#This Row],[Tipo]]="BURN",TbTradesBinance[[#This Row],[Par]]="BRL"),-TbTradesBinance[[#This Row],[Qtt]]*P65,0),2)</f>
        <v>0</v>
      </c>
      <c r="D67" s="53">
        <v>44264.900520833333</v>
      </c>
      <c r="E67" s="37" t="s">
        <v>50</v>
      </c>
      <c r="F67" s="47" t="s">
        <v>137</v>
      </c>
      <c r="G67" s="38">
        <v>1</v>
      </c>
      <c r="H67" s="38">
        <v>1000</v>
      </c>
      <c r="I67" s="38">
        <v>0</v>
      </c>
      <c r="J67" s="37" t="s">
        <v>50</v>
      </c>
      <c r="K67" s="52">
        <v>1</v>
      </c>
      <c r="L67" s="40">
        <f t="shared" si="19"/>
        <v>1</v>
      </c>
      <c r="M67" s="40">
        <f>IF(OR(TbTradesBinance[[#This Row],[Tipo]]="BUY",TbTradesBinance[[#This Row],[Tipo]]="RECEIVE",TbTradesBinance[[#This Row],[Tipo]]="DROP"),L67*H67,-L67*H67)</f>
        <v>1000</v>
      </c>
      <c r="N6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Row],[Tipo]]="DROP"),N66+TbTradesBinance[[#This Row],[Qtt]],N66-TbTradesBinance[[#This Row],[Qtt]]),IF(TbTradesBinance[[#This Row],[Tipo]]="BUY",N66-TbTradesBinance[[#This Row],[Qtt]]*TbTradesBinance[[#This Row],[Preço]],N66+TbTradesBinance[[#This Row],[Qtt]]*TbTradesBinance[[#This Row],[Preço]])),N66)-IF(TbTradesBinance[[#This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Row],[Tipo]]="DROP"),N66+TbTradesBinance[[#This Row],[Qtt]],N66-TbTradesBinance[[#This Row],[Qtt]]),IF(TbTradesBinance[[#This Row],[Tipo]]="BUY",N66-TbTradesBinance[[#This Row],[Qtt]]*TbTradesBinance[[#This Row],[Preço]],N66+TbTradesBinance[[#This Row],[Qtt]]*TbTradesBinance[[#This Row],[Preço]])),N66)-IF(TbTradesBinance[[#This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Row],[Tipo]]="DROP"),N66+TbTradesBinance[[#This Row],[Qtt]],N66-TbTradesBinance[[#This Row],[Qtt]]),IF(TbTradesBinance[[#This Row],[Tipo]]="BUY",N66-TbTradesBinance[[#This Row],[Qtt]]*TbTradesBinance[[#This Row],[Preço]],N66+TbTradesBinance[[#This Row],[Qtt]]*TbTradesBinance[[#This Row],[Preço]])),N66)-IF(TbTradesBinance[[#This Row],[Moeda da Taxa]]=MID(N$1,9,5),TbTradesBinance[[#This Row],[Taxa]],0),8)))</f>
        <v>120745.41999999</v>
      </c>
      <c r="O67" s="145" cm="1">
        <f t="array" ref="O67">IF(TbTradesBinance[[#This Row],[Tipo]]="EMPTY",0,O66+IF(TbTradesBinance[[#This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Row],[Par]]))),$1:$1,0)),-(N66-N67)/N66*O66),0),0)+IF(TbTradesBinance[[#This Row],[Tipo]]="SELL",IF(ISNUMBER(FIND(MID(O$1,10,5),TbTradesBinance[[#This Row],[Par]])),IF(FIND(MID(O$1,10,5),TbTradesBinance[[#This Row],[Par]])=1, -(N66-N67)/N66*O66,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Row],[Par]])),(-(N66-N67)/N66*O66)+IF(TbTradesBinance[[#This Row],[Resultado]]&gt;0,0,TbTradesBinance[[#This Row],[Taxa]]),0),0))</f>
        <v>120648.09276482929</v>
      </c>
      <c r="P67" s="145">
        <f t="shared" si="20"/>
        <v>0.99919394677528373</v>
      </c>
      <c r="Q6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Row],[Tipo]]="DROP"),Q66+TbTradesBinance[[#This Row],[Qtt]],Q66-TbTradesBinance[[#This Row],[Qtt]]),IF(TbTradesBinance[[#This Row],[Tipo]]="BUY",Q66-TbTradesBinance[[#This Row],[Qtt]]*TbTradesBinance[[#This Row],[Preço]],Q66+TbTradesBinance[[#This Row],[Qtt]]*TbTradesBinance[[#This Row],[Preço]])),Q66)-IF(TbTradesBinance[[#This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Row],[Tipo]]="DROP"),Q66+TbTradesBinance[[#This Row],[Qtt]],Q66-TbTradesBinance[[#This Row],[Qtt]]),IF(TbTradesBinance[[#This Row],[Tipo]]="BUY",Q66-TbTradesBinance[[#This Row],[Qtt]]*TbTradesBinance[[#This Row],[Preço]],Q66+TbTradesBinance[[#This Row],[Qtt]]*TbTradesBinance[[#This Row],[Preço]])),Q66)-IF(TbTradesBinance[[#This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Row],[Tipo]]="DROP"),Q66+TbTradesBinance[[#This Row],[Qtt]],Q66-TbTradesBinance[[#This Row],[Qtt]]),IF(TbTradesBinance[[#This Row],[Tipo]]="BUY",Q66-TbTradesBinance[[#This Row],[Qtt]]*TbTradesBinance[[#This Row],[Preço]],Q66+TbTradesBinance[[#This Row],[Qtt]]*TbTradesBinance[[#This Row],[Preço]])),Q66)-IF(TbTradesBinance[[#This Row],[Moeda da Taxa]]=MID(Q$1,9,5),TbTradesBinance[[#This Row],[Taxa]],0),8)))</f>
        <v>0.29005796</v>
      </c>
      <c r="R67" s="145" cm="1">
        <f t="array" ref="R67">IF(TbTradesBinance[[#This Row],[Tipo]]="EMPTY",0,R66+IF(TbTradesBinance[[#This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Row],[Par]]))),$1:$1,0)),-(Q66-Q67)/Q66*R66),0),0)+IF(TbTradesBinance[[#This Row],[Tipo]]="SELL",IF(ISNUMBER(FIND(MID(R$1,10,5),TbTradesBinance[[#This Row],[Par]])),IF(FIND(MID(R$1,10,5),TbTradesBinance[[#This Row],[Par]])=1, -(Q66-Q67)/Q66*R66,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Row],[Par]])),(-(Q66-Q67)/Q66*R66)+IF(TbTradesBinance[[#This Row],[Resultado]]&gt;0,0,TbTradesBinance[[#This Row],[Taxa]]),0),0))</f>
        <v>1.5930510813161334</v>
      </c>
      <c r="S67" s="145">
        <f t="shared" si="21"/>
        <v>5.4921819119052389</v>
      </c>
      <c r="T6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Row],[Tipo]]="DROP"),T66+TbTradesBinance[[#This Row],[Qtt]],T66-TbTradesBinance[[#This Row],[Qtt]]),IF(TbTradesBinance[[#This Row],[Tipo]]="BUY",T66-TbTradesBinance[[#This Row],[Qtt]]*TbTradesBinance[[#This Row],[Preço]],T66+TbTradesBinance[[#This Row],[Qtt]]*TbTradesBinance[[#This Row],[Preço]])),T66)-IF(TbTradesBinance[[#This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Row],[Tipo]]="DROP"),T66+TbTradesBinance[[#This Row],[Qtt]],T66-TbTradesBinance[[#This Row],[Qtt]]),IF(TbTradesBinance[[#This Row],[Tipo]]="BUY",T66-TbTradesBinance[[#This Row],[Qtt]]*TbTradesBinance[[#This Row],[Preço]],T66+TbTradesBinance[[#This Row],[Qtt]]*TbTradesBinance[[#This Row],[Preço]])),T66)-IF(TbTradesBinance[[#This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Row],[Tipo]]="DROP"),T66+TbTradesBinance[[#This Row],[Qtt]],T66-TbTradesBinance[[#This Row],[Qtt]]),IF(TbTradesBinance[[#This Row],[Tipo]]="BUY",T66-TbTradesBinance[[#This Row],[Qtt]]*TbTradesBinance[[#This Row],[Preço]],T66+TbTradesBinance[[#This Row],[Qtt]]*TbTradesBinance[[#This Row],[Preço]])),T66)-IF(TbTradesBinance[[#This Row],[Moeda da Taxa]]=MID(T$1,9,5),TbTradesBinance[[#This Row],[Taxa]],0),8)))</f>
        <v>199735.32000169999</v>
      </c>
      <c r="U67" s="145" cm="1">
        <f t="array" ref="U67">IF(TbTradesBinance[[#This Row],[Tipo]]="EMPTY",0,U66+IF(TbTradesBinance[[#This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Row],[Par]]))),$1:$1,0)),-(T66-T67)/T66*U66),0),0)+IF(TbTradesBinance[[#This Row],[Tipo]]="SELL",IF(ISNUMBER(FIND(MID(U$1,10,5),TbTradesBinance[[#This Row],[Par]])),IF(FIND(MID(U$1,10,5),TbTradesBinance[[#This Row],[Par]])=1, -(T66-T67)/T66*U66,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Row],[Par]])),(-(T66-T67)/T66*U66)+IF(TbTradesBinance[[#This Row],[Resultado]]&gt;0,0,TbTradesBinance[[#This Row],[Taxa]]),0),0))</f>
        <v>1328239.8809817513</v>
      </c>
      <c r="V67" s="145">
        <f t="shared" si="22"/>
        <v>6.6500000148719129</v>
      </c>
      <c r="W6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Row],[Tipo]]="DROP"),W66+TbTradesBinance[[#This Row],[Qtt]],W66-TbTradesBinance[[#This Row],[Qtt]]),IF(TbTradesBinance[[#This Row],[Tipo]]="BUY",W66-TbTradesBinance[[#This Row],[Qtt]]*TbTradesBinance[[#This Row],[Preço]],W66+TbTradesBinance[[#This Row],[Qtt]]*TbTradesBinance[[#This Row],[Preço]])),W66)-IF(TbTradesBinance[[#This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Row],[Tipo]]="DROP"),W66+TbTradesBinance[[#This Row],[Qtt]],W66-TbTradesBinance[[#This Row],[Qtt]]),IF(TbTradesBinance[[#This Row],[Tipo]]="BUY",W66-TbTradesBinance[[#This Row],[Qtt]]*TbTradesBinance[[#This Row],[Preço]],W66+TbTradesBinance[[#This Row],[Qtt]]*TbTradesBinance[[#This Row],[Preço]])),W66)-IF(TbTradesBinance[[#This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Row],[Tipo]]="DROP"),W66+TbTradesBinance[[#This Row],[Qtt]],W66-TbTradesBinance[[#This Row],[Qtt]]),IF(TbTradesBinance[[#This Row],[Tipo]]="BUY",W66-TbTradesBinance[[#This Row],[Qtt]]*TbTradesBinance[[#This Row],[Preço]],W66+TbTradesBinance[[#This Row],[Qtt]]*TbTradesBinance[[#This Row],[Preço]])),W66)-IF(TbTradesBinance[[#This Row],[Moeda da Taxa]]=MID(W$1,9,5),TbTradesBinance[[#This Row],[Taxa]],0),8)))</f>
        <v>4.9072999999999999E-4</v>
      </c>
      <c r="X67" s="145" cm="1">
        <f t="array" ref="X67">IF(TbTradesBinance[[#This Row],[Tipo]]="EMPTY",0,X66+IF(TbTradesBinance[[#This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Row],[Par]]))),$1:$1,0)),-(W66-W67)/W66*X66),0),0)+IF(TbTradesBinance[[#This Row],[Tipo]]="SELL",IF(ISNUMBER(FIND(MID(X$1,10,5),TbTradesBinance[[#This Row],[Par]])),IF(FIND(MID(X$1,10,5),TbTradesBinance[[#This Row],[Par]])=1, -(W66-W67)/W66*X66,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Row],[Par]])),(-(W66-W67)/W66*X66)+IF(TbTradesBinance[[#This Row],[Resultado]]&gt;0,0,TbTradesBinance[[#This Row],[Taxa]]),0),0))</f>
        <v>147.27886079240517</v>
      </c>
      <c r="Y67" s="145">
        <f t="shared" si="23"/>
        <v>300121.98315245687</v>
      </c>
      <c r="Z6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Row],[Tipo]]="DROP"),Z66+TbTradesBinance[[#This Row],[Qtt]],Z66-TbTradesBinance[[#This Row],[Qtt]]),IF(TbTradesBinance[[#This Row],[Tipo]]="BUY",Z66-TbTradesBinance[[#This Row],[Qtt]]*TbTradesBinance[[#This Row],[Preço]],Z66+TbTradesBinance[[#This Row],[Qtt]]*TbTradesBinance[[#This Row],[Preço]])),Z66)-IF(TbTradesBinance[[#This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Row],[Tipo]]="DROP"),Z66+TbTradesBinance[[#This Row],[Qtt]],Z66-TbTradesBinance[[#This Row],[Qtt]]),IF(TbTradesBinance[[#This Row],[Tipo]]="BUY",Z66-TbTradesBinance[[#This Row],[Qtt]]*TbTradesBinance[[#This Row],[Preço]],Z66+TbTradesBinance[[#This Row],[Qtt]]*TbTradesBinance[[#This Row],[Preço]])),Z66)-IF(TbTradesBinance[[#This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Row],[Tipo]]="DROP"),Z66+TbTradesBinance[[#This Row],[Qtt]],Z66-TbTradesBinance[[#This Row],[Qtt]]),IF(TbTradesBinance[[#This Row],[Tipo]]="BUY",Z66-TbTradesBinance[[#This Row],[Qtt]]*TbTradesBinance[[#This Row],[Preço]],Z66+TbTradesBinance[[#This Row],[Qtt]]*TbTradesBinance[[#This Row],[Preço]])),Z66)-IF(TbTradesBinance[[#This Row],[Moeda da Taxa]]=MID(Z$1,9,5),TbTradesBinance[[#This Row],[Taxa]],0),8)))</f>
        <v>0</v>
      </c>
      <c r="AA67" s="145" cm="1">
        <f t="array" ref="AA67">IF(TbTradesBinance[[#This Row],[Tipo]]="EMPTY",0,AA66+IF(TbTradesBinance[[#This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Row],[Par]]))),$1:$1,0)),-(Z66-Z67)/Z66*AA66),0),0)+IF(TbTradesBinance[[#This Row],[Tipo]]="SELL",IF(ISNUMBER(FIND(MID(AA$1,10,5),TbTradesBinance[[#This Row],[Par]])),IF(FIND(MID(AA$1,10,5),TbTradesBinance[[#This Row],[Par]])=1, -(Z66-Z67)/Z66*AA66,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Row],[Par]])),(-(Z66-Z67)/Z66*AA66)+IF(TbTradesBinance[[#This Row],[Resultado]]&gt;0,0,TbTradesBinance[[#This Row],[Taxa]]),0),0))</f>
        <v>0</v>
      </c>
      <c r="AB67" s="145">
        <f t="shared" si="24"/>
        <v>0</v>
      </c>
      <c r="AC6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Row],[Tipo]]="DROP"),AC66+TbTradesBinance[[#This Row],[Qtt]],AC66-TbTradesBinance[[#This Row],[Qtt]]),IF(TbTradesBinance[[#This Row],[Tipo]]="BUY",AC66-TbTradesBinance[[#This Row],[Qtt]]*TbTradesBinance[[#This Row],[Preço]],AC66+TbTradesBinance[[#This Row],[Qtt]]*TbTradesBinance[[#This Row],[Preço]])),AC66)-IF(TbTradesBinance[[#This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Row],[Tipo]]="DROP"),AC66+TbTradesBinance[[#This Row],[Qtt]],AC66-TbTradesBinance[[#This Row],[Qtt]]),IF(TbTradesBinance[[#This Row],[Tipo]]="BUY",AC66-TbTradesBinance[[#This Row],[Qtt]]*TbTradesBinance[[#This Row],[Preço]],AC66+TbTradesBinance[[#This Row],[Qtt]]*TbTradesBinance[[#This Row],[Preço]])),AC66)-IF(TbTradesBinance[[#This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Row],[Tipo]]="DROP"),AC66+TbTradesBinance[[#This Row],[Qtt]],AC66-TbTradesBinance[[#This Row],[Qtt]]),IF(TbTradesBinance[[#This Row],[Tipo]]="BUY",AC66-TbTradesBinance[[#This Row],[Qtt]]*TbTradesBinance[[#This Row],[Preço]],AC66+TbTradesBinance[[#This Row],[Qtt]]*TbTradesBinance[[#This Row],[Preço]])),AC66)-IF(TbTradesBinance[[#This Row],[Moeda da Taxa]]=MID(AC$1,9,5),TbTradesBinance[[#This Row],[Taxa]],0),8)))</f>
        <v>0</v>
      </c>
      <c r="AD67" s="145" cm="1">
        <f t="array" ref="AD67">IF(TbTradesBinance[[#This Row],[Tipo]]="EMPTY",0,AD66+IF(TbTradesBinance[[#This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Row],[Par]]))),$1:$1,0)),-(AC66-AC67)/AC66*AD66),0),0)+IF(TbTradesBinance[[#This Row],[Tipo]]="SELL",IF(ISNUMBER(FIND(MID(AD$1,10,5),TbTradesBinance[[#This Row],[Par]])),IF(FIND(MID(AD$1,10,5),TbTradesBinance[[#This Row],[Par]])=1, -(AC66-AC67)/AC66*AD66,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Row],[Par]])),(-(AC66-AC67)/AC66*AD66)+IF(TbTradesBinance[[#This Row],[Resultado]]&gt;0,0,TbTradesBinance[[#This Row],[Taxa]]),0),0))</f>
        <v>0</v>
      </c>
      <c r="AE67" s="145">
        <f t="shared" si="25"/>
        <v>0</v>
      </c>
      <c r="AF6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Row],[Tipo]]="DROP"),AF66+TbTradesBinance[[#This Row],[Qtt]],AF66-TbTradesBinance[[#This Row],[Qtt]]),IF(TbTradesBinance[[#This Row],[Tipo]]="BUY",AF66-TbTradesBinance[[#This Row],[Qtt]]*TbTradesBinance[[#This Row],[Preço]],AF66+TbTradesBinance[[#This Row],[Qtt]]*TbTradesBinance[[#This Row],[Preço]])),AF66)-IF(TbTradesBinance[[#This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Row],[Tipo]]="DROP"),AF66+TbTradesBinance[[#This Row],[Qtt]],AF66-TbTradesBinance[[#This Row],[Qtt]]),IF(TbTradesBinance[[#This Row],[Tipo]]="BUY",AF66-TbTradesBinance[[#This Row],[Qtt]]*TbTradesBinance[[#This Row],[Preço]],AF66+TbTradesBinance[[#This Row],[Qtt]]*TbTradesBinance[[#This Row],[Preço]])),AF66)-IF(TbTradesBinance[[#This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Row],[Tipo]]="DROP"),AF66+TbTradesBinance[[#This Row],[Qtt]],AF66-TbTradesBinance[[#This Row],[Qtt]]),IF(TbTradesBinance[[#This Row],[Tipo]]="BUY",AF66-TbTradesBinance[[#This Row],[Qtt]]*TbTradesBinance[[#This Row],[Preço]],AF66+TbTradesBinance[[#This Row],[Qtt]]*TbTradesBinance[[#This Row],[Preço]])),AF66)-IF(TbTradesBinance[[#This Row],[Moeda da Taxa]]=MID(AF$1,9,5),TbTradesBinance[[#This Row],[Taxa]],0),8)))</f>
        <v>0</v>
      </c>
      <c r="AG67" s="145" cm="1">
        <f t="array" ref="AG67">IF(TbTradesBinance[[#This Row],[Tipo]]="EMPTY",0,AG66+IF(TbTradesBinance[[#This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Row],[Par]]))),$1:$1,0)),-(AF66-AF67)/AF66*AG66),0),0)+IF(TbTradesBinance[[#This Row],[Tipo]]="SELL",IF(ISNUMBER(FIND(MID(AG$1,10,5),TbTradesBinance[[#This Row],[Par]])),IF(FIND(MID(AG$1,10,5),TbTradesBinance[[#This Row],[Par]])=1, -(AF66-AF67)/AF66*AG66,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Row],[Par]])),(-(AF66-AF67)/AF66*AG66)+IF(TbTradesBinance[[#This Row],[Resultado]]&gt;0,0,TbTradesBinance[[#This Row],[Taxa]]),0),0))</f>
        <v>0</v>
      </c>
      <c r="AH67" s="145">
        <f t="shared" si="26"/>
        <v>0</v>
      </c>
      <c r="AI6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Row],[Tipo]]="DROP"),AI66+TbTradesBinance[[#This Row],[Qtt]],AI66-TbTradesBinance[[#This Row],[Qtt]]),IF(TbTradesBinance[[#This Row],[Tipo]]="BUY",AI66-TbTradesBinance[[#This Row],[Qtt]]*TbTradesBinance[[#This Row],[Preço]],AI66+TbTradesBinance[[#This Row],[Qtt]]*TbTradesBinance[[#This Row],[Preço]])),AI66)-IF(TbTradesBinance[[#This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Row],[Tipo]]="DROP"),AI66+TbTradesBinance[[#This Row],[Qtt]],AI66-TbTradesBinance[[#This Row],[Qtt]]),IF(TbTradesBinance[[#This Row],[Tipo]]="BUY",AI66-TbTradesBinance[[#This Row],[Qtt]]*TbTradesBinance[[#This Row],[Preço]],AI66+TbTradesBinance[[#This Row],[Qtt]]*TbTradesBinance[[#This Row],[Preço]])),AI66)-IF(TbTradesBinance[[#This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Row],[Tipo]]="DROP"),AI66+TbTradesBinance[[#This Row],[Qtt]],AI66-TbTradesBinance[[#This Row],[Qtt]]),IF(TbTradesBinance[[#This Row],[Tipo]]="BUY",AI66-TbTradesBinance[[#This Row],[Qtt]]*TbTradesBinance[[#This Row],[Preço]],AI66+TbTradesBinance[[#This Row],[Qtt]]*TbTradesBinance[[#This Row],[Preço]])),AI66)-IF(TbTradesBinance[[#This Row],[Moeda da Taxa]]=MID(AI$1,9,5),TbTradesBinance[[#This Row],[Taxa]],0),8)))</f>
        <v>0</v>
      </c>
      <c r="AJ67" s="145" cm="1">
        <f t="array" ref="AJ67">IF(TbTradesBinance[[#This Row],[Tipo]]="EMPTY",0,AJ66+IF(TbTradesBinance[[#This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Row],[Par]]))),$1:$1,0)),-(AI66-AI67)/AI66*AJ66),0),0)+IF(TbTradesBinance[[#This Row],[Tipo]]="SELL",IF(ISNUMBER(FIND(MID(AJ$1,10,5),TbTradesBinance[[#This Row],[Par]])),IF(FIND(MID(AJ$1,10,5),TbTradesBinance[[#This Row],[Par]])=1, -(AI66-AI67)/AI66*AJ66,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Row],[Par]])),(-(AI66-AI67)/AI66*AJ66)+IF(TbTradesBinance[[#This Row],[Resultado]]&gt;0,0,TbTradesBinance[[#This Row],[Taxa]]),0),0))</f>
        <v>0</v>
      </c>
      <c r="AK67" s="145">
        <f t="shared" si="27"/>
        <v>0</v>
      </c>
      <c r="AL6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Row],[Tipo]]="DROP"),AL66+TbTradesBinance[[#This Row],[Qtt]],AL66-TbTradesBinance[[#This Row],[Qtt]]),IF(TbTradesBinance[[#This Row],[Tipo]]="BUY",AL66-TbTradesBinance[[#This Row],[Qtt]]*TbTradesBinance[[#This Row],[Preço]],AL66+TbTradesBinance[[#This Row],[Qtt]]*TbTradesBinance[[#This Row],[Preço]])),AL66)-IF(TbTradesBinance[[#This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Row],[Tipo]]="DROP"),AL66+TbTradesBinance[[#This Row],[Qtt]],AL66-TbTradesBinance[[#This Row],[Qtt]]),IF(TbTradesBinance[[#This Row],[Tipo]]="BUY",AL66-TbTradesBinance[[#This Row],[Qtt]]*TbTradesBinance[[#This Row],[Preço]],AL66+TbTradesBinance[[#This Row],[Qtt]]*TbTradesBinance[[#This Row],[Preço]])),AL66)-IF(TbTradesBinance[[#This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Row],[Tipo]]="DROP"),AL66+TbTradesBinance[[#This Row],[Qtt]],AL66-TbTradesBinance[[#This Row],[Qtt]]),IF(TbTradesBinance[[#This Row],[Tipo]]="BUY",AL66-TbTradesBinance[[#This Row],[Qtt]]*TbTradesBinance[[#This Row],[Preço]],AL66+TbTradesBinance[[#This Row],[Qtt]]*TbTradesBinance[[#This Row],[Preço]])),AL66)-IF(TbTradesBinance[[#This Row],[Moeda da Taxa]]=MID(AL$1,9,5),TbTradesBinance[[#This Row],[Taxa]],0),8)))</f>
        <v>1.75824</v>
      </c>
      <c r="AM67" s="145" cm="1">
        <f t="array" ref="AM67">IF(TbTradesBinance[[#This Row],[Tipo]]="EMPTY",0,AM66+IF(TbTradesBinance[[#This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Row],[Par]]))),$1:$1,0)),-(AL66-AL67)/AL66*AM66),0),0)+IF(TbTradesBinance[[#This Row],[Tipo]]="SELL",IF(ISNUMBER(FIND(MID(AM$1,10,5),TbTradesBinance[[#This Row],[Par]])),IF(FIND(MID(AM$1,10,5),TbTradesBinance[[#This Row],[Par]])=1, -(AL66-AL67)/AL66*AM66,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Row],[Par]])),(-(AL66-AL67)/AL66*AM66)+IF(TbTradesBinance[[#This Row],[Resultado]]&gt;0,0,TbTradesBinance[[#This Row],[Taxa]]),0),0))</f>
        <v>144.56635471393039</v>
      </c>
      <c r="AN67" s="145">
        <f t="shared" si="28"/>
        <v>82.222196465744375</v>
      </c>
      <c r="AO6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Row],[Tipo]]="DROP"),AO66+TbTradesBinance[[#This Row],[Qtt]],AO66-TbTradesBinance[[#This Row],[Qtt]]),IF(TbTradesBinance[[#This Row],[Tipo]]="BUY",AO66-TbTradesBinance[[#This Row],[Qtt]]*TbTradesBinance[[#This Row],[Preço]],AO66+TbTradesBinance[[#This Row],[Qtt]]*TbTradesBinance[[#This Row],[Preço]])),AO66)-IF(TbTradesBinance[[#This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Row],[Tipo]]="DROP"),AO66+TbTradesBinance[[#This Row],[Qtt]],AO66-TbTradesBinance[[#This Row],[Qtt]]),IF(TbTradesBinance[[#This Row],[Tipo]]="BUY",AO66-TbTradesBinance[[#This Row],[Qtt]]*TbTradesBinance[[#This Row],[Preço]],AO66+TbTradesBinance[[#This Row],[Qtt]]*TbTradesBinance[[#This Row],[Preço]])),AO66)-IF(TbTradesBinance[[#This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Row],[Tipo]]="DROP"),AO66+TbTradesBinance[[#This Row],[Qtt]],AO66-TbTradesBinance[[#This Row],[Qtt]]),IF(TbTradesBinance[[#This Row],[Tipo]]="BUY",AO66-TbTradesBinance[[#This Row],[Qtt]]*TbTradesBinance[[#This Row],[Preço]],AO66+TbTradesBinance[[#This Row],[Qtt]]*TbTradesBinance[[#This Row],[Preço]])),AO66)-IF(TbTradesBinance[[#This Row],[Moeda da Taxa]]=MID(AO$1,9,5),TbTradesBinance[[#This Row],[Taxa]],0),8)))</f>
        <v>2.6916900000000001E-3</v>
      </c>
      <c r="AP67" s="145" cm="1">
        <f t="array" ref="AP67">IF(TbTradesBinance[[#This Row],[Tipo]]="EMPTY",0,AP66+IF(TbTradesBinance[[#This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Row],[Par]]))),$1:$1,0)),-(AO66-AO67)/AO66*AP66),0),0)+IF(TbTradesBinance[[#This Row],[Tipo]]="SELL",IF(ISNUMBER(FIND(MID(AP$1,10,5),TbTradesBinance[[#This Row],[Par]])),IF(FIND(MID(AP$1,10,5),TbTradesBinance[[#This Row],[Par]])=1, -(AO66-AO67)/AO66*AP66,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Row],[Par]])),(-(AO66-AO67)/AO66*AP66)+IF(TbTradesBinance[[#This Row],[Resultado]]&gt;0,0,TbTradesBinance[[#This Row],[Taxa]]),0),0))</f>
        <v>5.1390914851146583</v>
      </c>
      <c r="AQ67" s="145">
        <f t="shared" si="29"/>
        <v>1909.2434437526827</v>
      </c>
      <c r="AR6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Row],[Tipo]]="DROP"),AR66+TbTradesBinance[[#This Row],[Qtt]],AR66-TbTradesBinance[[#This Row],[Qtt]]),IF(TbTradesBinance[[#This Row],[Tipo]]="BUY",AR66-TbTradesBinance[[#This Row],[Qtt]]*TbTradesBinance[[#This Row],[Preço]],AR66+TbTradesBinance[[#This Row],[Qtt]]*TbTradesBinance[[#This Row],[Preço]])),AR66)-IF(TbTradesBinance[[#This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Row],[Tipo]]="DROP"),AR66+TbTradesBinance[[#This Row],[Qtt]],AR66-TbTradesBinance[[#This Row],[Qtt]]),IF(TbTradesBinance[[#This Row],[Tipo]]="BUY",AR66-TbTradesBinance[[#This Row],[Qtt]]*TbTradesBinance[[#This Row],[Preço]],AR66+TbTradesBinance[[#This Row],[Qtt]]*TbTradesBinance[[#This Row],[Preço]])),AR66)-IF(TbTradesBinance[[#This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Row],[Tipo]]="DROP"),AR66+TbTradesBinance[[#This Row],[Qtt]],AR66-TbTradesBinance[[#This Row],[Qtt]]),IF(TbTradesBinance[[#This Row],[Tipo]]="BUY",AR66-TbTradesBinance[[#This Row],[Qtt]]*TbTradesBinance[[#This Row],[Preço]],AR66+TbTradesBinance[[#This Row],[Qtt]]*TbTradesBinance[[#This Row],[Preço]])),AR66)-IF(TbTradesBinance[[#This Row],[Moeda da Taxa]]=MID(AR$1,9,5),TbTradesBinance[[#This Row],[Taxa]],0),8)))</f>
        <v>0</v>
      </c>
      <c r="AS67" s="145" cm="1">
        <f t="array" ref="AS67">IF(TbTradesBinance[[#This Row],[Tipo]]="EMPTY",0,AS66+IF(TbTradesBinance[[#This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Row],[Par]]))),$1:$1,0)),-(AR66-AR67)/AR66*AS66),0),0)+IF(TbTradesBinance[[#This Row],[Tipo]]="SELL",IF(ISNUMBER(FIND(MID(AS$1,10,5),TbTradesBinance[[#This Row],[Par]])),IF(FIND(MID(AS$1,10,5),TbTradesBinance[[#This Row],[Par]])=1, -(AR66-AR67)/AR66*AS66,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Row],[Par]])),(-(AR66-AR67)/AR66*AS66)+IF(TbTradesBinance[[#This Row],[Resultado]]&gt;0,0,TbTradesBinance[[#This Row],[Taxa]]),0),0))</f>
        <v>0</v>
      </c>
      <c r="AT67" s="145">
        <f t="shared" si="30"/>
        <v>0</v>
      </c>
      <c r="AU6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Row],[Tipo]]="DROP"),AU66+TbTradesBinance[[#This Row],[Qtt]],AU66-TbTradesBinance[[#This Row],[Qtt]]),IF(TbTradesBinance[[#This Row],[Tipo]]="BUY",AU66-TbTradesBinance[[#This Row],[Qtt]]*TbTradesBinance[[#This Row],[Preço]],AU66+TbTradesBinance[[#This Row],[Qtt]]*TbTradesBinance[[#This Row],[Preço]])),AU66)-IF(TbTradesBinance[[#This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Row],[Tipo]]="DROP"),AU66+TbTradesBinance[[#This Row],[Qtt]],AU66-TbTradesBinance[[#This Row],[Qtt]]),IF(TbTradesBinance[[#This Row],[Tipo]]="BUY",AU66-TbTradesBinance[[#This Row],[Qtt]]*TbTradesBinance[[#This Row],[Preço]],AU66+TbTradesBinance[[#This Row],[Qtt]]*TbTradesBinance[[#This Row],[Preço]])),AU66)-IF(TbTradesBinance[[#This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Row],[Tipo]]="DROP"),AU66+TbTradesBinance[[#This Row],[Qtt]],AU66-TbTradesBinance[[#This Row],[Qtt]]),IF(TbTradesBinance[[#This Row],[Tipo]]="BUY",AU66-TbTradesBinance[[#This Row],[Qtt]]*TbTradesBinance[[#This Row],[Preço]],AU66+TbTradesBinance[[#This Row],[Qtt]]*TbTradesBinance[[#This Row],[Preço]])),AU66)-IF(TbTradesBinance[[#This Row],[Moeda da Taxa]]=MID(AU$1,9,5),TbTradesBinance[[#This Row],[Taxa]],0),8)))</f>
        <v>0.26989999999999997</v>
      </c>
      <c r="AV67" s="145" cm="1">
        <f t="array" ref="AV67">IF(TbTradesBinance[[#This Row],[Tipo]]="EMPTY",0,AV66+IF(TbTradesBinance[[#This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Row],[Par]]))),$1:$1,0)),-(AU66-AU67)/AU66*AV66),0),0)+IF(TbTradesBinance[[#This Row],[Tipo]]="SELL",IF(ISNUMBER(FIND(MID(AV$1,10,5),TbTradesBinance[[#This Row],[Par]])),IF(FIND(MID(AV$1,10,5),TbTradesBinance[[#This Row],[Par]])=1, -(AU66-AU67)/AU66*AV66,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Row],[Par]])),(-(AU66-AU67)/AU66*AV66)+IF(TbTradesBinance[[#This Row],[Resultado]]&gt;0,0,TbTradesBinance[[#This Row],[Taxa]]),0),0))</f>
        <v>56.09788062740806</v>
      </c>
      <c r="AW67" s="145">
        <f t="shared" si="31"/>
        <v>207.8469085861729</v>
      </c>
      <c r="AX6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Row],[Tipo]]="DROP"),AX66+TbTradesBinance[[#This Row],[Qtt]],AX66-TbTradesBinance[[#This Row],[Qtt]]),IF(TbTradesBinance[[#This Row],[Tipo]]="BUY",AX66-TbTradesBinance[[#This Row],[Qtt]]*TbTradesBinance[[#This Row],[Preço]],AX66+TbTradesBinance[[#This Row],[Qtt]]*TbTradesBinance[[#This Row],[Preço]])),AX66)-IF(TbTradesBinance[[#This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Row],[Tipo]]="DROP"),AX66+TbTradesBinance[[#This Row],[Qtt]],AX66-TbTradesBinance[[#This Row],[Qtt]]),IF(TbTradesBinance[[#This Row],[Tipo]]="BUY",AX66-TbTradesBinance[[#This Row],[Qtt]]*TbTradesBinance[[#This Row],[Preço]],AX66+TbTradesBinance[[#This Row],[Qtt]]*TbTradesBinance[[#This Row],[Preço]])),AX66)-IF(TbTradesBinance[[#This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Row],[Tipo]]="DROP"),AX66+TbTradesBinance[[#This Row],[Qtt]],AX66-TbTradesBinance[[#This Row],[Qtt]]),IF(TbTradesBinance[[#This Row],[Tipo]]="BUY",AX66-TbTradesBinance[[#This Row],[Qtt]]*TbTradesBinance[[#This Row],[Preço]],AX66+TbTradesBinance[[#This Row],[Qtt]]*TbTradesBinance[[#This Row],[Preço]])),AX66)-IF(TbTradesBinance[[#This Row],[Moeda da Taxa]]=MID(AX$1,9,5),TbTradesBinance[[#This Row],[Taxa]],0),8)))</f>
        <v>0.22636999999999999</v>
      </c>
      <c r="AY67" s="145" cm="1">
        <f t="array" ref="AY67">IF(TbTradesBinance[[#This Row],[Tipo]]="EMPTY",0,AY66+IF(TbTradesBinance[[#This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Row],[Par]]))),$1:$1,0)),-(AX66-AX67)/AX66*AY66),0),0)+IF(TbTradesBinance[[#This Row],[Tipo]]="SELL",IF(ISNUMBER(FIND(MID(AY$1,10,5),TbTradesBinance[[#This Row],[Par]])),IF(FIND(MID(AY$1,10,5),TbTradesBinance[[#This Row],[Par]])=1, -(AX66-AX67)/AX66*AY66,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Row],[Par]])),(-(AX66-AX67)/AX66*AY66)+IF(TbTradesBinance[[#This Row],[Resultado]]&gt;0,0,TbTradesBinance[[#This Row],[Taxa]]),0),0))</f>
        <v>40.781337593356859</v>
      </c>
      <c r="AZ67" s="145">
        <f t="shared" si="32"/>
        <v>180.15345493376711</v>
      </c>
      <c r="BA6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Row],[Tipo]]="DROP"),BA66+TbTradesBinance[[#This Row],[Qtt]],BA66-TbTradesBinance[[#This Row],[Qtt]]),IF(TbTradesBinance[[#This Row],[Tipo]]="BUY",BA66-TbTradesBinance[[#This Row],[Qtt]]*TbTradesBinance[[#This Row],[Preço]],BA66+TbTradesBinance[[#This Row],[Qtt]]*TbTradesBinance[[#This Row],[Preço]])),BA66)-IF(TbTradesBinance[[#This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Row],[Tipo]]="DROP"),BA66+TbTradesBinance[[#This Row],[Qtt]],BA66-TbTradesBinance[[#This Row],[Qtt]]),IF(TbTradesBinance[[#This Row],[Tipo]]="BUY",BA66-TbTradesBinance[[#This Row],[Qtt]]*TbTradesBinance[[#This Row],[Preço]],BA66+TbTradesBinance[[#This Row],[Qtt]]*TbTradesBinance[[#This Row],[Preço]])),BA66)-IF(TbTradesBinance[[#This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Row],[Tipo]]="DROP"),BA66+TbTradesBinance[[#This Row],[Qtt]],BA66-TbTradesBinance[[#This Row],[Qtt]]),IF(TbTradesBinance[[#This Row],[Tipo]]="BUY",BA66-TbTradesBinance[[#This Row],[Qtt]]*TbTradesBinance[[#This Row],[Preço]],BA66+TbTradesBinance[[#This Row],[Qtt]]*TbTradesBinance[[#This Row],[Preço]])),BA66)-IF(TbTradesBinance[[#This Row],[Moeda da Taxa]]=MID(BA$1,9,5),TbTradesBinance[[#This Row],[Taxa]],0),8)))</f>
        <v>0</v>
      </c>
      <c r="BB67" s="145" cm="1">
        <f t="array" ref="BB67">IF(TbTradesBinance[[#This Row],[Tipo]]="EMPTY",0,BB66+IF(TbTradesBinance[[#This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Row],[Par]]))),$1:$1,0)),-(BA66-BA67)/BA66*BB66),0),0)+IF(TbTradesBinance[[#This Row],[Tipo]]="SELL",IF(ISNUMBER(FIND(MID(BB$1,10,5),TbTradesBinance[[#This Row],[Par]])),IF(FIND(MID(BB$1,10,5),TbTradesBinance[[#This Row],[Par]])=1, -(BA66-BA67)/BA66*BB66,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Row],[Par]])),(-(BA66-BA67)/BA66*BB66)+IF(TbTradesBinance[[#This Row],[Resultado]]&gt;0,0,TbTradesBinance[[#This Row],[Taxa]]),0),0))</f>
        <v>0</v>
      </c>
      <c r="BC67" s="145">
        <f t="shared" si="33"/>
        <v>0</v>
      </c>
      <c r="BD6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Row],[Tipo]]="DROP"),BD66+TbTradesBinance[[#This Row],[Qtt]],BD66-TbTradesBinance[[#This Row],[Qtt]]),IF(TbTradesBinance[[#This Row],[Tipo]]="BUY",BD66-TbTradesBinance[[#This Row],[Qtt]]*TbTradesBinance[[#This Row],[Preço]],BD66+TbTradesBinance[[#This Row],[Qtt]]*TbTradesBinance[[#This Row],[Preço]])),BD66)-IF(TbTradesBinance[[#This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Row],[Tipo]]="DROP"),BD66+TbTradesBinance[[#This Row],[Qtt]],BD66-TbTradesBinance[[#This Row],[Qtt]]),IF(TbTradesBinance[[#This Row],[Tipo]]="BUY",BD66-TbTradesBinance[[#This Row],[Qtt]]*TbTradesBinance[[#This Row],[Preço]],BD66+TbTradesBinance[[#This Row],[Qtt]]*TbTradesBinance[[#This Row],[Preço]])),BD66)-IF(TbTradesBinance[[#This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Row],[Tipo]]="DROP"),BD66+TbTradesBinance[[#This Row],[Qtt]],BD66-TbTradesBinance[[#This Row],[Qtt]]),IF(TbTradesBinance[[#This Row],[Tipo]]="BUY",BD66-TbTradesBinance[[#This Row],[Qtt]]*TbTradesBinance[[#This Row],[Preço]],BD66+TbTradesBinance[[#This Row],[Qtt]]*TbTradesBinance[[#This Row],[Preço]])),BD66)-IF(TbTradesBinance[[#This Row],[Moeda da Taxa]]=MID(BD$1,9,5),TbTradesBinance[[#This Row],[Taxa]],0),8)))</f>
        <v>0.37962000000000001</v>
      </c>
      <c r="BE67" s="145" cm="1">
        <f t="array" ref="BE67">IF(TbTradesBinance[[#This Row],[Tipo]]="EMPTY",0,BE66+IF(TbTradesBinance[[#This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Row],[Par]]))),$1:$1,0)),-(BD66-BD67)/BD66*BE66),0),0)+IF(TbTradesBinance[[#This Row],[Tipo]]="SELL",IF(ISNUMBER(FIND(MID(BE$1,10,5),TbTradesBinance[[#This Row],[Par]])),IF(FIND(MID(BE$1,10,5),TbTradesBinance[[#This Row],[Par]])=1, -(BD66-BD67)/BD66*BE66,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Row],[Par]])),(-(BD66-BD67)/BD66*BE66)+IF(TbTradesBinance[[#This Row],[Resultado]]&gt;0,0,TbTradesBinance[[#This Row],[Taxa]]),0),0))</f>
        <v>63.647297001537943</v>
      </c>
      <c r="BF67" s="145">
        <f t="shared" si="34"/>
        <v>167.66054739354601</v>
      </c>
      <c r="BG6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Row],[Tipo]]="DROP"),BG66+TbTradesBinance[[#This Row],[Qtt]],BG66-TbTradesBinance[[#This Row],[Qtt]]),IF(TbTradesBinance[[#This Row],[Tipo]]="BUY",BG66-TbTradesBinance[[#This Row],[Qtt]]*TbTradesBinance[[#This Row],[Preço]],BG66+TbTradesBinance[[#This Row],[Qtt]]*TbTradesBinance[[#This Row],[Preço]])),BG66)-IF(TbTradesBinance[[#This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Row],[Tipo]]="DROP"),BG66+TbTradesBinance[[#This Row],[Qtt]],BG66-TbTradesBinance[[#This Row],[Qtt]]),IF(TbTradesBinance[[#This Row],[Tipo]]="BUY",BG66-TbTradesBinance[[#This Row],[Qtt]]*TbTradesBinance[[#This Row],[Preço]],BG66+TbTradesBinance[[#This Row],[Qtt]]*TbTradesBinance[[#This Row],[Preço]])),BG66)-IF(TbTradesBinance[[#This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Row],[Tipo]]="DROP"),BG66+TbTradesBinance[[#This Row],[Qtt]],BG66-TbTradesBinance[[#This Row],[Qtt]]),IF(TbTradesBinance[[#This Row],[Tipo]]="BUY",BG66-TbTradesBinance[[#This Row],[Qtt]]*TbTradesBinance[[#This Row],[Preço]],BG66+TbTradesBinance[[#This Row],[Qtt]]*TbTradesBinance[[#This Row],[Preço]])),BG66)-IF(TbTradesBinance[[#This Row],[Moeda da Taxa]]=MID(BG$1,9,5),TbTradesBinance[[#This Row],[Taxa]],0),8)))</f>
        <v>0</v>
      </c>
      <c r="BH67" s="145" cm="1">
        <f t="array" ref="BH67">IF(TbTradesBinance[[#This Row],[Tipo]]="EMPTY",0,BH66+IF(TbTradesBinance[[#This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Row],[Par]]))),$1:$1,0)),-(BG66-BG67)/BG66*BH66),0),0)+IF(TbTradesBinance[[#This Row],[Tipo]]="SELL",IF(ISNUMBER(FIND(MID(BH$1,10,5),TbTradesBinance[[#This Row],[Par]])),IF(FIND(MID(BH$1,10,5),TbTradesBinance[[#This Row],[Par]])=1, -(BG66-BG67)/BG66*BH66,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Row],[Par]])),(-(BG66-BG67)/BG66*BH66)+IF(TbTradesBinance[[#This Row],[Resultado]]&gt;0,0,TbTradesBinance[[#This Row],[Taxa]]),0),0))</f>
        <v>0</v>
      </c>
      <c r="BI67" s="145">
        <f t="shared" si="35"/>
        <v>0</v>
      </c>
      <c r="BJ6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Row],[Tipo]]="DROP"),BJ66+TbTradesBinance[[#This Row],[Qtt]],BJ66-TbTradesBinance[[#This Row],[Qtt]]),IF(TbTradesBinance[[#This Row],[Tipo]]="BUY",BJ66-TbTradesBinance[[#This Row],[Qtt]]*TbTradesBinance[[#This Row],[Preço]],BJ66+TbTradesBinance[[#This Row],[Qtt]]*TbTradesBinance[[#This Row],[Preço]])),BJ66)-IF(TbTradesBinance[[#This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Row],[Tipo]]="DROP"),BJ66+TbTradesBinance[[#This Row],[Qtt]],BJ66-TbTradesBinance[[#This Row],[Qtt]]),IF(TbTradesBinance[[#This Row],[Tipo]]="BUY",BJ66-TbTradesBinance[[#This Row],[Qtt]]*TbTradesBinance[[#This Row],[Preço]],BJ66+TbTradesBinance[[#This Row],[Qtt]]*TbTradesBinance[[#This Row],[Preço]])),BJ66)-IF(TbTradesBinance[[#This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Row],[Tipo]]="DROP"),BJ66+TbTradesBinance[[#This Row],[Qtt]],BJ66-TbTradesBinance[[#This Row],[Qtt]]),IF(TbTradesBinance[[#This Row],[Tipo]]="BUY",BJ66-TbTradesBinance[[#This Row],[Qtt]]*TbTradesBinance[[#This Row],[Preço]],BJ66+TbTradesBinance[[#This Row],[Qtt]]*TbTradesBinance[[#This Row],[Preço]])),BJ66)-IF(TbTradesBinance[[#This Row],[Moeda da Taxa]]=MID(BJ$1,9,5),TbTradesBinance[[#This Row],[Taxa]],0),8)))</f>
        <v>0</v>
      </c>
      <c r="BK67" s="145" cm="1">
        <f t="array" ref="BK67">IF(TbTradesBinance[[#This Row],[Tipo]]="EMPTY",0,BK66+IF(TbTradesBinance[[#This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Row],[Par]]))),$1:$1,0)),-(BJ66-BJ67)/BJ66*BK66),0),0)+IF(TbTradesBinance[[#This Row],[Tipo]]="SELL",IF(ISNUMBER(FIND(MID(BK$1,10,5),TbTradesBinance[[#This Row],[Par]])),IF(FIND(MID(BK$1,10,5),TbTradesBinance[[#This Row],[Par]])=1, -(BJ66-BJ67)/BJ66*BK66,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Row],[Par]])),(-(BJ66-BJ67)/BJ66*BK66)+IF(TbTradesBinance[[#This Row],[Resultado]]&gt;0,0,TbTradesBinance[[#This Row],[Taxa]]),0),0))</f>
        <v>0</v>
      </c>
      <c r="BL67" s="145">
        <f t="shared" si="36"/>
        <v>0</v>
      </c>
      <c r="BM6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Row],[Tipo]]="DROP"),BM66+TbTradesBinance[[#This Row],[Qtt]],BM66-TbTradesBinance[[#This Row],[Qtt]]),IF(TbTradesBinance[[#This Row],[Tipo]]="BUY",BM66-TbTradesBinance[[#This Row],[Qtt]]*TbTradesBinance[[#This Row],[Preço]],BM66+TbTradesBinance[[#This Row],[Qtt]]*TbTradesBinance[[#This Row],[Preço]])),BM66)-IF(TbTradesBinance[[#This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Row],[Tipo]]="DROP"),BM66+TbTradesBinance[[#This Row],[Qtt]],BM66-TbTradesBinance[[#This Row],[Qtt]]),IF(TbTradesBinance[[#This Row],[Tipo]]="BUY",BM66-TbTradesBinance[[#This Row],[Qtt]]*TbTradesBinance[[#This Row],[Preço]],BM66+TbTradesBinance[[#This Row],[Qtt]]*TbTradesBinance[[#This Row],[Preço]])),BM66)-IF(TbTradesBinance[[#This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Row],[Tipo]]="DROP"),BM66+TbTradesBinance[[#This Row],[Qtt]],BM66-TbTradesBinance[[#This Row],[Qtt]]),IF(TbTradesBinance[[#This Row],[Tipo]]="BUY",BM66-TbTradesBinance[[#This Row],[Qtt]]*TbTradesBinance[[#This Row],[Preço]],BM66+TbTradesBinance[[#This Row],[Qtt]]*TbTradesBinance[[#This Row],[Preço]])),BM66)-IF(TbTradesBinance[[#This Row],[Moeda da Taxa]]=MID(BM$1,9,5),TbTradesBinance[[#This Row],[Taxa]],0),8)))</f>
        <v>0</v>
      </c>
      <c r="BN67" s="145" cm="1">
        <f t="array" ref="BN67">IF(TbTradesBinance[[#This Row],[Tipo]]="EMPTY",0,BN66+IF(TbTradesBinance[[#This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Row],[Par]]))),$1:$1,0)),-(BM66-BM67)/BM66*BN66),0),0)+IF(TbTradesBinance[[#This Row],[Tipo]]="SELL",IF(ISNUMBER(FIND(MID(BN$1,10,5),TbTradesBinance[[#This Row],[Par]])),IF(FIND(MID(BN$1,10,5),TbTradesBinance[[#This Row],[Par]])=1, -(BM66-BM67)/BM66*BN66,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Row],[Par]])),(-(BM66-BM67)/BM66*BN66)+IF(TbTradesBinance[[#This Row],[Resultado]]&gt;0,0,TbTradesBinance[[#This Row],[Taxa]]),0),0))</f>
        <v>0</v>
      </c>
      <c r="BO67" s="145">
        <f t="shared" si="37"/>
        <v>0</v>
      </c>
    </row>
    <row r="68" spans="2:67" x14ac:dyDescent="0.3">
      <c r="B68" s="51"/>
      <c r="C68" s="40">
        <f>TRUNC(IF(AND(TbTradesBinance[[#This Row],[Tipo]]="SEND",TbTradesBinance[[#This Row],[Par]]="BRL"),TbTradesBinance[[#This Row],[Qtt]]*(1-P66)-IF(TbTradesBinance[[#This Row],[Moeda da Taxa]]="BRL",TbTradesBinance[[#This Row],[Taxa]],0),0)+IF(AND(TbTradesBinance[[#This Row],[Tipo]]="BURN",TbTradesBinance[[#This Row],[Par]]="BRL"),-TbTradesBinance[[#This Row],[Qtt]]*P66,0),2)</f>
        <v>0</v>
      </c>
      <c r="D68" s="53">
        <v>44264.904675925929</v>
      </c>
      <c r="E68" s="37" t="s">
        <v>138</v>
      </c>
      <c r="F68" s="47" t="s">
        <v>139</v>
      </c>
      <c r="G68" s="38">
        <v>323434</v>
      </c>
      <c r="H68" s="38">
        <v>1.5460000000000001E-3</v>
      </c>
      <c r="I68" s="38">
        <v>1.55E-6</v>
      </c>
      <c r="J68" s="37" t="s">
        <v>6</v>
      </c>
      <c r="K68" s="52">
        <v>1</v>
      </c>
      <c r="L68" s="40">
        <f t="shared" si="19"/>
        <v>323434</v>
      </c>
      <c r="M68" s="40">
        <f>IF(OR(TbTradesBinance[[#This Row],[Tipo]]="BUY",TbTradesBinance[[#This Row],[Tipo]]="RECEIVE",TbTradesBinance[[#This Row],[Tipo]]="DROP"),L68*H68,-L68*H68)</f>
        <v>500.02896400000003</v>
      </c>
      <c r="N6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Row],[Tipo]]="DROP"),N67+TbTradesBinance[[#This Row],[Qtt]],N67-TbTradesBinance[[#This Row],[Qtt]]),IF(TbTradesBinance[[#This Row],[Tipo]]="BUY",N67-TbTradesBinance[[#This Row],[Qtt]]*TbTradesBinance[[#This Row],[Preço]],N67+TbTradesBinance[[#This Row],[Qtt]]*TbTradesBinance[[#This Row],[Preço]])),N67)-IF(TbTradesBinance[[#This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Row],[Tipo]]="DROP"),N67+TbTradesBinance[[#This Row],[Qtt]],N67-TbTradesBinance[[#This Row],[Qtt]]),IF(TbTradesBinance[[#This Row],[Tipo]]="BUY",N67-TbTradesBinance[[#This Row],[Qtt]]*TbTradesBinance[[#This Row],[Preço]],N67+TbTradesBinance[[#This Row],[Qtt]]*TbTradesBinance[[#This Row],[Preço]])),N67)-IF(TbTradesBinance[[#This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Row],[Tipo]]="DROP"),N67+TbTradesBinance[[#This Row],[Qtt]],N67-TbTradesBinance[[#This Row],[Qtt]]),IF(TbTradesBinance[[#This Row],[Tipo]]="BUY",N67-TbTradesBinance[[#This Row],[Qtt]]*TbTradesBinance[[#This Row],[Preço]],N67+TbTradesBinance[[#This Row],[Qtt]]*TbTradesBinance[[#This Row],[Preço]])),N67)-IF(TbTradesBinance[[#This Row],[Moeda da Taxa]]=MID(N$1,9,5),TbTradesBinance[[#This Row],[Taxa]],0),8)))</f>
        <v>120245.39103599</v>
      </c>
      <c r="O68" s="145" cm="1">
        <f t="array" ref="O68">IF(TbTradesBinance[[#This Row],[Tipo]]="EMPTY",0,O67+IF(TbTradesBinance[[#This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Row],[Par]]))),$1:$1,0)),-(N67-N68)/N67*O67),0),0)+IF(TbTradesBinance[[#This Row],[Tipo]]="SELL",IF(ISNUMBER(FIND(MID(O$1,10,5),TbTradesBinance[[#This Row],[Par]])),IF(FIND(MID(O$1,10,5),TbTradesBinance[[#This Row],[Par]])=1, -(N67-N68)/N67*O67,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Row],[Par]])),(-(N67-N68)/N67*O67)+IF(TbTradesBinance[[#This Row],[Resultado]]&gt;0,0,TbTradesBinance[[#This Row],[Taxa]]),0),0))</f>
        <v>120148.46685078817</v>
      </c>
      <c r="P68" s="145">
        <f t="shared" si="20"/>
        <v>0.99919394677528373</v>
      </c>
      <c r="Q6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Row],[Tipo]]="DROP"),Q67+TbTradesBinance[[#This Row],[Qtt]],Q67-TbTradesBinance[[#This Row],[Qtt]]),IF(TbTradesBinance[[#This Row],[Tipo]]="BUY",Q67-TbTradesBinance[[#This Row],[Qtt]]*TbTradesBinance[[#This Row],[Preço]],Q67+TbTradesBinance[[#This Row],[Qtt]]*TbTradesBinance[[#This Row],[Preço]])),Q67)-IF(TbTradesBinance[[#This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Row],[Tipo]]="DROP"),Q67+TbTradesBinance[[#This Row],[Qtt]],Q67-TbTradesBinance[[#This Row],[Qtt]]),IF(TbTradesBinance[[#This Row],[Tipo]]="BUY",Q67-TbTradesBinance[[#This Row],[Qtt]]*TbTradesBinance[[#This Row],[Preço]],Q67+TbTradesBinance[[#This Row],[Qtt]]*TbTradesBinance[[#This Row],[Preço]])),Q67)-IF(TbTradesBinance[[#This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Row],[Tipo]]="DROP"),Q67+TbTradesBinance[[#This Row],[Qtt]],Q67-TbTradesBinance[[#This Row],[Qtt]]),IF(TbTradesBinance[[#This Row],[Tipo]]="BUY",Q67-TbTradesBinance[[#This Row],[Qtt]]*TbTradesBinance[[#This Row],[Preço]],Q67+TbTradesBinance[[#This Row],[Qtt]]*TbTradesBinance[[#This Row],[Preço]])),Q67)-IF(TbTradesBinance[[#This Row],[Moeda da Taxa]]=MID(Q$1,9,5),TbTradesBinance[[#This Row],[Taxa]],0),8)))</f>
        <v>0.29005796</v>
      </c>
      <c r="R68" s="145" cm="1">
        <f t="array" ref="R68">IF(TbTradesBinance[[#This Row],[Tipo]]="EMPTY",0,R67+IF(TbTradesBinance[[#This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Row],[Par]]))),$1:$1,0)),-(Q67-Q68)/Q67*R67),0),0)+IF(TbTradesBinance[[#This Row],[Tipo]]="SELL",IF(ISNUMBER(FIND(MID(R$1,10,5),TbTradesBinance[[#This Row],[Par]])),IF(FIND(MID(R$1,10,5),TbTradesBinance[[#This Row],[Par]])=1, -(Q67-Q68)/Q67*R67,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Row],[Par]])),(-(Q67-Q68)/Q67*R67)+IF(TbTradesBinance[[#This Row],[Resultado]]&gt;0,0,TbTradesBinance[[#This Row],[Taxa]]),0),0))</f>
        <v>1.5930510813161334</v>
      </c>
      <c r="S68" s="145">
        <f t="shared" si="21"/>
        <v>5.4921819119052389</v>
      </c>
      <c r="T6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Row],[Tipo]]="DROP"),T67+TbTradesBinance[[#This Row],[Qtt]],T67-TbTradesBinance[[#This Row],[Qtt]]),IF(TbTradesBinance[[#This Row],[Tipo]]="BUY",T67-TbTradesBinance[[#This Row],[Qtt]]*TbTradesBinance[[#This Row],[Preço]],T67+TbTradesBinance[[#This Row],[Qtt]]*TbTradesBinance[[#This Row],[Preço]])),T67)-IF(TbTradesBinance[[#This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Row],[Tipo]]="DROP"),T67+TbTradesBinance[[#This Row],[Qtt]],T67-TbTradesBinance[[#This Row],[Qtt]]),IF(TbTradesBinance[[#This Row],[Tipo]]="BUY",T67-TbTradesBinance[[#This Row],[Qtt]]*TbTradesBinance[[#This Row],[Preço]],T67+TbTradesBinance[[#This Row],[Qtt]]*TbTradesBinance[[#This Row],[Preço]])),T67)-IF(TbTradesBinance[[#This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Row],[Tipo]]="DROP"),T67+TbTradesBinance[[#This Row],[Qtt]],T67-TbTradesBinance[[#This Row],[Qtt]]),IF(TbTradesBinance[[#This Row],[Tipo]]="BUY",T67-TbTradesBinance[[#This Row],[Qtt]]*TbTradesBinance[[#This Row],[Preço]],T67+TbTradesBinance[[#This Row],[Qtt]]*TbTradesBinance[[#This Row],[Preço]])),T67)-IF(TbTradesBinance[[#This Row],[Moeda da Taxa]]=MID(T$1,9,5),TbTradesBinance[[#This Row],[Taxa]],0),8)))</f>
        <v>199735.32000169999</v>
      </c>
      <c r="U68" s="145" cm="1">
        <f t="array" ref="U68">IF(TbTradesBinance[[#This Row],[Tipo]]="EMPTY",0,U67+IF(TbTradesBinance[[#This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Row],[Par]]))),$1:$1,0)),-(T67-T68)/T67*U67),0),0)+IF(TbTradesBinance[[#This Row],[Tipo]]="SELL",IF(ISNUMBER(FIND(MID(U$1,10,5),TbTradesBinance[[#This Row],[Par]])),IF(FIND(MID(U$1,10,5),TbTradesBinance[[#This Row],[Par]])=1, -(T67-T68)/T67*U67,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Row],[Par]])),(-(T67-T68)/T67*U67)+IF(TbTradesBinance[[#This Row],[Resultado]]&gt;0,0,TbTradesBinance[[#This Row],[Taxa]]),0),0))</f>
        <v>1328239.8809817513</v>
      </c>
      <c r="V68" s="145">
        <f t="shared" si="22"/>
        <v>6.6500000148719129</v>
      </c>
      <c r="W6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Row],[Tipo]]="DROP"),W67+TbTradesBinance[[#This Row],[Qtt]],W67-TbTradesBinance[[#This Row],[Qtt]]),IF(TbTradesBinance[[#This Row],[Tipo]]="BUY",W67-TbTradesBinance[[#This Row],[Qtt]]*TbTradesBinance[[#This Row],[Preço]],W67+TbTradesBinance[[#This Row],[Qtt]]*TbTradesBinance[[#This Row],[Preço]])),W67)-IF(TbTradesBinance[[#This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Row],[Tipo]]="DROP"),W67+TbTradesBinance[[#This Row],[Qtt]],W67-TbTradesBinance[[#This Row],[Qtt]]),IF(TbTradesBinance[[#This Row],[Tipo]]="BUY",W67-TbTradesBinance[[#This Row],[Qtt]]*TbTradesBinance[[#This Row],[Preço]],W67+TbTradesBinance[[#This Row],[Qtt]]*TbTradesBinance[[#This Row],[Preço]])),W67)-IF(TbTradesBinance[[#This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Row],[Tipo]]="DROP"),W67+TbTradesBinance[[#This Row],[Qtt]],W67-TbTradesBinance[[#This Row],[Qtt]]),IF(TbTradesBinance[[#This Row],[Tipo]]="BUY",W67-TbTradesBinance[[#This Row],[Qtt]]*TbTradesBinance[[#This Row],[Preço]],W67+TbTradesBinance[[#This Row],[Qtt]]*TbTradesBinance[[#This Row],[Preço]])),W67)-IF(TbTradesBinance[[#This Row],[Moeda da Taxa]]=MID(W$1,9,5),TbTradesBinance[[#This Row],[Taxa]],0),8)))</f>
        <v>2.0351800000000001E-3</v>
      </c>
      <c r="X68" s="145" cm="1">
        <f t="array" ref="X68">IF(TbTradesBinance[[#This Row],[Tipo]]="EMPTY",0,X67+IF(TbTradesBinance[[#This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Row],[Par]]))),$1:$1,0)),-(W67-W68)/W67*X67),0),0)+IF(TbTradesBinance[[#This Row],[Tipo]]="SELL",IF(ISNUMBER(FIND(MID(X$1,10,5),TbTradesBinance[[#This Row],[Par]])),IF(FIND(MID(X$1,10,5),TbTradesBinance[[#This Row],[Par]])=1, -(W67-W68)/W67*X67,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Row],[Par]])),(-(W67-W68)/W67*X67)+IF(TbTradesBinance[[#This Row],[Resultado]]&gt;0,0,TbTradesBinance[[#This Row],[Taxa]]),0),0))</f>
        <v>646.90477483351879</v>
      </c>
      <c r="Y68" s="145">
        <f t="shared" si="23"/>
        <v>317861.20875476307</v>
      </c>
      <c r="Z6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Row],[Tipo]]="DROP"),Z67+TbTradesBinance[[#This Row],[Qtt]],Z67-TbTradesBinance[[#This Row],[Qtt]]),IF(TbTradesBinance[[#This Row],[Tipo]]="BUY",Z67-TbTradesBinance[[#This Row],[Qtt]]*TbTradesBinance[[#This Row],[Preço]],Z67+TbTradesBinance[[#This Row],[Qtt]]*TbTradesBinance[[#This Row],[Preço]])),Z67)-IF(TbTradesBinance[[#This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Row],[Tipo]]="DROP"),Z67+TbTradesBinance[[#This Row],[Qtt]],Z67-TbTradesBinance[[#This Row],[Qtt]]),IF(TbTradesBinance[[#This Row],[Tipo]]="BUY",Z67-TbTradesBinance[[#This Row],[Qtt]]*TbTradesBinance[[#This Row],[Preço]],Z67+TbTradesBinance[[#This Row],[Qtt]]*TbTradesBinance[[#This Row],[Preço]])),Z67)-IF(TbTradesBinance[[#This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Row],[Tipo]]="DROP"),Z67+TbTradesBinance[[#This Row],[Qtt]],Z67-TbTradesBinance[[#This Row],[Qtt]]),IF(TbTradesBinance[[#This Row],[Tipo]]="BUY",Z67-TbTradesBinance[[#This Row],[Qtt]]*TbTradesBinance[[#This Row],[Preço]],Z67+TbTradesBinance[[#This Row],[Qtt]]*TbTradesBinance[[#This Row],[Preço]])),Z67)-IF(TbTradesBinance[[#This Row],[Moeda da Taxa]]=MID(Z$1,9,5),TbTradesBinance[[#This Row],[Taxa]],0),8)))</f>
        <v>0</v>
      </c>
      <c r="AA68" s="145" cm="1">
        <f t="array" ref="AA68">IF(TbTradesBinance[[#This Row],[Tipo]]="EMPTY",0,AA67+IF(TbTradesBinance[[#This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Row],[Par]]))),$1:$1,0)),-(Z67-Z68)/Z67*AA67),0),0)+IF(TbTradesBinance[[#This Row],[Tipo]]="SELL",IF(ISNUMBER(FIND(MID(AA$1,10,5),TbTradesBinance[[#This Row],[Par]])),IF(FIND(MID(AA$1,10,5),TbTradesBinance[[#This Row],[Par]])=1, -(Z67-Z68)/Z67*AA67,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Row],[Par]])),(-(Z67-Z68)/Z67*AA67)+IF(TbTradesBinance[[#This Row],[Resultado]]&gt;0,0,TbTradesBinance[[#This Row],[Taxa]]),0),0))</f>
        <v>0</v>
      </c>
      <c r="AB68" s="145">
        <f t="shared" si="24"/>
        <v>0</v>
      </c>
      <c r="AC6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Row],[Tipo]]="DROP"),AC67+TbTradesBinance[[#This Row],[Qtt]],AC67-TbTradesBinance[[#This Row],[Qtt]]),IF(TbTradesBinance[[#This Row],[Tipo]]="BUY",AC67-TbTradesBinance[[#This Row],[Qtt]]*TbTradesBinance[[#This Row],[Preço]],AC67+TbTradesBinance[[#This Row],[Qtt]]*TbTradesBinance[[#This Row],[Preço]])),AC67)-IF(TbTradesBinance[[#This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Row],[Tipo]]="DROP"),AC67+TbTradesBinance[[#This Row],[Qtt]],AC67-TbTradesBinance[[#This Row],[Qtt]]),IF(TbTradesBinance[[#This Row],[Tipo]]="BUY",AC67-TbTradesBinance[[#This Row],[Qtt]]*TbTradesBinance[[#This Row],[Preço]],AC67+TbTradesBinance[[#This Row],[Qtt]]*TbTradesBinance[[#This Row],[Preço]])),AC67)-IF(TbTradesBinance[[#This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Row],[Tipo]]="DROP"),AC67+TbTradesBinance[[#This Row],[Qtt]],AC67-TbTradesBinance[[#This Row],[Qtt]]),IF(TbTradesBinance[[#This Row],[Tipo]]="BUY",AC67-TbTradesBinance[[#This Row],[Qtt]]*TbTradesBinance[[#This Row],[Preço]],AC67+TbTradesBinance[[#This Row],[Qtt]]*TbTradesBinance[[#This Row],[Preço]])),AC67)-IF(TbTradesBinance[[#This Row],[Moeda da Taxa]]=MID(AC$1,9,5),TbTradesBinance[[#This Row],[Taxa]],0),8)))</f>
        <v>0</v>
      </c>
      <c r="AD68" s="145" cm="1">
        <f t="array" ref="AD68">IF(TbTradesBinance[[#This Row],[Tipo]]="EMPTY",0,AD67+IF(TbTradesBinance[[#This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Row],[Par]]))),$1:$1,0)),-(AC67-AC68)/AC67*AD67),0),0)+IF(TbTradesBinance[[#This Row],[Tipo]]="SELL",IF(ISNUMBER(FIND(MID(AD$1,10,5),TbTradesBinance[[#This Row],[Par]])),IF(FIND(MID(AD$1,10,5),TbTradesBinance[[#This Row],[Par]])=1, -(AC67-AC68)/AC67*AD67,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Row],[Par]])),(-(AC67-AC68)/AC67*AD67)+IF(TbTradesBinance[[#This Row],[Resultado]]&gt;0,0,TbTradesBinance[[#This Row],[Taxa]]),0),0))</f>
        <v>0</v>
      </c>
      <c r="AE68" s="145">
        <f t="shared" si="25"/>
        <v>0</v>
      </c>
      <c r="AF6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Row],[Tipo]]="DROP"),AF67+TbTradesBinance[[#This Row],[Qtt]],AF67-TbTradesBinance[[#This Row],[Qtt]]),IF(TbTradesBinance[[#This Row],[Tipo]]="BUY",AF67-TbTradesBinance[[#This Row],[Qtt]]*TbTradesBinance[[#This Row],[Preço]],AF67+TbTradesBinance[[#This Row],[Qtt]]*TbTradesBinance[[#This Row],[Preço]])),AF67)-IF(TbTradesBinance[[#This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Row],[Tipo]]="DROP"),AF67+TbTradesBinance[[#This Row],[Qtt]],AF67-TbTradesBinance[[#This Row],[Qtt]]),IF(TbTradesBinance[[#This Row],[Tipo]]="BUY",AF67-TbTradesBinance[[#This Row],[Qtt]]*TbTradesBinance[[#This Row],[Preço]],AF67+TbTradesBinance[[#This Row],[Qtt]]*TbTradesBinance[[#This Row],[Preço]])),AF67)-IF(TbTradesBinance[[#This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Row],[Tipo]]="DROP"),AF67+TbTradesBinance[[#This Row],[Qtt]],AF67-TbTradesBinance[[#This Row],[Qtt]]),IF(TbTradesBinance[[#This Row],[Tipo]]="BUY",AF67-TbTradesBinance[[#This Row],[Qtt]]*TbTradesBinance[[#This Row],[Preço]],AF67+TbTradesBinance[[#This Row],[Qtt]]*TbTradesBinance[[#This Row],[Preço]])),AF67)-IF(TbTradesBinance[[#This Row],[Moeda da Taxa]]=MID(AF$1,9,5),TbTradesBinance[[#This Row],[Taxa]],0),8)))</f>
        <v>0</v>
      </c>
      <c r="AG68" s="145" cm="1">
        <f t="array" ref="AG68">IF(TbTradesBinance[[#This Row],[Tipo]]="EMPTY",0,AG67+IF(TbTradesBinance[[#This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Row],[Par]]))),$1:$1,0)),-(AF67-AF68)/AF67*AG67),0),0)+IF(TbTradesBinance[[#This Row],[Tipo]]="SELL",IF(ISNUMBER(FIND(MID(AG$1,10,5),TbTradesBinance[[#This Row],[Par]])),IF(FIND(MID(AG$1,10,5),TbTradesBinance[[#This Row],[Par]])=1, -(AF67-AF68)/AF67*AG67,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Row],[Par]])),(-(AF67-AF68)/AF67*AG67)+IF(TbTradesBinance[[#This Row],[Resultado]]&gt;0,0,TbTradesBinance[[#This Row],[Taxa]]),0),0))</f>
        <v>0</v>
      </c>
      <c r="AH68" s="145">
        <f t="shared" si="26"/>
        <v>0</v>
      </c>
      <c r="AI6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Row],[Tipo]]="DROP"),AI67+TbTradesBinance[[#This Row],[Qtt]],AI67-TbTradesBinance[[#This Row],[Qtt]]),IF(TbTradesBinance[[#This Row],[Tipo]]="BUY",AI67-TbTradesBinance[[#This Row],[Qtt]]*TbTradesBinance[[#This Row],[Preço]],AI67+TbTradesBinance[[#This Row],[Qtt]]*TbTradesBinance[[#This Row],[Preço]])),AI67)-IF(TbTradesBinance[[#This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Row],[Tipo]]="DROP"),AI67+TbTradesBinance[[#This Row],[Qtt]],AI67-TbTradesBinance[[#This Row],[Qtt]]),IF(TbTradesBinance[[#This Row],[Tipo]]="BUY",AI67-TbTradesBinance[[#This Row],[Qtt]]*TbTradesBinance[[#This Row],[Preço]],AI67+TbTradesBinance[[#This Row],[Qtt]]*TbTradesBinance[[#This Row],[Preço]])),AI67)-IF(TbTradesBinance[[#This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Row],[Tipo]]="DROP"),AI67+TbTradesBinance[[#This Row],[Qtt]],AI67-TbTradesBinance[[#This Row],[Qtt]]),IF(TbTradesBinance[[#This Row],[Tipo]]="BUY",AI67-TbTradesBinance[[#This Row],[Qtt]]*TbTradesBinance[[#This Row],[Preço]],AI67+TbTradesBinance[[#This Row],[Qtt]]*TbTradesBinance[[#This Row],[Preço]])),AI67)-IF(TbTradesBinance[[#This Row],[Moeda da Taxa]]=MID(AI$1,9,5),TbTradesBinance[[#This Row],[Taxa]],0),8)))</f>
        <v>0</v>
      </c>
      <c r="AJ68" s="145" cm="1">
        <f t="array" ref="AJ68">IF(TbTradesBinance[[#This Row],[Tipo]]="EMPTY",0,AJ67+IF(TbTradesBinance[[#This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Row],[Par]]))),$1:$1,0)),-(AI67-AI68)/AI67*AJ67),0),0)+IF(TbTradesBinance[[#This Row],[Tipo]]="SELL",IF(ISNUMBER(FIND(MID(AJ$1,10,5),TbTradesBinance[[#This Row],[Par]])),IF(FIND(MID(AJ$1,10,5),TbTradesBinance[[#This Row],[Par]])=1, -(AI67-AI68)/AI67*AJ67,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Row],[Par]])),(-(AI67-AI68)/AI67*AJ67)+IF(TbTradesBinance[[#This Row],[Resultado]]&gt;0,0,TbTradesBinance[[#This Row],[Taxa]]),0),0))</f>
        <v>0</v>
      </c>
      <c r="AK68" s="145">
        <f t="shared" si="27"/>
        <v>0</v>
      </c>
      <c r="AL6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Row],[Tipo]]="DROP"),AL67+TbTradesBinance[[#This Row],[Qtt]],AL67-TbTradesBinance[[#This Row],[Qtt]]),IF(TbTradesBinance[[#This Row],[Tipo]]="BUY",AL67-TbTradesBinance[[#This Row],[Qtt]]*TbTradesBinance[[#This Row],[Preço]],AL67+TbTradesBinance[[#This Row],[Qtt]]*TbTradesBinance[[#This Row],[Preço]])),AL67)-IF(TbTradesBinance[[#This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Row],[Tipo]]="DROP"),AL67+TbTradesBinance[[#This Row],[Qtt]],AL67-TbTradesBinance[[#This Row],[Qtt]]),IF(TbTradesBinance[[#This Row],[Tipo]]="BUY",AL67-TbTradesBinance[[#This Row],[Qtt]]*TbTradesBinance[[#This Row],[Preço]],AL67+TbTradesBinance[[#This Row],[Qtt]]*TbTradesBinance[[#This Row],[Preço]])),AL67)-IF(TbTradesBinance[[#This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Row],[Tipo]]="DROP"),AL67+TbTradesBinance[[#This Row],[Qtt]],AL67-TbTradesBinance[[#This Row],[Qtt]]),IF(TbTradesBinance[[#This Row],[Tipo]]="BUY",AL67-TbTradesBinance[[#This Row],[Qtt]]*TbTradesBinance[[#This Row],[Preço]],AL67+TbTradesBinance[[#This Row],[Qtt]]*TbTradesBinance[[#This Row],[Preço]])),AL67)-IF(TbTradesBinance[[#This Row],[Moeda da Taxa]]=MID(AL$1,9,5),TbTradesBinance[[#This Row],[Taxa]],0),8)))</f>
        <v>1.75824</v>
      </c>
      <c r="AM68" s="145" cm="1">
        <f t="array" ref="AM68">IF(TbTradesBinance[[#This Row],[Tipo]]="EMPTY",0,AM67+IF(TbTradesBinance[[#This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Row],[Par]]))),$1:$1,0)),-(AL67-AL68)/AL67*AM67),0),0)+IF(TbTradesBinance[[#This Row],[Tipo]]="SELL",IF(ISNUMBER(FIND(MID(AM$1,10,5),TbTradesBinance[[#This Row],[Par]])),IF(FIND(MID(AM$1,10,5),TbTradesBinance[[#This Row],[Par]])=1, -(AL67-AL68)/AL67*AM67,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Row],[Par]])),(-(AL67-AL68)/AL67*AM67)+IF(TbTradesBinance[[#This Row],[Resultado]]&gt;0,0,TbTradesBinance[[#This Row],[Taxa]]),0),0))</f>
        <v>144.56635471393039</v>
      </c>
      <c r="AN68" s="145">
        <f t="shared" si="28"/>
        <v>82.222196465744375</v>
      </c>
      <c r="AO6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Row],[Tipo]]="DROP"),AO67+TbTradesBinance[[#This Row],[Qtt]],AO67-TbTradesBinance[[#This Row],[Qtt]]),IF(TbTradesBinance[[#This Row],[Tipo]]="BUY",AO67-TbTradesBinance[[#This Row],[Qtt]]*TbTradesBinance[[#This Row],[Preço]],AO67+TbTradesBinance[[#This Row],[Qtt]]*TbTradesBinance[[#This Row],[Preço]])),AO67)-IF(TbTradesBinance[[#This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Row],[Tipo]]="DROP"),AO67+TbTradesBinance[[#This Row],[Qtt]],AO67-TbTradesBinance[[#This Row],[Qtt]]),IF(TbTradesBinance[[#This Row],[Tipo]]="BUY",AO67-TbTradesBinance[[#This Row],[Qtt]]*TbTradesBinance[[#This Row],[Preço]],AO67+TbTradesBinance[[#This Row],[Qtt]]*TbTradesBinance[[#This Row],[Preço]])),AO67)-IF(TbTradesBinance[[#This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Row],[Tipo]]="DROP"),AO67+TbTradesBinance[[#This Row],[Qtt]],AO67-TbTradesBinance[[#This Row],[Qtt]]),IF(TbTradesBinance[[#This Row],[Tipo]]="BUY",AO67-TbTradesBinance[[#This Row],[Qtt]]*TbTradesBinance[[#This Row],[Preço]],AO67+TbTradesBinance[[#This Row],[Qtt]]*TbTradesBinance[[#This Row],[Preço]])),AO67)-IF(TbTradesBinance[[#This Row],[Moeda da Taxa]]=MID(AO$1,9,5),TbTradesBinance[[#This Row],[Taxa]],0),8)))</f>
        <v>2.6916900000000001E-3</v>
      </c>
      <c r="AP68" s="145" cm="1">
        <f t="array" ref="AP68">IF(TbTradesBinance[[#This Row],[Tipo]]="EMPTY",0,AP67+IF(TbTradesBinance[[#This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Row],[Par]]))),$1:$1,0)),-(AO67-AO68)/AO67*AP67),0),0)+IF(TbTradesBinance[[#This Row],[Tipo]]="SELL",IF(ISNUMBER(FIND(MID(AP$1,10,5),TbTradesBinance[[#This Row],[Par]])),IF(FIND(MID(AP$1,10,5),TbTradesBinance[[#This Row],[Par]])=1, -(AO67-AO68)/AO67*AP67,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Row],[Par]])),(-(AO67-AO68)/AO67*AP67)+IF(TbTradesBinance[[#This Row],[Resultado]]&gt;0,0,TbTradesBinance[[#This Row],[Taxa]]),0),0))</f>
        <v>5.1390914851146583</v>
      </c>
      <c r="AQ68" s="145">
        <f t="shared" si="29"/>
        <v>1909.2434437526827</v>
      </c>
      <c r="AR6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Row],[Tipo]]="DROP"),AR67+TbTradesBinance[[#This Row],[Qtt]],AR67-TbTradesBinance[[#This Row],[Qtt]]),IF(TbTradesBinance[[#This Row],[Tipo]]="BUY",AR67-TbTradesBinance[[#This Row],[Qtt]]*TbTradesBinance[[#This Row],[Preço]],AR67+TbTradesBinance[[#This Row],[Qtt]]*TbTradesBinance[[#This Row],[Preço]])),AR67)-IF(TbTradesBinance[[#This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Row],[Tipo]]="DROP"),AR67+TbTradesBinance[[#This Row],[Qtt]],AR67-TbTradesBinance[[#This Row],[Qtt]]),IF(TbTradesBinance[[#This Row],[Tipo]]="BUY",AR67-TbTradesBinance[[#This Row],[Qtt]]*TbTradesBinance[[#This Row],[Preço]],AR67+TbTradesBinance[[#This Row],[Qtt]]*TbTradesBinance[[#This Row],[Preço]])),AR67)-IF(TbTradesBinance[[#This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Row],[Tipo]]="DROP"),AR67+TbTradesBinance[[#This Row],[Qtt]],AR67-TbTradesBinance[[#This Row],[Qtt]]),IF(TbTradesBinance[[#This Row],[Tipo]]="BUY",AR67-TbTradesBinance[[#This Row],[Qtt]]*TbTradesBinance[[#This Row],[Preço]],AR67+TbTradesBinance[[#This Row],[Qtt]]*TbTradesBinance[[#This Row],[Preço]])),AR67)-IF(TbTradesBinance[[#This Row],[Moeda da Taxa]]=MID(AR$1,9,5),TbTradesBinance[[#This Row],[Taxa]],0),8)))</f>
        <v>0</v>
      </c>
      <c r="AS68" s="145" cm="1">
        <f t="array" ref="AS68">IF(TbTradesBinance[[#This Row],[Tipo]]="EMPTY",0,AS67+IF(TbTradesBinance[[#This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Row],[Par]]))),$1:$1,0)),-(AR67-AR68)/AR67*AS67),0),0)+IF(TbTradesBinance[[#This Row],[Tipo]]="SELL",IF(ISNUMBER(FIND(MID(AS$1,10,5),TbTradesBinance[[#This Row],[Par]])),IF(FIND(MID(AS$1,10,5),TbTradesBinance[[#This Row],[Par]])=1, -(AR67-AR68)/AR67*AS67,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Row],[Par]])),(-(AR67-AR68)/AR67*AS67)+IF(TbTradesBinance[[#This Row],[Resultado]]&gt;0,0,TbTradesBinance[[#This Row],[Taxa]]),0),0))</f>
        <v>0</v>
      </c>
      <c r="AT68" s="145">
        <f t="shared" si="30"/>
        <v>0</v>
      </c>
      <c r="AU6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Row],[Tipo]]="DROP"),AU67+TbTradesBinance[[#This Row],[Qtt]],AU67-TbTradesBinance[[#This Row],[Qtt]]),IF(TbTradesBinance[[#This Row],[Tipo]]="BUY",AU67-TbTradesBinance[[#This Row],[Qtt]]*TbTradesBinance[[#This Row],[Preço]],AU67+TbTradesBinance[[#This Row],[Qtt]]*TbTradesBinance[[#This Row],[Preço]])),AU67)-IF(TbTradesBinance[[#This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Row],[Tipo]]="DROP"),AU67+TbTradesBinance[[#This Row],[Qtt]],AU67-TbTradesBinance[[#This Row],[Qtt]]),IF(TbTradesBinance[[#This Row],[Tipo]]="BUY",AU67-TbTradesBinance[[#This Row],[Qtt]]*TbTradesBinance[[#This Row],[Preço]],AU67+TbTradesBinance[[#This Row],[Qtt]]*TbTradesBinance[[#This Row],[Preço]])),AU67)-IF(TbTradesBinance[[#This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Row],[Tipo]]="DROP"),AU67+TbTradesBinance[[#This Row],[Qtt]],AU67-TbTradesBinance[[#This Row],[Qtt]]),IF(TbTradesBinance[[#This Row],[Tipo]]="BUY",AU67-TbTradesBinance[[#This Row],[Qtt]]*TbTradesBinance[[#This Row],[Preço]],AU67+TbTradesBinance[[#This Row],[Qtt]]*TbTradesBinance[[#This Row],[Preço]])),AU67)-IF(TbTradesBinance[[#This Row],[Moeda da Taxa]]=MID(AU$1,9,5),TbTradesBinance[[#This Row],[Taxa]],0),8)))</f>
        <v>0.26989999999999997</v>
      </c>
      <c r="AV68" s="145" cm="1">
        <f t="array" ref="AV68">IF(TbTradesBinance[[#This Row],[Tipo]]="EMPTY",0,AV67+IF(TbTradesBinance[[#This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Row],[Par]]))),$1:$1,0)),-(AU67-AU68)/AU67*AV67),0),0)+IF(TbTradesBinance[[#This Row],[Tipo]]="SELL",IF(ISNUMBER(FIND(MID(AV$1,10,5),TbTradesBinance[[#This Row],[Par]])),IF(FIND(MID(AV$1,10,5),TbTradesBinance[[#This Row],[Par]])=1, -(AU67-AU68)/AU67*AV67,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Row],[Par]])),(-(AU67-AU68)/AU67*AV67)+IF(TbTradesBinance[[#This Row],[Resultado]]&gt;0,0,TbTradesBinance[[#This Row],[Taxa]]),0),0))</f>
        <v>56.09788062740806</v>
      </c>
      <c r="AW68" s="145">
        <f t="shared" si="31"/>
        <v>207.8469085861729</v>
      </c>
      <c r="AX6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Row],[Tipo]]="DROP"),AX67+TbTradesBinance[[#This Row],[Qtt]],AX67-TbTradesBinance[[#This Row],[Qtt]]),IF(TbTradesBinance[[#This Row],[Tipo]]="BUY",AX67-TbTradesBinance[[#This Row],[Qtt]]*TbTradesBinance[[#This Row],[Preço]],AX67+TbTradesBinance[[#This Row],[Qtt]]*TbTradesBinance[[#This Row],[Preço]])),AX67)-IF(TbTradesBinance[[#This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Row],[Tipo]]="DROP"),AX67+TbTradesBinance[[#This Row],[Qtt]],AX67-TbTradesBinance[[#This Row],[Qtt]]),IF(TbTradesBinance[[#This Row],[Tipo]]="BUY",AX67-TbTradesBinance[[#This Row],[Qtt]]*TbTradesBinance[[#This Row],[Preço]],AX67+TbTradesBinance[[#This Row],[Qtt]]*TbTradesBinance[[#This Row],[Preço]])),AX67)-IF(TbTradesBinance[[#This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Row],[Tipo]]="DROP"),AX67+TbTradesBinance[[#This Row],[Qtt]],AX67-TbTradesBinance[[#This Row],[Qtt]]),IF(TbTradesBinance[[#This Row],[Tipo]]="BUY",AX67-TbTradesBinance[[#This Row],[Qtt]]*TbTradesBinance[[#This Row],[Preço]],AX67+TbTradesBinance[[#This Row],[Qtt]]*TbTradesBinance[[#This Row],[Preço]])),AX67)-IF(TbTradesBinance[[#This Row],[Moeda da Taxa]]=MID(AX$1,9,5),TbTradesBinance[[#This Row],[Taxa]],0),8)))</f>
        <v>0.22636999999999999</v>
      </c>
      <c r="AY68" s="145" cm="1">
        <f t="array" ref="AY68">IF(TbTradesBinance[[#This Row],[Tipo]]="EMPTY",0,AY67+IF(TbTradesBinance[[#This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Row],[Par]]))),$1:$1,0)),-(AX67-AX68)/AX67*AY67),0),0)+IF(TbTradesBinance[[#This Row],[Tipo]]="SELL",IF(ISNUMBER(FIND(MID(AY$1,10,5),TbTradesBinance[[#This Row],[Par]])),IF(FIND(MID(AY$1,10,5),TbTradesBinance[[#This Row],[Par]])=1, -(AX67-AX68)/AX67*AY67,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Row],[Par]])),(-(AX67-AX68)/AX67*AY67)+IF(TbTradesBinance[[#This Row],[Resultado]]&gt;0,0,TbTradesBinance[[#This Row],[Taxa]]),0),0))</f>
        <v>40.781337593356859</v>
      </c>
      <c r="AZ68" s="145">
        <f t="shared" si="32"/>
        <v>180.15345493376711</v>
      </c>
      <c r="BA6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Row],[Tipo]]="DROP"),BA67+TbTradesBinance[[#This Row],[Qtt]],BA67-TbTradesBinance[[#This Row],[Qtt]]),IF(TbTradesBinance[[#This Row],[Tipo]]="BUY",BA67-TbTradesBinance[[#This Row],[Qtt]]*TbTradesBinance[[#This Row],[Preço]],BA67+TbTradesBinance[[#This Row],[Qtt]]*TbTradesBinance[[#This Row],[Preço]])),BA67)-IF(TbTradesBinance[[#This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Row],[Tipo]]="DROP"),BA67+TbTradesBinance[[#This Row],[Qtt]],BA67-TbTradesBinance[[#This Row],[Qtt]]),IF(TbTradesBinance[[#This Row],[Tipo]]="BUY",BA67-TbTradesBinance[[#This Row],[Qtt]]*TbTradesBinance[[#This Row],[Preço]],BA67+TbTradesBinance[[#This Row],[Qtt]]*TbTradesBinance[[#This Row],[Preço]])),BA67)-IF(TbTradesBinance[[#This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Row],[Tipo]]="DROP"),BA67+TbTradesBinance[[#This Row],[Qtt]],BA67-TbTradesBinance[[#This Row],[Qtt]]),IF(TbTradesBinance[[#This Row],[Tipo]]="BUY",BA67-TbTradesBinance[[#This Row],[Qtt]]*TbTradesBinance[[#This Row],[Preço]],BA67+TbTradesBinance[[#This Row],[Qtt]]*TbTradesBinance[[#This Row],[Preço]])),BA67)-IF(TbTradesBinance[[#This Row],[Moeda da Taxa]]=MID(BA$1,9,5),TbTradesBinance[[#This Row],[Taxa]],0),8)))</f>
        <v>0</v>
      </c>
      <c r="BB68" s="145" cm="1">
        <f t="array" ref="BB68">IF(TbTradesBinance[[#This Row],[Tipo]]="EMPTY",0,BB67+IF(TbTradesBinance[[#This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Row],[Par]]))),$1:$1,0)),-(BA67-BA68)/BA67*BB67),0),0)+IF(TbTradesBinance[[#This Row],[Tipo]]="SELL",IF(ISNUMBER(FIND(MID(BB$1,10,5),TbTradesBinance[[#This Row],[Par]])),IF(FIND(MID(BB$1,10,5),TbTradesBinance[[#This Row],[Par]])=1, -(BA67-BA68)/BA67*BB67,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Row],[Par]])),(-(BA67-BA68)/BA67*BB67)+IF(TbTradesBinance[[#This Row],[Resultado]]&gt;0,0,TbTradesBinance[[#This Row],[Taxa]]),0),0))</f>
        <v>0</v>
      </c>
      <c r="BC68" s="145">
        <f t="shared" si="33"/>
        <v>0</v>
      </c>
      <c r="BD6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Row],[Tipo]]="DROP"),BD67+TbTradesBinance[[#This Row],[Qtt]],BD67-TbTradesBinance[[#This Row],[Qtt]]),IF(TbTradesBinance[[#This Row],[Tipo]]="BUY",BD67-TbTradesBinance[[#This Row],[Qtt]]*TbTradesBinance[[#This Row],[Preço]],BD67+TbTradesBinance[[#This Row],[Qtt]]*TbTradesBinance[[#This Row],[Preço]])),BD67)-IF(TbTradesBinance[[#This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Row],[Tipo]]="DROP"),BD67+TbTradesBinance[[#This Row],[Qtt]],BD67-TbTradesBinance[[#This Row],[Qtt]]),IF(TbTradesBinance[[#This Row],[Tipo]]="BUY",BD67-TbTradesBinance[[#This Row],[Qtt]]*TbTradesBinance[[#This Row],[Preço]],BD67+TbTradesBinance[[#This Row],[Qtt]]*TbTradesBinance[[#This Row],[Preço]])),BD67)-IF(TbTradesBinance[[#This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Row],[Tipo]]="DROP"),BD67+TbTradesBinance[[#This Row],[Qtt]],BD67-TbTradesBinance[[#This Row],[Qtt]]),IF(TbTradesBinance[[#This Row],[Tipo]]="BUY",BD67-TbTradesBinance[[#This Row],[Qtt]]*TbTradesBinance[[#This Row],[Preço]],BD67+TbTradesBinance[[#This Row],[Qtt]]*TbTradesBinance[[#This Row],[Preço]])),BD67)-IF(TbTradesBinance[[#This Row],[Moeda da Taxa]]=MID(BD$1,9,5),TbTradesBinance[[#This Row],[Taxa]],0),8)))</f>
        <v>0.37962000000000001</v>
      </c>
      <c r="BE68" s="145" cm="1">
        <f t="array" ref="BE68">IF(TbTradesBinance[[#This Row],[Tipo]]="EMPTY",0,BE67+IF(TbTradesBinance[[#This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Row],[Par]]))),$1:$1,0)),-(BD67-BD68)/BD67*BE67),0),0)+IF(TbTradesBinance[[#This Row],[Tipo]]="SELL",IF(ISNUMBER(FIND(MID(BE$1,10,5),TbTradesBinance[[#This Row],[Par]])),IF(FIND(MID(BE$1,10,5),TbTradesBinance[[#This Row],[Par]])=1, -(BD67-BD68)/BD67*BE67,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Row],[Par]])),(-(BD67-BD68)/BD67*BE67)+IF(TbTradesBinance[[#This Row],[Resultado]]&gt;0,0,TbTradesBinance[[#This Row],[Taxa]]),0),0))</f>
        <v>63.647297001537943</v>
      </c>
      <c r="BF68" s="145">
        <f t="shared" si="34"/>
        <v>167.66054739354601</v>
      </c>
      <c r="BG6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Row],[Tipo]]="DROP"),BG67+TbTradesBinance[[#This Row],[Qtt]],BG67-TbTradesBinance[[#This Row],[Qtt]]),IF(TbTradesBinance[[#This Row],[Tipo]]="BUY",BG67-TbTradesBinance[[#This Row],[Qtt]]*TbTradesBinance[[#This Row],[Preço]],BG67+TbTradesBinance[[#This Row],[Qtt]]*TbTradesBinance[[#This Row],[Preço]])),BG67)-IF(TbTradesBinance[[#This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Row],[Tipo]]="DROP"),BG67+TbTradesBinance[[#This Row],[Qtt]],BG67-TbTradesBinance[[#This Row],[Qtt]]),IF(TbTradesBinance[[#This Row],[Tipo]]="BUY",BG67-TbTradesBinance[[#This Row],[Qtt]]*TbTradesBinance[[#This Row],[Preço]],BG67+TbTradesBinance[[#This Row],[Qtt]]*TbTradesBinance[[#This Row],[Preço]])),BG67)-IF(TbTradesBinance[[#This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Row],[Tipo]]="DROP"),BG67+TbTradesBinance[[#This Row],[Qtt]],BG67-TbTradesBinance[[#This Row],[Qtt]]),IF(TbTradesBinance[[#This Row],[Tipo]]="BUY",BG67-TbTradesBinance[[#This Row],[Qtt]]*TbTradesBinance[[#This Row],[Preço]],BG67+TbTradesBinance[[#This Row],[Qtt]]*TbTradesBinance[[#This Row],[Preço]])),BG67)-IF(TbTradesBinance[[#This Row],[Moeda da Taxa]]=MID(BG$1,9,5),TbTradesBinance[[#This Row],[Taxa]],0),8)))</f>
        <v>0</v>
      </c>
      <c r="BH68" s="145" cm="1">
        <f t="array" ref="BH68">IF(TbTradesBinance[[#This Row],[Tipo]]="EMPTY",0,BH67+IF(TbTradesBinance[[#This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Row],[Par]]))),$1:$1,0)),-(BG67-BG68)/BG67*BH67),0),0)+IF(TbTradesBinance[[#This Row],[Tipo]]="SELL",IF(ISNUMBER(FIND(MID(BH$1,10,5),TbTradesBinance[[#This Row],[Par]])),IF(FIND(MID(BH$1,10,5),TbTradesBinance[[#This Row],[Par]])=1, -(BG67-BG68)/BG67*BH67,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Row],[Par]])),(-(BG67-BG68)/BG67*BH67)+IF(TbTradesBinance[[#This Row],[Resultado]]&gt;0,0,TbTradesBinance[[#This Row],[Taxa]]),0),0))</f>
        <v>0</v>
      </c>
      <c r="BI68" s="145">
        <f t="shared" si="35"/>
        <v>0</v>
      </c>
      <c r="BJ6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Row],[Tipo]]="DROP"),BJ67+TbTradesBinance[[#This Row],[Qtt]],BJ67-TbTradesBinance[[#This Row],[Qtt]]),IF(TbTradesBinance[[#This Row],[Tipo]]="BUY",BJ67-TbTradesBinance[[#This Row],[Qtt]]*TbTradesBinance[[#This Row],[Preço]],BJ67+TbTradesBinance[[#This Row],[Qtt]]*TbTradesBinance[[#This Row],[Preço]])),BJ67)-IF(TbTradesBinance[[#This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Row],[Tipo]]="DROP"),BJ67+TbTradesBinance[[#This Row],[Qtt]],BJ67-TbTradesBinance[[#This Row],[Qtt]]),IF(TbTradesBinance[[#This Row],[Tipo]]="BUY",BJ67-TbTradesBinance[[#This Row],[Qtt]]*TbTradesBinance[[#This Row],[Preço]],BJ67+TbTradesBinance[[#This Row],[Qtt]]*TbTradesBinance[[#This Row],[Preço]])),BJ67)-IF(TbTradesBinance[[#This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Row],[Tipo]]="DROP"),BJ67+TbTradesBinance[[#This Row],[Qtt]],BJ67-TbTradesBinance[[#This Row],[Qtt]]),IF(TbTradesBinance[[#This Row],[Tipo]]="BUY",BJ67-TbTradesBinance[[#This Row],[Qtt]]*TbTradesBinance[[#This Row],[Preço]],BJ67+TbTradesBinance[[#This Row],[Qtt]]*TbTradesBinance[[#This Row],[Preço]])),BJ67)-IF(TbTradesBinance[[#This Row],[Moeda da Taxa]]=MID(BJ$1,9,5),TbTradesBinance[[#This Row],[Taxa]],0),8)))</f>
        <v>0</v>
      </c>
      <c r="BK68" s="145" cm="1">
        <f t="array" ref="BK68">IF(TbTradesBinance[[#This Row],[Tipo]]="EMPTY",0,BK67+IF(TbTradesBinance[[#This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Row],[Par]]))),$1:$1,0)),-(BJ67-BJ68)/BJ67*BK67),0),0)+IF(TbTradesBinance[[#This Row],[Tipo]]="SELL",IF(ISNUMBER(FIND(MID(BK$1,10,5),TbTradesBinance[[#This Row],[Par]])),IF(FIND(MID(BK$1,10,5),TbTradesBinance[[#This Row],[Par]])=1, -(BJ67-BJ68)/BJ67*BK67,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Row],[Par]])),(-(BJ67-BJ68)/BJ67*BK67)+IF(TbTradesBinance[[#This Row],[Resultado]]&gt;0,0,TbTradesBinance[[#This Row],[Taxa]]),0),0))</f>
        <v>0</v>
      </c>
      <c r="BL68" s="145">
        <f t="shared" si="36"/>
        <v>0</v>
      </c>
      <c r="BM6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Row],[Tipo]]="DROP"),BM67+TbTradesBinance[[#This Row],[Qtt]],BM67-TbTradesBinance[[#This Row],[Qtt]]),IF(TbTradesBinance[[#This Row],[Tipo]]="BUY",BM67-TbTradesBinance[[#This Row],[Qtt]]*TbTradesBinance[[#This Row],[Preço]],BM67+TbTradesBinance[[#This Row],[Qtt]]*TbTradesBinance[[#This Row],[Preço]])),BM67)-IF(TbTradesBinance[[#This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Row],[Tipo]]="DROP"),BM67+TbTradesBinance[[#This Row],[Qtt]],BM67-TbTradesBinance[[#This Row],[Qtt]]),IF(TbTradesBinance[[#This Row],[Tipo]]="BUY",BM67-TbTradesBinance[[#This Row],[Qtt]]*TbTradesBinance[[#This Row],[Preço]],BM67+TbTradesBinance[[#This Row],[Qtt]]*TbTradesBinance[[#This Row],[Preço]])),BM67)-IF(TbTradesBinance[[#This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Row],[Tipo]]="DROP"),BM67+TbTradesBinance[[#This Row],[Qtt]],BM67-TbTradesBinance[[#This Row],[Qtt]]),IF(TbTradesBinance[[#This Row],[Tipo]]="BUY",BM67-TbTradesBinance[[#This Row],[Qtt]]*TbTradesBinance[[#This Row],[Preço]],BM67+TbTradesBinance[[#This Row],[Qtt]]*TbTradesBinance[[#This Row],[Preço]])),BM67)-IF(TbTradesBinance[[#This Row],[Moeda da Taxa]]=MID(BM$1,9,5),TbTradesBinance[[#This Row],[Taxa]],0),8)))</f>
        <v>0</v>
      </c>
      <c r="BN68" s="145" cm="1">
        <f t="array" ref="BN68">IF(TbTradesBinance[[#This Row],[Tipo]]="EMPTY",0,BN67+IF(TbTradesBinance[[#This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Row],[Par]]))),$1:$1,0)),-(BM67-BM68)/BM67*BN67),0),0)+IF(TbTradesBinance[[#This Row],[Tipo]]="SELL",IF(ISNUMBER(FIND(MID(BN$1,10,5),TbTradesBinance[[#This Row],[Par]])),IF(FIND(MID(BN$1,10,5),TbTradesBinance[[#This Row],[Par]])=1, -(BM67-BM68)/BM67*BN67,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Row],[Par]])),(-(BM67-BM68)/BM67*BN67)+IF(TbTradesBinance[[#This Row],[Resultado]]&gt;0,0,TbTradesBinance[[#This Row],[Taxa]]),0),0))</f>
        <v>0</v>
      </c>
      <c r="BO68" s="145">
        <f t="shared" si="37"/>
        <v>0</v>
      </c>
    </row>
    <row r="69" spans="2:67" x14ac:dyDescent="0.3">
      <c r="B69" s="51"/>
      <c r="C69" s="40">
        <f>TRUNC(IF(AND(TbTradesBinance[[#This Row],[Tipo]]="SEND",TbTradesBinance[[#This Row],[Par]]="BRL"),TbTradesBinance[[#This Row],[Qtt]]*(1-P67)-IF(TbTradesBinance[[#This Row],[Moeda da Taxa]]="BRL",TbTradesBinance[[#This Row],[Taxa]],0),0)+IF(AND(TbTradesBinance[[#This Row],[Tipo]]="BURN",TbTradesBinance[[#This Row],[Par]]="BRL"),-TbTradesBinance[[#This Row],[Qtt]]*P67,0),2)</f>
        <v>0</v>
      </c>
      <c r="D69" s="53">
        <v>44264.907673611109</v>
      </c>
      <c r="E69" s="37" t="s">
        <v>138</v>
      </c>
      <c r="F69" s="47" t="s">
        <v>139</v>
      </c>
      <c r="G69" s="38">
        <v>322881</v>
      </c>
      <c r="H69" s="38">
        <v>1.5299999999999999E-3</v>
      </c>
      <c r="I69" s="38">
        <v>1.53E-6</v>
      </c>
      <c r="J69" s="37" t="s">
        <v>6</v>
      </c>
      <c r="K69" s="52">
        <v>1</v>
      </c>
      <c r="L69" s="40">
        <f t="shared" si="19"/>
        <v>322881</v>
      </c>
      <c r="M69" s="40">
        <f>IF(OR(TbTradesBinance[[#This Row],[Tipo]]="BUY",TbTradesBinance[[#This Row],[Tipo]]="RECEIVE",TbTradesBinance[[#This Row],[Tipo]]="DROP"),L69*H69,-L69*H69)</f>
        <v>494.00792999999999</v>
      </c>
      <c r="N6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Row],[Tipo]]="DROP"),N68+TbTradesBinance[[#This Row],[Qtt]],N68-TbTradesBinance[[#This Row],[Qtt]]),IF(TbTradesBinance[[#This Row],[Tipo]]="BUY",N68-TbTradesBinance[[#This Row],[Qtt]]*TbTradesBinance[[#This Row],[Preço]],N68+TbTradesBinance[[#This Row],[Qtt]]*TbTradesBinance[[#This Row],[Preço]])),N68)-IF(TbTradesBinance[[#This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Row],[Tipo]]="DROP"),N68+TbTradesBinance[[#This Row],[Qtt]],N68-TbTradesBinance[[#This Row],[Qtt]]),IF(TbTradesBinance[[#This Row],[Tipo]]="BUY",N68-TbTradesBinance[[#This Row],[Qtt]]*TbTradesBinance[[#This Row],[Preço]],N68+TbTradesBinance[[#This Row],[Qtt]]*TbTradesBinance[[#This Row],[Preço]])),N68)-IF(TbTradesBinance[[#This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Row],[Tipo]]="DROP"),N68+TbTradesBinance[[#This Row],[Qtt]],N68-TbTradesBinance[[#This Row],[Qtt]]),IF(TbTradesBinance[[#This Row],[Tipo]]="BUY",N68-TbTradesBinance[[#This Row],[Qtt]]*TbTradesBinance[[#This Row],[Preço]],N68+TbTradesBinance[[#This Row],[Qtt]]*TbTradesBinance[[#This Row],[Preço]])),N68)-IF(TbTradesBinance[[#This Row],[Moeda da Taxa]]=MID(N$1,9,5),TbTradesBinance[[#This Row],[Taxa]],0),8)))</f>
        <v>119751.38310599</v>
      </c>
      <c r="O69" s="145" cm="1">
        <f t="array" ref="O69">IF(TbTradesBinance[[#This Row],[Tipo]]="EMPTY",0,O68+IF(TbTradesBinance[[#This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Row],[Par]]))),$1:$1,0)),-(N68-N69)/N68*O68),0),0)+IF(TbTradesBinance[[#This Row],[Tipo]]="SELL",IF(ISNUMBER(FIND(MID(O$1,10,5),TbTradesBinance[[#This Row],[Par]])),IF(FIND(MID(O$1,10,5),TbTradesBinance[[#This Row],[Par]])=1, -(N68-N69)/N68*O68,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Row],[Par]])),(-(N68-N69)/N68*O68)+IF(TbTradesBinance[[#This Row],[Resultado]]&gt;0,0,TbTradesBinance[[#This Row],[Taxa]]),0),0))</f>
        <v>119654.85711747318</v>
      </c>
      <c r="P69" s="145">
        <f t="shared" si="20"/>
        <v>0.99919394677528373</v>
      </c>
      <c r="Q6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Row],[Tipo]]="DROP"),Q68+TbTradesBinance[[#This Row],[Qtt]],Q68-TbTradesBinance[[#This Row],[Qtt]]),IF(TbTradesBinance[[#This Row],[Tipo]]="BUY",Q68-TbTradesBinance[[#This Row],[Qtt]]*TbTradesBinance[[#This Row],[Preço]],Q68+TbTradesBinance[[#This Row],[Qtt]]*TbTradesBinance[[#This Row],[Preço]])),Q68)-IF(TbTradesBinance[[#This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Row],[Tipo]]="DROP"),Q68+TbTradesBinance[[#This Row],[Qtt]],Q68-TbTradesBinance[[#This Row],[Qtt]]),IF(TbTradesBinance[[#This Row],[Tipo]]="BUY",Q68-TbTradesBinance[[#This Row],[Qtt]]*TbTradesBinance[[#This Row],[Preço]],Q68+TbTradesBinance[[#This Row],[Qtt]]*TbTradesBinance[[#This Row],[Preço]])),Q68)-IF(TbTradesBinance[[#This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Row],[Tipo]]="DROP"),Q68+TbTradesBinance[[#This Row],[Qtt]],Q68-TbTradesBinance[[#This Row],[Qtt]]),IF(TbTradesBinance[[#This Row],[Tipo]]="BUY",Q68-TbTradesBinance[[#This Row],[Qtt]]*TbTradesBinance[[#This Row],[Preço]],Q68+TbTradesBinance[[#This Row],[Qtt]]*TbTradesBinance[[#This Row],[Preço]])),Q68)-IF(TbTradesBinance[[#This Row],[Moeda da Taxa]]=MID(Q$1,9,5),TbTradesBinance[[#This Row],[Taxa]],0),8)))</f>
        <v>0.29005796</v>
      </c>
      <c r="R69" s="145" cm="1">
        <f t="array" ref="R69">IF(TbTradesBinance[[#This Row],[Tipo]]="EMPTY",0,R68+IF(TbTradesBinance[[#This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Row],[Par]]))),$1:$1,0)),-(Q68-Q69)/Q68*R68),0),0)+IF(TbTradesBinance[[#This Row],[Tipo]]="SELL",IF(ISNUMBER(FIND(MID(R$1,10,5),TbTradesBinance[[#This Row],[Par]])),IF(FIND(MID(R$1,10,5),TbTradesBinance[[#This Row],[Par]])=1, -(Q68-Q69)/Q68*R68,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Row],[Par]])),(-(Q68-Q69)/Q68*R68)+IF(TbTradesBinance[[#This Row],[Resultado]]&gt;0,0,TbTradesBinance[[#This Row],[Taxa]]),0),0))</f>
        <v>1.5930510813161334</v>
      </c>
      <c r="S69" s="145">
        <f t="shared" si="21"/>
        <v>5.4921819119052389</v>
      </c>
      <c r="T6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Row],[Tipo]]="DROP"),T68+TbTradesBinance[[#This Row],[Qtt]],T68-TbTradesBinance[[#This Row],[Qtt]]),IF(TbTradesBinance[[#This Row],[Tipo]]="BUY",T68-TbTradesBinance[[#This Row],[Qtt]]*TbTradesBinance[[#This Row],[Preço]],T68+TbTradesBinance[[#This Row],[Qtt]]*TbTradesBinance[[#This Row],[Preço]])),T68)-IF(TbTradesBinance[[#This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Row],[Tipo]]="DROP"),T68+TbTradesBinance[[#This Row],[Qtt]],T68-TbTradesBinance[[#This Row],[Qtt]]),IF(TbTradesBinance[[#This Row],[Tipo]]="BUY",T68-TbTradesBinance[[#This Row],[Qtt]]*TbTradesBinance[[#This Row],[Preço]],T68+TbTradesBinance[[#This Row],[Qtt]]*TbTradesBinance[[#This Row],[Preço]])),T68)-IF(TbTradesBinance[[#This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Row],[Tipo]]="DROP"),T68+TbTradesBinance[[#This Row],[Qtt]],T68-TbTradesBinance[[#This Row],[Qtt]]),IF(TbTradesBinance[[#This Row],[Tipo]]="BUY",T68-TbTradesBinance[[#This Row],[Qtt]]*TbTradesBinance[[#This Row],[Preço]],T68+TbTradesBinance[[#This Row],[Qtt]]*TbTradesBinance[[#This Row],[Preço]])),T68)-IF(TbTradesBinance[[#This Row],[Moeda da Taxa]]=MID(T$1,9,5),TbTradesBinance[[#This Row],[Taxa]],0),8)))</f>
        <v>199735.32000169999</v>
      </c>
      <c r="U69" s="145" cm="1">
        <f t="array" ref="U69">IF(TbTradesBinance[[#This Row],[Tipo]]="EMPTY",0,U68+IF(TbTradesBinance[[#This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Row],[Par]]))),$1:$1,0)),-(T68-T69)/T68*U68),0),0)+IF(TbTradesBinance[[#This Row],[Tipo]]="SELL",IF(ISNUMBER(FIND(MID(U$1,10,5),TbTradesBinance[[#This Row],[Par]])),IF(FIND(MID(U$1,10,5),TbTradesBinance[[#This Row],[Par]])=1, -(T68-T69)/T68*U68,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Row],[Par]])),(-(T68-T69)/T68*U68)+IF(TbTradesBinance[[#This Row],[Resultado]]&gt;0,0,TbTradesBinance[[#This Row],[Taxa]]),0),0))</f>
        <v>1328239.8809817513</v>
      </c>
      <c r="V69" s="145">
        <f t="shared" si="22"/>
        <v>6.6500000148719129</v>
      </c>
      <c r="W6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Row],[Tipo]]="DROP"),W68+TbTradesBinance[[#This Row],[Qtt]],W68-TbTradesBinance[[#This Row],[Qtt]]),IF(TbTradesBinance[[#This Row],[Tipo]]="BUY",W68-TbTradesBinance[[#This Row],[Qtt]]*TbTradesBinance[[#This Row],[Preço]],W68+TbTradesBinance[[#This Row],[Qtt]]*TbTradesBinance[[#This Row],[Preço]])),W68)-IF(TbTradesBinance[[#This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Row],[Tipo]]="DROP"),W68+TbTradesBinance[[#This Row],[Qtt]],W68-TbTradesBinance[[#This Row],[Qtt]]),IF(TbTradesBinance[[#This Row],[Tipo]]="BUY",W68-TbTradesBinance[[#This Row],[Qtt]]*TbTradesBinance[[#This Row],[Preço]],W68+TbTradesBinance[[#This Row],[Qtt]]*TbTradesBinance[[#This Row],[Preço]])),W68)-IF(TbTradesBinance[[#This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Row],[Tipo]]="DROP"),W68+TbTradesBinance[[#This Row],[Qtt]],W68-TbTradesBinance[[#This Row],[Qtt]]),IF(TbTradesBinance[[#This Row],[Tipo]]="BUY",W68-TbTradesBinance[[#This Row],[Qtt]]*TbTradesBinance[[#This Row],[Preço]],W68+TbTradesBinance[[#This Row],[Qtt]]*TbTradesBinance[[#This Row],[Preço]])),W68)-IF(TbTradesBinance[[#This Row],[Moeda da Taxa]]=MID(W$1,9,5),TbTradesBinance[[#This Row],[Taxa]],0),8)))</f>
        <v>3.5636499999999998E-3</v>
      </c>
      <c r="X69" s="145" cm="1">
        <f t="array" ref="X69">IF(TbTradesBinance[[#This Row],[Tipo]]="EMPTY",0,X68+IF(TbTradesBinance[[#This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Row],[Par]]))),$1:$1,0)),-(W68-W69)/W68*X68),0),0)+IF(TbTradesBinance[[#This Row],[Tipo]]="SELL",IF(ISNUMBER(FIND(MID(X$1,10,5),TbTradesBinance[[#This Row],[Par]])),IF(FIND(MID(X$1,10,5),TbTradesBinance[[#This Row],[Par]])=1, -(W68-W69)/W68*X68,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Row],[Par]])),(-(W68-W69)/W68*X68)+IF(TbTradesBinance[[#This Row],[Resultado]]&gt;0,0,TbTradesBinance[[#This Row],[Taxa]]),0),0))</f>
        <v>1140.5145081485139</v>
      </c>
      <c r="Y69" s="145">
        <f t="shared" si="23"/>
        <v>320041.11182313471</v>
      </c>
      <c r="Z6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Row],[Tipo]]="DROP"),Z68+TbTradesBinance[[#This Row],[Qtt]],Z68-TbTradesBinance[[#This Row],[Qtt]]),IF(TbTradesBinance[[#This Row],[Tipo]]="BUY",Z68-TbTradesBinance[[#This Row],[Qtt]]*TbTradesBinance[[#This Row],[Preço]],Z68+TbTradesBinance[[#This Row],[Qtt]]*TbTradesBinance[[#This Row],[Preço]])),Z68)-IF(TbTradesBinance[[#This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Row],[Tipo]]="DROP"),Z68+TbTradesBinance[[#This Row],[Qtt]],Z68-TbTradesBinance[[#This Row],[Qtt]]),IF(TbTradesBinance[[#This Row],[Tipo]]="BUY",Z68-TbTradesBinance[[#This Row],[Qtt]]*TbTradesBinance[[#This Row],[Preço]],Z68+TbTradesBinance[[#This Row],[Qtt]]*TbTradesBinance[[#This Row],[Preço]])),Z68)-IF(TbTradesBinance[[#This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Row],[Tipo]]="DROP"),Z68+TbTradesBinance[[#This Row],[Qtt]],Z68-TbTradesBinance[[#This Row],[Qtt]]),IF(TbTradesBinance[[#This Row],[Tipo]]="BUY",Z68-TbTradesBinance[[#This Row],[Qtt]]*TbTradesBinance[[#This Row],[Preço]],Z68+TbTradesBinance[[#This Row],[Qtt]]*TbTradesBinance[[#This Row],[Preço]])),Z68)-IF(TbTradesBinance[[#This Row],[Moeda da Taxa]]=MID(Z$1,9,5),TbTradesBinance[[#This Row],[Taxa]],0),8)))</f>
        <v>0</v>
      </c>
      <c r="AA69" s="145" cm="1">
        <f t="array" ref="AA69">IF(TbTradesBinance[[#This Row],[Tipo]]="EMPTY",0,AA68+IF(TbTradesBinance[[#This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Row],[Par]]))),$1:$1,0)),-(Z68-Z69)/Z68*AA68),0),0)+IF(TbTradesBinance[[#This Row],[Tipo]]="SELL",IF(ISNUMBER(FIND(MID(AA$1,10,5),TbTradesBinance[[#This Row],[Par]])),IF(FIND(MID(AA$1,10,5),TbTradesBinance[[#This Row],[Par]])=1, -(Z68-Z69)/Z68*AA68,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Row],[Par]])),(-(Z68-Z69)/Z68*AA68)+IF(TbTradesBinance[[#This Row],[Resultado]]&gt;0,0,TbTradesBinance[[#This Row],[Taxa]]),0),0))</f>
        <v>0</v>
      </c>
      <c r="AB69" s="145">
        <f t="shared" si="24"/>
        <v>0</v>
      </c>
      <c r="AC6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Row],[Tipo]]="DROP"),AC68+TbTradesBinance[[#This Row],[Qtt]],AC68-TbTradesBinance[[#This Row],[Qtt]]),IF(TbTradesBinance[[#This Row],[Tipo]]="BUY",AC68-TbTradesBinance[[#This Row],[Qtt]]*TbTradesBinance[[#This Row],[Preço]],AC68+TbTradesBinance[[#This Row],[Qtt]]*TbTradesBinance[[#This Row],[Preço]])),AC68)-IF(TbTradesBinance[[#This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Row],[Tipo]]="DROP"),AC68+TbTradesBinance[[#This Row],[Qtt]],AC68-TbTradesBinance[[#This Row],[Qtt]]),IF(TbTradesBinance[[#This Row],[Tipo]]="BUY",AC68-TbTradesBinance[[#This Row],[Qtt]]*TbTradesBinance[[#This Row],[Preço]],AC68+TbTradesBinance[[#This Row],[Qtt]]*TbTradesBinance[[#This Row],[Preço]])),AC68)-IF(TbTradesBinance[[#This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Row],[Tipo]]="DROP"),AC68+TbTradesBinance[[#This Row],[Qtt]],AC68-TbTradesBinance[[#This Row],[Qtt]]),IF(TbTradesBinance[[#This Row],[Tipo]]="BUY",AC68-TbTradesBinance[[#This Row],[Qtt]]*TbTradesBinance[[#This Row],[Preço]],AC68+TbTradesBinance[[#This Row],[Qtt]]*TbTradesBinance[[#This Row],[Preço]])),AC68)-IF(TbTradesBinance[[#This Row],[Moeda da Taxa]]=MID(AC$1,9,5),TbTradesBinance[[#This Row],[Taxa]],0),8)))</f>
        <v>0</v>
      </c>
      <c r="AD69" s="145" cm="1">
        <f t="array" ref="AD69">IF(TbTradesBinance[[#This Row],[Tipo]]="EMPTY",0,AD68+IF(TbTradesBinance[[#This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Row],[Par]]))),$1:$1,0)),-(AC68-AC69)/AC68*AD68),0),0)+IF(TbTradesBinance[[#This Row],[Tipo]]="SELL",IF(ISNUMBER(FIND(MID(AD$1,10,5),TbTradesBinance[[#This Row],[Par]])),IF(FIND(MID(AD$1,10,5),TbTradesBinance[[#This Row],[Par]])=1, -(AC68-AC69)/AC68*AD68,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Row],[Par]])),(-(AC68-AC69)/AC68*AD68)+IF(TbTradesBinance[[#This Row],[Resultado]]&gt;0,0,TbTradesBinance[[#This Row],[Taxa]]),0),0))</f>
        <v>0</v>
      </c>
      <c r="AE69" s="145">
        <f t="shared" si="25"/>
        <v>0</v>
      </c>
      <c r="AF6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Row],[Tipo]]="DROP"),AF68+TbTradesBinance[[#This Row],[Qtt]],AF68-TbTradesBinance[[#This Row],[Qtt]]),IF(TbTradesBinance[[#This Row],[Tipo]]="BUY",AF68-TbTradesBinance[[#This Row],[Qtt]]*TbTradesBinance[[#This Row],[Preço]],AF68+TbTradesBinance[[#This Row],[Qtt]]*TbTradesBinance[[#This Row],[Preço]])),AF68)-IF(TbTradesBinance[[#This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Row],[Tipo]]="DROP"),AF68+TbTradesBinance[[#This Row],[Qtt]],AF68-TbTradesBinance[[#This Row],[Qtt]]),IF(TbTradesBinance[[#This Row],[Tipo]]="BUY",AF68-TbTradesBinance[[#This Row],[Qtt]]*TbTradesBinance[[#This Row],[Preço]],AF68+TbTradesBinance[[#This Row],[Qtt]]*TbTradesBinance[[#This Row],[Preço]])),AF68)-IF(TbTradesBinance[[#This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Row],[Tipo]]="DROP"),AF68+TbTradesBinance[[#This Row],[Qtt]],AF68-TbTradesBinance[[#This Row],[Qtt]]),IF(TbTradesBinance[[#This Row],[Tipo]]="BUY",AF68-TbTradesBinance[[#This Row],[Qtt]]*TbTradesBinance[[#This Row],[Preço]],AF68+TbTradesBinance[[#This Row],[Qtt]]*TbTradesBinance[[#This Row],[Preço]])),AF68)-IF(TbTradesBinance[[#This Row],[Moeda da Taxa]]=MID(AF$1,9,5),TbTradesBinance[[#This Row],[Taxa]],0),8)))</f>
        <v>0</v>
      </c>
      <c r="AG69" s="145" cm="1">
        <f t="array" ref="AG69">IF(TbTradesBinance[[#This Row],[Tipo]]="EMPTY",0,AG68+IF(TbTradesBinance[[#This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Row],[Par]]))),$1:$1,0)),-(AF68-AF69)/AF68*AG68),0),0)+IF(TbTradesBinance[[#This Row],[Tipo]]="SELL",IF(ISNUMBER(FIND(MID(AG$1,10,5),TbTradesBinance[[#This Row],[Par]])),IF(FIND(MID(AG$1,10,5),TbTradesBinance[[#This Row],[Par]])=1, -(AF68-AF69)/AF68*AG68,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Row],[Par]])),(-(AF68-AF69)/AF68*AG68)+IF(TbTradesBinance[[#This Row],[Resultado]]&gt;0,0,TbTradesBinance[[#This Row],[Taxa]]),0),0))</f>
        <v>0</v>
      </c>
      <c r="AH69" s="145">
        <f t="shared" si="26"/>
        <v>0</v>
      </c>
      <c r="AI6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Row],[Tipo]]="DROP"),AI68+TbTradesBinance[[#This Row],[Qtt]],AI68-TbTradesBinance[[#This Row],[Qtt]]),IF(TbTradesBinance[[#This Row],[Tipo]]="BUY",AI68-TbTradesBinance[[#This Row],[Qtt]]*TbTradesBinance[[#This Row],[Preço]],AI68+TbTradesBinance[[#This Row],[Qtt]]*TbTradesBinance[[#This Row],[Preço]])),AI68)-IF(TbTradesBinance[[#This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Row],[Tipo]]="DROP"),AI68+TbTradesBinance[[#This Row],[Qtt]],AI68-TbTradesBinance[[#This Row],[Qtt]]),IF(TbTradesBinance[[#This Row],[Tipo]]="BUY",AI68-TbTradesBinance[[#This Row],[Qtt]]*TbTradesBinance[[#This Row],[Preço]],AI68+TbTradesBinance[[#This Row],[Qtt]]*TbTradesBinance[[#This Row],[Preço]])),AI68)-IF(TbTradesBinance[[#This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Row],[Tipo]]="DROP"),AI68+TbTradesBinance[[#This Row],[Qtt]],AI68-TbTradesBinance[[#This Row],[Qtt]]),IF(TbTradesBinance[[#This Row],[Tipo]]="BUY",AI68-TbTradesBinance[[#This Row],[Qtt]]*TbTradesBinance[[#This Row],[Preço]],AI68+TbTradesBinance[[#This Row],[Qtt]]*TbTradesBinance[[#This Row],[Preço]])),AI68)-IF(TbTradesBinance[[#This Row],[Moeda da Taxa]]=MID(AI$1,9,5),TbTradesBinance[[#This Row],[Taxa]],0),8)))</f>
        <v>0</v>
      </c>
      <c r="AJ69" s="145" cm="1">
        <f t="array" ref="AJ69">IF(TbTradesBinance[[#This Row],[Tipo]]="EMPTY",0,AJ68+IF(TbTradesBinance[[#This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Row],[Par]]))),$1:$1,0)),-(AI68-AI69)/AI68*AJ68),0),0)+IF(TbTradesBinance[[#This Row],[Tipo]]="SELL",IF(ISNUMBER(FIND(MID(AJ$1,10,5),TbTradesBinance[[#This Row],[Par]])),IF(FIND(MID(AJ$1,10,5),TbTradesBinance[[#This Row],[Par]])=1, -(AI68-AI69)/AI68*AJ68,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Row],[Par]])),(-(AI68-AI69)/AI68*AJ68)+IF(TbTradesBinance[[#This Row],[Resultado]]&gt;0,0,TbTradesBinance[[#This Row],[Taxa]]),0),0))</f>
        <v>0</v>
      </c>
      <c r="AK69" s="145">
        <f t="shared" si="27"/>
        <v>0</v>
      </c>
      <c r="AL6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Row],[Tipo]]="DROP"),AL68+TbTradesBinance[[#This Row],[Qtt]],AL68-TbTradesBinance[[#This Row],[Qtt]]),IF(TbTradesBinance[[#This Row],[Tipo]]="BUY",AL68-TbTradesBinance[[#This Row],[Qtt]]*TbTradesBinance[[#This Row],[Preço]],AL68+TbTradesBinance[[#This Row],[Qtt]]*TbTradesBinance[[#This Row],[Preço]])),AL68)-IF(TbTradesBinance[[#This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Row],[Tipo]]="DROP"),AL68+TbTradesBinance[[#This Row],[Qtt]],AL68-TbTradesBinance[[#This Row],[Qtt]]),IF(TbTradesBinance[[#This Row],[Tipo]]="BUY",AL68-TbTradesBinance[[#This Row],[Qtt]]*TbTradesBinance[[#This Row],[Preço]],AL68+TbTradesBinance[[#This Row],[Qtt]]*TbTradesBinance[[#This Row],[Preço]])),AL68)-IF(TbTradesBinance[[#This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Row],[Tipo]]="DROP"),AL68+TbTradesBinance[[#This Row],[Qtt]],AL68-TbTradesBinance[[#This Row],[Qtt]]),IF(TbTradesBinance[[#This Row],[Tipo]]="BUY",AL68-TbTradesBinance[[#This Row],[Qtt]]*TbTradesBinance[[#This Row],[Preço]],AL68+TbTradesBinance[[#This Row],[Qtt]]*TbTradesBinance[[#This Row],[Preço]])),AL68)-IF(TbTradesBinance[[#This Row],[Moeda da Taxa]]=MID(AL$1,9,5),TbTradesBinance[[#This Row],[Taxa]],0),8)))</f>
        <v>1.75824</v>
      </c>
      <c r="AM69" s="145" cm="1">
        <f t="array" ref="AM69">IF(TbTradesBinance[[#This Row],[Tipo]]="EMPTY",0,AM68+IF(TbTradesBinance[[#This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Row],[Par]]))),$1:$1,0)),-(AL68-AL69)/AL68*AM68),0),0)+IF(TbTradesBinance[[#This Row],[Tipo]]="SELL",IF(ISNUMBER(FIND(MID(AM$1,10,5),TbTradesBinance[[#This Row],[Par]])),IF(FIND(MID(AM$1,10,5),TbTradesBinance[[#This Row],[Par]])=1, -(AL68-AL69)/AL68*AM68,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Row],[Par]])),(-(AL68-AL69)/AL68*AM68)+IF(TbTradesBinance[[#This Row],[Resultado]]&gt;0,0,TbTradesBinance[[#This Row],[Taxa]]),0),0))</f>
        <v>144.56635471393039</v>
      </c>
      <c r="AN69" s="145">
        <f t="shared" si="28"/>
        <v>82.222196465744375</v>
      </c>
      <c r="AO6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Row],[Tipo]]="DROP"),AO68+TbTradesBinance[[#This Row],[Qtt]],AO68-TbTradesBinance[[#This Row],[Qtt]]),IF(TbTradesBinance[[#This Row],[Tipo]]="BUY",AO68-TbTradesBinance[[#This Row],[Qtt]]*TbTradesBinance[[#This Row],[Preço]],AO68+TbTradesBinance[[#This Row],[Qtt]]*TbTradesBinance[[#This Row],[Preço]])),AO68)-IF(TbTradesBinance[[#This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Row],[Tipo]]="DROP"),AO68+TbTradesBinance[[#This Row],[Qtt]],AO68-TbTradesBinance[[#This Row],[Qtt]]),IF(TbTradesBinance[[#This Row],[Tipo]]="BUY",AO68-TbTradesBinance[[#This Row],[Qtt]]*TbTradesBinance[[#This Row],[Preço]],AO68+TbTradesBinance[[#This Row],[Qtt]]*TbTradesBinance[[#This Row],[Preço]])),AO68)-IF(TbTradesBinance[[#This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Row],[Tipo]]="DROP"),AO68+TbTradesBinance[[#This Row],[Qtt]],AO68-TbTradesBinance[[#This Row],[Qtt]]),IF(TbTradesBinance[[#This Row],[Tipo]]="BUY",AO68-TbTradesBinance[[#This Row],[Qtt]]*TbTradesBinance[[#This Row],[Preço]],AO68+TbTradesBinance[[#This Row],[Qtt]]*TbTradesBinance[[#This Row],[Preço]])),AO68)-IF(TbTradesBinance[[#This Row],[Moeda da Taxa]]=MID(AO$1,9,5),TbTradesBinance[[#This Row],[Taxa]],0),8)))</f>
        <v>2.6916900000000001E-3</v>
      </c>
      <c r="AP69" s="145" cm="1">
        <f t="array" ref="AP69">IF(TbTradesBinance[[#This Row],[Tipo]]="EMPTY",0,AP68+IF(TbTradesBinance[[#This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Row],[Par]]))),$1:$1,0)),-(AO68-AO69)/AO68*AP68),0),0)+IF(TbTradesBinance[[#This Row],[Tipo]]="SELL",IF(ISNUMBER(FIND(MID(AP$1,10,5),TbTradesBinance[[#This Row],[Par]])),IF(FIND(MID(AP$1,10,5),TbTradesBinance[[#This Row],[Par]])=1, -(AO68-AO69)/AO68*AP68,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Row],[Par]])),(-(AO68-AO69)/AO68*AP68)+IF(TbTradesBinance[[#This Row],[Resultado]]&gt;0,0,TbTradesBinance[[#This Row],[Taxa]]),0),0))</f>
        <v>5.1390914851146583</v>
      </c>
      <c r="AQ69" s="145">
        <f t="shared" si="29"/>
        <v>1909.2434437526827</v>
      </c>
      <c r="AR6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Row],[Tipo]]="DROP"),AR68+TbTradesBinance[[#This Row],[Qtt]],AR68-TbTradesBinance[[#This Row],[Qtt]]),IF(TbTradesBinance[[#This Row],[Tipo]]="BUY",AR68-TbTradesBinance[[#This Row],[Qtt]]*TbTradesBinance[[#This Row],[Preço]],AR68+TbTradesBinance[[#This Row],[Qtt]]*TbTradesBinance[[#This Row],[Preço]])),AR68)-IF(TbTradesBinance[[#This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Row],[Tipo]]="DROP"),AR68+TbTradesBinance[[#This Row],[Qtt]],AR68-TbTradesBinance[[#This Row],[Qtt]]),IF(TbTradesBinance[[#This Row],[Tipo]]="BUY",AR68-TbTradesBinance[[#This Row],[Qtt]]*TbTradesBinance[[#This Row],[Preço]],AR68+TbTradesBinance[[#This Row],[Qtt]]*TbTradesBinance[[#This Row],[Preço]])),AR68)-IF(TbTradesBinance[[#This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Row],[Tipo]]="DROP"),AR68+TbTradesBinance[[#This Row],[Qtt]],AR68-TbTradesBinance[[#This Row],[Qtt]]),IF(TbTradesBinance[[#This Row],[Tipo]]="BUY",AR68-TbTradesBinance[[#This Row],[Qtt]]*TbTradesBinance[[#This Row],[Preço]],AR68+TbTradesBinance[[#This Row],[Qtt]]*TbTradesBinance[[#This Row],[Preço]])),AR68)-IF(TbTradesBinance[[#This Row],[Moeda da Taxa]]=MID(AR$1,9,5),TbTradesBinance[[#This Row],[Taxa]],0),8)))</f>
        <v>0</v>
      </c>
      <c r="AS69" s="145" cm="1">
        <f t="array" ref="AS69">IF(TbTradesBinance[[#This Row],[Tipo]]="EMPTY",0,AS68+IF(TbTradesBinance[[#This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Row],[Par]]))),$1:$1,0)),-(AR68-AR69)/AR68*AS68),0),0)+IF(TbTradesBinance[[#This Row],[Tipo]]="SELL",IF(ISNUMBER(FIND(MID(AS$1,10,5),TbTradesBinance[[#This Row],[Par]])),IF(FIND(MID(AS$1,10,5),TbTradesBinance[[#This Row],[Par]])=1, -(AR68-AR69)/AR68*AS68,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Row],[Par]])),(-(AR68-AR69)/AR68*AS68)+IF(TbTradesBinance[[#This Row],[Resultado]]&gt;0,0,TbTradesBinance[[#This Row],[Taxa]]),0),0))</f>
        <v>0</v>
      </c>
      <c r="AT69" s="145">
        <f t="shared" si="30"/>
        <v>0</v>
      </c>
      <c r="AU6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Row],[Tipo]]="DROP"),AU68+TbTradesBinance[[#This Row],[Qtt]],AU68-TbTradesBinance[[#This Row],[Qtt]]),IF(TbTradesBinance[[#This Row],[Tipo]]="BUY",AU68-TbTradesBinance[[#This Row],[Qtt]]*TbTradesBinance[[#This Row],[Preço]],AU68+TbTradesBinance[[#This Row],[Qtt]]*TbTradesBinance[[#This Row],[Preço]])),AU68)-IF(TbTradesBinance[[#This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Row],[Tipo]]="DROP"),AU68+TbTradesBinance[[#This Row],[Qtt]],AU68-TbTradesBinance[[#This Row],[Qtt]]),IF(TbTradesBinance[[#This Row],[Tipo]]="BUY",AU68-TbTradesBinance[[#This Row],[Qtt]]*TbTradesBinance[[#This Row],[Preço]],AU68+TbTradesBinance[[#This Row],[Qtt]]*TbTradesBinance[[#This Row],[Preço]])),AU68)-IF(TbTradesBinance[[#This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Row],[Tipo]]="DROP"),AU68+TbTradesBinance[[#This Row],[Qtt]],AU68-TbTradesBinance[[#This Row],[Qtt]]),IF(TbTradesBinance[[#This Row],[Tipo]]="BUY",AU68-TbTradesBinance[[#This Row],[Qtt]]*TbTradesBinance[[#This Row],[Preço]],AU68+TbTradesBinance[[#This Row],[Qtt]]*TbTradesBinance[[#This Row],[Preço]])),AU68)-IF(TbTradesBinance[[#This Row],[Moeda da Taxa]]=MID(AU$1,9,5),TbTradesBinance[[#This Row],[Taxa]],0),8)))</f>
        <v>0.26989999999999997</v>
      </c>
      <c r="AV69" s="145" cm="1">
        <f t="array" ref="AV69">IF(TbTradesBinance[[#This Row],[Tipo]]="EMPTY",0,AV68+IF(TbTradesBinance[[#This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Row],[Par]]))),$1:$1,0)),-(AU68-AU69)/AU68*AV68),0),0)+IF(TbTradesBinance[[#This Row],[Tipo]]="SELL",IF(ISNUMBER(FIND(MID(AV$1,10,5),TbTradesBinance[[#This Row],[Par]])),IF(FIND(MID(AV$1,10,5),TbTradesBinance[[#This Row],[Par]])=1, -(AU68-AU69)/AU68*AV68,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Row],[Par]])),(-(AU68-AU69)/AU68*AV68)+IF(TbTradesBinance[[#This Row],[Resultado]]&gt;0,0,TbTradesBinance[[#This Row],[Taxa]]),0),0))</f>
        <v>56.09788062740806</v>
      </c>
      <c r="AW69" s="145">
        <f t="shared" si="31"/>
        <v>207.8469085861729</v>
      </c>
      <c r="AX6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Row],[Tipo]]="DROP"),AX68+TbTradesBinance[[#This Row],[Qtt]],AX68-TbTradesBinance[[#This Row],[Qtt]]),IF(TbTradesBinance[[#This Row],[Tipo]]="BUY",AX68-TbTradesBinance[[#This Row],[Qtt]]*TbTradesBinance[[#This Row],[Preço]],AX68+TbTradesBinance[[#This Row],[Qtt]]*TbTradesBinance[[#This Row],[Preço]])),AX68)-IF(TbTradesBinance[[#This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Row],[Tipo]]="DROP"),AX68+TbTradesBinance[[#This Row],[Qtt]],AX68-TbTradesBinance[[#This Row],[Qtt]]),IF(TbTradesBinance[[#This Row],[Tipo]]="BUY",AX68-TbTradesBinance[[#This Row],[Qtt]]*TbTradesBinance[[#This Row],[Preço]],AX68+TbTradesBinance[[#This Row],[Qtt]]*TbTradesBinance[[#This Row],[Preço]])),AX68)-IF(TbTradesBinance[[#This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Row],[Tipo]]="DROP"),AX68+TbTradesBinance[[#This Row],[Qtt]],AX68-TbTradesBinance[[#This Row],[Qtt]]),IF(TbTradesBinance[[#This Row],[Tipo]]="BUY",AX68-TbTradesBinance[[#This Row],[Qtt]]*TbTradesBinance[[#This Row],[Preço]],AX68+TbTradesBinance[[#This Row],[Qtt]]*TbTradesBinance[[#This Row],[Preço]])),AX68)-IF(TbTradesBinance[[#This Row],[Moeda da Taxa]]=MID(AX$1,9,5),TbTradesBinance[[#This Row],[Taxa]],0),8)))</f>
        <v>0.22636999999999999</v>
      </c>
      <c r="AY69" s="145" cm="1">
        <f t="array" ref="AY69">IF(TbTradesBinance[[#This Row],[Tipo]]="EMPTY",0,AY68+IF(TbTradesBinance[[#This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Row],[Par]]))),$1:$1,0)),-(AX68-AX69)/AX68*AY68),0),0)+IF(TbTradesBinance[[#This Row],[Tipo]]="SELL",IF(ISNUMBER(FIND(MID(AY$1,10,5),TbTradesBinance[[#This Row],[Par]])),IF(FIND(MID(AY$1,10,5),TbTradesBinance[[#This Row],[Par]])=1, -(AX68-AX69)/AX68*AY68,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Row],[Par]])),(-(AX68-AX69)/AX68*AY68)+IF(TbTradesBinance[[#This Row],[Resultado]]&gt;0,0,TbTradesBinance[[#This Row],[Taxa]]),0),0))</f>
        <v>40.781337593356859</v>
      </c>
      <c r="AZ69" s="145">
        <f t="shared" si="32"/>
        <v>180.15345493376711</v>
      </c>
      <c r="BA6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Row],[Tipo]]="DROP"),BA68+TbTradesBinance[[#This Row],[Qtt]],BA68-TbTradesBinance[[#This Row],[Qtt]]),IF(TbTradesBinance[[#This Row],[Tipo]]="BUY",BA68-TbTradesBinance[[#This Row],[Qtt]]*TbTradesBinance[[#This Row],[Preço]],BA68+TbTradesBinance[[#This Row],[Qtt]]*TbTradesBinance[[#This Row],[Preço]])),BA68)-IF(TbTradesBinance[[#This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Row],[Tipo]]="DROP"),BA68+TbTradesBinance[[#This Row],[Qtt]],BA68-TbTradesBinance[[#This Row],[Qtt]]),IF(TbTradesBinance[[#This Row],[Tipo]]="BUY",BA68-TbTradesBinance[[#This Row],[Qtt]]*TbTradesBinance[[#This Row],[Preço]],BA68+TbTradesBinance[[#This Row],[Qtt]]*TbTradesBinance[[#This Row],[Preço]])),BA68)-IF(TbTradesBinance[[#This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Row],[Tipo]]="DROP"),BA68+TbTradesBinance[[#This Row],[Qtt]],BA68-TbTradesBinance[[#This Row],[Qtt]]),IF(TbTradesBinance[[#This Row],[Tipo]]="BUY",BA68-TbTradesBinance[[#This Row],[Qtt]]*TbTradesBinance[[#This Row],[Preço]],BA68+TbTradesBinance[[#This Row],[Qtt]]*TbTradesBinance[[#This Row],[Preço]])),BA68)-IF(TbTradesBinance[[#This Row],[Moeda da Taxa]]=MID(BA$1,9,5),TbTradesBinance[[#This Row],[Taxa]],0),8)))</f>
        <v>0</v>
      </c>
      <c r="BB69" s="145" cm="1">
        <f t="array" ref="BB69">IF(TbTradesBinance[[#This Row],[Tipo]]="EMPTY",0,BB68+IF(TbTradesBinance[[#This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Row],[Par]]))),$1:$1,0)),-(BA68-BA69)/BA68*BB68),0),0)+IF(TbTradesBinance[[#This Row],[Tipo]]="SELL",IF(ISNUMBER(FIND(MID(BB$1,10,5),TbTradesBinance[[#This Row],[Par]])),IF(FIND(MID(BB$1,10,5),TbTradesBinance[[#This Row],[Par]])=1, -(BA68-BA69)/BA68*BB68,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Row],[Par]])),(-(BA68-BA69)/BA68*BB68)+IF(TbTradesBinance[[#This Row],[Resultado]]&gt;0,0,TbTradesBinance[[#This Row],[Taxa]]),0),0))</f>
        <v>0</v>
      </c>
      <c r="BC69" s="145">
        <f t="shared" si="33"/>
        <v>0</v>
      </c>
      <c r="BD6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Row],[Tipo]]="DROP"),BD68+TbTradesBinance[[#This Row],[Qtt]],BD68-TbTradesBinance[[#This Row],[Qtt]]),IF(TbTradesBinance[[#This Row],[Tipo]]="BUY",BD68-TbTradesBinance[[#This Row],[Qtt]]*TbTradesBinance[[#This Row],[Preço]],BD68+TbTradesBinance[[#This Row],[Qtt]]*TbTradesBinance[[#This Row],[Preço]])),BD68)-IF(TbTradesBinance[[#This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Row],[Tipo]]="DROP"),BD68+TbTradesBinance[[#This Row],[Qtt]],BD68-TbTradesBinance[[#This Row],[Qtt]]),IF(TbTradesBinance[[#This Row],[Tipo]]="BUY",BD68-TbTradesBinance[[#This Row],[Qtt]]*TbTradesBinance[[#This Row],[Preço]],BD68+TbTradesBinance[[#This Row],[Qtt]]*TbTradesBinance[[#This Row],[Preço]])),BD68)-IF(TbTradesBinance[[#This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Row],[Tipo]]="DROP"),BD68+TbTradesBinance[[#This Row],[Qtt]],BD68-TbTradesBinance[[#This Row],[Qtt]]),IF(TbTradesBinance[[#This Row],[Tipo]]="BUY",BD68-TbTradesBinance[[#This Row],[Qtt]]*TbTradesBinance[[#This Row],[Preço]],BD68+TbTradesBinance[[#This Row],[Qtt]]*TbTradesBinance[[#This Row],[Preço]])),BD68)-IF(TbTradesBinance[[#This Row],[Moeda da Taxa]]=MID(BD$1,9,5),TbTradesBinance[[#This Row],[Taxa]],0),8)))</f>
        <v>0.37962000000000001</v>
      </c>
      <c r="BE69" s="145" cm="1">
        <f t="array" ref="BE69">IF(TbTradesBinance[[#This Row],[Tipo]]="EMPTY",0,BE68+IF(TbTradesBinance[[#This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Row],[Par]]))),$1:$1,0)),-(BD68-BD69)/BD68*BE68),0),0)+IF(TbTradesBinance[[#This Row],[Tipo]]="SELL",IF(ISNUMBER(FIND(MID(BE$1,10,5),TbTradesBinance[[#This Row],[Par]])),IF(FIND(MID(BE$1,10,5),TbTradesBinance[[#This Row],[Par]])=1, -(BD68-BD69)/BD68*BE68,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Row],[Par]])),(-(BD68-BD69)/BD68*BE68)+IF(TbTradesBinance[[#This Row],[Resultado]]&gt;0,0,TbTradesBinance[[#This Row],[Taxa]]),0),0))</f>
        <v>63.647297001537943</v>
      </c>
      <c r="BF69" s="145">
        <f t="shared" si="34"/>
        <v>167.66054739354601</v>
      </c>
      <c r="BG6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Row],[Tipo]]="DROP"),BG68+TbTradesBinance[[#This Row],[Qtt]],BG68-TbTradesBinance[[#This Row],[Qtt]]),IF(TbTradesBinance[[#This Row],[Tipo]]="BUY",BG68-TbTradesBinance[[#This Row],[Qtt]]*TbTradesBinance[[#This Row],[Preço]],BG68+TbTradesBinance[[#This Row],[Qtt]]*TbTradesBinance[[#This Row],[Preço]])),BG68)-IF(TbTradesBinance[[#This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Row],[Tipo]]="DROP"),BG68+TbTradesBinance[[#This Row],[Qtt]],BG68-TbTradesBinance[[#This Row],[Qtt]]),IF(TbTradesBinance[[#This Row],[Tipo]]="BUY",BG68-TbTradesBinance[[#This Row],[Qtt]]*TbTradesBinance[[#This Row],[Preço]],BG68+TbTradesBinance[[#This Row],[Qtt]]*TbTradesBinance[[#This Row],[Preço]])),BG68)-IF(TbTradesBinance[[#This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Row],[Tipo]]="DROP"),BG68+TbTradesBinance[[#This Row],[Qtt]],BG68-TbTradesBinance[[#This Row],[Qtt]]),IF(TbTradesBinance[[#This Row],[Tipo]]="BUY",BG68-TbTradesBinance[[#This Row],[Qtt]]*TbTradesBinance[[#This Row],[Preço]],BG68+TbTradesBinance[[#This Row],[Qtt]]*TbTradesBinance[[#This Row],[Preço]])),BG68)-IF(TbTradesBinance[[#This Row],[Moeda da Taxa]]=MID(BG$1,9,5),TbTradesBinance[[#This Row],[Taxa]],0),8)))</f>
        <v>0</v>
      </c>
      <c r="BH69" s="145" cm="1">
        <f t="array" ref="BH69">IF(TbTradesBinance[[#This Row],[Tipo]]="EMPTY",0,BH68+IF(TbTradesBinance[[#This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Row],[Par]]))),$1:$1,0)),-(BG68-BG69)/BG68*BH68),0),0)+IF(TbTradesBinance[[#This Row],[Tipo]]="SELL",IF(ISNUMBER(FIND(MID(BH$1,10,5),TbTradesBinance[[#This Row],[Par]])),IF(FIND(MID(BH$1,10,5),TbTradesBinance[[#This Row],[Par]])=1, -(BG68-BG69)/BG68*BH68,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Row],[Par]])),(-(BG68-BG69)/BG68*BH68)+IF(TbTradesBinance[[#This Row],[Resultado]]&gt;0,0,TbTradesBinance[[#This Row],[Taxa]]),0),0))</f>
        <v>0</v>
      </c>
      <c r="BI69" s="145">
        <f t="shared" si="35"/>
        <v>0</v>
      </c>
      <c r="BJ6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Row],[Tipo]]="DROP"),BJ68+TbTradesBinance[[#This Row],[Qtt]],BJ68-TbTradesBinance[[#This Row],[Qtt]]),IF(TbTradesBinance[[#This Row],[Tipo]]="BUY",BJ68-TbTradesBinance[[#This Row],[Qtt]]*TbTradesBinance[[#This Row],[Preço]],BJ68+TbTradesBinance[[#This Row],[Qtt]]*TbTradesBinance[[#This Row],[Preço]])),BJ68)-IF(TbTradesBinance[[#This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Row],[Tipo]]="DROP"),BJ68+TbTradesBinance[[#This Row],[Qtt]],BJ68-TbTradesBinance[[#This Row],[Qtt]]),IF(TbTradesBinance[[#This Row],[Tipo]]="BUY",BJ68-TbTradesBinance[[#This Row],[Qtt]]*TbTradesBinance[[#This Row],[Preço]],BJ68+TbTradesBinance[[#This Row],[Qtt]]*TbTradesBinance[[#This Row],[Preço]])),BJ68)-IF(TbTradesBinance[[#This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Row],[Tipo]]="DROP"),BJ68+TbTradesBinance[[#This Row],[Qtt]],BJ68-TbTradesBinance[[#This Row],[Qtt]]),IF(TbTradesBinance[[#This Row],[Tipo]]="BUY",BJ68-TbTradesBinance[[#This Row],[Qtt]]*TbTradesBinance[[#This Row],[Preço]],BJ68+TbTradesBinance[[#This Row],[Qtt]]*TbTradesBinance[[#This Row],[Preço]])),BJ68)-IF(TbTradesBinance[[#This Row],[Moeda da Taxa]]=MID(BJ$1,9,5),TbTradesBinance[[#This Row],[Taxa]],0),8)))</f>
        <v>0</v>
      </c>
      <c r="BK69" s="145" cm="1">
        <f t="array" ref="BK69">IF(TbTradesBinance[[#This Row],[Tipo]]="EMPTY",0,BK68+IF(TbTradesBinance[[#This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Row],[Par]]))),$1:$1,0)),-(BJ68-BJ69)/BJ68*BK68),0),0)+IF(TbTradesBinance[[#This Row],[Tipo]]="SELL",IF(ISNUMBER(FIND(MID(BK$1,10,5),TbTradesBinance[[#This Row],[Par]])),IF(FIND(MID(BK$1,10,5),TbTradesBinance[[#This Row],[Par]])=1, -(BJ68-BJ69)/BJ68*BK68,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Row],[Par]])),(-(BJ68-BJ69)/BJ68*BK68)+IF(TbTradesBinance[[#This Row],[Resultado]]&gt;0,0,TbTradesBinance[[#This Row],[Taxa]]),0),0))</f>
        <v>0</v>
      </c>
      <c r="BL69" s="145">
        <f t="shared" si="36"/>
        <v>0</v>
      </c>
      <c r="BM6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Row],[Tipo]]="DROP"),BM68+TbTradesBinance[[#This Row],[Qtt]],BM68-TbTradesBinance[[#This Row],[Qtt]]),IF(TbTradesBinance[[#This Row],[Tipo]]="BUY",BM68-TbTradesBinance[[#This Row],[Qtt]]*TbTradesBinance[[#This Row],[Preço]],BM68+TbTradesBinance[[#This Row],[Qtt]]*TbTradesBinance[[#This Row],[Preço]])),BM68)-IF(TbTradesBinance[[#This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Row],[Tipo]]="DROP"),BM68+TbTradesBinance[[#This Row],[Qtt]],BM68-TbTradesBinance[[#This Row],[Qtt]]),IF(TbTradesBinance[[#This Row],[Tipo]]="BUY",BM68-TbTradesBinance[[#This Row],[Qtt]]*TbTradesBinance[[#This Row],[Preço]],BM68+TbTradesBinance[[#This Row],[Qtt]]*TbTradesBinance[[#This Row],[Preço]])),BM68)-IF(TbTradesBinance[[#This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Row],[Tipo]]="DROP"),BM68+TbTradesBinance[[#This Row],[Qtt]],BM68-TbTradesBinance[[#This Row],[Qtt]]),IF(TbTradesBinance[[#This Row],[Tipo]]="BUY",BM68-TbTradesBinance[[#This Row],[Qtt]]*TbTradesBinance[[#This Row],[Preço]],BM68+TbTradesBinance[[#This Row],[Qtt]]*TbTradesBinance[[#This Row],[Preço]])),BM68)-IF(TbTradesBinance[[#This Row],[Moeda da Taxa]]=MID(BM$1,9,5),TbTradesBinance[[#This Row],[Taxa]],0),8)))</f>
        <v>0</v>
      </c>
      <c r="BN69" s="145" cm="1">
        <f t="array" ref="BN69">IF(TbTradesBinance[[#This Row],[Tipo]]="EMPTY",0,BN68+IF(TbTradesBinance[[#This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Row],[Par]]))),$1:$1,0)),-(BM68-BM69)/BM68*BN68),0),0)+IF(TbTradesBinance[[#This Row],[Tipo]]="SELL",IF(ISNUMBER(FIND(MID(BN$1,10,5),TbTradesBinance[[#This Row],[Par]])),IF(FIND(MID(BN$1,10,5),TbTradesBinance[[#This Row],[Par]])=1, -(BM68-BM69)/BM68*BN68,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Row],[Par]])),(-(BM68-BM69)/BM68*BN68)+IF(TbTradesBinance[[#This Row],[Resultado]]&gt;0,0,TbTradesBinance[[#This Row],[Taxa]]),0),0))</f>
        <v>0</v>
      </c>
      <c r="BO69" s="145">
        <f t="shared" si="37"/>
        <v>0</v>
      </c>
    </row>
    <row r="70" spans="2:67" x14ac:dyDescent="0.3">
      <c r="B70" s="51"/>
      <c r="C70" s="40">
        <f>TRUNC(IF(AND(TbTradesBinance[[#This Row],[Tipo]]="SEND",TbTradesBinance[[#This Row],[Par]]="BRL"),TbTradesBinance[[#This Row],[Qtt]]*(1-P68)-IF(TbTradesBinance[[#This Row],[Moeda da Taxa]]="BRL",TbTradesBinance[[#This Row],[Taxa]],0),0)+IF(AND(TbTradesBinance[[#This Row],[Tipo]]="BURN",TbTradesBinance[[#This Row],[Par]]="BRL"),-TbTradesBinance[[#This Row],[Qtt]]*P68,0),2)</f>
        <v>0</v>
      </c>
      <c r="D70" s="53">
        <v>44264.907673611109</v>
      </c>
      <c r="E70" s="37" t="s">
        <v>138</v>
      </c>
      <c r="F70" s="47" t="s">
        <v>139</v>
      </c>
      <c r="G70" s="38">
        <v>322880</v>
      </c>
      <c r="H70" s="38">
        <v>1.8E-5</v>
      </c>
      <c r="I70" s="38">
        <v>2E-8</v>
      </c>
      <c r="J70" s="37" t="s">
        <v>6</v>
      </c>
      <c r="K70" s="52">
        <v>1</v>
      </c>
      <c r="L70" s="40">
        <f t="shared" si="19"/>
        <v>322880</v>
      </c>
      <c r="M70" s="40">
        <f>IF(OR(TbTradesBinance[[#This Row],[Tipo]]="BUY",TbTradesBinance[[#This Row],[Tipo]]="RECEIVE",TbTradesBinance[[#This Row],[Tipo]]="DROP"),L70*H70,-L70*H70)</f>
        <v>5.8118400000000001</v>
      </c>
      <c r="N7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Row],[Tipo]]="DROP"),N69+TbTradesBinance[[#This Row],[Qtt]],N69-TbTradesBinance[[#This Row],[Qtt]]),IF(TbTradesBinance[[#This Row],[Tipo]]="BUY",N69-TbTradesBinance[[#This Row],[Qtt]]*TbTradesBinance[[#This Row],[Preço]],N69+TbTradesBinance[[#This Row],[Qtt]]*TbTradesBinance[[#This Row],[Preço]])),N69)-IF(TbTradesBinance[[#This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Row],[Tipo]]="DROP"),N69+TbTradesBinance[[#This Row],[Qtt]],N69-TbTradesBinance[[#This Row],[Qtt]]),IF(TbTradesBinance[[#This Row],[Tipo]]="BUY",N69-TbTradesBinance[[#This Row],[Qtt]]*TbTradesBinance[[#This Row],[Preço]],N69+TbTradesBinance[[#This Row],[Qtt]]*TbTradesBinance[[#This Row],[Preço]])),N69)-IF(TbTradesBinance[[#This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Row],[Tipo]]="DROP"),N69+TbTradesBinance[[#This Row],[Qtt]],N69-TbTradesBinance[[#This Row],[Qtt]]),IF(TbTradesBinance[[#This Row],[Tipo]]="BUY",N69-TbTradesBinance[[#This Row],[Qtt]]*TbTradesBinance[[#This Row],[Preço]],N69+TbTradesBinance[[#This Row],[Qtt]]*TbTradesBinance[[#This Row],[Preço]])),N69)-IF(TbTradesBinance[[#This Row],[Moeda da Taxa]]=MID(N$1,9,5),TbTradesBinance[[#This Row],[Taxa]],0),8)))</f>
        <v>119745.57126599</v>
      </c>
      <c r="O70" s="145" cm="1">
        <f t="array" ref="O70">IF(TbTradesBinance[[#This Row],[Tipo]]="EMPTY",0,O69+IF(TbTradesBinance[[#This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Row],[Par]]))),$1:$1,0)),-(N69-N70)/N69*O69),0),0)+IF(TbTradesBinance[[#This Row],[Tipo]]="SELL",IF(ISNUMBER(FIND(MID(O$1,10,5),TbTradesBinance[[#This Row],[Par]])),IF(FIND(MID(O$1,10,5),TbTradesBinance[[#This Row],[Par]])=1, -(N69-N70)/N69*O69,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Row],[Par]])),(-(N69-N70)/N69*O69)+IF(TbTradesBinance[[#This Row],[Resultado]]&gt;0,0,TbTradesBinance[[#This Row],[Taxa]]),0),0))</f>
        <v>119649.04996212556</v>
      </c>
      <c r="P70" s="145">
        <f t="shared" si="20"/>
        <v>0.99919394677528373</v>
      </c>
      <c r="Q7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Row],[Tipo]]="DROP"),Q69+TbTradesBinance[[#This Row],[Qtt]],Q69-TbTradesBinance[[#This Row],[Qtt]]),IF(TbTradesBinance[[#This Row],[Tipo]]="BUY",Q69-TbTradesBinance[[#This Row],[Qtt]]*TbTradesBinance[[#This Row],[Preço]],Q69+TbTradesBinance[[#This Row],[Qtt]]*TbTradesBinance[[#This Row],[Preço]])),Q69)-IF(TbTradesBinance[[#This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Row],[Tipo]]="DROP"),Q69+TbTradesBinance[[#This Row],[Qtt]],Q69-TbTradesBinance[[#This Row],[Qtt]]),IF(TbTradesBinance[[#This Row],[Tipo]]="BUY",Q69-TbTradesBinance[[#This Row],[Qtt]]*TbTradesBinance[[#This Row],[Preço]],Q69+TbTradesBinance[[#This Row],[Qtt]]*TbTradesBinance[[#This Row],[Preço]])),Q69)-IF(TbTradesBinance[[#This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Row],[Tipo]]="DROP"),Q69+TbTradesBinance[[#This Row],[Qtt]],Q69-TbTradesBinance[[#This Row],[Qtt]]),IF(TbTradesBinance[[#This Row],[Tipo]]="BUY",Q69-TbTradesBinance[[#This Row],[Qtt]]*TbTradesBinance[[#This Row],[Preço]],Q69+TbTradesBinance[[#This Row],[Qtt]]*TbTradesBinance[[#This Row],[Preço]])),Q69)-IF(TbTradesBinance[[#This Row],[Moeda da Taxa]]=MID(Q$1,9,5),TbTradesBinance[[#This Row],[Taxa]],0),8)))</f>
        <v>0.29005796</v>
      </c>
      <c r="R70" s="145" cm="1">
        <f t="array" ref="R70">IF(TbTradesBinance[[#This Row],[Tipo]]="EMPTY",0,R69+IF(TbTradesBinance[[#This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Row],[Par]]))),$1:$1,0)),-(Q69-Q70)/Q69*R69),0),0)+IF(TbTradesBinance[[#This Row],[Tipo]]="SELL",IF(ISNUMBER(FIND(MID(R$1,10,5),TbTradesBinance[[#This Row],[Par]])),IF(FIND(MID(R$1,10,5),TbTradesBinance[[#This Row],[Par]])=1, -(Q69-Q70)/Q69*R69,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Row],[Par]])),(-(Q69-Q70)/Q69*R69)+IF(TbTradesBinance[[#This Row],[Resultado]]&gt;0,0,TbTradesBinance[[#This Row],[Taxa]]),0),0))</f>
        <v>1.5930510813161334</v>
      </c>
      <c r="S70" s="145">
        <f t="shared" si="21"/>
        <v>5.4921819119052389</v>
      </c>
      <c r="T7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Row],[Tipo]]="DROP"),T69+TbTradesBinance[[#This Row],[Qtt]],T69-TbTradesBinance[[#This Row],[Qtt]]),IF(TbTradesBinance[[#This Row],[Tipo]]="BUY",T69-TbTradesBinance[[#This Row],[Qtt]]*TbTradesBinance[[#This Row],[Preço]],T69+TbTradesBinance[[#This Row],[Qtt]]*TbTradesBinance[[#This Row],[Preço]])),T69)-IF(TbTradesBinance[[#This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Row],[Tipo]]="DROP"),T69+TbTradesBinance[[#This Row],[Qtt]],T69-TbTradesBinance[[#This Row],[Qtt]]),IF(TbTradesBinance[[#This Row],[Tipo]]="BUY",T69-TbTradesBinance[[#This Row],[Qtt]]*TbTradesBinance[[#This Row],[Preço]],T69+TbTradesBinance[[#This Row],[Qtt]]*TbTradesBinance[[#This Row],[Preço]])),T69)-IF(TbTradesBinance[[#This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Row],[Tipo]]="DROP"),T69+TbTradesBinance[[#This Row],[Qtt]],T69-TbTradesBinance[[#This Row],[Qtt]]),IF(TbTradesBinance[[#This Row],[Tipo]]="BUY",T69-TbTradesBinance[[#This Row],[Qtt]]*TbTradesBinance[[#This Row],[Preço]],T69+TbTradesBinance[[#This Row],[Qtt]]*TbTradesBinance[[#This Row],[Preço]])),T69)-IF(TbTradesBinance[[#This Row],[Moeda da Taxa]]=MID(T$1,9,5),TbTradesBinance[[#This Row],[Taxa]],0),8)))</f>
        <v>199735.32000169999</v>
      </c>
      <c r="U70" s="145" cm="1">
        <f t="array" ref="U70">IF(TbTradesBinance[[#This Row],[Tipo]]="EMPTY",0,U69+IF(TbTradesBinance[[#This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Row],[Par]]))),$1:$1,0)),-(T69-T70)/T69*U69),0),0)+IF(TbTradesBinance[[#This Row],[Tipo]]="SELL",IF(ISNUMBER(FIND(MID(U$1,10,5),TbTradesBinance[[#This Row],[Par]])),IF(FIND(MID(U$1,10,5),TbTradesBinance[[#This Row],[Par]])=1, -(T69-T70)/T69*U69,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Row],[Par]])),(-(T69-T70)/T69*U69)+IF(TbTradesBinance[[#This Row],[Resultado]]&gt;0,0,TbTradesBinance[[#This Row],[Taxa]]),0),0))</f>
        <v>1328239.8809817513</v>
      </c>
      <c r="V70" s="145">
        <f t="shared" si="22"/>
        <v>6.6500000148719129</v>
      </c>
      <c r="W7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Row],[Tipo]]="DROP"),W69+TbTradesBinance[[#This Row],[Qtt]],W69-TbTradesBinance[[#This Row],[Qtt]]),IF(TbTradesBinance[[#This Row],[Tipo]]="BUY",W69-TbTradesBinance[[#This Row],[Qtt]]*TbTradesBinance[[#This Row],[Preço]],W69+TbTradesBinance[[#This Row],[Qtt]]*TbTradesBinance[[#This Row],[Preço]])),W69)-IF(TbTradesBinance[[#This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Row],[Tipo]]="DROP"),W69+TbTradesBinance[[#This Row],[Qtt]],W69-TbTradesBinance[[#This Row],[Qtt]]),IF(TbTradesBinance[[#This Row],[Tipo]]="BUY",W69-TbTradesBinance[[#This Row],[Qtt]]*TbTradesBinance[[#This Row],[Preço]],W69+TbTradesBinance[[#This Row],[Qtt]]*TbTradesBinance[[#This Row],[Preço]])),W69)-IF(TbTradesBinance[[#This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Row],[Tipo]]="DROP"),W69+TbTradesBinance[[#This Row],[Qtt]],W69-TbTradesBinance[[#This Row],[Qtt]]),IF(TbTradesBinance[[#This Row],[Tipo]]="BUY",W69-TbTradesBinance[[#This Row],[Qtt]]*TbTradesBinance[[#This Row],[Preço]],W69+TbTradesBinance[[#This Row],[Qtt]]*TbTradesBinance[[#This Row],[Preço]])),W69)-IF(TbTradesBinance[[#This Row],[Moeda da Taxa]]=MID(W$1,9,5),TbTradesBinance[[#This Row],[Taxa]],0),8)))</f>
        <v>3.5816300000000001E-3</v>
      </c>
      <c r="X70" s="145" cm="1">
        <f t="array" ref="X70">IF(TbTradesBinance[[#This Row],[Tipo]]="EMPTY",0,X69+IF(TbTradesBinance[[#This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Row],[Par]]))),$1:$1,0)),-(W69-W70)/W69*X69),0),0)+IF(TbTradesBinance[[#This Row],[Tipo]]="SELL",IF(ISNUMBER(FIND(MID(X$1,10,5),TbTradesBinance[[#This Row],[Par]])),IF(FIND(MID(X$1,10,5),TbTradesBinance[[#This Row],[Par]])=1, -(W69-W70)/W69*X69,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Row],[Par]])),(-(W69-W70)/W69*X69)+IF(TbTradesBinance[[#This Row],[Resultado]]&gt;0,0,TbTradesBinance[[#This Row],[Taxa]]),0),0))</f>
        <v>1146.3216634961352</v>
      </c>
      <c r="Y70" s="145">
        <f t="shared" si="23"/>
        <v>320055.85822548257</v>
      </c>
      <c r="Z7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Row],[Tipo]]="DROP"),Z69+TbTradesBinance[[#This Row],[Qtt]],Z69-TbTradesBinance[[#This Row],[Qtt]]),IF(TbTradesBinance[[#This Row],[Tipo]]="BUY",Z69-TbTradesBinance[[#This Row],[Qtt]]*TbTradesBinance[[#This Row],[Preço]],Z69+TbTradesBinance[[#This Row],[Qtt]]*TbTradesBinance[[#This Row],[Preço]])),Z69)-IF(TbTradesBinance[[#This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Row],[Tipo]]="DROP"),Z69+TbTradesBinance[[#This Row],[Qtt]],Z69-TbTradesBinance[[#This Row],[Qtt]]),IF(TbTradesBinance[[#This Row],[Tipo]]="BUY",Z69-TbTradesBinance[[#This Row],[Qtt]]*TbTradesBinance[[#This Row],[Preço]],Z69+TbTradesBinance[[#This Row],[Qtt]]*TbTradesBinance[[#This Row],[Preço]])),Z69)-IF(TbTradesBinance[[#This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Row],[Tipo]]="DROP"),Z69+TbTradesBinance[[#This Row],[Qtt]],Z69-TbTradesBinance[[#This Row],[Qtt]]),IF(TbTradesBinance[[#This Row],[Tipo]]="BUY",Z69-TbTradesBinance[[#This Row],[Qtt]]*TbTradesBinance[[#This Row],[Preço]],Z69+TbTradesBinance[[#This Row],[Qtt]]*TbTradesBinance[[#This Row],[Preço]])),Z69)-IF(TbTradesBinance[[#This Row],[Moeda da Taxa]]=MID(Z$1,9,5),TbTradesBinance[[#This Row],[Taxa]],0),8)))</f>
        <v>0</v>
      </c>
      <c r="AA70" s="145" cm="1">
        <f t="array" ref="AA70">IF(TbTradesBinance[[#This Row],[Tipo]]="EMPTY",0,AA69+IF(TbTradesBinance[[#This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Row],[Par]]))),$1:$1,0)),-(Z69-Z70)/Z69*AA69),0),0)+IF(TbTradesBinance[[#This Row],[Tipo]]="SELL",IF(ISNUMBER(FIND(MID(AA$1,10,5),TbTradesBinance[[#This Row],[Par]])),IF(FIND(MID(AA$1,10,5),TbTradesBinance[[#This Row],[Par]])=1, -(Z69-Z70)/Z69*AA69,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Row],[Par]])),(-(Z69-Z70)/Z69*AA69)+IF(TbTradesBinance[[#This Row],[Resultado]]&gt;0,0,TbTradesBinance[[#This Row],[Taxa]]),0),0))</f>
        <v>0</v>
      </c>
      <c r="AB70" s="145">
        <f t="shared" si="24"/>
        <v>0</v>
      </c>
      <c r="AC7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Row],[Tipo]]="DROP"),AC69+TbTradesBinance[[#This Row],[Qtt]],AC69-TbTradesBinance[[#This Row],[Qtt]]),IF(TbTradesBinance[[#This Row],[Tipo]]="BUY",AC69-TbTradesBinance[[#This Row],[Qtt]]*TbTradesBinance[[#This Row],[Preço]],AC69+TbTradesBinance[[#This Row],[Qtt]]*TbTradesBinance[[#This Row],[Preço]])),AC69)-IF(TbTradesBinance[[#This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Row],[Tipo]]="DROP"),AC69+TbTradesBinance[[#This Row],[Qtt]],AC69-TbTradesBinance[[#This Row],[Qtt]]),IF(TbTradesBinance[[#This Row],[Tipo]]="BUY",AC69-TbTradesBinance[[#This Row],[Qtt]]*TbTradesBinance[[#This Row],[Preço]],AC69+TbTradesBinance[[#This Row],[Qtt]]*TbTradesBinance[[#This Row],[Preço]])),AC69)-IF(TbTradesBinance[[#This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Row],[Tipo]]="DROP"),AC69+TbTradesBinance[[#This Row],[Qtt]],AC69-TbTradesBinance[[#This Row],[Qtt]]),IF(TbTradesBinance[[#This Row],[Tipo]]="BUY",AC69-TbTradesBinance[[#This Row],[Qtt]]*TbTradesBinance[[#This Row],[Preço]],AC69+TbTradesBinance[[#This Row],[Qtt]]*TbTradesBinance[[#This Row],[Preço]])),AC69)-IF(TbTradesBinance[[#This Row],[Moeda da Taxa]]=MID(AC$1,9,5),TbTradesBinance[[#This Row],[Taxa]],0),8)))</f>
        <v>0</v>
      </c>
      <c r="AD70" s="145" cm="1">
        <f t="array" ref="AD70">IF(TbTradesBinance[[#This Row],[Tipo]]="EMPTY",0,AD69+IF(TbTradesBinance[[#This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Row],[Par]]))),$1:$1,0)),-(AC69-AC70)/AC69*AD69),0),0)+IF(TbTradesBinance[[#This Row],[Tipo]]="SELL",IF(ISNUMBER(FIND(MID(AD$1,10,5),TbTradesBinance[[#This Row],[Par]])),IF(FIND(MID(AD$1,10,5),TbTradesBinance[[#This Row],[Par]])=1, -(AC69-AC70)/AC69*AD69,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Row],[Par]])),(-(AC69-AC70)/AC69*AD69)+IF(TbTradesBinance[[#This Row],[Resultado]]&gt;0,0,TbTradesBinance[[#This Row],[Taxa]]),0),0))</f>
        <v>0</v>
      </c>
      <c r="AE70" s="145">
        <f t="shared" si="25"/>
        <v>0</v>
      </c>
      <c r="AF7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Row],[Tipo]]="DROP"),AF69+TbTradesBinance[[#This Row],[Qtt]],AF69-TbTradesBinance[[#This Row],[Qtt]]),IF(TbTradesBinance[[#This Row],[Tipo]]="BUY",AF69-TbTradesBinance[[#This Row],[Qtt]]*TbTradesBinance[[#This Row],[Preço]],AF69+TbTradesBinance[[#This Row],[Qtt]]*TbTradesBinance[[#This Row],[Preço]])),AF69)-IF(TbTradesBinance[[#This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Row],[Tipo]]="DROP"),AF69+TbTradesBinance[[#This Row],[Qtt]],AF69-TbTradesBinance[[#This Row],[Qtt]]),IF(TbTradesBinance[[#This Row],[Tipo]]="BUY",AF69-TbTradesBinance[[#This Row],[Qtt]]*TbTradesBinance[[#This Row],[Preço]],AF69+TbTradesBinance[[#This Row],[Qtt]]*TbTradesBinance[[#This Row],[Preço]])),AF69)-IF(TbTradesBinance[[#This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Row],[Tipo]]="DROP"),AF69+TbTradesBinance[[#This Row],[Qtt]],AF69-TbTradesBinance[[#This Row],[Qtt]]),IF(TbTradesBinance[[#This Row],[Tipo]]="BUY",AF69-TbTradesBinance[[#This Row],[Qtt]]*TbTradesBinance[[#This Row],[Preço]],AF69+TbTradesBinance[[#This Row],[Qtt]]*TbTradesBinance[[#This Row],[Preço]])),AF69)-IF(TbTradesBinance[[#This Row],[Moeda da Taxa]]=MID(AF$1,9,5),TbTradesBinance[[#This Row],[Taxa]],0),8)))</f>
        <v>0</v>
      </c>
      <c r="AG70" s="145" cm="1">
        <f t="array" ref="AG70">IF(TbTradesBinance[[#This Row],[Tipo]]="EMPTY",0,AG69+IF(TbTradesBinance[[#This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Row],[Par]]))),$1:$1,0)),-(AF69-AF70)/AF69*AG69),0),0)+IF(TbTradesBinance[[#This Row],[Tipo]]="SELL",IF(ISNUMBER(FIND(MID(AG$1,10,5),TbTradesBinance[[#This Row],[Par]])),IF(FIND(MID(AG$1,10,5),TbTradesBinance[[#This Row],[Par]])=1, -(AF69-AF70)/AF69*AG69,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Row],[Par]])),(-(AF69-AF70)/AF69*AG69)+IF(TbTradesBinance[[#This Row],[Resultado]]&gt;0,0,TbTradesBinance[[#This Row],[Taxa]]),0),0))</f>
        <v>0</v>
      </c>
      <c r="AH70" s="145">
        <f t="shared" si="26"/>
        <v>0</v>
      </c>
      <c r="AI7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Row],[Tipo]]="DROP"),AI69+TbTradesBinance[[#This Row],[Qtt]],AI69-TbTradesBinance[[#This Row],[Qtt]]),IF(TbTradesBinance[[#This Row],[Tipo]]="BUY",AI69-TbTradesBinance[[#This Row],[Qtt]]*TbTradesBinance[[#This Row],[Preço]],AI69+TbTradesBinance[[#This Row],[Qtt]]*TbTradesBinance[[#This Row],[Preço]])),AI69)-IF(TbTradesBinance[[#This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Row],[Tipo]]="DROP"),AI69+TbTradesBinance[[#This Row],[Qtt]],AI69-TbTradesBinance[[#This Row],[Qtt]]),IF(TbTradesBinance[[#This Row],[Tipo]]="BUY",AI69-TbTradesBinance[[#This Row],[Qtt]]*TbTradesBinance[[#This Row],[Preço]],AI69+TbTradesBinance[[#This Row],[Qtt]]*TbTradesBinance[[#This Row],[Preço]])),AI69)-IF(TbTradesBinance[[#This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Row],[Tipo]]="DROP"),AI69+TbTradesBinance[[#This Row],[Qtt]],AI69-TbTradesBinance[[#This Row],[Qtt]]),IF(TbTradesBinance[[#This Row],[Tipo]]="BUY",AI69-TbTradesBinance[[#This Row],[Qtt]]*TbTradesBinance[[#This Row],[Preço]],AI69+TbTradesBinance[[#This Row],[Qtt]]*TbTradesBinance[[#This Row],[Preço]])),AI69)-IF(TbTradesBinance[[#This Row],[Moeda da Taxa]]=MID(AI$1,9,5),TbTradesBinance[[#This Row],[Taxa]],0),8)))</f>
        <v>0</v>
      </c>
      <c r="AJ70" s="145" cm="1">
        <f t="array" ref="AJ70">IF(TbTradesBinance[[#This Row],[Tipo]]="EMPTY",0,AJ69+IF(TbTradesBinance[[#This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Row],[Par]]))),$1:$1,0)),-(AI69-AI70)/AI69*AJ69),0),0)+IF(TbTradesBinance[[#This Row],[Tipo]]="SELL",IF(ISNUMBER(FIND(MID(AJ$1,10,5),TbTradesBinance[[#This Row],[Par]])),IF(FIND(MID(AJ$1,10,5),TbTradesBinance[[#This Row],[Par]])=1, -(AI69-AI70)/AI69*AJ69,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Row],[Par]])),(-(AI69-AI70)/AI69*AJ69)+IF(TbTradesBinance[[#This Row],[Resultado]]&gt;0,0,TbTradesBinance[[#This Row],[Taxa]]),0),0))</f>
        <v>0</v>
      </c>
      <c r="AK70" s="145">
        <f t="shared" si="27"/>
        <v>0</v>
      </c>
      <c r="AL7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Row],[Tipo]]="DROP"),AL69+TbTradesBinance[[#This Row],[Qtt]],AL69-TbTradesBinance[[#This Row],[Qtt]]),IF(TbTradesBinance[[#This Row],[Tipo]]="BUY",AL69-TbTradesBinance[[#This Row],[Qtt]]*TbTradesBinance[[#This Row],[Preço]],AL69+TbTradesBinance[[#This Row],[Qtt]]*TbTradesBinance[[#This Row],[Preço]])),AL69)-IF(TbTradesBinance[[#This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Row],[Tipo]]="DROP"),AL69+TbTradesBinance[[#This Row],[Qtt]],AL69-TbTradesBinance[[#This Row],[Qtt]]),IF(TbTradesBinance[[#This Row],[Tipo]]="BUY",AL69-TbTradesBinance[[#This Row],[Qtt]]*TbTradesBinance[[#This Row],[Preço]],AL69+TbTradesBinance[[#This Row],[Qtt]]*TbTradesBinance[[#This Row],[Preço]])),AL69)-IF(TbTradesBinance[[#This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Row],[Tipo]]="DROP"),AL69+TbTradesBinance[[#This Row],[Qtt]],AL69-TbTradesBinance[[#This Row],[Qtt]]),IF(TbTradesBinance[[#This Row],[Tipo]]="BUY",AL69-TbTradesBinance[[#This Row],[Qtt]]*TbTradesBinance[[#This Row],[Preço]],AL69+TbTradesBinance[[#This Row],[Qtt]]*TbTradesBinance[[#This Row],[Preço]])),AL69)-IF(TbTradesBinance[[#This Row],[Moeda da Taxa]]=MID(AL$1,9,5),TbTradesBinance[[#This Row],[Taxa]],0),8)))</f>
        <v>1.75824</v>
      </c>
      <c r="AM70" s="145" cm="1">
        <f t="array" ref="AM70">IF(TbTradesBinance[[#This Row],[Tipo]]="EMPTY",0,AM69+IF(TbTradesBinance[[#This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Row],[Par]]))),$1:$1,0)),-(AL69-AL70)/AL69*AM69),0),0)+IF(TbTradesBinance[[#This Row],[Tipo]]="SELL",IF(ISNUMBER(FIND(MID(AM$1,10,5),TbTradesBinance[[#This Row],[Par]])),IF(FIND(MID(AM$1,10,5),TbTradesBinance[[#This Row],[Par]])=1, -(AL69-AL70)/AL69*AM69,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Row],[Par]])),(-(AL69-AL70)/AL69*AM69)+IF(TbTradesBinance[[#This Row],[Resultado]]&gt;0,0,TbTradesBinance[[#This Row],[Taxa]]),0),0))</f>
        <v>144.56635471393039</v>
      </c>
      <c r="AN70" s="145">
        <f t="shared" si="28"/>
        <v>82.222196465744375</v>
      </c>
      <c r="AO7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Row],[Tipo]]="DROP"),AO69+TbTradesBinance[[#This Row],[Qtt]],AO69-TbTradesBinance[[#This Row],[Qtt]]),IF(TbTradesBinance[[#This Row],[Tipo]]="BUY",AO69-TbTradesBinance[[#This Row],[Qtt]]*TbTradesBinance[[#This Row],[Preço]],AO69+TbTradesBinance[[#This Row],[Qtt]]*TbTradesBinance[[#This Row],[Preço]])),AO69)-IF(TbTradesBinance[[#This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Row],[Tipo]]="DROP"),AO69+TbTradesBinance[[#This Row],[Qtt]],AO69-TbTradesBinance[[#This Row],[Qtt]]),IF(TbTradesBinance[[#This Row],[Tipo]]="BUY",AO69-TbTradesBinance[[#This Row],[Qtt]]*TbTradesBinance[[#This Row],[Preço]],AO69+TbTradesBinance[[#This Row],[Qtt]]*TbTradesBinance[[#This Row],[Preço]])),AO69)-IF(TbTradesBinance[[#This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Row],[Tipo]]="DROP"),AO69+TbTradesBinance[[#This Row],[Qtt]],AO69-TbTradesBinance[[#This Row],[Qtt]]),IF(TbTradesBinance[[#This Row],[Tipo]]="BUY",AO69-TbTradesBinance[[#This Row],[Qtt]]*TbTradesBinance[[#This Row],[Preço]],AO69+TbTradesBinance[[#This Row],[Qtt]]*TbTradesBinance[[#This Row],[Preço]])),AO69)-IF(TbTradesBinance[[#This Row],[Moeda da Taxa]]=MID(AO$1,9,5),TbTradesBinance[[#This Row],[Taxa]],0),8)))</f>
        <v>2.6916900000000001E-3</v>
      </c>
      <c r="AP70" s="145" cm="1">
        <f t="array" ref="AP70">IF(TbTradesBinance[[#This Row],[Tipo]]="EMPTY",0,AP69+IF(TbTradesBinance[[#This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Row],[Par]]))),$1:$1,0)),-(AO69-AO70)/AO69*AP69),0),0)+IF(TbTradesBinance[[#This Row],[Tipo]]="SELL",IF(ISNUMBER(FIND(MID(AP$1,10,5),TbTradesBinance[[#This Row],[Par]])),IF(FIND(MID(AP$1,10,5),TbTradesBinance[[#This Row],[Par]])=1, -(AO69-AO70)/AO69*AP69,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Row],[Par]])),(-(AO69-AO70)/AO69*AP69)+IF(TbTradesBinance[[#This Row],[Resultado]]&gt;0,0,TbTradesBinance[[#This Row],[Taxa]]),0),0))</f>
        <v>5.1390914851146583</v>
      </c>
      <c r="AQ70" s="145">
        <f t="shared" si="29"/>
        <v>1909.2434437526827</v>
      </c>
      <c r="AR7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Row],[Tipo]]="DROP"),AR69+TbTradesBinance[[#This Row],[Qtt]],AR69-TbTradesBinance[[#This Row],[Qtt]]),IF(TbTradesBinance[[#This Row],[Tipo]]="BUY",AR69-TbTradesBinance[[#This Row],[Qtt]]*TbTradesBinance[[#This Row],[Preço]],AR69+TbTradesBinance[[#This Row],[Qtt]]*TbTradesBinance[[#This Row],[Preço]])),AR69)-IF(TbTradesBinance[[#This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Row],[Tipo]]="DROP"),AR69+TbTradesBinance[[#This Row],[Qtt]],AR69-TbTradesBinance[[#This Row],[Qtt]]),IF(TbTradesBinance[[#This Row],[Tipo]]="BUY",AR69-TbTradesBinance[[#This Row],[Qtt]]*TbTradesBinance[[#This Row],[Preço]],AR69+TbTradesBinance[[#This Row],[Qtt]]*TbTradesBinance[[#This Row],[Preço]])),AR69)-IF(TbTradesBinance[[#This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Row],[Tipo]]="DROP"),AR69+TbTradesBinance[[#This Row],[Qtt]],AR69-TbTradesBinance[[#This Row],[Qtt]]),IF(TbTradesBinance[[#This Row],[Tipo]]="BUY",AR69-TbTradesBinance[[#This Row],[Qtt]]*TbTradesBinance[[#This Row],[Preço]],AR69+TbTradesBinance[[#This Row],[Qtt]]*TbTradesBinance[[#This Row],[Preço]])),AR69)-IF(TbTradesBinance[[#This Row],[Moeda da Taxa]]=MID(AR$1,9,5),TbTradesBinance[[#This Row],[Taxa]],0),8)))</f>
        <v>0</v>
      </c>
      <c r="AS70" s="145" cm="1">
        <f t="array" ref="AS70">IF(TbTradesBinance[[#This Row],[Tipo]]="EMPTY",0,AS69+IF(TbTradesBinance[[#This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Row],[Par]]))),$1:$1,0)),-(AR69-AR70)/AR69*AS69),0),0)+IF(TbTradesBinance[[#This Row],[Tipo]]="SELL",IF(ISNUMBER(FIND(MID(AS$1,10,5),TbTradesBinance[[#This Row],[Par]])),IF(FIND(MID(AS$1,10,5),TbTradesBinance[[#This Row],[Par]])=1, -(AR69-AR70)/AR69*AS69,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Row],[Par]])),(-(AR69-AR70)/AR69*AS69)+IF(TbTradesBinance[[#This Row],[Resultado]]&gt;0,0,TbTradesBinance[[#This Row],[Taxa]]),0),0))</f>
        <v>0</v>
      </c>
      <c r="AT70" s="145">
        <f t="shared" si="30"/>
        <v>0</v>
      </c>
      <c r="AU7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Row],[Tipo]]="DROP"),AU69+TbTradesBinance[[#This Row],[Qtt]],AU69-TbTradesBinance[[#This Row],[Qtt]]),IF(TbTradesBinance[[#This Row],[Tipo]]="BUY",AU69-TbTradesBinance[[#This Row],[Qtt]]*TbTradesBinance[[#This Row],[Preço]],AU69+TbTradesBinance[[#This Row],[Qtt]]*TbTradesBinance[[#This Row],[Preço]])),AU69)-IF(TbTradesBinance[[#This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Row],[Tipo]]="DROP"),AU69+TbTradesBinance[[#This Row],[Qtt]],AU69-TbTradesBinance[[#This Row],[Qtt]]),IF(TbTradesBinance[[#This Row],[Tipo]]="BUY",AU69-TbTradesBinance[[#This Row],[Qtt]]*TbTradesBinance[[#This Row],[Preço]],AU69+TbTradesBinance[[#This Row],[Qtt]]*TbTradesBinance[[#This Row],[Preço]])),AU69)-IF(TbTradesBinance[[#This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Row],[Tipo]]="DROP"),AU69+TbTradesBinance[[#This Row],[Qtt]],AU69-TbTradesBinance[[#This Row],[Qtt]]),IF(TbTradesBinance[[#This Row],[Tipo]]="BUY",AU69-TbTradesBinance[[#This Row],[Qtt]]*TbTradesBinance[[#This Row],[Preço]],AU69+TbTradesBinance[[#This Row],[Qtt]]*TbTradesBinance[[#This Row],[Preço]])),AU69)-IF(TbTradesBinance[[#This Row],[Moeda da Taxa]]=MID(AU$1,9,5),TbTradesBinance[[#This Row],[Taxa]],0),8)))</f>
        <v>0.26989999999999997</v>
      </c>
      <c r="AV70" s="145" cm="1">
        <f t="array" ref="AV70">IF(TbTradesBinance[[#This Row],[Tipo]]="EMPTY",0,AV69+IF(TbTradesBinance[[#This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Row],[Par]]))),$1:$1,0)),-(AU69-AU70)/AU69*AV69),0),0)+IF(TbTradesBinance[[#This Row],[Tipo]]="SELL",IF(ISNUMBER(FIND(MID(AV$1,10,5),TbTradesBinance[[#This Row],[Par]])),IF(FIND(MID(AV$1,10,5),TbTradesBinance[[#This Row],[Par]])=1, -(AU69-AU70)/AU69*AV69,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Row],[Par]])),(-(AU69-AU70)/AU69*AV69)+IF(TbTradesBinance[[#This Row],[Resultado]]&gt;0,0,TbTradesBinance[[#This Row],[Taxa]]),0),0))</f>
        <v>56.09788062740806</v>
      </c>
      <c r="AW70" s="145">
        <f t="shared" si="31"/>
        <v>207.8469085861729</v>
      </c>
      <c r="AX7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Row],[Tipo]]="DROP"),AX69+TbTradesBinance[[#This Row],[Qtt]],AX69-TbTradesBinance[[#This Row],[Qtt]]),IF(TbTradesBinance[[#This Row],[Tipo]]="BUY",AX69-TbTradesBinance[[#This Row],[Qtt]]*TbTradesBinance[[#This Row],[Preço]],AX69+TbTradesBinance[[#This Row],[Qtt]]*TbTradesBinance[[#This Row],[Preço]])),AX69)-IF(TbTradesBinance[[#This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Row],[Tipo]]="DROP"),AX69+TbTradesBinance[[#This Row],[Qtt]],AX69-TbTradesBinance[[#This Row],[Qtt]]),IF(TbTradesBinance[[#This Row],[Tipo]]="BUY",AX69-TbTradesBinance[[#This Row],[Qtt]]*TbTradesBinance[[#This Row],[Preço]],AX69+TbTradesBinance[[#This Row],[Qtt]]*TbTradesBinance[[#This Row],[Preço]])),AX69)-IF(TbTradesBinance[[#This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Row],[Tipo]]="DROP"),AX69+TbTradesBinance[[#This Row],[Qtt]],AX69-TbTradesBinance[[#This Row],[Qtt]]),IF(TbTradesBinance[[#This Row],[Tipo]]="BUY",AX69-TbTradesBinance[[#This Row],[Qtt]]*TbTradesBinance[[#This Row],[Preço]],AX69+TbTradesBinance[[#This Row],[Qtt]]*TbTradesBinance[[#This Row],[Preço]])),AX69)-IF(TbTradesBinance[[#This Row],[Moeda da Taxa]]=MID(AX$1,9,5),TbTradesBinance[[#This Row],[Taxa]],0),8)))</f>
        <v>0.22636999999999999</v>
      </c>
      <c r="AY70" s="145" cm="1">
        <f t="array" ref="AY70">IF(TbTradesBinance[[#This Row],[Tipo]]="EMPTY",0,AY69+IF(TbTradesBinance[[#This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Row],[Par]]))),$1:$1,0)),-(AX69-AX70)/AX69*AY69),0),0)+IF(TbTradesBinance[[#This Row],[Tipo]]="SELL",IF(ISNUMBER(FIND(MID(AY$1,10,5),TbTradesBinance[[#This Row],[Par]])),IF(FIND(MID(AY$1,10,5),TbTradesBinance[[#This Row],[Par]])=1, -(AX69-AX70)/AX69*AY69,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Row],[Par]])),(-(AX69-AX70)/AX69*AY69)+IF(TbTradesBinance[[#This Row],[Resultado]]&gt;0,0,TbTradesBinance[[#This Row],[Taxa]]),0),0))</f>
        <v>40.781337593356859</v>
      </c>
      <c r="AZ70" s="145">
        <f t="shared" si="32"/>
        <v>180.15345493376711</v>
      </c>
      <c r="BA7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Row],[Tipo]]="DROP"),BA69+TbTradesBinance[[#This Row],[Qtt]],BA69-TbTradesBinance[[#This Row],[Qtt]]),IF(TbTradesBinance[[#This Row],[Tipo]]="BUY",BA69-TbTradesBinance[[#This Row],[Qtt]]*TbTradesBinance[[#This Row],[Preço]],BA69+TbTradesBinance[[#This Row],[Qtt]]*TbTradesBinance[[#This Row],[Preço]])),BA69)-IF(TbTradesBinance[[#This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Row],[Tipo]]="DROP"),BA69+TbTradesBinance[[#This Row],[Qtt]],BA69-TbTradesBinance[[#This Row],[Qtt]]),IF(TbTradesBinance[[#This Row],[Tipo]]="BUY",BA69-TbTradesBinance[[#This Row],[Qtt]]*TbTradesBinance[[#This Row],[Preço]],BA69+TbTradesBinance[[#This Row],[Qtt]]*TbTradesBinance[[#This Row],[Preço]])),BA69)-IF(TbTradesBinance[[#This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Row],[Tipo]]="DROP"),BA69+TbTradesBinance[[#This Row],[Qtt]],BA69-TbTradesBinance[[#This Row],[Qtt]]),IF(TbTradesBinance[[#This Row],[Tipo]]="BUY",BA69-TbTradesBinance[[#This Row],[Qtt]]*TbTradesBinance[[#This Row],[Preço]],BA69+TbTradesBinance[[#This Row],[Qtt]]*TbTradesBinance[[#This Row],[Preço]])),BA69)-IF(TbTradesBinance[[#This Row],[Moeda da Taxa]]=MID(BA$1,9,5),TbTradesBinance[[#This Row],[Taxa]],0),8)))</f>
        <v>0</v>
      </c>
      <c r="BB70" s="145" cm="1">
        <f t="array" ref="BB70">IF(TbTradesBinance[[#This Row],[Tipo]]="EMPTY",0,BB69+IF(TbTradesBinance[[#This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Row],[Par]]))),$1:$1,0)),-(BA69-BA70)/BA69*BB69),0),0)+IF(TbTradesBinance[[#This Row],[Tipo]]="SELL",IF(ISNUMBER(FIND(MID(BB$1,10,5),TbTradesBinance[[#This Row],[Par]])),IF(FIND(MID(BB$1,10,5),TbTradesBinance[[#This Row],[Par]])=1, -(BA69-BA70)/BA69*BB69,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Row],[Par]])),(-(BA69-BA70)/BA69*BB69)+IF(TbTradesBinance[[#This Row],[Resultado]]&gt;0,0,TbTradesBinance[[#This Row],[Taxa]]),0),0))</f>
        <v>0</v>
      </c>
      <c r="BC70" s="145">
        <f t="shared" si="33"/>
        <v>0</v>
      </c>
      <c r="BD7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Row],[Tipo]]="DROP"),BD69+TbTradesBinance[[#This Row],[Qtt]],BD69-TbTradesBinance[[#This Row],[Qtt]]),IF(TbTradesBinance[[#This Row],[Tipo]]="BUY",BD69-TbTradesBinance[[#This Row],[Qtt]]*TbTradesBinance[[#This Row],[Preço]],BD69+TbTradesBinance[[#This Row],[Qtt]]*TbTradesBinance[[#This Row],[Preço]])),BD69)-IF(TbTradesBinance[[#This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Row],[Tipo]]="DROP"),BD69+TbTradesBinance[[#This Row],[Qtt]],BD69-TbTradesBinance[[#This Row],[Qtt]]),IF(TbTradesBinance[[#This Row],[Tipo]]="BUY",BD69-TbTradesBinance[[#This Row],[Qtt]]*TbTradesBinance[[#This Row],[Preço]],BD69+TbTradesBinance[[#This Row],[Qtt]]*TbTradesBinance[[#This Row],[Preço]])),BD69)-IF(TbTradesBinance[[#This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Row],[Tipo]]="DROP"),BD69+TbTradesBinance[[#This Row],[Qtt]],BD69-TbTradesBinance[[#This Row],[Qtt]]),IF(TbTradesBinance[[#This Row],[Tipo]]="BUY",BD69-TbTradesBinance[[#This Row],[Qtt]]*TbTradesBinance[[#This Row],[Preço]],BD69+TbTradesBinance[[#This Row],[Qtt]]*TbTradesBinance[[#This Row],[Preço]])),BD69)-IF(TbTradesBinance[[#This Row],[Moeda da Taxa]]=MID(BD$1,9,5),TbTradesBinance[[#This Row],[Taxa]],0),8)))</f>
        <v>0.37962000000000001</v>
      </c>
      <c r="BE70" s="145" cm="1">
        <f t="array" ref="BE70">IF(TbTradesBinance[[#This Row],[Tipo]]="EMPTY",0,BE69+IF(TbTradesBinance[[#This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Row],[Par]]))),$1:$1,0)),-(BD69-BD70)/BD69*BE69),0),0)+IF(TbTradesBinance[[#This Row],[Tipo]]="SELL",IF(ISNUMBER(FIND(MID(BE$1,10,5),TbTradesBinance[[#This Row],[Par]])),IF(FIND(MID(BE$1,10,5),TbTradesBinance[[#This Row],[Par]])=1, -(BD69-BD70)/BD69*BE69,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Row],[Par]])),(-(BD69-BD70)/BD69*BE69)+IF(TbTradesBinance[[#This Row],[Resultado]]&gt;0,0,TbTradesBinance[[#This Row],[Taxa]]),0),0))</f>
        <v>63.647297001537943</v>
      </c>
      <c r="BF70" s="145">
        <f t="shared" si="34"/>
        <v>167.66054739354601</v>
      </c>
      <c r="BG7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Row],[Tipo]]="DROP"),BG69+TbTradesBinance[[#This Row],[Qtt]],BG69-TbTradesBinance[[#This Row],[Qtt]]),IF(TbTradesBinance[[#This Row],[Tipo]]="BUY",BG69-TbTradesBinance[[#This Row],[Qtt]]*TbTradesBinance[[#This Row],[Preço]],BG69+TbTradesBinance[[#This Row],[Qtt]]*TbTradesBinance[[#This Row],[Preço]])),BG69)-IF(TbTradesBinance[[#This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Row],[Tipo]]="DROP"),BG69+TbTradesBinance[[#This Row],[Qtt]],BG69-TbTradesBinance[[#This Row],[Qtt]]),IF(TbTradesBinance[[#This Row],[Tipo]]="BUY",BG69-TbTradesBinance[[#This Row],[Qtt]]*TbTradesBinance[[#This Row],[Preço]],BG69+TbTradesBinance[[#This Row],[Qtt]]*TbTradesBinance[[#This Row],[Preço]])),BG69)-IF(TbTradesBinance[[#This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Row],[Tipo]]="DROP"),BG69+TbTradesBinance[[#This Row],[Qtt]],BG69-TbTradesBinance[[#This Row],[Qtt]]),IF(TbTradesBinance[[#This Row],[Tipo]]="BUY",BG69-TbTradesBinance[[#This Row],[Qtt]]*TbTradesBinance[[#This Row],[Preço]],BG69+TbTradesBinance[[#This Row],[Qtt]]*TbTradesBinance[[#This Row],[Preço]])),BG69)-IF(TbTradesBinance[[#This Row],[Moeda da Taxa]]=MID(BG$1,9,5),TbTradesBinance[[#This Row],[Taxa]],0),8)))</f>
        <v>0</v>
      </c>
      <c r="BH70" s="145" cm="1">
        <f t="array" ref="BH70">IF(TbTradesBinance[[#This Row],[Tipo]]="EMPTY",0,BH69+IF(TbTradesBinance[[#This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Row],[Par]]))),$1:$1,0)),-(BG69-BG70)/BG69*BH69),0),0)+IF(TbTradesBinance[[#This Row],[Tipo]]="SELL",IF(ISNUMBER(FIND(MID(BH$1,10,5),TbTradesBinance[[#This Row],[Par]])),IF(FIND(MID(BH$1,10,5),TbTradesBinance[[#This Row],[Par]])=1, -(BG69-BG70)/BG69*BH69,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Row],[Par]])),(-(BG69-BG70)/BG69*BH69)+IF(TbTradesBinance[[#This Row],[Resultado]]&gt;0,0,TbTradesBinance[[#This Row],[Taxa]]),0),0))</f>
        <v>0</v>
      </c>
      <c r="BI70" s="145">
        <f t="shared" si="35"/>
        <v>0</v>
      </c>
      <c r="BJ7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Row],[Tipo]]="DROP"),BJ69+TbTradesBinance[[#This Row],[Qtt]],BJ69-TbTradesBinance[[#This Row],[Qtt]]),IF(TbTradesBinance[[#This Row],[Tipo]]="BUY",BJ69-TbTradesBinance[[#This Row],[Qtt]]*TbTradesBinance[[#This Row],[Preço]],BJ69+TbTradesBinance[[#This Row],[Qtt]]*TbTradesBinance[[#This Row],[Preço]])),BJ69)-IF(TbTradesBinance[[#This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Row],[Tipo]]="DROP"),BJ69+TbTradesBinance[[#This Row],[Qtt]],BJ69-TbTradesBinance[[#This Row],[Qtt]]),IF(TbTradesBinance[[#This Row],[Tipo]]="BUY",BJ69-TbTradesBinance[[#This Row],[Qtt]]*TbTradesBinance[[#This Row],[Preço]],BJ69+TbTradesBinance[[#This Row],[Qtt]]*TbTradesBinance[[#This Row],[Preço]])),BJ69)-IF(TbTradesBinance[[#This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Row],[Tipo]]="DROP"),BJ69+TbTradesBinance[[#This Row],[Qtt]],BJ69-TbTradesBinance[[#This Row],[Qtt]]),IF(TbTradesBinance[[#This Row],[Tipo]]="BUY",BJ69-TbTradesBinance[[#This Row],[Qtt]]*TbTradesBinance[[#This Row],[Preço]],BJ69+TbTradesBinance[[#This Row],[Qtt]]*TbTradesBinance[[#This Row],[Preço]])),BJ69)-IF(TbTradesBinance[[#This Row],[Moeda da Taxa]]=MID(BJ$1,9,5),TbTradesBinance[[#This Row],[Taxa]],0),8)))</f>
        <v>0</v>
      </c>
      <c r="BK70" s="145" cm="1">
        <f t="array" ref="BK70">IF(TbTradesBinance[[#This Row],[Tipo]]="EMPTY",0,BK69+IF(TbTradesBinance[[#This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Row],[Par]]))),$1:$1,0)),-(BJ69-BJ70)/BJ69*BK69),0),0)+IF(TbTradesBinance[[#This Row],[Tipo]]="SELL",IF(ISNUMBER(FIND(MID(BK$1,10,5),TbTradesBinance[[#This Row],[Par]])),IF(FIND(MID(BK$1,10,5),TbTradesBinance[[#This Row],[Par]])=1, -(BJ69-BJ70)/BJ69*BK69,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Row],[Par]])),(-(BJ69-BJ70)/BJ69*BK69)+IF(TbTradesBinance[[#This Row],[Resultado]]&gt;0,0,TbTradesBinance[[#This Row],[Taxa]]),0),0))</f>
        <v>0</v>
      </c>
      <c r="BL70" s="145">
        <f t="shared" si="36"/>
        <v>0</v>
      </c>
      <c r="BM7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Row],[Tipo]]="DROP"),BM69+TbTradesBinance[[#This Row],[Qtt]],BM69-TbTradesBinance[[#This Row],[Qtt]]),IF(TbTradesBinance[[#This Row],[Tipo]]="BUY",BM69-TbTradesBinance[[#This Row],[Qtt]]*TbTradesBinance[[#This Row],[Preço]],BM69+TbTradesBinance[[#This Row],[Qtt]]*TbTradesBinance[[#This Row],[Preço]])),BM69)-IF(TbTradesBinance[[#This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Row],[Tipo]]="DROP"),BM69+TbTradesBinance[[#This Row],[Qtt]],BM69-TbTradesBinance[[#This Row],[Qtt]]),IF(TbTradesBinance[[#This Row],[Tipo]]="BUY",BM69-TbTradesBinance[[#This Row],[Qtt]]*TbTradesBinance[[#This Row],[Preço]],BM69+TbTradesBinance[[#This Row],[Qtt]]*TbTradesBinance[[#This Row],[Preço]])),BM69)-IF(TbTradesBinance[[#This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Row],[Tipo]]="DROP"),BM69+TbTradesBinance[[#This Row],[Qtt]],BM69-TbTradesBinance[[#This Row],[Qtt]]),IF(TbTradesBinance[[#This Row],[Tipo]]="BUY",BM69-TbTradesBinance[[#This Row],[Qtt]]*TbTradesBinance[[#This Row],[Preço]],BM69+TbTradesBinance[[#This Row],[Qtt]]*TbTradesBinance[[#This Row],[Preço]])),BM69)-IF(TbTradesBinance[[#This Row],[Moeda da Taxa]]=MID(BM$1,9,5),TbTradesBinance[[#This Row],[Taxa]],0),8)))</f>
        <v>0</v>
      </c>
      <c r="BN70" s="145" cm="1">
        <f t="array" ref="BN70">IF(TbTradesBinance[[#This Row],[Tipo]]="EMPTY",0,BN69+IF(TbTradesBinance[[#This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Row],[Par]]))),$1:$1,0)),-(BM69-BM70)/BM69*BN69),0),0)+IF(TbTradesBinance[[#This Row],[Tipo]]="SELL",IF(ISNUMBER(FIND(MID(BN$1,10,5),TbTradesBinance[[#This Row],[Par]])),IF(FIND(MID(BN$1,10,5),TbTradesBinance[[#This Row],[Par]])=1, -(BM69-BM70)/BM69*BN69,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Row],[Par]])),(-(BM69-BM70)/BM69*BN69)+IF(TbTradesBinance[[#This Row],[Resultado]]&gt;0,0,TbTradesBinance[[#This Row],[Taxa]]),0),0))</f>
        <v>0</v>
      </c>
      <c r="BO70" s="145">
        <f t="shared" si="37"/>
        <v>0</v>
      </c>
    </row>
    <row r="71" spans="2:67" x14ac:dyDescent="0.3">
      <c r="B71" s="51" t="s">
        <v>136</v>
      </c>
      <c r="C71" s="40">
        <f>TRUNC(IF(AND(TbTradesBinance[[#This Row],[Tipo]]="SEND",TbTradesBinance[[#This Row],[Par]]="BRL"),TbTradesBinance[[#This Row],[Qtt]]*(1-P69)-IF(TbTradesBinance[[#This Row],[Moeda da Taxa]]="BRL",TbTradesBinance[[#This Row],[Taxa]],0),0)+IF(AND(TbTradesBinance[[#This Row],[Tipo]]="BURN",TbTradesBinance[[#This Row],[Par]]="BRL"),-TbTradesBinance[[#This Row],[Qtt]]*P69,0),2)</f>
        <v>0</v>
      </c>
      <c r="D71" s="53">
        <v>44265.44740740741</v>
      </c>
      <c r="E71" s="37" t="s">
        <v>50</v>
      </c>
      <c r="F71" s="47" t="s">
        <v>137</v>
      </c>
      <c r="G71" s="38">
        <v>1</v>
      </c>
      <c r="H71" s="38">
        <v>400</v>
      </c>
      <c r="I71" s="38">
        <v>0</v>
      </c>
      <c r="J71" s="37" t="s">
        <v>50</v>
      </c>
      <c r="K71" s="52">
        <v>1</v>
      </c>
      <c r="L71" s="40">
        <f t="shared" si="19"/>
        <v>1</v>
      </c>
      <c r="M71" s="40">
        <f>IF(OR(TbTradesBinance[[#This Row],[Tipo]]="BUY",TbTradesBinance[[#This Row],[Tipo]]="RECEIVE",TbTradesBinance[[#This Row],[Tipo]]="DROP"),L71*H71,-L71*H71)</f>
        <v>400</v>
      </c>
      <c r="N7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Row],[Tipo]]="DROP"),N70+TbTradesBinance[[#This Row],[Qtt]],N70-TbTradesBinance[[#This Row],[Qtt]]),IF(TbTradesBinance[[#This Row],[Tipo]]="BUY",N70-TbTradesBinance[[#This Row],[Qtt]]*TbTradesBinance[[#This Row],[Preço]],N70+TbTradesBinance[[#This Row],[Qtt]]*TbTradesBinance[[#This Row],[Preço]])),N70)-IF(TbTradesBinance[[#This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Row],[Tipo]]="DROP"),N70+TbTradesBinance[[#This Row],[Qtt]],N70-TbTradesBinance[[#This Row],[Qtt]]),IF(TbTradesBinance[[#This Row],[Tipo]]="BUY",N70-TbTradesBinance[[#This Row],[Qtt]]*TbTradesBinance[[#This Row],[Preço]],N70+TbTradesBinance[[#This Row],[Qtt]]*TbTradesBinance[[#This Row],[Preço]])),N70)-IF(TbTradesBinance[[#This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Row],[Tipo]]="DROP"),N70+TbTradesBinance[[#This Row],[Qtt]],N70-TbTradesBinance[[#This Row],[Qtt]]),IF(TbTradesBinance[[#This Row],[Tipo]]="BUY",N70-TbTradesBinance[[#This Row],[Qtt]]*TbTradesBinance[[#This Row],[Preço]],N70+TbTradesBinance[[#This Row],[Qtt]]*TbTradesBinance[[#This Row],[Preço]])),N70)-IF(TbTradesBinance[[#This Row],[Moeda da Taxa]]=MID(N$1,9,5),TbTradesBinance[[#This Row],[Taxa]],0),8)))</f>
        <v>120145.57126599</v>
      </c>
      <c r="O71" s="145" cm="1">
        <f t="array" ref="O71">IF(TbTradesBinance[[#This Row],[Tipo]]="EMPTY",0,O70+IF(TbTradesBinance[[#This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Row],[Par]]))),$1:$1,0)),-(N70-N71)/N70*O70),0),0)+IF(TbTradesBinance[[#This Row],[Tipo]]="SELL",IF(ISNUMBER(FIND(MID(O$1,10,5),TbTradesBinance[[#This Row],[Par]])),IF(FIND(MID(O$1,10,5),TbTradesBinance[[#This Row],[Par]])=1, -(N70-N71)/N70*O70,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Row],[Par]])),(-(N70-N71)/N70*O70)+IF(TbTradesBinance[[#This Row],[Resultado]]&gt;0,0,TbTradesBinance[[#This Row],[Taxa]]),0),0))</f>
        <v>120049.04996212556</v>
      </c>
      <c r="P71" s="145">
        <f t="shared" si="20"/>
        <v>0.99919663036392115</v>
      </c>
      <c r="Q7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Row],[Tipo]]="DROP"),Q70+TbTradesBinance[[#This Row],[Qtt]],Q70-TbTradesBinance[[#This Row],[Qtt]]),IF(TbTradesBinance[[#This Row],[Tipo]]="BUY",Q70-TbTradesBinance[[#This Row],[Qtt]]*TbTradesBinance[[#This Row],[Preço]],Q70+TbTradesBinance[[#This Row],[Qtt]]*TbTradesBinance[[#This Row],[Preço]])),Q70)-IF(TbTradesBinance[[#This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Row],[Tipo]]="DROP"),Q70+TbTradesBinance[[#This Row],[Qtt]],Q70-TbTradesBinance[[#This Row],[Qtt]]),IF(TbTradesBinance[[#This Row],[Tipo]]="BUY",Q70-TbTradesBinance[[#This Row],[Qtt]]*TbTradesBinance[[#This Row],[Preço]],Q70+TbTradesBinance[[#This Row],[Qtt]]*TbTradesBinance[[#This Row],[Preço]])),Q70)-IF(TbTradesBinance[[#This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Row],[Tipo]]="DROP"),Q70+TbTradesBinance[[#This Row],[Qtt]],Q70-TbTradesBinance[[#This Row],[Qtt]]),IF(TbTradesBinance[[#This Row],[Tipo]]="BUY",Q70-TbTradesBinance[[#This Row],[Qtt]]*TbTradesBinance[[#This Row],[Preço]],Q70+TbTradesBinance[[#This Row],[Qtt]]*TbTradesBinance[[#This Row],[Preço]])),Q70)-IF(TbTradesBinance[[#This Row],[Moeda da Taxa]]=MID(Q$1,9,5),TbTradesBinance[[#This Row],[Taxa]],0),8)))</f>
        <v>0.29005796</v>
      </c>
      <c r="R71" s="145" cm="1">
        <f t="array" ref="R71">IF(TbTradesBinance[[#This Row],[Tipo]]="EMPTY",0,R70+IF(TbTradesBinance[[#This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Row],[Par]]))),$1:$1,0)),-(Q70-Q71)/Q70*R70),0),0)+IF(TbTradesBinance[[#This Row],[Tipo]]="SELL",IF(ISNUMBER(FIND(MID(R$1,10,5),TbTradesBinance[[#This Row],[Par]])),IF(FIND(MID(R$1,10,5),TbTradesBinance[[#This Row],[Par]])=1, -(Q70-Q71)/Q70*R70,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Row],[Par]])),(-(Q70-Q71)/Q70*R70)+IF(TbTradesBinance[[#This Row],[Resultado]]&gt;0,0,TbTradesBinance[[#This Row],[Taxa]]),0),0))</f>
        <v>1.5930510813161334</v>
      </c>
      <c r="S71" s="145">
        <f t="shared" si="21"/>
        <v>5.4921819119052389</v>
      </c>
      <c r="T7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Row],[Tipo]]="DROP"),T70+TbTradesBinance[[#This Row],[Qtt]],T70-TbTradesBinance[[#This Row],[Qtt]]),IF(TbTradesBinance[[#This Row],[Tipo]]="BUY",T70-TbTradesBinance[[#This Row],[Qtt]]*TbTradesBinance[[#This Row],[Preço]],T70+TbTradesBinance[[#This Row],[Qtt]]*TbTradesBinance[[#This Row],[Preço]])),T70)-IF(TbTradesBinance[[#This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Row],[Tipo]]="DROP"),T70+TbTradesBinance[[#This Row],[Qtt]],T70-TbTradesBinance[[#This Row],[Qtt]]),IF(TbTradesBinance[[#This Row],[Tipo]]="BUY",T70-TbTradesBinance[[#This Row],[Qtt]]*TbTradesBinance[[#This Row],[Preço]],T70+TbTradesBinance[[#This Row],[Qtt]]*TbTradesBinance[[#This Row],[Preço]])),T70)-IF(TbTradesBinance[[#This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Row],[Tipo]]="DROP"),T70+TbTradesBinance[[#This Row],[Qtt]],T70-TbTradesBinance[[#This Row],[Qtt]]),IF(TbTradesBinance[[#This Row],[Tipo]]="BUY",T70-TbTradesBinance[[#This Row],[Qtt]]*TbTradesBinance[[#This Row],[Preço]],T70+TbTradesBinance[[#This Row],[Qtt]]*TbTradesBinance[[#This Row],[Preço]])),T70)-IF(TbTradesBinance[[#This Row],[Moeda da Taxa]]=MID(T$1,9,5),TbTradesBinance[[#This Row],[Taxa]],0),8)))</f>
        <v>199735.32000169999</v>
      </c>
      <c r="U71" s="145" cm="1">
        <f t="array" ref="U71">IF(TbTradesBinance[[#This Row],[Tipo]]="EMPTY",0,U70+IF(TbTradesBinance[[#This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Row],[Par]]))),$1:$1,0)),-(T70-T71)/T70*U70),0),0)+IF(TbTradesBinance[[#This Row],[Tipo]]="SELL",IF(ISNUMBER(FIND(MID(U$1,10,5),TbTradesBinance[[#This Row],[Par]])),IF(FIND(MID(U$1,10,5),TbTradesBinance[[#This Row],[Par]])=1, -(T70-T71)/T70*U70,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Row],[Par]])),(-(T70-T71)/T70*U70)+IF(TbTradesBinance[[#This Row],[Resultado]]&gt;0,0,TbTradesBinance[[#This Row],[Taxa]]),0),0))</f>
        <v>1328239.8809817513</v>
      </c>
      <c r="V71" s="145">
        <f t="shared" si="22"/>
        <v>6.6500000148719129</v>
      </c>
      <c r="W7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Row],[Tipo]]="DROP"),W70+TbTradesBinance[[#This Row],[Qtt]],W70-TbTradesBinance[[#This Row],[Qtt]]),IF(TbTradesBinance[[#This Row],[Tipo]]="BUY",W70-TbTradesBinance[[#This Row],[Qtt]]*TbTradesBinance[[#This Row],[Preço]],W70+TbTradesBinance[[#This Row],[Qtt]]*TbTradesBinance[[#This Row],[Preço]])),W70)-IF(TbTradesBinance[[#This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Row],[Tipo]]="DROP"),W70+TbTradesBinance[[#This Row],[Qtt]],W70-TbTradesBinance[[#This Row],[Qtt]]),IF(TbTradesBinance[[#This Row],[Tipo]]="BUY",W70-TbTradesBinance[[#This Row],[Qtt]]*TbTradesBinance[[#This Row],[Preço]],W70+TbTradesBinance[[#This Row],[Qtt]]*TbTradesBinance[[#This Row],[Preço]])),W70)-IF(TbTradesBinance[[#This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Row],[Tipo]]="DROP"),W70+TbTradesBinance[[#This Row],[Qtt]],W70-TbTradesBinance[[#This Row],[Qtt]]),IF(TbTradesBinance[[#This Row],[Tipo]]="BUY",W70-TbTradesBinance[[#This Row],[Qtt]]*TbTradesBinance[[#This Row],[Preço]],W70+TbTradesBinance[[#This Row],[Qtt]]*TbTradesBinance[[#This Row],[Preço]])),W70)-IF(TbTradesBinance[[#This Row],[Moeda da Taxa]]=MID(W$1,9,5),TbTradesBinance[[#This Row],[Taxa]],0),8)))</f>
        <v>3.5816300000000001E-3</v>
      </c>
      <c r="X71" s="145" cm="1">
        <f t="array" ref="X71">IF(TbTradesBinance[[#This Row],[Tipo]]="EMPTY",0,X70+IF(TbTradesBinance[[#This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Row],[Par]]))),$1:$1,0)),-(W70-W71)/W70*X70),0),0)+IF(TbTradesBinance[[#This Row],[Tipo]]="SELL",IF(ISNUMBER(FIND(MID(X$1,10,5),TbTradesBinance[[#This Row],[Par]])),IF(FIND(MID(X$1,10,5),TbTradesBinance[[#This Row],[Par]])=1, -(W70-W71)/W70*X70,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Row],[Par]])),(-(W70-W71)/W70*X70)+IF(TbTradesBinance[[#This Row],[Resultado]]&gt;0,0,TbTradesBinance[[#This Row],[Taxa]]),0),0))</f>
        <v>1146.3216634961352</v>
      </c>
      <c r="Y71" s="145">
        <f t="shared" si="23"/>
        <v>320055.85822548257</v>
      </c>
      <c r="Z7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Row],[Tipo]]="DROP"),Z70+TbTradesBinance[[#This Row],[Qtt]],Z70-TbTradesBinance[[#This Row],[Qtt]]),IF(TbTradesBinance[[#This Row],[Tipo]]="BUY",Z70-TbTradesBinance[[#This Row],[Qtt]]*TbTradesBinance[[#This Row],[Preço]],Z70+TbTradesBinance[[#This Row],[Qtt]]*TbTradesBinance[[#This Row],[Preço]])),Z70)-IF(TbTradesBinance[[#This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Row],[Tipo]]="DROP"),Z70+TbTradesBinance[[#This Row],[Qtt]],Z70-TbTradesBinance[[#This Row],[Qtt]]),IF(TbTradesBinance[[#This Row],[Tipo]]="BUY",Z70-TbTradesBinance[[#This Row],[Qtt]]*TbTradesBinance[[#This Row],[Preço]],Z70+TbTradesBinance[[#This Row],[Qtt]]*TbTradesBinance[[#This Row],[Preço]])),Z70)-IF(TbTradesBinance[[#This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Row],[Tipo]]="DROP"),Z70+TbTradesBinance[[#This Row],[Qtt]],Z70-TbTradesBinance[[#This Row],[Qtt]]),IF(TbTradesBinance[[#This Row],[Tipo]]="BUY",Z70-TbTradesBinance[[#This Row],[Qtt]]*TbTradesBinance[[#This Row],[Preço]],Z70+TbTradesBinance[[#This Row],[Qtt]]*TbTradesBinance[[#This Row],[Preço]])),Z70)-IF(TbTradesBinance[[#This Row],[Moeda da Taxa]]=MID(Z$1,9,5),TbTradesBinance[[#This Row],[Taxa]],0),8)))</f>
        <v>0</v>
      </c>
      <c r="AA71" s="145" cm="1">
        <f t="array" ref="AA71">IF(TbTradesBinance[[#This Row],[Tipo]]="EMPTY",0,AA70+IF(TbTradesBinance[[#This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Row],[Par]]))),$1:$1,0)),-(Z70-Z71)/Z70*AA70),0),0)+IF(TbTradesBinance[[#This Row],[Tipo]]="SELL",IF(ISNUMBER(FIND(MID(AA$1,10,5),TbTradesBinance[[#This Row],[Par]])),IF(FIND(MID(AA$1,10,5),TbTradesBinance[[#This Row],[Par]])=1, -(Z70-Z71)/Z70*AA70,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Row],[Par]])),(-(Z70-Z71)/Z70*AA70)+IF(TbTradesBinance[[#This Row],[Resultado]]&gt;0,0,TbTradesBinance[[#This Row],[Taxa]]),0),0))</f>
        <v>0</v>
      </c>
      <c r="AB71" s="145">
        <f t="shared" si="24"/>
        <v>0</v>
      </c>
      <c r="AC7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Row],[Tipo]]="DROP"),AC70+TbTradesBinance[[#This Row],[Qtt]],AC70-TbTradesBinance[[#This Row],[Qtt]]),IF(TbTradesBinance[[#This Row],[Tipo]]="BUY",AC70-TbTradesBinance[[#This Row],[Qtt]]*TbTradesBinance[[#This Row],[Preço]],AC70+TbTradesBinance[[#This Row],[Qtt]]*TbTradesBinance[[#This Row],[Preço]])),AC70)-IF(TbTradesBinance[[#This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Row],[Tipo]]="DROP"),AC70+TbTradesBinance[[#This Row],[Qtt]],AC70-TbTradesBinance[[#This Row],[Qtt]]),IF(TbTradesBinance[[#This Row],[Tipo]]="BUY",AC70-TbTradesBinance[[#This Row],[Qtt]]*TbTradesBinance[[#This Row],[Preço]],AC70+TbTradesBinance[[#This Row],[Qtt]]*TbTradesBinance[[#This Row],[Preço]])),AC70)-IF(TbTradesBinance[[#This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Row],[Tipo]]="DROP"),AC70+TbTradesBinance[[#This Row],[Qtt]],AC70-TbTradesBinance[[#This Row],[Qtt]]),IF(TbTradesBinance[[#This Row],[Tipo]]="BUY",AC70-TbTradesBinance[[#This Row],[Qtt]]*TbTradesBinance[[#This Row],[Preço]],AC70+TbTradesBinance[[#This Row],[Qtt]]*TbTradesBinance[[#This Row],[Preço]])),AC70)-IF(TbTradesBinance[[#This Row],[Moeda da Taxa]]=MID(AC$1,9,5),TbTradesBinance[[#This Row],[Taxa]],0),8)))</f>
        <v>0</v>
      </c>
      <c r="AD71" s="145" cm="1">
        <f t="array" ref="AD71">IF(TbTradesBinance[[#This Row],[Tipo]]="EMPTY",0,AD70+IF(TbTradesBinance[[#This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Row],[Par]]))),$1:$1,0)),-(AC70-AC71)/AC70*AD70),0),0)+IF(TbTradesBinance[[#This Row],[Tipo]]="SELL",IF(ISNUMBER(FIND(MID(AD$1,10,5),TbTradesBinance[[#This Row],[Par]])),IF(FIND(MID(AD$1,10,5),TbTradesBinance[[#This Row],[Par]])=1, -(AC70-AC71)/AC70*AD70,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Row],[Par]])),(-(AC70-AC71)/AC70*AD70)+IF(TbTradesBinance[[#This Row],[Resultado]]&gt;0,0,TbTradesBinance[[#This Row],[Taxa]]),0),0))</f>
        <v>0</v>
      </c>
      <c r="AE71" s="145">
        <f t="shared" si="25"/>
        <v>0</v>
      </c>
      <c r="AF7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Row],[Tipo]]="DROP"),AF70+TbTradesBinance[[#This Row],[Qtt]],AF70-TbTradesBinance[[#This Row],[Qtt]]),IF(TbTradesBinance[[#This Row],[Tipo]]="BUY",AF70-TbTradesBinance[[#This Row],[Qtt]]*TbTradesBinance[[#This Row],[Preço]],AF70+TbTradesBinance[[#This Row],[Qtt]]*TbTradesBinance[[#This Row],[Preço]])),AF70)-IF(TbTradesBinance[[#This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Row],[Tipo]]="DROP"),AF70+TbTradesBinance[[#This Row],[Qtt]],AF70-TbTradesBinance[[#This Row],[Qtt]]),IF(TbTradesBinance[[#This Row],[Tipo]]="BUY",AF70-TbTradesBinance[[#This Row],[Qtt]]*TbTradesBinance[[#This Row],[Preço]],AF70+TbTradesBinance[[#This Row],[Qtt]]*TbTradesBinance[[#This Row],[Preço]])),AF70)-IF(TbTradesBinance[[#This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Row],[Tipo]]="DROP"),AF70+TbTradesBinance[[#This Row],[Qtt]],AF70-TbTradesBinance[[#This Row],[Qtt]]),IF(TbTradesBinance[[#This Row],[Tipo]]="BUY",AF70-TbTradesBinance[[#This Row],[Qtt]]*TbTradesBinance[[#This Row],[Preço]],AF70+TbTradesBinance[[#This Row],[Qtt]]*TbTradesBinance[[#This Row],[Preço]])),AF70)-IF(TbTradesBinance[[#This Row],[Moeda da Taxa]]=MID(AF$1,9,5),TbTradesBinance[[#This Row],[Taxa]],0),8)))</f>
        <v>0</v>
      </c>
      <c r="AG71" s="145" cm="1">
        <f t="array" ref="AG71">IF(TbTradesBinance[[#This Row],[Tipo]]="EMPTY",0,AG70+IF(TbTradesBinance[[#This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Row],[Par]]))),$1:$1,0)),-(AF70-AF71)/AF70*AG70),0),0)+IF(TbTradesBinance[[#This Row],[Tipo]]="SELL",IF(ISNUMBER(FIND(MID(AG$1,10,5),TbTradesBinance[[#This Row],[Par]])),IF(FIND(MID(AG$1,10,5),TbTradesBinance[[#This Row],[Par]])=1, -(AF70-AF71)/AF70*AG70,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Row],[Par]])),(-(AF70-AF71)/AF70*AG70)+IF(TbTradesBinance[[#This Row],[Resultado]]&gt;0,0,TbTradesBinance[[#This Row],[Taxa]]),0),0))</f>
        <v>0</v>
      </c>
      <c r="AH71" s="145">
        <f t="shared" si="26"/>
        <v>0</v>
      </c>
      <c r="AI7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Row],[Tipo]]="DROP"),AI70+TbTradesBinance[[#This Row],[Qtt]],AI70-TbTradesBinance[[#This Row],[Qtt]]),IF(TbTradesBinance[[#This Row],[Tipo]]="BUY",AI70-TbTradesBinance[[#This Row],[Qtt]]*TbTradesBinance[[#This Row],[Preço]],AI70+TbTradesBinance[[#This Row],[Qtt]]*TbTradesBinance[[#This Row],[Preço]])),AI70)-IF(TbTradesBinance[[#This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Row],[Tipo]]="DROP"),AI70+TbTradesBinance[[#This Row],[Qtt]],AI70-TbTradesBinance[[#This Row],[Qtt]]),IF(TbTradesBinance[[#This Row],[Tipo]]="BUY",AI70-TbTradesBinance[[#This Row],[Qtt]]*TbTradesBinance[[#This Row],[Preço]],AI70+TbTradesBinance[[#This Row],[Qtt]]*TbTradesBinance[[#This Row],[Preço]])),AI70)-IF(TbTradesBinance[[#This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Row],[Tipo]]="DROP"),AI70+TbTradesBinance[[#This Row],[Qtt]],AI70-TbTradesBinance[[#This Row],[Qtt]]),IF(TbTradesBinance[[#This Row],[Tipo]]="BUY",AI70-TbTradesBinance[[#This Row],[Qtt]]*TbTradesBinance[[#This Row],[Preço]],AI70+TbTradesBinance[[#This Row],[Qtt]]*TbTradesBinance[[#This Row],[Preço]])),AI70)-IF(TbTradesBinance[[#This Row],[Moeda da Taxa]]=MID(AI$1,9,5),TbTradesBinance[[#This Row],[Taxa]],0),8)))</f>
        <v>0</v>
      </c>
      <c r="AJ71" s="145" cm="1">
        <f t="array" ref="AJ71">IF(TbTradesBinance[[#This Row],[Tipo]]="EMPTY",0,AJ70+IF(TbTradesBinance[[#This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Row],[Par]]))),$1:$1,0)),-(AI70-AI71)/AI70*AJ70),0),0)+IF(TbTradesBinance[[#This Row],[Tipo]]="SELL",IF(ISNUMBER(FIND(MID(AJ$1,10,5),TbTradesBinance[[#This Row],[Par]])),IF(FIND(MID(AJ$1,10,5),TbTradesBinance[[#This Row],[Par]])=1, -(AI70-AI71)/AI70*AJ70,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Row],[Par]])),(-(AI70-AI71)/AI70*AJ70)+IF(TbTradesBinance[[#This Row],[Resultado]]&gt;0,0,TbTradesBinance[[#This Row],[Taxa]]),0),0))</f>
        <v>0</v>
      </c>
      <c r="AK71" s="145">
        <f t="shared" si="27"/>
        <v>0</v>
      </c>
      <c r="AL7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Row],[Tipo]]="DROP"),AL70+TbTradesBinance[[#This Row],[Qtt]],AL70-TbTradesBinance[[#This Row],[Qtt]]),IF(TbTradesBinance[[#This Row],[Tipo]]="BUY",AL70-TbTradesBinance[[#This Row],[Qtt]]*TbTradesBinance[[#This Row],[Preço]],AL70+TbTradesBinance[[#This Row],[Qtt]]*TbTradesBinance[[#This Row],[Preço]])),AL70)-IF(TbTradesBinance[[#This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Row],[Tipo]]="DROP"),AL70+TbTradesBinance[[#This Row],[Qtt]],AL70-TbTradesBinance[[#This Row],[Qtt]]),IF(TbTradesBinance[[#This Row],[Tipo]]="BUY",AL70-TbTradesBinance[[#This Row],[Qtt]]*TbTradesBinance[[#This Row],[Preço]],AL70+TbTradesBinance[[#This Row],[Qtt]]*TbTradesBinance[[#This Row],[Preço]])),AL70)-IF(TbTradesBinance[[#This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Row],[Tipo]]="DROP"),AL70+TbTradesBinance[[#This Row],[Qtt]],AL70-TbTradesBinance[[#This Row],[Qtt]]),IF(TbTradesBinance[[#This Row],[Tipo]]="BUY",AL70-TbTradesBinance[[#This Row],[Qtt]]*TbTradesBinance[[#This Row],[Preço]],AL70+TbTradesBinance[[#This Row],[Qtt]]*TbTradesBinance[[#This Row],[Preço]])),AL70)-IF(TbTradesBinance[[#This Row],[Moeda da Taxa]]=MID(AL$1,9,5),TbTradesBinance[[#This Row],[Taxa]],0),8)))</f>
        <v>1.75824</v>
      </c>
      <c r="AM71" s="145" cm="1">
        <f t="array" ref="AM71">IF(TbTradesBinance[[#This Row],[Tipo]]="EMPTY",0,AM70+IF(TbTradesBinance[[#This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Row],[Par]]))),$1:$1,0)),-(AL70-AL71)/AL70*AM70),0),0)+IF(TbTradesBinance[[#This Row],[Tipo]]="SELL",IF(ISNUMBER(FIND(MID(AM$1,10,5),TbTradesBinance[[#This Row],[Par]])),IF(FIND(MID(AM$1,10,5),TbTradesBinance[[#This Row],[Par]])=1, -(AL70-AL71)/AL70*AM70,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Row],[Par]])),(-(AL70-AL71)/AL70*AM70)+IF(TbTradesBinance[[#This Row],[Resultado]]&gt;0,0,TbTradesBinance[[#This Row],[Taxa]]),0),0))</f>
        <v>144.56635471393039</v>
      </c>
      <c r="AN71" s="145">
        <f t="shared" si="28"/>
        <v>82.222196465744375</v>
      </c>
      <c r="AO7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Row],[Tipo]]="DROP"),AO70+TbTradesBinance[[#This Row],[Qtt]],AO70-TbTradesBinance[[#This Row],[Qtt]]),IF(TbTradesBinance[[#This Row],[Tipo]]="BUY",AO70-TbTradesBinance[[#This Row],[Qtt]]*TbTradesBinance[[#This Row],[Preço]],AO70+TbTradesBinance[[#This Row],[Qtt]]*TbTradesBinance[[#This Row],[Preço]])),AO70)-IF(TbTradesBinance[[#This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Row],[Tipo]]="DROP"),AO70+TbTradesBinance[[#This Row],[Qtt]],AO70-TbTradesBinance[[#This Row],[Qtt]]),IF(TbTradesBinance[[#This Row],[Tipo]]="BUY",AO70-TbTradesBinance[[#This Row],[Qtt]]*TbTradesBinance[[#This Row],[Preço]],AO70+TbTradesBinance[[#This Row],[Qtt]]*TbTradesBinance[[#This Row],[Preço]])),AO70)-IF(TbTradesBinance[[#This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Row],[Tipo]]="DROP"),AO70+TbTradesBinance[[#This Row],[Qtt]],AO70-TbTradesBinance[[#This Row],[Qtt]]),IF(TbTradesBinance[[#This Row],[Tipo]]="BUY",AO70-TbTradesBinance[[#This Row],[Qtt]]*TbTradesBinance[[#This Row],[Preço]],AO70+TbTradesBinance[[#This Row],[Qtt]]*TbTradesBinance[[#This Row],[Preço]])),AO70)-IF(TbTradesBinance[[#This Row],[Moeda da Taxa]]=MID(AO$1,9,5),TbTradesBinance[[#This Row],[Taxa]],0),8)))</f>
        <v>2.6916900000000001E-3</v>
      </c>
      <c r="AP71" s="145" cm="1">
        <f t="array" ref="AP71">IF(TbTradesBinance[[#This Row],[Tipo]]="EMPTY",0,AP70+IF(TbTradesBinance[[#This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Row],[Par]]))),$1:$1,0)),-(AO70-AO71)/AO70*AP70),0),0)+IF(TbTradesBinance[[#This Row],[Tipo]]="SELL",IF(ISNUMBER(FIND(MID(AP$1,10,5),TbTradesBinance[[#This Row],[Par]])),IF(FIND(MID(AP$1,10,5),TbTradesBinance[[#This Row],[Par]])=1, -(AO70-AO71)/AO70*AP70,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Row],[Par]])),(-(AO70-AO71)/AO70*AP70)+IF(TbTradesBinance[[#This Row],[Resultado]]&gt;0,0,TbTradesBinance[[#This Row],[Taxa]]),0),0))</f>
        <v>5.1390914851146583</v>
      </c>
      <c r="AQ71" s="145">
        <f t="shared" si="29"/>
        <v>1909.2434437526827</v>
      </c>
      <c r="AR7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Row],[Tipo]]="DROP"),AR70+TbTradesBinance[[#This Row],[Qtt]],AR70-TbTradesBinance[[#This Row],[Qtt]]),IF(TbTradesBinance[[#This Row],[Tipo]]="BUY",AR70-TbTradesBinance[[#This Row],[Qtt]]*TbTradesBinance[[#This Row],[Preço]],AR70+TbTradesBinance[[#This Row],[Qtt]]*TbTradesBinance[[#This Row],[Preço]])),AR70)-IF(TbTradesBinance[[#This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Row],[Tipo]]="DROP"),AR70+TbTradesBinance[[#This Row],[Qtt]],AR70-TbTradesBinance[[#This Row],[Qtt]]),IF(TbTradesBinance[[#This Row],[Tipo]]="BUY",AR70-TbTradesBinance[[#This Row],[Qtt]]*TbTradesBinance[[#This Row],[Preço]],AR70+TbTradesBinance[[#This Row],[Qtt]]*TbTradesBinance[[#This Row],[Preço]])),AR70)-IF(TbTradesBinance[[#This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Row],[Tipo]]="DROP"),AR70+TbTradesBinance[[#This Row],[Qtt]],AR70-TbTradesBinance[[#This Row],[Qtt]]),IF(TbTradesBinance[[#This Row],[Tipo]]="BUY",AR70-TbTradesBinance[[#This Row],[Qtt]]*TbTradesBinance[[#This Row],[Preço]],AR70+TbTradesBinance[[#This Row],[Qtt]]*TbTradesBinance[[#This Row],[Preço]])),AR70)-IF(TbTradesBinance[[#This Row],[Moeda da Taxa]]=MID(AR$1,9,5),TbTradesBinance[[#This Row],[Taxa]],0),8)))</f>
        <v>0</v>
      </c>
      <c r="AS71" s="145" cm="1">
        <f t="array" ref="AS71">IF(TbTradesBinance[[#This Row],[Tipo]]="EMPTY",0,AS70+IF(TbTradesBinance[[#This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Row],[Par]]))),$1:$1,0)),-(AR70-AR71)/AR70*AS70),0),0)+IF(TbTradesBinance[[#This Row],[Tipo]]="SELL",IF(ISNUMBER(FIND(MID(AS$1,10,5),TbTradesBinance[[#This Row],[Par]])),IF(FIND(MID(AS$1,10,5),TbTradesBinance[[#This Row],[Par]])=1, -(AR70-AR71)/AR70*AS70,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Row],[Par]])),(-(AR70-AR71)/AR70*AS70)+IF(TbTradesBinance[[#This Row],[Resultado]]&gt;0,0,TbTradesBinance[[#This Row],[Taxa]]),0),0))</f>
        <v>0</v>
      </c>
      <c r="AT71" s="145">
        <f t="shared" si="30"/>
        <v>0</v>
      </c>
      <c r="AU7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Row],[Tipo]]="DROP"),AU70+TbTradesBinance[[#This Row],[Qtt]],AU70-TbTradesBinance[[#This Row],[Qtt]]),IF(TbTradesBinance[[#This Row],[Tipo]]="BUY",AU70-TbTradesBinance[[#This Row],[Qtt]]*TbTradesBinance[[#This Row],[Preço]],AU70+TbTradesBinance[[#This Row],[Qtt]]*TbTradesBinance[[#This Row],[Preço]])),AU70)-IF(TbTradesBinance[[#This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Row],[Tipo]]="DROP"),AU70+TbTradesBinance[[#This Row],[Qtt]],AU70-TbTradesBinance[[#This Row],[Qtt]]),IF(TbTradesBinance[[#This Row],[Tipo]]="BUY",AU70-TbTradesBinance[[#This Row],[Qtt]]*TbTradesBinance[[#This Row],[Preço]],AU70+TbTradesBinance[[#This Row],[Qtt]]*TbTradesBinance[[#This Row],[Preço]])),AU70)-IF(TbTradesBinance[[#This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Row],[Tipo]]="DROP"),AU70+TbTradesBinance[[#This Row],[Qtt]],AU70-TbTradesBinance[[#This Row],[Qtt]]),IF(TbTradesBinance[[#This Row],[Tipo]]="BUY",AU70-TbTradesBinance[[#This Row],[Qtt]]*TbTradesBinance[[#This Row],[Preço]],AU70+TbTradesBinance[[#This Row],[Qtt]]*TbTradesBinance[[#This Row],[Preço]])),AU70)-IF(TbTradesBinance[[#This Row],[Moeda da Taxa]]=MID(AU$1,9,5),TbTradesBinance[[#This Row],[Taxa]],0),8)))</f>
        <v>0.26989999999999997</v>
      </c>
      <c r="AV71" s="145" cm="1">
        <f t="array" ref="AV71">IF(TbTradesBinance[[#This Row],[Tipo]]="EMPTY",0,AV70+IF(TbTradesBinance[[#This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Row],[Par]]))),$1:$1,0)),-(AU70-AU71)/AU70*AV70),0),0)+IF(TbTradesBinance[[#This Row],[Tipo]]="SELL",IF(ISNUMBER(FIND(MID(AV$1,10,5),TbTradesBinance[[#This Row],[Par]])),IF(FIND(MID(AV$1,10,5),TbTradesBinance[[#This Row],[Par]])=1, -(AU70-AU71)/AU70*AV70,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Row],[Par]])),(-(AU70-AU71)/AU70*AV70)+IF(TbTradesBinance[[#This Row],[Resultado]]&gt;0,0,TbTradesBinance[[#This Row],[Taxa]]),0),0))</f>
        <v>56.09788062740806</v>
      </c>
      <c r="AW71" s="145">
        <f t="shared" si="31"/>
        <v>207.8469085861729</v>
      </c>
      <c r="AX7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Row],[Tipo]]="DROP"),AX70+TbTradesBinance[[#This Row],[Qtt]],AX70-TbTradesBinance[[#This Row],[Qtt]]),IF(TbTradesBinance[[#This Row],[Tipo]]="BUY",AX70-TbTradesBinance[[#This Row],[Qtt]]*TbTradesBinance[[#This Row],[Preço]],AX70+TbTradesBinance[[#This Row],[Qtt]]*TbTradesBinance[[#This Row],[Preço]])),AX70)-IF(TbTradesBinance[[#This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Row],[Tipo]]="DROP"),AX70+TbTradesBinance[[#This Row],[Qtt]],AX70-TbTradesBinance[[#This Row],[Qtt]]),IF(TbTradesBinance[[#This Row],[Tipo]]="BUY",AX70-TbTradesBinance[[#This Row],[Qtt]]*TbTradesBinance[[#This Row],[Preço]],AX70+TbTradesBinance[[#This Row],[Qtt]]*TbTradesBinance[[#This Row],[Preço]])),AX70)-IF(TbTradesBinance[[#This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Row],[Tipo]]="DROP"),AX70+TbTradesBinance[[#This Row],[Qtt]],AX70-TbTradesBinance[[#This Row],[Qtt]]),IF(TbTradesBinance[[#This Row],[Tipo]]="BUY",AX70-TbTradesBinance[[#This Row],[Qtt]]*TbTradesBinance[[#This Row],[Preço]],AX70+TbTradesBinance[[#This Row],[Qtt]]*TbTradesBinance[[#This Row],[Preço]])),AX70)-IF(TbTradesBinance[[#This Row],[Moeda da Taxa]]=MID(AX$1,9,5),TbTradesBinance[[#This Row],[Taxa]],0),8)))</f>
        <v>0.22636999999999999</v>
      </c>
      <c r="AY71" s="145" cm="1">
        <f t="array" ref="AY71">IF(TbTradesBinance[[#This Row],[Tipo]]="EMPTY",0,AY70+IF(TbTradesBinance[[#This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Row],[Par]]))),$1:$1,0)),-(AX70-AX71)/AX70*AY70),0),0)+IF(TbTradesBinance[[#This Row],[Tipo]]="SELL",IF(ISNUMBER(FIND(MID(AY$1,10,5),TbTradesBinance[[#This Row],[Par]])),IF(FIND(MID(AY$1,10,5),TbTradesBinance[[#This Row],[Par]])=1, -(AX70-AX71)/AX70*AY70,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Row],[Par]])),(-(AX70-AX71)/AX70*AY70)+IF(TbTradesBinance[[#This Row],[Resultado]]&gt;0,0,TbTradesBinance[[#This Row],[Taxa]]),0),0))</f>
        <v>40.781337593356859</v>
      </c>
      <c r="AZ71" s="145">
        <f t="shared" si="32"/>
        <v>180.15345493376711</v>
      </c>
      <c r="BA7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Row],[Tipo]]="DROP"),BA70+TbTradesBinance[[#This Row],[Qtt]],BA70-TbTradesBinance[[#This Row],[Qtt]]),IF(TbTradesBinance[[#This Row],[Tipo]]="BUY",BA70-TbTradesBinance[[#This Row],[Qtt]]*TbTradesBinance[[#This Row],[Preço]],BA70+TbTradesBinance[[#This Row],[Qtt]]*TbTradesBinance[[#This Row],[Preço]])),BA70)-IF(TbTradesBinance[[#This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Row],[Tipo]]="DROP"),BA70+TbTradesBinance[[#This Row],[Qtt]],BA70-TbTradesBinance[[#This Row],[Qtt]]),IF(TbTradesBinance[[#This Row],[Tipo]]="BUY",BA70-TbTradesBinance[[#This Row],[Qtt]]*TbTradesBinance[[#This Row],[Preço]],BA70+TbTradesBinance[[#This Row],[Qtt]]*TbTradesBinance[[#This Row],[Preço]])),BA70)-IF(TbTradesBinance[[#This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Row],[Tipo]]="DROP"),BA70+TbTradesBinance[[#This Row],[Qtt]],BA70-TbTradesBinance[[#This Row],[Qtt]]),IF(TbTradesBinance[[#This Row],[Tipo]]="BUY",BA70-TbTradesBinance[[#This Row],[Qtt]]*TbTradesBinance[[#This Row],[Preço]],BA70+TbTradesBinance[[#This Row],[Qtt]]*TbTradesBinance[[#This Row],[Preço]])),BA70)-IF(TbTradesBinance[[#This Row],[Moeda da Taxa]]=MID(BA$1,9,5),TbTradesBinance[[#This Row],[Taxa]],0),8)))</f>
        <v>0</v>
      </c>
      <c r="BB71" s="145" cm="1">
        <f t="array" ref="BB71">IF(TbTradesBinance[[#This Row],[Tipo]]="EMPTY",0,BB70+IF(TbTradesBinance[[#This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Row],[Par]]))),$1:$1,0)),-(BA70-BA71)/BA70*BB70),0),0)+IF(TbTradesBinance[[#This Row],[Tipo]]="SELL",IF(ISNUMBER(FIND(MID(BB$1,10,5),TbTradesBinance[[#This Row],[Par]])),IF(FIND(MID(BB$1,10,5),TbTradesBinance[[#This Row],[Par]])=1, -(BA70-BA71)/BA70*BB70,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Row],[Par]])),(-(BA70-BA71)/BA70*BB70)+IF(TbTradesBinance[[#This Row],[Resultado]]&gt;0,0,TbTradesBinance[[#This Row],[Taxa]]),0),0))</f>
        <v>0</v>
      </c>
      <c r="BC71" s="145">
        <f t="shared" si="33"/>
        <v>0</v>
      </c>
      <c r="BD7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Row],[Tipo]]="DROP"),BD70+TbTradesBinance[[#This Row],[Qtt]],BD70-TbTradesBinance[[#This Row],[Qtt]]),IF(TbTradesBinance[[#This Row],[Tipo]]="BUY",BD70-TbTradesBinance[[#This Row],[Qtt]]*TbTradesBinance[[#This Row],[Preço]],BD70+TbTradesBinance[[#This Row],[Qtt]]*TbTradesBinance[[#This Row],[Preço]])),BD70)-IF(TbTradesBinance[[#This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Row],[Tipo]]="DROP"),BD70+TbTradesBinance[[#This Row],[Qtt]],BD70-TbTradesBinance[[#This Row],[Qtt]]),IF(TbTradesBinance[[#This Row],[Tipo]]="BUY",BD70-TbTradesBinance[[#This Row],[Qtt]]*TbTradesBinance[[#This Row],[Preço]],BD70+TbTradesBinance[[#This Row],[Qtt]]*TbTradesBinance[[#This Row],[Preço]])),BD70)-IF(TbTradesBinance[[#This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Row],[Tipo]]="DROP"),BD70+TbTradesBinance[[#This Row],[Qtt]],BD70-TbTradesBinance[[#This Row],[Qtt]]),IF(TbTradesBinance[[#This Row],[Tipo]]="BUY",BD70-TbTradesBinance[[#This Row],[Qtt]]*TbTradesBinance[[#This Row],[Preço]],BD70+TbTradesBinance[[#This Row],[Qtt]]*TbTradesBinance[[#This Row],[Preço]])),BD70)-IF(TbTradesBinance[[#This Row],[Moeda da Taxa]]=MID(BD$1,9,5),TbTradesBinance[[#This Row],[Taxa]],0),8)))</f>
        <v>0.37962000000000001</v>
      </c>
      <c r="BE71" s="145" cm="1">
        <f t="array" ref="BE71">IF(TbTradesBinance[[#This Row],[Tipo]]="EMPTY",0,BE70+IF(TbTradesBinance[[#This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Row],[Par]]))),$1:$1,0)),-(BD70-BD71)/BD70*BE70),0),0)+IF(TbTradesBinance[[#This Row],[Tipo]]="SELL",IF(ISNUMBER(FIND(MID(BE$1,10,5),TbTradesBinance[[#This Row],[Par]])),IF(FIND(MID(BE$1,10,5),TbTradesBinance[[#This Row],[Par]])=1, -(BD70-BD71)/BD70*BE70,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Row],[Par]])),(-(BD70-BD71)/BD70*BE70)+IF(TbTradesBinance[[#This Row],[Resultado]]&gt;0,0,TbTradesBinance[[#This Row],[Taxa]]),0),0))</f>
        <v>63.647297001537943</v>
      </c>
      <c r="BF71" s="145">
        <f t="shared" si="34"/>
        <v>167.66054739354601</v>
      </c>
      <c r="BG7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Row],[Tipo]]="DROP"),BG70+TbTradesBinance[[#This Row],[Qtt]],BG70-TbTradesBinance[[#This Row],[Qtt]]),IF(TbTradesBinance[[#This Row],[Tipo]]="BUY",BG70-TbTradesBinance[[#This Row],[Qtt]]*TbTradesBinance[[#This Row],[Preço]],BG70+TbTradesBinance[[#This Row],[Qtt]]*TbTradesBinance[[#This Row],[Preço]])),BG70)-IF(TbTradesBinance[[#This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Row],[Tipo]]="DROP"),BG70+TbTradesBinance[[#This Row],[Qtt]],BG70-TbTradesBinance[[#This Row],[Qtt]]),IF(TbTradesBinance[[#This Row],[Tipo]]="BUY",BG70-TbTradesBinance[[#This Row],[Qtt]]*TbTradesBinance[[#This Row],[Preço]],BG70+TbTradesBinance[[#This Row],[Qtt]]*TbTradesBinance[[#This Row],[Preço]])),BG70)-IF(TbTradesBinance[[#This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Row],[Tipo]]="DROP"),BG70+TbTradesBinance[[#This Row],[Qtt]],BG70-TbTradesBinance[[#This Row],[Qtt]]),IF(TbTradesBinance[[#This Row],[Tipo]]="BUY",BG70-TbTradesBinance[[#This Row],[Qtt]]*TbTradesBinance[[#This Row],[Preço]],BG70+TbTradesBinance[[#This Row],[Qtt]]*TbTradesBinance[[#This Row],[Preço]])),BG70)-IF(TbTradesBinance[[#This Row],[Moeda da Taxa]]=MID(BG$1,9,5),TbTradesBinance[[#This Row],[Taxa]],0),8)))</f>
        <v>0</v>
      </c>
      <c r="BH71" s="145" cm="1">
        <f t="array" ref="BH71">IF(TbTradesBinance[[#This Row],[Tipo]]="EMPTY",0,BH70+IF(TbTradesBinance[[#This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Row],[Par]]))),$1:$1,0)),-(BG70-BG71)/BG70*BH70),0),0)+IF(TbTradesBinance[[#This Row],[Tipo]]="SELL",IF(ISNUMBER(FIND(MID(BH$1,10,5),TbTradesBinance[[#This Row],[Par]])),IF(FIND(MID(BH$1,10,5),TbTradesBinance[[#This Row],[Par]])=1, -(BG70-BG71)/BG70*BH70,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Row],[Par]])),(-(BG70-BG71)/BG70*BH70)+IF(TbTradesBinance[[#This Row],[Resultado]]&gt;0,0,TbTradesBinance[[#This Row],[Taxa]]),0),0))</f>
        <v>0</v>
      </c>
      <c r="BI71" s="145">
        <f t="shared" si="35"/>
        <v>0</v>
      </c>
      <c r="BJ7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Row],[Tipo]]="DROP"),BJ70+TbTradesBinance[[#This Row],[Qtt]],BJ70-TbTradesBinance[[#This Row],[Qtt]]),IF(TbTradesBinance[[#This Row],[Tipo]]="BUY",BJ70-TbTradesBinance[[#This Row],[Qtt]]*TbTradesBinance[[#This Row],[Preço]],BJ70+TbTradesBinance[[#This Row],[Qtt]]*TbTradesBinance[[#This Row],[Preço]])),BJ70)-IF(TbTradesBinance[[#This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Row],[Tipo]]="DROP"),BJ70+TbTradesBinance[[#This Row],[Qtt]],BJ70-TbTradesBinance[[#This Row],[Qtt]]),IF(TbTradesBinance[[#This Row],[Tipo]]="BUY",BJ70-TbTradesBinance[[#This Row],[Qtt]]*TbTradesBinance[[#This Row],[Preço]],BJ70+TbTradesBinance[[#This Row],[Qtt]]*TbTradesBinance[[#This Row],[Preço]])),BJ70)-IF(TbTradesBinance[[#This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Row],[Tipo]]="DROP"),BJ70+TbTradesBinance[[#This Row],[Qtt]],BJ70-TbTradesBinance[[#This Row],[Qtt]]),IF(TbTradesBinance[[#This Row],[Tipo]]="BUY",BJ70-TbTradesBinance[[#This Row],[Qtt]]*TbTradesBinance[[#This Row],[Preço]],BJ70+TbTradesBinance[[#This Row],[Qtt]]*TbTradesBinance[[#This Row],[Preço]])),BJ70)-IF(TbTradesBinance[[#This Row],[Moeda da Taxa]]=MID(BJ$1,9,5),TbTradesBinance[[#This Row],[Taxa]],0),8)))</f>
        <v>0</v>
      </c>
      <c r="BK71" s="145" cm="1">
        <f t="array" ref="BK71">IF(TbTradesBinance[[#This Row],[Tipo]]="EMPTY",0,BK70+IF(TbTradesBinance[[#This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Row],[Par]]))),$1:$1,0)),-(BJ70-BJ71)/BJ70*BK70),0),0)+IF(TbTradesBinance[[#This Row],[Tipo]]="SELL",IF(ISNUMBER(FIND(MID(BK$1,10,5),TbTradesBinance[[#This Row],[Par]])),IF(FIND(MID(BK$1,10,5),TbTradesBinance[[#This Row],[Par]])=1, -(BJ70-BJ71)/BJ70*BK70,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Row],[Par]])),(-(BJ70-BJ71)/BJ70*BK70)+IF(TbTradesBinance[[#This Row],[Resultado]]&gt;0,0,TbTradesBinance[[#This Row],[Taxa]]),0),0))</f>
        <v>0</v>
      </c>
      <c r="BL71" s="145">
        <f t="shared" si="36"/>
        <v>0</v>
      </c>
      <c r="BM7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Row],[Tipo]]="DROP"),BM70+TbTradesBinance[[#This Row],[Qtt]],BM70-TbTradesBinance[[#This Row],[Qtt]]),IF(TbTradesBinance[[#This Row],[Tipo]]="BUY",BM70-TbTradesBinance[[#This Row],[Qtt]]*TbTradesBinance[[#This Row],[Preço]],BM70+TbTradesBinance[[#This Row],[Qtt]]*TbTradesBinance[[#This Row],[Preço]])),BM70)-IF(TbTradesBinance[[#This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Row],[Tipo]]="DROP"),BM70+TbTradesBinance[[#This Row],[Qtt]],BM70-TbTradesBinance[[#This Row],[Qtt]]),IF(TbTradesBinance[[#This Row],[Tipo]]="BUY",BM70-TbTradesBinance[[#This Row],[Qtt]]*TbTradesBinance[[#This Row],[Preço]],BM70+TbTradesBinance[[#This Row],[Qtt]]*TbTradesBinance[[#This Row],[Preço]])),BM70)-IF(TbTradesBinance[[#This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Row],[Tipo]]="DROP"),BM70+TbTradesBinance[[#This Row],[Qtt]],BM70-TbTradesBinance[[#This Row],[Qtt]]),IF(TbTradesBinance[[#This Row],[Tipo]]="BUY",BM70-TbTradesBinance[[#This Row],[Qtt]]*TbTradesBinance[[#This Row],[Preço]],BM70+TbTradesBinance[[#This Row],[Qtt]]*TbTradesBinance[[#This Row],[Preço]])),BM70)-IF(TbTradesBinance[[#This Row],[Moeda da Taxa]]=MID(BM$1,9,5),TbTradesBinance[[#This Row],[Taxa]],0),8)))</f>
        <v>0</v>
      </c>
      <c r="BN71" s="145" cm="1">
        <f t="array" ref="BN71">IF(TbTradesBinance[[#This Row],[Tipo]]="EMPTY",0,BN70+IF(TbTradesBinance[[#This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Row],[Par]]))),$1:$1,0)),-(BM70-BM71)/BM70*BN70),0),0)+IF(TbTradesBinance[[#This Row],[Tipo]]="SELL",IF(ISNUMBER(FIND(MID(BN$1,10,5),TbTradesBinance[[#This Row],[Par]])),IF(FIND(MID(BN$1,10,5),TbTradesBinance[[#This Row],[Par]])=1, -(BM70-BM71)/BM70*BN70,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Row],[Par]])),(-(BM70-BM71)/BM70*BN70)+IF(TbTradesBinance[[#This Row],[Resultado]]&gt;0,0,TbTradesBinance[[#This Row],[Taxa]]),0),0))</f>
        <v>0</v>
      </c>
      <c r="BO71" s="145">
        <f t="shared" si="37"/>
        <v>0</v>
      </c>
    </row>
    <row r="72" spans="2:67" x14ac:dyDescent="0.3">
      <c r="B72" s="51"/>
      <c r="C72" s="40">
        <f>TRUNC(IF(AND(TbTradesBinance[[#This Row],[Tipo]]="SEND",TbTradesBinance[[#This Row],[Par]]="BRL"),TbTradesBinance[[#This Row],[Qtt]]*(1-P70)-IF(TbTradesBinance[[#This Row],[Moeda da Taxa]]="BRL",TbTradesBinance[[#This Row],[Taxa]],0),0)+IF(AND(TbTradesBinance[[#This Row],[Tipo]]="BURN",TbTradesBinance[[#This Row],[Par]]="BRL"),-TbTradesBinance[[#This Row],[Qtt]]*P70,0),2)</f>
        <v>0</v>
      </c>
      <c r="D72" s="53">
        <v>44265.451435185183</v>
      </c>
      <c r="E72" s="37" t="s">
        <v>237</v>
      </c>
      <c r="F72" s="47" t="s">
        <v>139</v>
      </c>
      <c r="G72" s="38">
        <v>5.7759999999999998</v>
      </c>
      <c r="H72" s="38">
        <v>69.260000000000005</v>
      </c>
      <c r="I72" s="38">
        <v>6.9260000000000002E-2</v>
      </c>
      <c r="J72" s="37" t="s">
        <v>42</v>
      </c>
      <c r="K72" s="52">
        <v>1</v>
      </c>
      <c r="L72" s="40">
        <f t="shared" si="19"/>
        <v>5.77</v>
      </c>
      <c r="M72" s="40">
        <f>IF(OR(TbTradesBinance[[#This Row],[Tipo]]="BUY",TbTradesBinance[[#This Row],[Tipo]]="RECEIVE",TbTradesBinance[[#This Row],[Tipo]]="DROP"),L72*H72,-L72*H72)</f>
        <v>399.6302</v>
      </c>
      <c r="N7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Row],[Tipo]]="DROP"),N71+TbTradesBinance[[#This Row],[Qtt]],N71-TbTradesBinance[[#This Row],[Qtt]]),IF(TbTradesBinance[[#This Row],[Tipo]]="BUY",N71-TbTradesBinance[[#This Row],[Qtt]]*TbTradesBinance[[#This Row],[Preço]],N71+TbTradesBinance[[#This Row],[Qtt]]*TbTradesBinance[[#This Row],[Preço]])),N71)-IF(TbTradesBinance[[#This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Row],[Tipo]]="DROP"),N71+TbTradesBinance[[#This Row],[Qtt]],N71-TbTradesBinance[[#This Row],[Qtt]]),IF(TbTradesBinance[[#This Row],[Tipo]]="BUY",N71-TbTradesBinance[[#This Row],[Qtt]]*TbTradesBinance[[#This Row],[Preço]],N71+TbTradesBinance[[#This Row],[Qtt]]*TbTradesBinance[[#This Row],[Preço]])),N71)-IF(TbTradesBinance[[#This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Row],[Tipo]]="DROP"),N71+TbTradesBinance[[#This Row],[Qtt]],N71-TbTradesBinance[[#This Row],[Qtt]]),IF(TbTradesBinance[[#This Row],[Tipo]]="BUY",N71-TbTradesBinance[[#This Row],[Qtt]]*TbTradesBinance[[#This Row],[Preço]],N71+TbTradesBinance[[#This Row],[Qtt]]*TbTradesBinance[[#This Row],[Preço]])),N71)-IF(TbTradesBinance[[#This Row],[Moeda da Taxa]]=MID(N$1,9,5),TbTradesBinance[[#This Row],[Taxa]],0),8)))</f>
        <v>119745.52550598999</v>
      </c>
      <c r="O72" s="145" cm="1">
        <f t="array" ref="O72">IF(TbTradesBinance[[#This Row],[Tipo]]="EMPTY",0,O71+IF(TbTradesBinance[[#This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Row],[Par]]))),$1:$1,0)),-(N71-N72)/N71*O71),0),0)+IF(TbTradesBinance[[#This Row],[Tipo]]="SELL",IF(ISNUMBER(FIND(MID(O$1,10,5),TbTradesBinance[[#This Row],[Par]])),IF(FIND(MID(O$1,10,5),TbTradesBinance[[#This Row],[Par]])=1, -(N71-N72)/N71*O71,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Row],[Par]])),(-(N71-N72)/N71*O71)+IF(TbTradesBinance[[#This Row],[Resultado]]&gt;0,0,TbTradesBinance[[#This Row],[Taxa]]),0),0))</f>
        <v>119649.32558674218</v>
      </c>
      <c r="P72" s="145">
        <f t="shared" si="20"/>
        <v>0.99919663036392126</v>
      </c>
      <c r="Q7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Row],[Tipo]]="DROP"),Q71+TbTradesBinance[[#This Row],[Qtt]],Q71-TbTradesBinance[[#This Row],[Qtt]]),IF(TbTradesBinance[[#This Row],[Tipo]]="BUY",Q71-TbTradesBinance[[#This Row],[Qtt]]*TbTradesBinance[[#This Row],[Preço]],Q71+TbTradesBinance[[#This Row],[Qtt]]*TbTradesBinance[[#This Row],[Preço]])),Q71)-IF(TbTradesBinance[[#This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Row],[Tipo]]="DROP"),Q71+TbTradesBinance[[#This Row],[Qtt]],Q71-TbTradesBinance[[#This Row],[Qtt]]),IF(TbTradesBinance[[#This Row],[Tipo]]="BUY",Q71-TbTradesBinance[[#This Row],[Qtt]]*TbTradesBinance[[#This Row],[Preço]],Q71+TbTradesBinance[[#This Row],[Qtt]]*TbTradesBinance[[#This Row],[Preço]])),Q71)-IF(TbTradesBinance[[#This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Row],[Tipo]]="DROP"),Q71+TbTradesBinance[[#This Row],[Qtt]],Q71-TbTradesBinance[[#This Row],[Qtt]]),IF(TbTradesBinance[[#This Row],[Tipo]]="BUY",Q71-TbTradesBinance[[#This Row],[Qtt]]*TbTradesBinance[[#This Row],[Preço]],Q71+TbTradesBinance[[#This Row],[Qtt]]*TbTradesBinance[[#This Row],[Preço]])),Q71)-IF(TbTradesBinance[[#This Row],[Moeda da Taxa]]=MID(Q$1,9,5),TbTradesBinance[[#This Row],[Taxa]],0),8)))</f>
        <v>69.480797960000004</v>
      </c>
      <c r="R72" s="145" cm="1">
        <f t="array" ref="R72">IF(TbTradesBinance[[#This Row],[Tipo]]="EMPTY",0,R71+IF(TbTradesBinance[[#This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Row],[Par]]))),$1:$1,0)),-(Q71-Q72)/Q71*R71),0),0)+IF(TbTradesBinance[[#This Row],[Tipo]]="SELL",IF(ISNUMBER(FIND(MID(R$1,10,5),TbTradesBinance[[#This Row],[Par]])),IF(FIND(MID(R$1,10,5),TbTradesBinance[[#This Row],[Par]])=1, -(Q71-Q72)/Q71*R71,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Row],[Par]])),(-(Q71-Q72)/Q71*R71)+IF(TbTradesBinance[[#This Row],[Resultado]]&gt;0,0,TbTradesBinance[[#This Row],[Taxa]]),0),0))</f>
        <v>401.3174264646982</v>
      </c>
      <c r="S72" s="145">
        <f t="shared" si="21"/>
        <v>5.7759472868422739</v>
      </c>
      <c r="T7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Row],[Tipo]]="DROP"),T71+TbTradesBinance[[#This Row],[Qtt]],T71-TbTradesBinance[[#This Row],[Qtt]]),IF(TbTradesBinance[[#This Row],[Tipo]]="BUY",T71-TbTradesBinance[[#This Row],[Qtt]]*TbTradesBinance[[#This Row],[Preço]],T71+TbTradesBinance[[#This Row],[Qtt]]*TbTradesBinance[[#This Row],[Preço]])),T71)-IF(TbTradesBinance[[#This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Row],[Tipo]]="DROP"),T71+TbTradesBinance[[#This Row],[Qtt]],T71-TbTradesBinance[[#This Row],[Qtt]]),IF(TbTradesBinance[[#This Row],[Tipo]]="BUY",T71-TbTradesBinance[[#This Row],[Qtt]]*TbTradesBinance[[#This Row],[Preço]],T71+TbTradesBinance[[#This Row],[Qtt]]*TbTradesBinance[[#This Row],[Preço]])),T71)-IF(TbTradesBinance[[#This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Row],[Tipo]]="DROP"),T71+TbTradesBinance[[#This Row],[Qtt]],T71-TbTradesBinance[[#This Row],[Qtt]]),IF(TbTradesBinance[[#This Row],[Tipo]]="BUY",T71-TbTradesBinance[[#This Row],[Qtt]]*TbTradesBinance[[#This Row],[Preço]],T71+TbTradesBinance[[#This Row],[Qtt]]*TbTradesBinance[[#This Row],[Preço]])),T71)-IF(TbTradesBinance[[#This Row],[Moeda da Taxa]]=MID(T$1,9,5),TbTradesBinance[[#This Row],[Taxa]],0),8)))</f>
        <v>199735.32000169999</v>
      </c>
      <c r="U72" s="145" cm="1">
        <f t="array" ref="U72">IF(TbTradesBinance[[#This Row],[Tipo]]="EMPTY",0,U71+IF(TbTradesBinance[[#This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Row],[Par]]))),$1:$1,0)),-(T71-T72)/T71*U71),0),0)+IF(TbTradesBinance[[#This Row],[Tipo]]="SELL",IF(ISNUMBER(FIND(MID(U$1,10,5),TbTradesBinance[[#This Row],[Par]])),IF(FIND(MID(U$1,10,5),TbTradesBinance[[#This Row],[Par]])=1, -(T71-T72)/T71*U71,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Row],[Par]])),(-(T71-T72)/T71*U71)+IF(TbTradesBinance[[#This Row],[Resultado]]&gt;0,0,TbTradesBinance[[#This Row],[Taxa]]),0),0))</f>
        <v>1328239.8809817513</v>
      </c>
      <c r="V72" s="145">
        <f t="shared" si="22"/>
        <v>6.6500000148719129</v>
      </c>
      <c r="W7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Row],[Tipo]]="DROP"),W71+TbTradesBinance[[#This Row],[Qtt]],W71-TbTradesBinance[[#This Row],[Qtt]]),IF(TbTradesBinance[[#This Row],[Tipo]]="BUY",W71-TbTradesBinance[[#This Row],[Qtt]]*TbTradesBinance[[#This Row],[Preço]],W71+TbTradesBinance[[#This Row],[Qtt]]*TbTradesBinance[[#This Row],[Preço]])),W71)-IF(TbTradesBinance[[#This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Row],[Tipo]]="DROP"),W71+TbTradesBinance[[#This Row],[Qtt]],W71-TbTradesBinance[[#This Row],[Qtt]]),IF(TbTradesBinance[[#This Row],[Tipo]]="BUY",W71-TbTradesBinance[[#This Row],[Qtt]]*TbTradesBinance[[#This Row],[Preço]],W71+TbTradesBinance[[#This Row],[Qtt]]*TbTradesBinance[[#This Row],[Preço]])),W71)-IF(TbTradesBinance[[#This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Row],[Tipo]]="DROP"),W71+TbTradesBinance[[#This Row],[Qtt]],W71-TbTradesBinance[[#This Row],[Qtt]]),IF(TbTradesBinance[[#This Row],[Tipo]]="BUY",W71-TbTradesBinance[[#This Row],[Qtt]]*TbTradesBinance[[#This Row],[Preço]],W71+TbTradesBinance[[#This Row],[Qtt]]*TbTradesBinance[[#This Row],[Preço]])),W71)-IF(TbTradesBinance[[#This Row],[Moeda da Taxa]]=MID(W$1,9,5),TbTradesBinance[[#This Row],[Taxa]],0),8)))</f>
        <v>3.5816300000000001E-3</v>
      </c>
      <c r="X72" s="145" cm="1">
        <f t="array" ref="X72">IF(TbTradesBinance[[#This Row],[Tipo]]="EMPTY",0,X71+IF(TbTradesBinance[[#This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Row],[Par]]))),$1:$1,0)),-(W71-W72)/W71*X71),0),0)+IF(TbTradesBinance[[#This Row],[Tipo]]="SELL",IF(ISNUMBER(FIND(MID(X$1,10,5),TbTradesBinance[[#This Row],[Par]])),IF(FIND(MID(X$1,10,5),TbTradesBinance[[#This Row],[Par]])=1, -(W71-W72)/W71*X71,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Row],[Par]])),(-(W71-W72)/W71*X71)+IF(TbTradesBinance[[#This Row],[Resultado]]&gt;0,0,TbTradesBinance[[#This Row],[Taxa]]),0),0))</f>
        <v>1146.3216634961352</v>
      </c>
      <c r="Y72" s="145">
        <f t="shared" si="23"/>
        <v>320055.85822548257</v>
      </c>
      <c r="Z7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Row],[Tipo]]="DROP"),Z71+TbTradesBinance[[#This Row],[Qtt]],Z71-TbTradesBinance[[#This Row],[Qtt]]),IF(TbTradesBinance[[#This Row],[Tipo]]="BUY",Z71-TbTradesBinance[[#This Row],[Qtt]]*TbTradesBinance[[#This Row],[Preço]],Z71+TbTradesBinance[[#This Row],[Qtt]]*TbTradesBinance[[#This Row],[Preço]])),Z71)-IF(TbTradesBinance[[#This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Row],[Tipo]]="DROP"),Z71+TbTradesBinance[[#This Row],[Qtt]],Z71-TbTradesBinance[[#This Row],[Qtt]]),IF(TbTradesBinance[[#This Row],[Tipo]]="BUY",Z71-TbTradesBinance[[#This Row],[Qtt]]*TbTradesBinance[[#This Row],[Preço]],Z71+TbTradesBinance[[#This Row],[Qtt]]*TbTradesBinance[[#This Row],[Preço]])),Z71)-IF(TbTradesBinance[[#This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Row],[Tipo]]="DROP"),Z71+TbTradesBinance[[#This Row],[Qtt]],Z71-TbTradesBinance[[#This Row],[Qtt]]),IF(TbTradesBinance[[#This Row],[Tipo]]="BUY",Z71-TbTradesBinance[[#This Row],[Qtt]]*TbTradesBinance[[#This Row],[Preço]],Z71+TbTradesBinance[[#This Row],[Qtt]]*TbTradesBinance[[#This Row],[Preço]])),Z71)-IF(TbTradesBinance[[#This Row],[Moeda da Taxa]]=MID(Z$1,9,5),TbTradesBinance[[#This Row],[Taxa]],0),8)))</f>
        <v>0</v>
      </c>
      <c r="AA72" s="145" cm="1">
        <f t="array" ref="AA72">IF(TbTradesBinance[[#This Row],[Tipo]]="EMPTY",0,AA71+IF(TbTradesBinance[[#This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Row],[Par]]))),$1:$1,0)),-(Z71-Z72)/Z71*AA71),0),0)+IF(TbTradesBinance[[#This Row],[Tipo]]="SELL",IF(ISNUMBER(FIND(MID(AA$1,10,5),TbTradesBinance[[#This Row],[Par]])),IF(FIND(MID(AA$1,10,5),TbTradesBinance[[#This Row],[Par]])=1, -(Z71-Z72)/Z71*AA71,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Row],[Par]])),(-(Z71-Z72)/Z71*AA71)+IF(TbTradesBinance[[#This Row],[Resultado]]&gt;0,0,TbTradesBinance[[#This Row],[Taxa]]),0),0))</f>
        <v>0</v>
      </c>
      <c r="AB72" s="145">
        <f t="shared" si="24"/>
        <v>0</v>
      </c>
      <c r="AC7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Row],[Tipo]]="DROP"),AC71+TbTradesBinance[[#This Row],[Qtt]],AC71-TbTradesBinance[[#This Row],[Qtt]]),IF(TbTradesBinance[[#This Row],[Tipo]]="BUY",AC71-TbTradesBinance[[#This Row],[Qtt]]*TbTradesBinance[[#This Row],[Preço]],AC71+TbTradesBinance[[#This Row],[Qtt]]*TbTradesBinance[[#This Row],[Preço]])),AC71)-IF(TbTradesBinance[[#This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Row],[Tipo]]="DROP"),AC71+TbTradesBinance[[#This Row],[Qtt]],AC71-TbTradesBinance[[#This Row],[Qtt]]),IF(TbTradesBinance[[#This Row],[Tipo]]="BUY",AC71-TbTradesBinance[[#This Row],[Qtt]]*TbTradesBinance[[#This Row],[Preço]],AC71+TbTradesBinance[[#This Row],[Qtt]]*TbTradesBinance[[#This Row],[Preço]])),AC71)-IF(TbTradesBinance[[#This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Row],[Tipo]]="DROP"),AC71+TbTradesBinance[[#This Row],[Qtt]],AC71-TbTradesBinance[[#This Row],[Qtt]]),IF(TbTradesBinance[[#This Row],[Tipo]]="BUY",AC71-TbTradesBinance[[#This Row],[Qtt]]*TbTradesBinance[[#This Row],[Preço]],AC71+TbTradesBinance[[#This Row],[Qtt]]*TbTradesBinance[[#This Row],[Preço]])),AC71)-IF(TbTradesBinance[[#This Row],[Moeda da Taxa]]=MID(AC$1,9,5),TbTradesBinance[[#This Row],[Taxa]],0),8)))</f>
        <v>0</v>
      </c>
      <c r="AD72" s="145" cm="1">
        <f t="array" ref="AD72">IF(TbTradesBinance[[#This Row],[Tipo]]="EMPTY",0,AD71+IF(TbTradesBinance[[#This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Row],[Par]]))),$1:$1,0)),-(AC71-AC72)/AC71*AD71),0),0)+IF(TbTradesBinance[[#This Row],[Tipo]]="SELL",IF(ISNUMBER(FIND(MID(AD$1,10,5),TbTradesBinance[[#This Row],[Par]])),IF(FIND(MID(AD$1,10,5),TbTradesBinance[[#This Row],[Par]])=1, -(AC71-AC72)/AC71*AD71,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Row],[Par]])),(-(AC71-AC72)/AC71*AD71)+IF(TbTradesBinance[[#This Row],[Resultado]]&gt;0,0,TbTradesBinance[[#This Row],[Taxa]]),0),0))</f>
        <v>0</v>
      </c>
      <c r="AE72" s="145">
        <f t="shared" si="25"/>
        <v>0</v>
      </c>
      <c r="AF7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Row],[Tipo]]="DROP"),AF71+TbTradesBinance[[#This Row],[Qtt]],AF71-TbTradesBinance[[#This Row],[Qtt]]),IF(TbTradesBinance[[#This Row],[Tipo]]="BUY",AF71-TbTradesBinance[[#This Row],[Qtt]]*TbTradesBinance[[#This Row],[Preço]],AF71+TbTradesBinance[[#This Row],[Qtt]]*TbTradesBinance[[#This Row],[Preço]])),AF71)-IF(TbTradesBinance[[#This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Row],[Tipo]]="DROP"),AF71+TbTradesBinance[[#This Row],[Qtt]],AF71-TbTradesBinance[[#This Row],[Qtt]]),IF(TbTradesBinance[[#This Row],[Tipo]]="BUY",AF71-TbTradesBinance[[#This Row],[Qtt]]*TbTradesBinance[[#This Row],[Preço]],AF71+TbTradesBinance[[#This Row],[Qtt]]*TbTradesBinance[[#This Row],[Preço]])),AF71)-IF(TbTradesBinance[[#This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Row],[Tipo]]="DROP"),AF71+TbTradesBinance[[#This Row],[Qtt]],AF71-TbTradesBinance[[#This Row],[Qtt]]),IF(TbTradesBinance[[#This Row],[Tipo]]="BUY",AF71-TbTradesBinance[[#This Row],[Qtt]]*TbTradesBinance[[#This Row],[Preço]],AF71+TbTradesBinance[[#This Row],[Qtt]]*TbTradesBinance[[#This Row],[Preço]])),AF71)-IF(TbTradesBinance[[#This Row],[Moeda da Taxa]]=MID(AF$1,9,5),TbTradesBinance[[#This Row],[Taxa]],0),8)))</f>
        <v>0</v>
      </c>
      <c r="AG72" s="145" cm="1">
        <f t="array" ref="AG72">IF(TbTradesBinance[[#This Row],[Tipo]]="EMPTY",0,AG71+IF(TbTradesBinance[[#This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Row],[Par]]))),$1:$1,0)),-(AF71-AF72)/AF71*AG71),0),0)+IF(TbTradesBinance[[#This Row],[Tipo]]="SELL",IF(ISNUMBER(FIND(MID(AG$1,10,5),TbTradesBinance[[#This Row],[Par]])),IF(FIND(MID(AG$1,10,5),TbTradesBinance[[#This Row],[Par]])=1, -(AF71-AF72)/AF71*AG71,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Row],[Par]])),(-(AF71-AF72)/AF71*AG71)+IF(TbTradesBinance[[#This Row],[Resultado]]&gt;0,0,TbTradesBinance[[#This Row],[Taxa]]),0),0))</f>
        <v>0</v>
      </c>
      <c r="AH72" s="145">
        <f t="shared" si="26"/>
        <v>0</v>
      </c>
      <c r="AI7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Row],[Tipo]]="DROP"),AI71+TbTradesBinance[[#This Row],[Qtt]],AI71-TbTradesBinance[[#This Row],[Qtt]]),IF(TbTradesBinance[[#This Row],[Tipo]]="BUY",AI71-TbTradesBinance[[#This Row],[Qtt]]*TbTradesBinance[[#This Row],[Preço]],AI71+TbTradesBinance[[#This Row],[Qtt]]*TbTradesBinance[[#This Row],[Preço]])),AI71)-IF(TbTradesBinance[[#This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Row],[Tipo]]="DROP"),AI71+TbTradesBinance[[#This Row],[Qtt]],AI71-TbTradesBinance[[#This Row],[Qtt]]),IF(TbTradesBinance[[#This Row],[Tipo]]="BUY",AI71-TbTradesBinance[[#This Row],[Qtt]]*TbTradesBinance[[#This Row],[Preço]],AI71+TbTradesBinance[[#This Row],[Qtt]]*TbTradesBinance[[#This Row],[Preço]])),AI71)-IF(TbTradesBinance[[#This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Row],[Tipo]]="DROP"),AI71+TbTradesBinance[[#This Row],[Qtt]],AI71-TbTradesBinance[[#This Row],[Qtt]]),IF(TbTradesBinance[[#This Row],[Tipo]]="BUY",AI71-TbTradesBinance[[#This Row],[Qtt]]*TbTradesBinance[[#This Row],[Preço]],AI71+TbTradesBinance[[#This Row],[Qtt]]*TbTradesBinance[[#This Row],[Preço]])),AI71)-IF(TbTradesBinance[[#This Row],[Moeda da Taxa]]=MID(AI$1,9,5),TbTradesBinance[[#This Row],[Taxa]],0),8)))</f>
        <v>0</v>
      </c>
      <c r="AJ72" s="145" cm="1">
        <f t="array" ref="AJ72">IF(TbTradesBinance[[#This Row],[Tipo]]="EMPTY",0,AJ71+IF(TbTradesBinance[[#This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Row],[Par]]))),$1:$1,0)),-(AI71-AI72)/AI71*AJ71),0),0)+IF(TbTradesBinance[[#This Row],[Tipo]]="SELL",IF(ISNUMBER(FIND(MID(AJ$1,10,5),TbTradesBinance[[#This Row],[Par]])),IF(FIND(MID(AJ$1,10,5),TbTradesBinance[[#This Row],[Par]])=1, -(AI71-AI72)/AI71*AJ71,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Row],[Par]])),(-(AI71-AI72)/AI71*AJ71)+IF(TbTradesBinance[[#This Row],[Resultado]]&gt;0,0,TbTradesBinance[[#This Row],[Taxa]]),0),0))</f>
        <v>0</v>
      </c>
      <c r="AK72" s="145">
        <f t="shared" si="27"/>
        <v>0</v>
      </c>
      <c r="AL7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Row],[Tipo]]="DROP"),AL71+TbTradesBinance[[#This Row],[Qtt]],AL71-TbTradesBinance[[#This Row],[Qtt]]),IF(TbTradesBinance[[#This Row],[Tipo]]="BUY",AL71-TbTradesBinance[[#This Row],[Qtt]]*TbTradesBinance[[#This Row],[Preço]],AL71+TbTradesBinance[[#This Row],[Qtt]]*TbTradesBinance[[#This Row],[Preço]])),AL71)-IF(TbTradesBinance[[#This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Row],[Tipo]]="DROP"),AL71+TbTradesBinance[[#This Row],[Qtt]],AL71-TbTradesBinance[[#This Row],[Qtt]]),IF(TbTradesBinance[[#This Row],[Tipo]]="BUY",AL71-TbTradesBinance[[#This Row],[Qtt]]*TbTradesBinance[[#This Row],[Preço]],AL71+TbTradesBinance[[#This Row],[Qtt]]*TbTradesBinance[[#This Row],[Preço]])),AL71)-IF(TbTradesBinance[[#This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Row],[Tipo]]="DROP"),AL71+TbTradesBinance[[#This Row],[Qtt]],AL71-TbTradesBinance[[#This Row],[Qtt]]),IF(TbTradesBinance[[#This Row],[Tipo]]="BUY",AL71-TbTradesBinance[[#This Row],[Qtt]]*TbTradesBinance[[#This Row],[Preço]],AL71+TbTradesBinance[[#This Row],[Qtt]]*TbTradesBinance[[#This Row],[Preço]])),AL71)-IF(TbTradesBinance[[#This Row],[Moeda da Taxa]]=MID(AL$1,9,5),TbTradesBinance[[#This Row],[Taxa]],0),8)))</f>
        <v>1.75824</v>
      </c>
      <c r="AM72" s="145" cm="1">
        <f t="array" ref="AM72">IF(TbTradesBinance[[#This Row],[Tipo]]="EMPTY",0,AM71+IF(TbTradesBinance[[#This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Row],[Par]]))),$1:$1,0)),-(AL71-AL72)/AL71*AM71),0),0)+IF(TbTradesBinance[[#This Row],[Tipo]]="SELL",IF(ISNUMBER(FIND(MID(AM$1,10,5),TbTradesBinance[[#This Row],[Par]])),IF(FIND(MID(AM$1,10,5),TbTradesBinance[[#This Row],[Par]])=1, -(AL71-AL72)/AL71*AM71,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Row],[Par]])),(-(AL71-AL72)/AL71*AM71)+IF(TbTradesBinance[[#This Row],[Resultado]]&gt;0,0,TbTradesBinance[[#This Row],[Taxa]]),0),0))</f>
        <v>144.56635471393039</v>
      </c>
      <c r="AN72" s="145">
        <f t="shared" si="28"/>
        <v>82.222196465744375</v>
      </c>
      <c r="AO7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Row],[Tipo]]="DROP"),AO71+TbTradesBinance[[#This Row],[Qtt]],AO71-TbTradesBinance[[#This Row],[Qtt]]),IF(TbTradesBinance[[#This Row],[Tipo]]="BUY",AO71-TbTradesBinance[[#This Row],[Qtt]]*TbTradesBinance[[#This Row],[Preço]],AO71+TbTradesBinance[[#This Row],[Qtt]]*TbTradesBinance[[#This Row],[Preço]])),AO71)-IF(TbTradesBinance[[#This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Row],[Tipo]]="DROP"),AO71+TbTradesBinance[[#This Row],[Qtt]],AO71-TbTradesBinance[[#This Row],[Qtt]]),IF(TbTradesBinance[[#This Row],[Tipo]]="BUY",AO71-TbTradesBinance[[#This Row],[Qtt]]*TbTradesBinance[[#This Row],[Preço]],AO71+TbTradesBinance[[#This Row],[Qtt]]*TbTradesBinance[[#This Row],[Preço]])),AO71)-IF(TbTradesBinance[[#This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Row],[Tipo]]="DROP"),AO71+TbTradesBinance[[#This Row],[Qtt]],AO71-TbTradesBinance[[#This Row],[Qtt]]),IF(TbTradesBinance[[#This Row],[Tipo]]="BUY",AO71-TbTradesBinance[[#This Row],[Qtt]]*TbTradesBinance[[#This Row],[Preço]],AO71+TbTradesBinance[[#This Row],[Qtt]]*TbTradesBinance[[#This Row],[Preço]])),AO71)-IF(TbTradesBinance[[#This Row],[Moeda da Taxa]]=MID(AO$1,9,5),TbTradesBinance[[#This Row],[Taxa]],0),8)))</f>
        <v>2.6916900000000001E-3</v>
      </c>
      <c r="AP72" s="145" cm="1">
        <f t="array" ref="AP72">IF(TbTradesBinance[[#This Row],[Tipo]]="EMPTY",0,AP71+IF(TbTradesBinance[[#This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Row],[Par]]))),$1:$1,0)),-(AO71-AO72)/AO71*AP71),0),0)+IF(TbTradesBinance[[#This Row],[Tipo]]="SELL",IF(ISNUMBER(FIND(MID(AP$1,10,5),TbTradesBinance[[#This Row],[Par]])),IF(FIND(MID(AP$1,10,5),TbTradesBinance[[#This Row],[Par]])=1, -(AO71-AO72)/AO71*AP71,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Row],[Par]])),(-(AO71-AO72)/AO71*AP71)+IF(TbTradesBinance[[#This Row],[Resultado]]&gt;0,0,TbTradesBinance[[#This Row],[Taxa]]),0),0))</f>
        <v>5.1390914851146583</v>
      </c>
      <c r="AQ72" s="145">
        <f t="shared" si="29"/>
        <v>1909.2434437526827</v>
      </c>
      <c r="AR7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Row],[Tipo]]="DROP"),AR71+TbTradesBinance[[#This Row],[Qtt]],AR71-TbTradesBinance[[#This Row],[Qtt]]),IF(TbTradesBinance[[#This Row],[Tipo]]="BUY",AR71-TbTradesBinance[[#This Row],[Qtt]]*TbTradesBinance[[#This Row],[Preço]],AR71+TbTradesBinance[[#This Row],[Qtt]]*TbTradesBinance[[#This Row],[Preço]])),AR71)-IF(TbTradesBinance[[#This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Row],[Tipo]]="DROP"),AR71+TbTradesBinance[[#This Row],[Qtt]],AR71-TbTradesBinance[[#This Row],[Qtt]]),IF(TbTradesBinance[[#This Row],[Tipo]]="BUY",AR71-TbTradesBinance[[#This Row],[Qtt]]*TbTradesBinance[[#This Row],[Preço]],AR71+TbTradesBinance[[#This Row],[Qtt]]*TbTradesBinance[[#This Row],[Preço]])),AR71)-IF(TbTradesBinance[[#This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Row],[Tipo]]="DROP"),AR71+TbTradesBinance[[#This Row],[Qtt]],AR71-TbTradesBinance[[#This Row],[Qtt]]),IF(TbTradesBinance[[#This Row],[Tipo]]="BUY",AR71-TbTradesBinance[[#This Row],[Qtt]]*TbTradesBinance[[#This Row],[Preço]],AR71+TbTradesBinance[[#This Row],[Qtt]]*TbTradesBinance[[#This Row],[Preço]])),AR71)-IF(TbTradesBinance[[#This Row],[Moeda da Taxa]]=MID(AR$1,9,5),TbTradesBinance[[#This Row],[Taxa]],0),8)))</f>
        <v>0</v>
      </c>
      <c r="AS72" s="145" cm="1">
        <f t="array" ref="AS72">IF(TbTradesBinance[[#This Row],[Tipo]]="EMPTY",0,AS71+IF(TbTradesBinance[[#This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Row],[Par]]))),$1:$1,0)),-(AR71-AR72)/AR71*AS71),0),0)+IF(TbTradesBinance[[#This Row],[Tipo]]="SELL",IF(ISNUMBER(FIND(MID(AS$1,10,5),TbTradesBinance[[#This Row],[Par]])),IF(FIND(MID(AS$1,10,5),TbTradesBinance[[#This Row],[Par]])=1, -(AR71-AR72)/AR71*AS71,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Row],[Par]])),(-(AR71-AR72)/AR71*AS71)+IF(TbTradesBinance[[#This Row],[Resultado]]&gt;0,0,TbTradesBinance[[#This Row],[Taxa]]),0),0))</f>
        <v>0</v>
      </c>
      <c r="AT72" s="145">
        <f t="shared" si="30"/>
        <v>0</v>
      </c>
      <c r="AU7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Row],[Tipo]]="DROP"),AU71+TbTradesBinance[[#This Row],[Qtt]],AU71-TbTradesBinance[[#This Row],[Qtt]]),IF(TbTradesBinance[[#This Row],[Tipo]]="BUY",AU71-TbTradesBinance[[#This Row],[Qtt]]*TbTradesBinance[[#This Row],[Preço]],AU71+TbTradesBinance[[#This Row],[Qtt]]*TbTradesBinance[[#This Row],[Preço]])),AU71)-IF(TbTradesBinance[[#This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Row],[Tipo]]="DROP"),AU71+TbTradesBinance[[#This Row],[Qtt]],AU71-TbTradesBinance[[#This Row],[Qtt]]),IF(TbTradesBinance[[#This Row],[Tipo]]="BUY",AU71-TbTradesBinance[[#This Row],[Qtt]]*TbTradesBinance[[#This Row],[Preço]],AU71+TbTradesBinance[[#This Row],[Qtt]]*TbTradesBinance[[#This Row],[Preço]])),AU71)-IF(TbTradesBinance[[#This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Row],[Tipo]]="DROP"),AU71+TbTradesBinance[[#This Row],[Qtt]],AU71-TbTradesBinance[[#This Row],[Qtt]]),IF(TbTradesBinance[[#This Row],[Tipo]]="BUY",AU71-TbTradesBinance[[#This Row],[Qtt]]*TbTradesBinance[[#This Row],[Preço]],AU71+TbTradesBinance[[#This Row],[Qtt]]*TbTradesBinance[[#This Row],[Preço]])),AU71)-IF(TbTradesBinance[[#This Row],[Moeda da Taxa]]=MID(AU$1,9,5),TbTradesBinance[[#This Row],[Taxa]],0),8)))</f>
        <v>0.26989999999999997</v>
      </c>
      <c r="AV72" s="145" cm="1">
        <f t="array" ref="AV72">IF(TbTradesBinance[[#This Row],[Tipo]]="EMPTY",0,AV71+IF(TbTradesBinance[[#This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Row],[Par]]))),$1:$1,0)),-(AU71-AU72)/AU71*AV71),0),0)+IF(TbTradesBinance[[#This Row],[Tipo]]="SELL",IF(ISNUMBER(FIND(MID(AV$1,10,5),TbTradesBinance[[#This Row],[Par]])),IF(FIND(MID(AV$1,10,5),TbTradesBinance[[#This Row],[Par]])=1, -(AU71-AU72)/AU71*AV71,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Row],[Par]])),(-(AU71-AU72)/AU71*AV71)+IF(TbTradesBinance[[#This Row],[Resultado]]&gt;0,0,TbTradesBinance[[#This Row],[Taxa]]),0),0))</f>
        <v>56.09788062740806</v>
      </c>
      <c r="AW72" s="145">
        <f t="shared" si="31"/>
        <v>207.8469085861729</v>
      </c>
      <c r="AX7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Row],[Tipo]]="DROP"),AX71+TbTradesBinance[[#This Row],[Qtt]],AX71-TbTradesBinance[[#This Row],[Qtt]]),IF(TbTradesBinance[[#This Row],[Tipo]]="BUY",AX71-TbTradesBinance[[#This Row],[Qtt]]*TbTradesBinance[[#This Row],[Preço]],AX71+TbTradesBinance[[#This Row],[Qtt]]*TbTradesBinance[[#This Row],[Preço]])),AX71)-IF(TbTradesBinance[[#This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Row],[Tipo]]="DROP"),AX71+TbTradesBinance[[#This Row],[Qtt]],AX71-TbTradesBinance[[#This Row],[Qtt]]),IF(TbTradesBinance[[#This Row],[Tipo]]="BUY",AX71-TbTradesBinance[[#This Row],[Qtt]]*TbTradesBinance[[#This Row],[Preço]],AX71+TbTradesBinance[[#This Row],[Qtt]]*TbTradesBinance[[#This Row],[Preço]])),AX71)-IF(TbTradesBinance[[#This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Row],[Tipo]]="DROP"),AX71+TbTradesBinance[[#This Row],[Qtt]],AX71-TbTradesBinance[[#This Row],[Qtt]]),IF(TbTradesBinance[[#This Row],[Tipo]]="BUY",AX71-TbTradesBinance[[#This Row],[Qtt]]*TbTradesBinance[[#This Row],[Preço]],AX71+TbTradesBinance[[#This Row],[Qtt]]*TbTradesBinance[[#This Row],[Preço]])),AX71)-IF(TbTradesBinance[[#This Row],[Moeda da Taxa]]=MID(AX$1,9,5),TbTradesBinance[[#This Row],[Taxa]],0),8)))</f>
        <v>0.22636999999999999</v>
      </c>
      <c r="AY72" s="145" cm="1">
        <f t="array" ref="AY72">IF(TbTradesBinance[[#This Row],[Tipo]]="EMPTY",0,AY71+IF(TbTradesBinance[[#This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Row],[Par]]))),$1:$1,0)),-(AX71-AX72)/AX71*AY71),0),0)+IF(TbTradesBinance[[#This Row],[Tipo]]="SELL",IF(ISNUMBER(FIND(MID(AY$1,10,5),TbTradesBinance[[#This Row],[Par]])),IF(FIND(MID(AY$1,10,5),TbTradesBinance[[#This Row],[Par]])=1, -(AX71-AX72)/AX71*AY71,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Row],[Par]])),(-(AX71-AX72)/AX71*AY71)+IF(TbTradesBinance[[#This Row],[Resultado]]&gt;0,0,TbTradesBinance[[#This Row],[Taxa]]),0),0))</f>
        <v>40.781337593356859</v>
      </c>
      <c r="AZ72" s="145">
        <f t="shared" si="32"/>
        <v>180.15345493376711</v>
      </c>
      <c r="BA7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Row],[Tipo]]="DROP"),BA71+TbTradesBinance[[#This Row],[Qtt]],BA71-TbTradesBinance[[#This Row],[Qtt]]),IF(TbTradesBinance[[#This Row],[Tipo]]="BUY",BA71-TbTradesBinance[[#This Row],[Qtt]]*TbTradesBinance[[#This Row],[Preço]],BA71+TbTradesBinance[[#This Row],[Qtt]]*TbTradesBinance[[#This Row],[Preço]])),BA71)-IF(TbTradesBinance[[#This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Row],[Tipo]]="DROP"),BA71+TbTradesBinance[[#This Row],[Qtt]],BA71-TbTradesBinance[[#This Row],[Qtt]]),IF(TbTradesBinance[[#This Row],[Tipo]]="BUY",BA71-TbTradesBinance[[#This Row],[Qtt]]*TbTradesBinance[[#This Row],[Preço]],BA71+TbTradesBinance[[#This Row],[Qtt]]*TbTradesBinance[[#This Row],[Preço]])),BA71)-IF(TbTradesBinance[[#This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Row],[Tipo]]="DROP"),BA71+TbTradesBinance[[#This Row],[Qtt]],BA71-TbTradesBinance[[#This Row],[Qtt]]),IF(TbTradesBinance[[#This Row],[Tipo]]="BUY",BA71-TbTradesBinance[[#This Row],[Qtt]]*TbTradesBinance[[#This Row],[Preço]],BA71+TbTradesBinance[[#This Row],[Qtt]]*TbTradesBinance[[#This Row],[Preço]])),BA71)-IF(TbTradesBinance[[#This Row],[Moeda da Taxa]]=MID(BA$1,9,5),TbTradesBinance[[#This Row],[Taxa]],0),8)))</f>
        <v>0</v>
      </c>
      <c r="BB72" s="145" cm="1">
        <f t="array" ref="BB72">IF(TbTradesBinance[[#This Row],[Tipo]]="EMPTY",0,BB71+IF(TbTradesBinance[[#This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Row],[Par]]))),$1:$1,0)),-(BA71-BA72)/BA71*BB71),0),0)+IF(TbTradesBinance[[#This Row],[Tipo]]="SELL",IF(ISNUMBER(FIND(MID(BB$1,10,5),TbTradesBinance[[#This Row],[Par]])),IF(FIND(MID(BB$1,10,5),TbTradesBinance[[#This Row],[Par]])=1, -(BA71-BA72)/BA71*BB71,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Row],[Par]])),(-(BA71-BA72)/BA71*BB71)+IF(TbTradesBinance[[#This Row],[Resultado]]&gt;0,0,TbTradesBinance[[#This Row],[Taxa]]),0),0))</f>
        <v>0</v>
      </c>
      <c r="BC72" s="145">
        <f t="shared" si="33"/>
        <v>0</v>
      </c>
      <c r="BD7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Row],[Tipo]]="DROP"),BD71+TbTradesBinance[[#This Row],[Qtt]],BD71-TbTradesBinance[[#This Row],[Qtt]]),IF(TbTradesBinance[[#This Row],[Tipo]]="BUY",BD71-TbTradesBinance[[#This Row],[Qtt]]*TbTradesBinance[[#This Row],[Preço]],BD71+TbTradesBinance[[#This Row],[Qtt]]*TbTradesBinance[[#This Row],[Preço]])),BD71)-IF(TbTradesBinance[[#This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Row],[Tipo]]="DROP"),BD71+TbTradesBinance[[#This Row],[Qtt]],BD71-TbTradesBinance[[#This Row],[Qtt]]),IF(TbTradesBinance[[#This Row],[Tipo]]="BUY",BD71-TbTradesBinance[[#This Row],[Qtt]]*TbTradesBinance[[#This Row],[Preço]],BD71+TbTradesBinance[[#This Row],[Qtt]]*TbTradesBinance[[#This Row],[Preço]])),BD71)-IF(TbTradesBinance[[#This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Row],[Tipo]]="DROP"),BD71+TbTradesBinance[[#This Row],[Qtt]],BD71-TbTradesBinance[[#This Row],[Qtt]]),IF(TbTradesBinance[[#This Row],[Tipo]]="BUY",BD71-TbTradesBinance[[#This Row],[Qtt]]*TbTradesBinance[[#This Row],[Preço]],BD71+TbTradesBinance[[#This Row],[Qtt]]*TbTradesBinance[[#This Row],[Preço]])),BD71)-IF(TbTradesBinance[[#This Row],[Moeda da Taxa]]=MID(BD$1,9,5),TbTradesBinance[[#This Row],[Taxa]],0),8)))</f>
        <v>0.37962000000000001</v>
      </c>
      <c r="BE72" s="145" cm="1">
        <f t="array" ref="BE72">IF(TbTradesBinance[[#This Row],[Tipo]]="EMPTY",0,BE71+IF(TbTradesBinance[[#This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Row],[Par]]))),$1:$1,0)),-(BD71-BD72)/BD71*BE71),0),0)+IF(TbTradesBinance[[#This Row],[Tipo]]="SELL",IF(ISNUMBER(FIND(MID(BE$1,10,5),TbTradesBinance[[#This Row],[Par]])),IF(FIND(MID(BE$1,10,5),TbTradesBinance[[#This Row],[Par]])=1, -(BD71-BD72)/BD71*BE71,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Row],[Par]])),(-(BD71-BD72)/BD71*BE71)+IF(TbTradesBinance[[#This Row],[Resultado]]&gt;0,0,TbTradesBinance[[#This Row],[Taxa]]),0),0))</f>
        <v>63.647297001537943</v>
      </c>
      <c r="BF72" s="145">
        <f t="shared" si="34"/>
        <v>167.66054739354601</v>
      </c>
      <c r="BG7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Row],[Tipo]]="DROP"),BG71+TbTradesBinance[[#This Row],[Qtt]],BG71-TbTradesBinance[[#This Row],[Qtt]]),IF(TbTradesBinance[[#This Row],[Tipo]]="BUY",BG71-TbTradesBinance[[#This Row],[Qtt]]*TbTradesBinance[[#This Row],[Preço]],BG71+TbTradesBinance[[#This Row],[Qtt]]*TbTradesBinance[[#This Row],[Preço]])),BG71)-IF(TbTradesBinance[[#This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Row],[Tipo]]="DROP"),BG71+TbTradesBinance[[#This Row],[Qtt]],BG71-TbTradesBinance[[#This Row],[Qtt]]),IF(TbTradesBinance[[#This Row],[Tipo]]="BUY",BG71-TbTradesBinance[[#This Row],[Qtt]]*TbTradesBinance[[#This Row],[Preço]],BG71+TbTradesBinance[[#This Row],[Qtt]]*TbTradesBinance[[#This Row],[Preço]])),BG71)-IF(TbTradesBinance[[#This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Row],[Tipo]]="DROP"),BG71+TbTradesBinance[[#This Row],[Qtt]],BG71-TbTradesBinance[[#This Row],[Qtt]]),IF(TbTradesBinance[[#This Row],[Tipo]]="BUY",BG71-TbTradesBinance[[#This Row],[Qtt]]*TbTradesBinance[[#This Row],[Preço]],BG71+TbTradesBinance[[#This Row],[Qtt]]*TbTradesBinance[[#This Row],[Preço]])),BG71)-IF(TbTradesBinance[[#This Row],[Moeda da Taxa]]=MID(BG$1,9,5),TbTradesBinance[[#This Row],[Taxa]],0),8)))</f>
        <v>0</v>
      </c>
      <c r="BH72" s="145" cm="1">
        <f t="array" ref="BH72">IF(TbTradesBinance[[#This Row],[Tipo]]="EMPTY",0,BH71+IF(TbTradesBinance[[#This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Row],[Par]]))),$1:$1,0)),-(BG71-BG72)/BG71*BH71),0),0)+IF(TbTradesBinance[[#This Row],[Tipo]]="SELL",IF(ISNUMBER(FIND(MID(BH$1,10,5),TbTradesBinance[[#This Row],[Par]])),IF(FIND(MID(BH$1,10,5),TbTradesBinance[[#This Row],[Par]])=1, -(BG71-BG72)/BG71*BH71,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Row],[Par]])),(-(BG71-BG72)/BG71*BH71)+IF(TbTradesBinance[[#This Row],[Resultado]]&gt;0,0,TbTradesBinance[[#This Row],[Taxa]]),0),0))</f>
        <v>0</v>
      </c>
      <c r="BI72" s="145">
        <f t="shared" si="35"/>
        <v>0</v>
      </c>
      <c r="BJ7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Row],[Tipo]]="DROP"),BJ71+TbTradesBinance[[#This Row],[Qtt]],BJ71-TbTradesBinance[[#This Row],[Qtt]]),IF(TbTradesBinance[[#This Row],[Tipo]]="BUY",BJ71-TbTradesBinance[[#This Row],[Qtt]]*TbTradesBinance[[#This Row],[Preço]],BJ71+TbTradesBinance[[#This Row],[Qtt]]*TbTradesBinance[[#This Row],[Preço]])),BJ71)-IF(TbTradesBinance[[#This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Row],[Tipo]]="DROP"),BJ71+TbTradesBinance[[#This Row],[Qtt]],BJ71-TbTradesBinance[[#This Row],[Qtt]]),IF(TbTradesBinance[[#This Row],[Tipo]]="BUY",BJ71-TbTradesBinance[[#This Row],[Qtt]]*TbTradesBinance[[#This Row],[Preço]],BJ71+TbTradesBinance[[#This Row],[Qtt]]*TbTradesBinance[[#This Row],[Preço]])),BJ71)-IF(TbTradesBinance[[#This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Row],[Tipo]]="DROP"),BJ71+TbTradesBinance[[#This Row],[Qtt]],BJ71-TbTradesBinance[[#This Row],[Qtt]]),IF(TbTradesBinance[[#This Row],[Tipo]]="BUY",BJ71-TbTradesBinance[[#This Row],[Qtt]]*TbTradesBinance[[#This Row],[Preço]],BJ71+TbTradesBinance[[#This Row],[Qtt]]*TbTradesBinance[[#This Row],[Preço]])),BJ71)-IF(TbTradesBinance[[#This Row],[Moeda da Taxa]]=MID(BJ$1,9,5),TbTradesBinance[[#This Row],[Taxa]],0),8)))</f>
        <v>0</v>
      </c>
      <c r="BK72" s="145" cm="1">
        <f t="array" ref="BK72">IF(TbTradesBinance[[#This Row],[Tipo]]="EMPTY",0,BK71+IF(TbTradesBinance[[#This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Row],[Par]]))),$1:$1,0)),-(BJ71-BJ72)/BJ71*BK71),0),0)+IF(TbTradesBinance[[#This Row],[Tipo]]="SELL",IF(ISNUMBER(FIND(MID(BK$1,10,5),TbTradesBinance[[#This Row],[Par]])),IF(FIND(MID(BK$1,10,5),TbTradesBinance[[#This Row],[Par]])=1, -(BJ71-BJ72)/BJ71*BK71,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Row],[Par]])),(-(BJ71-BJ72)/BJ71*BK71)+IF(TbTradesBinance[[#This Row],[Resultado]]&gt;0,0,TbTradesBinance[[#This Row],[Taxa]]),0),0))</f>
        <v>0</v>
      </c>
      <c r="BL72" s="145">
        <f t="shared" si="36"/>
        <v>0</v>
      </c>
      <c r="BM7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Row],[Tipo]]="DROP"),BM71+TbTradesBinance[[#This Row],[Qtt]],BM71-TbTradesBinance[[#This Row],[Qtt]]),IF(TbTradesBinance[[#This Row],[Tipo]]="BUY",BM71-TbTradesBinance[[#This Row],[Qtt]]*TbTradesBinance[[#This Row],[Preço]],BM71+TbTradesBinance[[#This Row],[Qtt]]*TbTradesBinance[[#This Row],[Preço]])),BM71)-IF(TbTradesBinance[[#This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Row],[Tipo]]="DROP"),BM71+TbTradesBinance[[#This Row],[Qtt]],BM71-TbTradesBinance[[#This Row],[Qtt]]),IF(TbTradesBinance[[#This Row],[Tipo]]="BUY",BM71-TbTradesBinance[[#This Row],[Qtt]]*TbTradesBinance[[#This Row],[Preço]],BM71+TbTradesBinance[[#This Row],[Qtt]]*TbTradesBinance[[#This Row],[Preço]])),BM71)-IF(TbTradesBinance[[#This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Row],[Tipo]]="DROP"),BM71+TbTradesBinance[[#This Row],[Qtt]],BM71-TbTradesBinance[[#This Row],[Qtt]]),IF(TbTradesBinance[[#This Row],[Tipo]]="BUY",BM71-TbTradesBinance[[#This Row],[Qtt]]*TbTradesBinance[[#This Row],[Preço]],BM71+TbTradesBinance[[#This Row],[Qtt]]*TbTradesBinance[[#This Row],[Preço]])),BM71)-IF(TbTradesBinance[[#This Row],[Moeda da Taxa]]=MID(BM$1,9,5),TbTradesBinance[[#This Row],[Taxa]],0),8)))</f>
        <v>0</v>
      </c>
      <c r="BN72" s="145" cm="1">
        <f t="array" ref="BN72">IF(TbTradesBinance[[#This Row],[Tipo]]="EMPTY",0,BN71+IF(TbTradesBinance[[#This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Row],[Par]]))),$1:$1,0)),-(BM71-BM72)/BM71*BN71),0),0)+IF(TbTradesBinance[[#This Row],[Tipo]]="SELL",IF(ISNUMBER(FIND(MID(BN$1,10,5),TbTradesBinance[[#This Row],[Par]])),IF(FIND(MID(BN$1,10,5),TbTradesBinance[[#This Row],[Par]])=1, -(BM71-BM72)/BM71*BN71,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Row],[Par]])),(-(BM71-BM72)/BM71*BN71)+IF(TbTradesBinance[[#This Row],[Resultado]]&gt;0,0,TbTradesBinance[[#This Row],[Taxa]]),0),0))</f>
        <v>0</v>
      </c>
      <c r="BO72" s="145">
        <f t="shared" si="37"/>
        <v>0</v>
      </c>
    </row>
    <row r="73" spans="2:67" x14ac:dyDescent="0.3">
      <c r="B73" s="51"/>
      <c r="C73" s="40">
        <f>TRUNC(IF(AND(TbTradesBinance[[#This Row],[Tipo]]="SEND",TbTradesBinance[[#This Row],[Par]]="BRL"),TbTradesBinance[[#This Row],[Qtt]]*(1-P71)-IF(TbTradesBinance[[#This Row],[Moeda da Taxa]]="BRL",TbTradesBinance[[#This Row],[Taxa]],0),0)+IF(AND(TbTradesBinance[[#This Row],[Tipo]]="BURN",TbTradesBinance[[#This Row],[Par]]="BRL"),-TbTradesBinance[[#This Row],[Qtt]]*P71,0),2)</f>
        <v>0</v>
      </c>
      <c r="D73" s="53">
        <v>44265.452476851853</v>
      </c>
      <c r="E73" s="37" t="s">
        <v>251</v>
      </c>
      <c r="F73" s="47" t="s">
        <v>139</v>
      </c>
      <c r="G73" s="38">
        <v>0.62129999999999996</v>
      </c>
      <c r="H73" s="38">
        <v>111.83</v>
      </c>
      <c r="I73" s="38">
        <v>0.11183</v>
      </c>
      <c r="J73" s="37" t="s">
        <v>252</v>
      </c>
      <c r="K73" s="52">
        <v>5.6529999999999996</v>
      </c>
      <c r="L73" s="40">
        <f t="shared" si="19"/>
        <v>3.51</v>
      </c>
      <c r="M73" s="40">
        <f>IF(OR(TbTradesBinance[[#This Row],[Tipo]]="BUY",TbTradesBinance[[#This Row],[Tipo]]="RECEIVE",TbTradesBinance[[#This Row],[Tipo]]="DROP"),L73*H73,-L73*H73)</f>
        <v>392.52329999999995</v>
      </c>
      <c r="N7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Row],[Tipo]]="DROP"),N72+TbTradesBinance[[#This Row],[Qtt]],N72-TbTradesBinance[[#This Row],[Qtt]]),IF(TbTradesBinance[[#This Row],[Tipo]]="BUY",N72-TbTradesBinance[[#This Row],[Qtt]]*TbTradesBinance[[#This Row],[Preço]],N72+TbTradesBinance[[#This Row],[Qtt]]*TbTradesBinance[[#This Row],[Preço]])),N72)-IF(TbTradesBinance[[#This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Row],[Tipo]]="DROP"),N72+TbTradesBinance[[#This Row],[Qtt]],N72-TbTradesBinance[[#This Row],[Qtt]]),IF(TbTradesBinance[[#This Row],[Tipo]]="BUY",N72-TbTradesBinance[[#This Row],[Qtt]]*TbTradesBinance[[#This Row],[Preço]],N72+TbTradesBinance[[#This Row],[Qtt]]*TbTradesBinance[[#This Row],[Preço]])),N72)-IF(TbTradesBinance[[#This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Row],[Tipo]]="DROP"),N72+TbTradesBinance[[#This Row],[Qtt]],N72-TbTradesBinance[[#This Row],[Qtt]]),IF(TbTradesBinance[[#This Row],[Tipo]]="BUY",N72-TbTradesBinance[[#This Row],[Qtt]]*TbTradesBinance[[#This Row],[Preço]],N72+TbTradesBinance[[#This Row],[Qtt]]*TbTradesBinance[[#This Row],[Preço]])),N72)-IF(TbTradesBinance[[#This Row],[Moeda da Taxa]]=MID(N$1,9,5),TbTradesBinance[[#This Row],[Taxa]],0),8)))</f>
        <v>119745.52550598999</v>
      </c>
      <c r="O73" s="145" cm="1">
        <f t="array" ref="O73">IF(TbTradesBinance[[#This Row],[Tipo]]="EMPTY",0,O72+IF(TbTradesBinance[[#This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Row],[Par]]))),$1:$1,0)),-(N72-N73)/N72*O72),0),0)+IF(TbTradesBinance[[#This Row],[Tipo]]="SELL",IF(ISNUMBER(FIND(MID(O$1,10,5),TbTradesBinance[[#This Row],[Par]])),IF(FIND(MID(O$1,10,5),TbTradesBinance[[#This Row],[Par]])=1, -(N72-N73)/N72*O72,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Row],[Par]])),(-(N72-N73)/N72*O72)+IF(TbTradesBinance[[#This Row],[Resultado]]&gt;0,0,TbTradesBinance[[#This Row],[Taxa]]),0),0))</f>
        <v>119649.32558674218</v>
      </c>
      <c r="P73" s="145">
        <f t="shared" si="20"/>
        <v>0.99919663036392126</v>
      </c>
      <c r="Q7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Row],[Tipo]]="DROP"),Q72+TbTradesBinance[[#This Row],[Qtt]],Q72-TbTradesBinance[[#This Row],[Qtt]]),IF(TbTradesBinance[[#This Row],[Tipo]]="BUY",Q72-TbTradesBinance[[#This Row],[Qtt]]*TbTradesBinance[[#This Row],[Preço]],Q72+TbTradesBinance[[#This Row],[Qtt]]*TbTradesBinance[[#This Row],[Preço]])),Q72)-IF(TbTradesBinance[[#This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Row],[Tipo]]="DROP"),Q72+TbTradesBinance[[#This Row],[Qtt]],Q72-TbTradesBinance[[#This Row],[Qtt]]),IF(TbTradesBinance[[#This Row],[Tipo]]="BUY",Q72-TbTradesBinance[[#This Row],[Qtt]]*TbTradesBinance[[#This Row],[Preço]],Q72+TbTradesBinance[[#This Row],[Qtt]]*TbTradesBinance[[#This Row],[Preço]])),Q72)-IF(TbTradesBinance[[#This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Row],[Tipo]]="DROP"),Q72+TbTradesBinance[[#This Row],[Qtt]],Q72-TbTradesBinance[[#This Row],[Qtt]]),IF(TbTradesBinance[[#This Row],[Tipo]]="BUY",Q72-TbTradesBinance[[#This Row],[Qtt]]*TbTradesBinance[[#This Row],[Preço]],Q72+TbTradesBinance[[#This Row],[Qtt]]*TbTradesBinance[[#This Row],[Preço]])),Q72)-IF(TbTradesBinance[[#This Row],[Moeda da Taxa]]=MID(Q$1,9,5),TbTradesBinance[[#This Row],[Taxa]],0),8)))</f>
        <v>8.1895999999999998E-4</v>
      </c>
      <c r="R73" s="145" cm="1">
        <f t="array" ref="R73">IF(TbTradesBinance[[#This Row],[Tipo]]="EMPTY",0,R72+IF(TbTradesBinance[[#This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Row],[Par]]))),$1:$1,0)),-(Q72-Q73)/Q72*R72),0),0)+IF(TbTradesBinance[[#This Row],[Tipo]]="SELL",IF(ISNUMBER(FIND(MID(R$1,10,5),TbTradesBinance[[#This Row],[Par]])),IF(FIND(MID(R$1,10,5),TbTradesBinance[[#This Row],[Par]])=1, -(Q72-Q73)/Q72*R72,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Row],[Par]])),(-(Q72-Q73)/Q72*R72)+IF(TbTradesBinance[[#This Row],[Resultado]]&gt;0,0,TbTradesBinance[[#This Row],[Taxa]]),0),0))</f>
        <v>4.7302697900590829E-3</v>
      </c>
      <c r="S73" s="145">
        <f t="shared" si="21"/>
        <v>5.775947286874918</v>
      </c>
      <c r="T7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Row],[Tipo]]="DROP"),T72+TbTradesBinance[[#This Row],[Qtt]],T72-TbTradesBinance[[#This Row],[Qtt]]),IF(TbTradesBinance[[#This Row],[Tipo]]="BUY",T72-TbTradesBinance[[#This Row],[Qtt]]*TbTradesBinance[[#This Row],[Preço]],T72+TbTradesBinance[[#This Row],[Qtt]]*TbTradesBinance[[#This Row],[Preço]])),T72)-IF(TbTradesBinance[[#This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Row],[Tipo]]="DROP"),T72+TbTradesBinance[[#This Row],[Qtt]],T72-TbTradesBinance[[#This Row],[Qtt]]),IF(TbTradesBinance[[#This Row],[Tipo]]="BUY",T72-TbTradesBinance[[#This Row],[Qtt]]*TbTradesBinance[[#This Row],[Preço]],T72+TbTradesBinance[[#This Row],[Qtt]]*TbTradesBinance[[#This Row],[Preço]])),T72)-IF(TbTradesBinance[[#This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Row],[Tipo]]="DROP"),T72+TbTradesBinance[[#This Row],[Qtt]],T72-TbTradesBinance[[#This Row],[Qtt]]),IF(TbTradesBinance[[#This Row],[Tipo]]="BUY",T72-TbTradesBinance[[#This Row],[Qtt]]*TbTradesBinance[[#This Row],[Preço]],T72+TbTradesBinance[[#This Row],[Qtt]]*TbTradesBinance[[#This Row],[Preço]])),T72)-IF(TbTradesBinance[[#This Row],[Moeda da Taxa]]=MID(T$1,9,5),TbTradesBinance[[#This Row],[Taxa]],0),8)))</f>
        <v>199735.32000169999</v>
      </c>
      <c r="U73" s="145" cm="1">
        <f t="array" ref="U73">IF(TbTradesBinance[[#This Row],[Tipo]]="EMPTY",0,U72+IF(TbTradesBinance[[#This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Row],[Par]]))),$1:$1,0)),-(T72-T73)/T72*U72),0),0)+IF(TbTradesBinance[[#This Row],[Tipo]]="SELL",IF(ISNUMBER(FIND(MID(U$1,10,5),TbTradesBinance[[#This Row],[Par]])),IF(FIND(MID(U$1,10,5),TbTradesBinance[[#This Row],[Par]])=1, -(T72-T73)/T72*U72,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Row],[Par]])),(-(T72-T73)/T72*U72)+IF(TbTradesBinance[[#This Row],[Resultado]]&gt;0,0,TbTradesBinance[[#This Row],[Taxa]]),0),0))</f>
        <v>1328239.8809817513</v>
      </c>
      <c r="V73" s="145">
        <f t="shared" si="22"/>
        <v>6.6500000148719129</v>
      </c>
      <c r="W7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Row],[Tipo]]="DROP"),W72+TbTradesBinance[[#This Row],[Qtt]],W72-TbTradesBinance[[#This Row],[Qtt]]),IF(TbTradesBinance[[#This Row],[Tipo]]="BUY",W72-TbTradesBinance[[#This Row],[Qtt]]*TbTradesBinance[[#This Row],[Preço]],W72+TbTradesBinance[[#This Row],[Qtt]]*TbTradesBinance[[#This Row],[Preço]])),W72)-IF(TbTradesBinance[[#This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Row],[Tipo]]="DROP"),W72+TbTradesBinance[[#This Row],[Qtt]],W72-TbTradesBinance[[#This Row],[Qtt]]),IF(TbTradesBinance[[#This Row],[Tipo]]="BUY",W72-TbTradesBinance[[#This Row],[Qtt]]*TbTradesBinance[[#This Row],[Preço]],W72+TbTradesBinance[[#This Row],[Qtt]]*TbTradesBinance[[#This Row],[Preço]])),W72)-IF(TbTradesBinance[[#This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Row],[Tipo]]="DROP"),W72+TbTradesBinance[[#This Row],[Qtt]],W72-TbTradesBinance[[#This Row],[Qtt]]),IF(TbTradesBinance[[#This Row],[Tipo]]="BUY",W72-TbTradesBinance[[#This Row],[Qtt]]*TbTradesBinance[[#This Row],[Preço]],W72+TbTradesBinance[[#This Row],[Qtt]]*TbTradesBinance[[#This Row],[Preço]])),W72)-IF(TbTradesBinance[[#This Row],[Moeda da Taxa]]=MID(W$1,9,5),TbTradesBinance[[#This Row],[Taxa]],0),8)))</f>
        <v>3.5816300000000001E-3</v>
      </c>
      <c r="X73" s="145" cm="1">
        <f t="array" ref="X73">IF(TbTradesBinance[[#This Row],[Tipo]]="EMPTY",0,X72+IF(TbTradesBinance[[#This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Row],[Par]]))),$1:$1,0)),-(W72-W73)/W72*X72),0),0)+IF(TbTradesBinance[[#This Row],[Tipo]]="SELL",IF(ISNUMBER(FIND(MID(X$1,10,5),TbTradesBinance[[#This Row],[Par]])),IF(FIND(MID(X$1,10,5),TbTradesBinance[[#This Row],[Par]])=1, -(W72-W73)/W72*X72,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Row],[Par]])),(-(W72-W73)/W72*X72)+IF(TbTradesBinance[[#This Row],[Resultado]]&gt;0,0,TbTradesBinance[[#This Row],[Taxa]]),0),0))</f>
        <v>1146.3216634961352</v>
      </c>
      <c r="Y73" s="145">
        <f t="shared" si="23"/>
        <v>320055.85822548257</v>
      </c>
      <c r="Z7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Row],[Tipo]]="DROP"),Z72+TbTradesBinance[[#This Row],[Qtt]],Z72-TbTradesBinance[[#This Row],[Qtt]]),IF(TbTradesBinance[[#This Row],[Tipo]]="BUY",Z72-TbTradesBinance[[#This Row],[Qtt]]*TbTradesBinance[[#This Row],[Preço]],Z72+TbTradesBinance[[#This Row],[Qtt]]*TbTradesBinance[[#This Row],[Preço]])),Z72)-IF(TbTradesBinance[[#This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Row],[Tipo]]="DROP"),Z72+TbTradesBinance[[#This Row],[Qtt]],Z72-TbTradesBinance[[#This Row],[Qtt]]),IF(TbTradesBinance[[#This Row],[Tipo]]="BUY",Z72-TbTradesBinance[[#This Row],[Qtt]]*TbTradesBinance[[#This Row],[Preço]],Z72+TbTradesBinance[[#This Row],[Qtt]]*TbTradesBinance[[#This Row],[Preço]])),Z72)-IF(TbTradesBinance[[#This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Row],[Tipo]]="DROP"),Z72+TbTradesBinance[[#This Row],[Qtt]],Z72-TbTradesBinance[[#This Row],[Qtt]]),IF(TbTradesBinance[[#This Row],[Tipo]]="BUY",Z72-TbTradesBinance[[#This Row],[Qtt]]*TbTradesBinance[[#This Row],[Preço]],Z72+TbTradesBinance[[#This Row],[Qtt]]*TbTradesBinance[[#This Row],[Preço]])),Z72)-IF(TbTradesBinance[[#This Row],[Moeda da Taxa]]=MID(Z$1,9,5),TbTradesBinance[[#This Row],[Taxa]],0),8)))</f>
        <v>0</v>
      </c>
      <c r="AA73" s="145" cm="1">
        <f t="array" ref="AA73">IF(TbTradesBinance[[#This Row],[Tipo]]="EMPTY",0,AA72+IF(TbTradesBinance[[#This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Row],[Par]]))),$1:$1,0)),-(Z72-Z73)/Z72*AA72),0),0)+IF(TbTradesBinance[[#This Row],[Tipo]]="SELL",IF(ISNUMBER(FIND(MID(AA$1,10,5),TbTradesBinance[[#This Row],[Par]])),IF(FIND(MID(AA$1,10,5),TbTradesBinance[[#This Row],[Par]])=1, -(Z72-Z73)/Z72*AA72,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Row],[Par]])),(-(Z72-Z73)/Z72*AA72)+IF(TbTradesBinance[[#This Row],[Resultado]]&gt;0,0,TbTradesBinance[[#This Row],[Taxa]]),0),0))</f>
        <v>0</v>
      </c>
      <c r="AB73" s="145">
        <f t="shared" si="24"/>
        <v>0</v>
      </c>
      <c r="AC7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Row],[Tipo]]="DROP"),AC72+TbTradesBinance[[#This Row],[Qtt]],AC72-TbTradesBinance[[#This Row],[Qtt]]),IF(TbTradesBinance[[#This Row],[Tipo]]="BUY",AC72-TbTradesBinance[[#This Row],[Qtt]]*TbTradesBinance[[#This Row],[Preço]],AC72+TbTradesBinance[[#This Row],[Qtt]]*TbTradesBinance[[#This Row],[Preço]])),AC72)-IF(TbTradesBinance[[#This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Row],[Tipo]]="DROP"),AC72+TbTradesBinance[[#This Row],[Qtt]],AC72-TbTradesBinance[[#This Row],[Qtt]]),IF(TbTradesBinance[[#This Row],[Tipo]]="BUY",AC72-TbTradesBinance[[#This Row],[Qtt]]*TbTradesBinance[[#This Row],[Preço]],AC72+TbTradesBinance[[#This Row],[Qtt]]*TbTradesBinance[[#This Row],[Preço]])),AC72)-IF(TbTradesBinance[[#This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Row],[Tipo]]="DROP"),AC72+TbTradesBinance[[#This Row],[Qtt]],AC72-TbTradesBinance[[#This Row],[Qtt]]),IF(TbTradesBinance[[#This Row],[Tipo]]="BUY",AC72-TbTradesBinance[[#This Row],[Qtt]]*TbTradesBinance[[#This Row],[Preço]],AC72+TbTradesBinance[[#This Row],[Qtt]]*TbTradesBinance[[#This Row],[Preço]])),AC72)-IF(TbTradesBinance[[#This Row],[Moeda da Taxa]]=MID(AC$1,9,5),TbTradesBinance[[#This Row],[Taxa]],0),8)))</f>
        <v>0</v>
      </c>
      <c r="AD73" s="145" cm="1">
        <f t="array" ref="AD73">IF(TbTradesBinance[[#This Row],[Tipo]]="EMPTY",0,AD72+IF(TbTradesBinance[[#This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Row],[Par]]))),$1:$1,0)),-(AC72-AC73)/AC72*AD72),0),0)+IF(TbTradesBinance[[#This Row],[Tipo]]="SELL",IF(ISNUMBER(FIND(MID(AD$1,10,5),TbTradesBinance[[#This Row],[Par]])),IF(FIND(MID(AD$1,10,5),TbTradesBinance[[#This Row],[Par]])=1, -(AC72-AC73)/AC72*AD72,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Row],[Par]])),(-(AC72-AC73)/AC72*AD72)+IF(TbTradesBinance[[#This Row],[Resultado]]&gt;0,0,TbTradesBinance[[#This Row],[Taxa]]),0),0))</f>
        <v>0</v>
      </c>
      <c r="AE73" s="145">
        <f t="shared" si="25"/>
        <v>0</v>
      </c>
      <c r="AF7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Row],[Tipo]]="DROP"),AF72+TbTradesBinance[[#This Row],[Qtt]],AF72-TbTradesBinance[[#This Row],[Qtt]]),IF(TbTradesBinance[[#This Row],[Tipo]]="BUY",AF72-TbTradesBinance[[#This Row],[Qtt]]*TbTradesBinance[[#This Row],[Preço]],AF72+TbTradesBinance[[#This Row],[Qtt]]*TbTradesBinance[[#This Row],[Preço]])),AF72)-IF(TbTradesBinance[[#This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Row],[Tipo]]="DROP"),AF72+TbTradesBinance[[#This Row],[Qtt]],AF72-TbTradesBinance[[#This Row],[Qtt]]),IF(TbTradesBinance[[#This Row],[Tipo]]="BUY",AF72-TbTradesBinance[[#This Row],[Qtt]]*TbTradesBinance[[#This Row],[Preço]],AF72+TbTradesBinance[[#This Row],[Qtt]]*TbTradesBinance[[#This Row],[Preço]])),AF72)-IF(TbTradesBinance[[#This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Row],[Tipo]]="DROP"),AF72+TbTradesBinance[[#This Row],[Qtt]],AF72-TbTradesBinance[[#This Row],[Qtt]]),IF(TbTradesBinance[[#This Row],[Tipo]]="BUY",AF72-TbTradesBinance[[#This Row],[Qtt]]*TbTradesBinance[[#This Row],[Preço]],AF72+TbTradesBinance[[#This Row],[Qtt]]*TbTradesBinance[[#This Row],[Preço]])),AF72)-IF(TbTradesBinance[[#This Row],[Moeda da Taxa]]=MID(AF$1,9,5),TbTradesBinance[[#This Row],[Taxa]],0),8)))</f>
        <v>0</v>
      </c>
      <c r="AG73" s="145" cm="1">
        <f t="array" ref="AG73">IF(TbTradesBinance[[#This Row],[Tipo]]="EMPTY",0,AG72+IF(TbTradesBinance[[#This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Row],[Par]]))),$1:$1,0)),-(AF72-AF73)/AF72*AG72),0),0)+IF(TbTradesBinance[[#This Row],[Tipo]]="SELL",IF(ISNUMBER(FIND(MID(AG$1,10,5),TbTradesBinance[[#This Row],[Par]])),IF(FIND(MID(AG$1,10,5),TbTradesBinance[[#This Row],[Par]])=1, -(AF72-AF73)/AF72*AG72,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Row],[Par]])),(-(AF72-AF73)/AF72*AG72)+IF(TbTradesBinance[[#This Row],[Resultado]]&gt;0,0,TbTradesBinance[[#This Row],[Taxa]]),0),0))</f>
        <v>0</v>
      </c>
      <c r="AH73" s="145">
        <f t="shared" si="26"/>
        <v>0</v>
      </c>
      <c r="AI7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Row],[Tipo]]="DROP"),AI72+TbTradesBinance[[#This Row],[Qtt]],AI72-TbTradesBinance[[#This Row],[Qtt]]),IF(TbTradesBinance[[#This Row],[Tipo]]="BUY",AI72-TbTradesBinance[[#This Row],[Qtt]]*TbTradesBinance[[#This Row],[Preço]],AI72+TbTradesBinance[[#This Row],[Qtt]]*TbTradesBinance[[#This Row],[Preço]])),AI72)-IF(TbTradesBinance[[#This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Row],[Tipo]]="DROP"),AI72+TbTradesBinance[[#This Row],[Qtt]],AI72-TbTradesBinance[[#This Row],[Qtt]]),IF(TbTradesBinance[[#This Row],[Tipo]]="BUY",AI72-TbTradesBinance[[#This Row],[Qtt]]*TbTradesBinance[[#This Row],[Preço]],AI72+TbTradesBinance[[#This Row],[Qtt]]*TbTradesBinance[[#This Row],[Preço]])),AI72)-IF(TbTradesBinance[[#This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Row],[Tipo]]="DROP"),AI72+TbTradesBinance[[#This Row],[Qtt]],AI72-TbTradesBinance[[#This Row],[Qtt]]),IF(TbTradesBinance[[#This Row],[Tipo]]="BUY",AI72-TbTradesBinance[[#This Row],[Qtt]]*TbTradesBinance[[#This Row],[Preço]],AI72+TbTradesBinance[[#This Row],[Qtt]]*TbTradesBinance[[#This Row],[Preço]])),AI72)-IF(TbTradesBinance[[#This Row],[Moeda da Taxa]]=MID(AI$1,9,5),TbTradesBinance[[#This Row],[Taxa]],0),8)))</f>
        <v>0</v>
      </c>
      <c r="AJ73" s="145" cm="1">
        <f t="array" ref="AJ73">IF(TbTradesBinance[[#This Row],[Tipo]]="EMPTY",0,AJ72+IF(TbTradesBinance[[#This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Row],[Par]]))),$1:$1,0)),-(AI72-AI73)/AI72*AJ72),0),0)+IF(TbTradesBinance[[#This Row],[Tipo]]="SELL",IF(ISNUMBER(FIND(MID(AJ$1,10,5),TbTradesBinance[[#This Row],[Par]])),IF(FIND(MID(AJ$1,10,5),TbTradesBinance[[#This Row],[Par]])=1, -(AI72-AI73)/AI72*AJ72,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Row],[Par]])),(-(AI72-AI73)/AI72*AJ72)+IF(TbTradesBinance[[#This Row],[Resultado]]&gt;0,0,TbTradesBinance[[#This Row],[Taxa]]),0),0))</f>
        <v>0</v>
      </c>
      <c r="AK73" s="145">
        <f t="shared" si="27"/>
        <v>0</v>
      </c>
      <c r="AL7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Row],[Tipo]]="DROP"),AL72+TbTradesBinance[[#This Row],[Qtt]],AL72-TbTradesBinance[[#This Row],[Qtt]]),IF(TbTradesBinance[[#This Row],[Tipo]]="BUY",AL72-TbTradesBinance[[#This Row],[Qtt]]*TbTradesBinance[[#This Row],[Preço]],AL72+TbTradesBinance[[#This Row],[Qtt]]*TbTradesBinance[[#This Row],[Preço]])),AL72)-IF(TbTradesBinance[[#This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Row],[Tipo]]="DROP"),AL72+TbTradesBinance[[#This Row],[Qtt]],AL72-TbTradesBinance[[#This Row],[Qtt]]),IF(TbTradesBinance[[#This Row],[Tipo]]="BUY",AL72-TbTradesBinance[[#This Row],[Qtt]]*TbTradesBinance[[#This Row],[Preço]],AL72+TbTradesBinance[[#This Row],[Qtt]]*TbTradesBinance[[#This Row],[Preço]])),AL72)-IF(TbTradesBinance[[#This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Row],[Tipo]]="DROP"),AL72+TbTradesBinance[[#This Row],[Qtt]],AL72-TbTradesBinance[[#This Row],[Qtt]]),IF(TbTradesBinance[[#This Row],[Tipo]]="BUY",AL72-TbTradesBinance[[#This Row],[Qtt]]*TbTradesBinance[[#This Row],[Preço]],AL72+TbTradesBinance[[#This Row],[Qtt]]*TbTradesBinance[[#This Row],[Preço]])),AL72)-IF(TbTradesBinance[[#This Row],[Moeda da Taxa]]=MID(AL$1,9,5),TbTradesBinance[[#This Row],[Taxa]],0),8)))</f>
        <v>1.75824</v>
      </c>
      <c r="AM73" s="145" cm="1">
        <f t="array" ref="AM73">IF(TbTradesBinance[[#This Row],[Tipo]]="EMPTY",0,AM72+IF(TbTradesBinance[[#This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Row],[Par]]))),$1:$1,0)),-(AL72-AL73)/AL72*AM72),0),0)+IF(TbTradesBinance[[#This Row],[Tipo]]="SELL",IF(ISNUMBER(FIND(MID(AM$1,10,5),TbTradesBinance[[#This Row],[Par]])),IF(FIND(MID(AM$1,10,5),TbTradesBinance[[#This Row],[Par]])=1, -(AL72-AL73)/AL72*AM72,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Row],[Par]])),(-(AL72-AL73)/AL72*AM72)+IF(TbTradesBinance[[#This Row],[Resultado]]&gt;0,0,TbTradesBinance[[#This Row],[Taxa]]),0),0))</f>
        <v>144.56635471393039</v>
      </c>
      <c r="AN73" s="145">
        <f t="shared" si="28"/>
        <v>82.222196465744375</v>
      </c>
      <c r="AO7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Row],[Tipo]]="DROP"),AO72+TbTradesBinance[[#This Row],[Qtt]],AO72-TbTradesBinance[[#This Row],[Qtt]]),IF(TbTradesBinance[[#This Row],[Tipo]]="BUY",AO72-TbTradesBinance[[#This Row],[Qtt]]*TbTradesBinance[[#This Row],[Preço]],AO72+TbTradesBinance[[#This Row],[Qtt]]*TbTradesBinance[[#This Row],[Preço]])),AO72)-IF(TbTradesBinance[[#This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Row],[Tipo]]="DROP"),AO72+TbTradesBinance[[#This Row],[Qtt]],AO72-TbTradesBinance[[#This Row],[Qtt]]),IF(TbTradesBinance[[#This Row],[Tipo]]="BUY",AO72-TbTradesBinance[[#This Row],[Qtt]]*TbTradesBinance[[#This Row],[Preço]],AO72+TbTradesBinance[[#This Row],[Qtt]]*TbTradesBinance[[#This Row],[Preço]])),AO72)-IF(TbTradesBinance[[#This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Row],[Tipo]]="DROP"),AO72+TbTradesBinance[[#This Row],[Qtt]],AO72-TbTradesBinance[[#This Row],[Qtt]]),IF(TbTradesBinance[[#This Row],[Tipo]]="BUY",AO72-TbTradesBinance[[#This Row],[Qtt]]*TbTradesBinance[[#This Row],[Preço]],AO72+TbTradesBinance[[#This Row],[Qtt]]*TbTradesBinance[[#This Row],[Preço]])),AO72)-IF(TbTradesBinance[[#This Row],[Moeda da Taxa]]=MID(AO$1,9,5),TbTradesBinance[[#This Row],[Taxa]],0),8)))</f>
        <v>2.6916900000000001E-3</v>
      </c>
      <c r="AP73" s="145" cm="1">
        <f t="array" ref="AP73">IF(TbTradesBinance[[#This Row],[Tipo]]="EMPTY",0,AP72+IF(TbTradesBinance[[#This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Row],[Par]]))),$1:$1,0)),-(AO72-AO73)/AO72*AP72),0),0)+IF(TbTradesBinance[[#This Row],[Tipo]]="SELL",IF(ISNUMBER(FIND(MID(AP$1,10,5),TbTradesBinance[[#This Row],[Par]])),IF(FIND(MID(AP$1,10,5),TbTradesBinance[[#This Row],[Par]])=1, -(AO72-AO73)/AO72*AP72,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Row],[Par]])),(-(AO72-AO73)/AO72*AP72)+IF(TbTradesBinance[[#This Row],[Resultado]]&gt;0,0,TbTradesBinance[[#This Row],[Taxa]]),0),0))</f>
        <v>5.1390914851146583</v>
      </c>
      <c r="AQ73" s="145">
        <f t="shared" si="29"/>
        <v>1909.2434437526827</v>
      </c>
      <c r="AR7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Row],[Tipo]]="DROP"),AR72+TbTradesBinance[[#This Row],[Qtt]],AR72-TbTradesBinance[[#This Row],[Qtt]]),IF(TbTradesBinance[[#This Row],[Tipo]]="BUY",AR72-TbTradesBinance[[#This Row],[Qtt]]*TbTradesBinance[[#This Row],[Preço]],AR72+TbTradesBinance[[#This Row],[Qtt]]*TbTradesBinance[[#This Row],[Preço]])),AR72)-IF(TbTradesBinance[[#This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Row],[Tipo]]="DROP"),AR72+TbTradesBinance[[#This Row],[Qtt]],AR72-TbTradesBinance[[#This Row],[Qtt]]),IF(TbTradesBinance[[#This Row],[Tipo]]="BUY",AR72-TbTradesBinance[[#This Row],[Qtt]]*TbTradesBinance[[#This Row],[Preço]],AR72+TbTradesBinance[[#This Row],[Qtt]]*TbTradesBinance[[#This Row],[Preço]])),AR72)-IF(TbTradesBinance[[#This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Row],[Tipo]]="DROP"),AR72+TbTradesBinance[[#This Row],[Qtt]],AR72-TbTradesBinance[[#This Row],[Qtt]]),IF(TbTradesBinance[[#This Row],[Tipo]]="BUY",AR72-TbTradesBinance[[#This Row],[Qtt]]*TbTradesBinance[[#This Row],[Preço]],AR72+TbTradesBinance[[#This Row],[Qtt]]*TbTradesBinance[[#This Row],[Preço]])),AR72)-IF(TbTradesBinance[[#This Row],[Moeda da Taxa]]=MID(AR$1,9,5),TbTradesBinance[[#This Row],[Taxa]],0),8)))</f>
        <v>0</v>
      </c>
      <c r="AS73" s="145" cm="1">
        <f t="array" ref="AS73">IF(TbTradesBinance[[#This Row],[Tipo]]="EMPTY",0,AS72+IF(TbTradesBinance[[#This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Row],[Par]]))),$1:$1,0)),-(AR72-AR73)/AR72*AS72),0),0)+IF(TbTradesBinance[[#This Row],[Tipo]]="SELL",IF(ISNUMBER(FIND(MID(AS$1,10,5),TbTradesBinance[[#This Row],[Par]])),IF(FIND(MID(AS$1,10,5),TbTradesBinance[[#This Row],[Par]])=1, -(AR72-AR73)/AR72*AS72,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Row],[Par]])),(-(AR72-AR73)/AR72*AS72)+IF(TbTradesBinance[[#This Row],[Resultado]]&gt;0,0,TbTradesBinance[[#This Row],[Taxa]]),0),0))</f>
        <v>0</v>
      </c>
      <c r="AT73" s="145">
        <f t="shared" si="30"/>
        <v>0</v>
      </c>
      <c r="AU7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Row],[Tipo]]="DROP"),AU72+TbTradesBinance[[#This Row],[Qtt]],AU72-TbTradesBinance[[#This Row],[Qtt]]),IF(TbTradesBinance[[#This Row],[Tipo]]="BUY",AU72-TbTradesBinance[[#This Row],[Qtt]]*TbTradesBinance[[#This Row],[Preço]],AU72+TbTradesBinance[[#This Row],[Qtt]]*TbTradesBinance[[#This Row],[Preço]])),AU72)-IF(TbTradesBinance[[#This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Row],[Tipo]]="DROP"),AU72+TbTradesBinance[[#This Row],[Qtt]],AU72-TbTradesBinance[[#This Row],[Qtt]]),IF(TbTradesBinance[[#This Row],[Tipo]]="BUY",AU72-TbTradesBinance[[#This Row],[Qtt]]*TbTradesBinance[[#This Row],[Preço]],AU72+TbTradesBinance[[#This Row],[Qtt]]*TbTradesBinance[[#This Row],[Preço]])),AU72)-IF(TbTradesBinance[[#This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Row],[Tipo]]="DROP"),AU72+TbTradesBinance[[#This Row],[Qtt]],AU72-TbTradesBinance[[#This Row],[Qtt]]),IF(TbTradesBinance[[#This Row],[Tipo]]="BUY",AU72-TbTradesBinance[[#This Row],[Qtt]]*TbTradesBinance[[#This Row],[Preço]],AU72+TbTradesBinance[[#This Row],[Qtt]]*TbTradesBinance[[#This Row],[Preço]])),AU72)-IF(TbTradesBinance[[#This Row],[Moeda da Taxa]]=MID(AU$1,9,5),TbTradesBinance[[#This Row],[Taxa]],0),8)))</f>
        <v>0.26989999999999997</v>
      </c>
      <c r="AV73" s="145" cm="1">
        <f t="array" ref="AV73">IF(TbTradesBinance[[#This Row],[Tipo]]="EMPTY",0,AV72+IF(TbTradesBinance[[#This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Row],[Par]]))),$1:$1,0)),-(AU72-AU73)/AU72*AV72),0),0)+IF(TbTradesBinance[[#This Row],[Tipo]]="SELL",IF(ISNUMBER(FIND(MID(AV$1,10,5),TbTradesBinance[[#This Row],[Par]])),IF(FIND(MID(AV$1,10,5),TbTradesBinance[[#This Row],[Par]])=1, -(AU72-AU73)/AU72*AV72,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Row],[Par]])),(-(AU72-AU73)/AU72*AV72)+IF(TbTradesBinance[[#This Row],[Resultado]]&gt;0,0,TbTradesBinance[[#This Row],[Taxa]]),0),0))</f>
        <v>56.09788062740806</v>
      </c>
      <c r="AW73" s="145">
        <f t="shared" si="31"/>
        <v>207.8469085861729</v>
      </c>
      <c r="AX7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Row],[Tipo]]="DROP"),AX72+TbTradesBinance[[#This Row],[Qtt]],AX72-TbTradesBinance[[#This Row],[Qtt]]),IF(TbTradesBinance[[#This Row],[Tipo]]="BUY",AX72-TbTradesBinance[[#This Row],[Qtt]]*TbTradesBinance[[#This Row],[Preço]],AX72+TbTradesBinance[[#This Row],[Qtt]]*TbTradesBinance[[#This Row],[Preço]])),AX72)-IF(TbTradesBinance[[#This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Row],[Tipo]]="DROP"),AX72+TbTradesBinance[[#This Row],[Qtt]],AX72-TbTradesBinance[[#This Row],[Qtt]]),IF(TbTradesBinance[[#This Row],[Tipo]]="BUY",AX72-TbTradesBinance[[#This Row],[Qtt]]*TbTradesBinance[[#This Row],[Preço]],AX72+TbTradesBinance[[#This Row],[Qtt]]*TbTradesBinance[[#This Row],[Preço]])),AX72)-IF(TbTradesBinance[[#This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Row],[Tipo]]="DROP"),AX72+TbTradesBinance[[#This Row],[Qtt]],AX72-TbTradesBinance[[#This Row],[Qtt]]),IF(TbTradesBinance[[#This Row],[Tipo]]="BUY",AX72-TbTradesBinance[[#This Row],[Qtt]]*TbTradesBinance[[#This Row],[Preço]],AX72+TbTradesBinance[[#This Row],[Qtt]]*TbTradesBinance[[#This Row],[Preço]])),AX72)-IF(TbTradesBinance[[#This Row],[Moeda da Taxa]]=MID(AX$1,9,5),TbTradesBinance[[#This Row],[Taxa]],0),8)))</f>
        <v>0.22636999999999999</v>
      </c>
      <c r="AY73" s="145" cm="1">
        <f t="array" ref="AY73">IF(TbTradesBinance[[#This Row],[Tipo]]="EMPTY",0,AY72+IF(TbTradesBinance[[#This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Row],[Par]]))),$1:$1,0)),-(AX72-AX73)/AX72*AY72),0),0)+IF(TbTradesBinance[[#This Row],[Tipo]]="SELL",IF(ISNUMBER(FIND(MID(AY$1,10,5),TbTradesBinance[[#This Row],[Par]])),IF(FIND(MID(AY$1,10,5),TbTradesBinance[[#This Row],[Par]])=1, -(AX72-AX73)/AX72*AY72,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Row],[Par]])),(-(AX72-AX73)/AX72*AY72)+IF(TbTradesBinance[[#This Row],[Resultado]]&gt;0,0,TbTradesBinance[[#This Row],[Taxa]]),0),0))</f>
        <v>40.781337593356859</v>
      </c>
      <c r="AZ73" s="145">
        <f t="shared" si="32"/>
        <v>180.15345493376711</v>
      </c>
      <c r="BA7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Row],[Tipo]]="DROP"),BA72+TbTradesBinance[[#This Row],[Qtt]],BA72-TbTradesBinance[[#This Row],[Qtt]]),IF(TbTradesBinance[[#This Row],[Tipo]]="BUY",BA72-TbTradesBinance[[#This Row],[Qtt]]*TbTradesBinance[[#This Row],[Preço]],BA72+TbTradesBinance[[#This Row],[Qtt]]*TbTradesBinance[[#This Row],[Preço]])),BA72)-IF(TbTradesBinance[[#This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Row],[Tipo]]="DROP"),BA72+TbTradesBinance[[#This Row],[Qtt]],BA72-TbTradesBinance[[#This Row],[Qtt]]),IF(TbTradesBinance[[#This Row],[Tipo]]="BUY",BA72-TbTradesBinance[[#This Row],[Qtt]]*TbTradesBinance[[#This Row],[Preço]],BA72+TbTradesBinance[[#This Row],[Qtt]]*TbTradesBinance[[#This Row],[Preço]])),BA72)-IF(TbTradesBinance[[#This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Row],[Tipo]]="DROP"),BA72+TbTradesBinance[[#This Row],[Qtt]],BA72-TbTradesBinance[[#This Row],[Qtt]]),IF(TbTradesBinance[[#This Row],[Tipo]]="BUY",BA72-TbTradesBinance[[#This Row],[Qtt]]*TbTradesBinance[[#This Row],[Preço]],BA72+TbTradesBinance[[#This Row],[Qtt]]*TbTradesBinance[[#This Row],[Preço]])),BA72)-IF(TbTradesBinance[[#This Row],[Moeda da Taxa]]=MID(BA$1,9,5),TbTradesBinance[[#This Row],[Taxa]],0),8)))</f>
        <v>0</v>
      </c>
      <c r="BB73" s="145" cm="1">
        <f t="array" ref="BB73">IF(TbTradesBinance[[#This Row],[Tipo]]="EMPTY",0,BB72+IF(TbTradesBinance[[#This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Row],[Par]]))),$1:$1,0)),-(BA72-BA73)/BA72*BB72),0),0)+IF(TbTradesBinance[[#This Row],[Tipo]]="SELL",IF(ISNUMBER(FIND(MID(BB$1,10,5),TbTradesBinance[[#This Row],[Par]])),IF(FIND(MID(BB$1,10,5),TbTradesBinance[[#This Row],[Par]])=1, -(BA72-BA73)/BA72*BB72,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Row],[Par]])),(-(BA72-BA73)/BA72*BB72)+IF(TbTradesBinance[[#This Row],[Resultado]]&gt;0,0,TbTradesBinance[[#This Row],[Taxa]]),0),0))</f>
        <v>0</v>
      </c>
      <c r="BC73" s="145">
        <f t="shared" si="33"/>
        <v>0</v>
      </c>
      <c r="BD7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Row],[Tipo]]="DROP"),BD72+TbTradesBinance[[#This Row],[Qtt]],BD72-TbTradesBinance[[#This Row],[Qtt]]),IF(TbTradesBinance[[#This Row],[Tipo]]="BUY",BD72-TbTradesBinance[[#This Row],[Qtt]]*TbTradesBinance[[#This Row],[Preço]],BD72+TbTradesBinance[[#This Row],[Qtt]]*TbTradesBinance[[#This Row],[Preço]])),BD72)-IF(TbTradesBinance[[#This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Row],[Tipo]]="DROP"),BD72+TbTradesBinance[[#This Row],[Qtt]],BD72-TbTradesBinance[[#This Row],[Qtt]]),IF(TbTradesBinance[[#This Row],[Tipo]]="BUY",BD72-TbTradesBinance[[#This Row],[Qtt]]*TbTradesBinance[[#This Row],[Preço]],BD72+TbTradesBinance[[#This Row],[Qtt]]*TbTradesBinance[[#This Row],[Preço]])),BD72)-IF(TbTradesBinance[[#This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Row],[Tipo]]="DROP"),BD72+TbTradesBinance[[#This Row],[Qtt]],BD72-TbTradesBinance[[#This Row],[Qtt]]),IF(TbTradesBinance[[#This Row],[Tipo]]="BUY",BD72-TbTradesBinance[[#This Row],[Qtt]]*TbTradesBinance[[#This Row],[Preço]],BD72+TbTradesBinance[[#This Row],[Qtt]]*TbTradesBinance[[#This Row],[Preço]])),BD72)-IF(TbTradesBinance[[#This Row],[Moeda da Taxa]]=MID(BD$1,9,5),TbTradesBinance[[#This Row],[Taxa]],0),8)))</f>
        <v>0.37962000000000001</v>
      </c>
      <c r="BE73" s="145" cm="1">
        <f t="array" ref="BE73">IF(TbTradesBinance[[#This Row],[Tipo]]="EMPTY",0,BE72+IF(TbTradesBinance[[#This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Row],[Par]]))),$1:$1,0)),-(BD72-BD73)/BD72*BE72),0),0)+IF(TbTradesBinance[[#This Row],[Tipo]]="SELL",IF(ISNUMBER(FIND(MID(BE$1,10,5),TbTradesBinance[[#This Row],[Par]])),IF(FIND(MID(BE$1,10,5),TbTradesBinance[[#This Row],[Par]])=1, -(BD72-BD73)/BD72*BE72,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Row],[Par]])),(-(BD72-BD73)/BD72*BE72)+IF(TbTradesBinance[[#This Row],[Resultado]]&gt;0,0,TbTradesBinance[[#This Row],[Taxa]]),0),0))</f>
        <v>63.647297001537943</v>
      </c>
      <c r="BF73" s="145">
        <f t="shared" si="34"/>
        <v>167.66054739354601</v>
      </c>
      <c r="BG7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Row],[Tipo]]="DROP"),BG72+TbTradesBinance[[#This Row],[Qtt]],BG72-TbTradesBinance[[#This Row],[Qtt]]),IF(TbTradesBinance[[#This Row],[Tipo]]="BUY",BG72-TbTradesBinance[[#This Row],[Qtt]]*TbTradesBinance[[#This Row],[Preço]],BG72+TbTradesBinance[[#This Row],[Qtt]]*TbTradesBinance[[#This Row],[Preço]])),BG72)-IF(TbTradesBinance[[#This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Row],[Tipo]]="DROP"),BG72+TbTradesBinance[[#This Row],[Qtt]],BG72-TbTradesBinance[[#This Row],[Qtt]]),IF(TbTradesBinance[[#This Row],[Tipo]]="BUY",BG72-TbTradesBinance[[#This Row],[Qtt]]*TbTradesBinance[[#This Row],[Preço]],BG72+TbTradesBinance[[#This Row],[Qtt]]*TbTradesBinance[[#This Row],[Preço]])),BG72)-IF(TbTradesBinance[[#This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Row],[Tipo]]="DROP"),BG72+TbTradesBinance[[#This Row],[Qtt]],BG72-TbTradesBinance[[#This Row],[Qtt]]),IF(TbTradesBinance[[#This Row],[Tipo]]="BUY",BG72-TbTradesBinance[[#This Row],[Qtt]]*TbTradesBinance[[#This Row],[Preço]],BG72+TbTradesBinance[[#This Row],[Qtt]]*TbTradesBinance[[#This Row],[Preço]])),BG72)-IF(TbTradesBinance[[#This Row],[Moeda da Taxa]]=MID(BG$1,9,5),TbTradesBinance[[#This Row],[Taxa]],0),8)))</f>
        <v>111.71817</v>
      </c>
      <c r="BH73" s="145" cm="1">
        <f t="array" ref="BH73">IF(TbTradesBinance[[#This Row],[Tipo]]="EMPTY",0,BH72+IF(TbTradesBinance[[#This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Row],[Par]]))),$1:$1,0)),-(BG72-BG73)/BG72*BH72),0),0)+IF(TbTradesBinance[[#This Row],[Tipo]]="SELL",IF(ISNUMBER(FIND(MID(BH$1,10,5),TbTradesBinance[[#This Row],[Par]])),IF(FIND(MID(BH$1,10,5),TbTradesBinance[[#This Row],[Par]])=1, -(BG72-BG73)/BG72*BH72,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Row],[Par]])),(-(BG72-BG73)/BG72*BH72)+IF(TbTradesBinance[[#This Row],[Resultado]]&gt;0,0,TbTradesBinance[[#This Row],[Taxa]]),0),0))</f>
        <v>401.31269619490814</v>
      </c>
      <c r="BI73" s="145">
        <f t="shared" si="35"/>
        <v>3.5921882375526573</v>
      </c>
      <c r="BJ7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Row],[Tipo]]="DROP"),BJ72+TbTradesBinance[[#This Row],[Qtt]],BJ72-TbTradesBinance[[#This Row],[Qtt]]),IF(TbTradesBinance[[#This Row],[Tipo]]="BUY",BJ72-TbTradesBinance[[#This Row],[Qtt]]*TbTradesBinance[[#This Row],[Preço]],BJ72+TbTradesBinance[[#This Row],[Qtt]]*TbTradesBinance[[#This Row],[Preço]])),BJ72)-IF(TbTradesBinance[[#This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Row],[Tipo]]="DROP"),BJ72+TbTradesBinance[[#This Row],[Qtt]],BJ72-TbTradesBinance[[#This Row],[Qtt]]),IF(TbTradesBinance[[#This Row],[Tipo]]="BUY",BJ72-TbTradesBinance[[#This Row],[Qtt]]*TbTradesBinance[[#This Row],[Preço]],BJ72+TbTradesBinance[[#This Row],[Qtt]]*TbTradesBinance[[#This Row],[Preço]])),BJ72)-IF(TbTradesBinance[[#This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Row],[Tipo]]="DROP"),BJ72+TbTradesBinance[[#This Row],[Qtt]],BJ72-TbTradesBinance[[#This Row],[Qtt]]),IF(TbTradesBinance[[#This Row],[Tipo]]="BUY",BJ72-TbTradesBinance[[#This Row],[Qtt]]*TbTradesBinance[[#This Row],[Preço]],BJ72+TbTradesBinance[[#This Row],[Qtt]]*TbTradesBinance[[#This Row],[Preço]])),BJ72)-IF(TbTradesBinance[[#This Row],[Moeda da Taxa]]=MID(BJ$1,9,5),TbTradesBinance[[#This Row],[Taxa]],0),8)))</f>
        <v>0</v>
      </c>
      <c r="BK73" s="145" cm="1">
        <f t="array" ref="BK73">IF(TbTradesBinance[[#This Row],[Tipo]]="EMPTY",0,BK72+IF(TbTradesBinance[[#This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Row],[Par]]))),$1:$1,0)),-(BJ72-BJ73)/BJ72*BK72),0),0)+IF(TbTradesBinance[[#This Row],[Tipo]]="SELL",IF(ISNUMBER(FIND(MID(BK$1,10,5),TbTradesBinance[[#This Row],[Par]])),IF(FIND(MID(BK$1,10,5),TbTradesBinance[[#This Row],[Par]])=1, -(BJ72-BJ73)/BJ72*BK72,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Row],[Par]])),(-(BJ72-BJ73)/BJ72*BK72)+IF(TbTradesBinance[[#This Row],[Resultado]]&gt;0,0,TbTradesBinance[[#This Row],[Taxa]]),0),0))</f>
        <v>0</v>
      </c>
      <c r="BL73" s="145">
        <f t="shared" si="36"/>
        <v>0</v>
      </c>
      <c r="BM7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Row],[Tipo]]="DROP"),BM72+TbTradesBinance[[#This Row],[Qtt]],BM72-TbTradesBinance[[#This Row],[Qtt]]),IF(TbTradesBinance[[#This Row],[Tipo]]="BUY",BM72-TbTradesBinance[[#This Row],[Qtt]]*TbTradesBinance[[#This Row],[Preço]],BM72+TbTradesBinance[[#This Row],[Qtt]]*TbTradesBinance[[#This Row],[Preço]])),BM72)-IF(TbTradesBinance[[#This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Row],[Tipo]]="DROP"),BM72+TbTradesBinance[[#This Row],[Qtt]],BM72-TbTradesBinance[[#This Row],[Qtt]]),IF(TbTradesBinance[[#This Row],[Tipo]]="BUY",BM72-TbTradesBinance[[#This Row],[Qtt]]*TbTradesBinance[[#This Row],[Preço]],BM72+TbTradesBinance[[#This Row],[Qtt]]*TbTradesBinance[[#This Row],[Preço]])),BM72)-IF(TbTradesBinance[[#This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Row],[Tipo]]="DROP"),BM72+TbTradesBinance[[#This Row],[Qtt]],BM72-TbTradesBinance[[#This Row],[Qtt]]),IF(TbTradesBinance[[#This Row],[Tipo]]="BUY",BM72-TbTradesBinance[[#This Row],[Qtt]]*TbTradesBinance[[#This Row],[Preço]],BM72+TbTradesBinance[[#This Row],[Qtt]]*TbTradesBinance[[#This Row],[Preço]])),BM72)-IF(TbTradesBinance[[#This Row],[Moeda da Taxa]]=MID(BM$1,9,5),TbTradesBinance[[#This Row],[Taxa]],0),8)))</f>
        <v>0</v>
      </c>
      <c r="BN73" s="145" cm="1">
        <f t="array" ref="BN73">IF(TbTradesBinance[[#This Row],[Tipo]]="EMPTY",0,BN72+IF(TbTradesBinance[[#This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Row],[Par]]))),$1:$1,0)),-(BM72-BM73)/BM72*BN72),0),0)+IF(TbTradesBinance[[#This Row],[Tipo]]="SELL",IF(ISNUMBER(FIND(MID(BN$1,10,5),TbTradesBinance[[#This Row],[Par]])),IF(FIND(MID(BN$1,10,5),TbTradesBinance[[#This Row],[Par]])=1, -(BM72-BM73)/BM72*BN72,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Row],[Par]])),(-(BM72-BM73)/BM72*BN72)+IF(TbTradesBinance[[#This Row],[Resultado]]&gt;0,0,TbTradesBinance[[#This Row],[Taxa]]),0),0))</f>
        <v>0</v>
      </c>
      <c r="BO73" s="145">
        <f t="shared" si="37"/>
        <v>0</v>
      </c>
    </row>
    <row r="74" spans="2:67" x14ac:dyDescent="0.3">
      <c r="B74" s="51"/>
      <c r="C74" s="40">
        <f>TRUNC(IF(AND(TbTradesBinance[[#This Row],[Tipo]]="SEND",TbTradesBinance[[#This Row],[Par]]="BRL"),TbTradesBinance[[#This Row],[Qtt]]*(1-P72)-IF(TbTradesBinance[[#This Row],[Moeda da Taxa]]="BRL",TbTradesBinance[[#This Row],[Taxa]],0),0)+IF(AND(TbTradesBinance[[#This Row],[Tipo]]="BURN",TbTradesBinance[[#This Row],[Par]]="BRL"),-TbTradesBinance[[#This Row],[Qtt]]*P72,0),2)</f>
        <v>0</v>
      </c>
      <c r="D74" s="53">
        <v>44266.658182870371</v>
      </c>
      <c r="E74" s="37" t="s">
        <v>249</v>
      </c>
      <c r="F74" s="47" t="s">
        <v>140</v>
      </c>
      <c r="G74" s="38">
        <v>57600</v>
      </c>
      <c r="H74" s="38">
        <v>3.8900000000000002E-4</v>
      </c>
      <c r="I74" s="38">
        <v>5.7269999999999999E-5</v>
      </c>
      <c r="J74" s="37" t="s">
        <v>45</v>
      </c>
      <c r="K74" s="52">
        <v>5.5430000000000001</v>
      </c>
      <c r="L74" s="40">
        <f t="shared" si="19"/>
        <v>319276.79999999999</v>
      </c>
      <c r="M74" s="40">
        <f>IF(OR(TbTradesBinance[[#This Row],[Tipo]]="BUY",TbTradesBinance[[#This Row],[Tipo]]="RECEIVE",TbTradesBinance[[#This Row],[Tipo]]="DROP"),L74*H74,-L74*H74)</f>
        <v>-124.1986752</v>
      </c>
      <c r="N7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Row],[Tipo]]="DROP"),N73+TbTradesBinance[[#This Row],[Qtt]],N73-TbTradesBinance[[#This Row],[Qtt]]),IF(TbTradesBinance[[#This Row],[Tipo]]="BUY",N73-TbTradesBinance[[#This Row],[Qtt]]*TbTradesBinance[[#This Row],[Preço]],N73+TbTradesBinance[[#This Row],[Qtt]]*TbTradesBinance[[#This Row],[Preço]])),N73)-IF(TbTradesBinance[[#This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Row],[Tipo]]="DROP"),N73+TbTradesBinance[[#This Row],[Qtt]],N73-TbTradesBinance[[#This Row],[Qtt]]),IF(TbTradesBinance[[#This Row],[Tipo]]="BUY",N73-TbTradesBinance[[#This Row],[Qtt]]*TbTradesBinance[[#This Row],[Preço]],N73+TbTradesBinance[[#This Row],[Qtt]]*TbTradesBinance[[#This Row],[Preço]])),N73)-IF(TbTradesBinance[[#This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Row],[Tipo]]="DROP"),N73+TbTradesBinance[[#This Row],[Qtt]],N73-TbTradesBinance[[#This Row],[Qtt]]),IF(TbTradesBinance[[#This Row],[Tipo]]="BUY",N73-TbTradesBinance[[#This Row],[Qtt]]*TbTradesBinance[[#This Row],[Preço]],N73+TbTradesBinance[[#This Row],[Qtt]]*TbTradesBinance[[#This Row],[Preço]])),N73)-IF(TbTradesBinance[[#This Row],[Moeda da Taxa]]=MID(N$1,9,5),TbTradesBinance[[#This Row],[Taxa]],0),8)))</f>
        <v>119745.52550598999</v>
      </c>
      <c r="O74" s="145" cm="1">
        <f t="array" ref="O74">IF(TbTradesBinance[[#This Row],[Tipo]]="EMPTY",0,O73+IF(TbTradesBinance[[#This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Row],[Par]]))),$1:$1,0)),-(N73-N74)/N73*O73),0),0)+IF(TbTradesBinance[[#This Row],[Tipo]]="SELL",IF(ISNUMBER(FIND(MID(O$1,10,5),TbTradesBinance[[#This Row],[Par]])),IF(FIND(MID(O$1,10,5),TbTradesBinance[[#This Row],[Par]])=1, -(N73-N74)/N73*O73,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Row],[Par]])),(-(N73-N74)/N73*O73)+IF(TbTradesBinance[[#This Row],[Resultado]]&gt;0,0,TbTradesBinance[[#This Row],[Taxa]]),0),0))</f>
        <v>119649.32558674218</v>
      </c>
      <c r="P74" s="145">
        <f t="shared" si="20"/>
        <v>0.99919663036392126</v>
      </c>
      <c r="Q7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Row],[Tipo]]="DROP"),Q73+TbTradesBinance[[#This Row],[Qtt]],Q73-TbTradesBinance[[#This Row],[Qtt]]),IF(TbTradesBinance[[#This Row],[Tipo]]="BUY",Q73-TbTradesBinance[[#This Row],[Qtt]]*TbTradesBinance[[#This Row],[Preço]],Q73+TbTradesBinance[[#This Row],[Qtt]]*TbTradesBinance[[#This Row],[Preço]])),Q73)-IF(TbTradesBinance[[#This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Row],[Tipo]]="DROP"),Q73+TbTradesBinance[[#This Row],[Qtt]],Q73-TbTradesBinance[[#This Row],[Qtt]]),IF(TbTradesBinance[[#This Row],[Tipo]]="BUY",Q73-TbTradesBinance[[#This Row],[Qtt]]*TbTradesBinance[[#This Row],[Preço]],Q73+TbTradesBinance[[#This Row],[Qtt]]*TbTradesBinance[[#This Row],[Preço]])),Q73)-IF(TbTradesBinance[[#This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Row],[Tipo]]="DROP"),Q73+TbTradesBinance[[#This Row],[Qtt]],Q73-TbTradesBinance[[#This Row],[Qtt]]),IF(TbTradesBinance[[#This Row],[Tipo]]="BUY",Q73-TbTradesBinance[[#This Row],[Qtt]]*TbTradesBinance[[#This Row],[Preço]],Q73+TbTradesBinance[[#This Row],[Qtt]]*TbTradesBinance[[#This Row],[Preço]])),Q73)-IF(TbTradesBinance[[#This Row],[Moeda da Taxa]]=MID(Q$1,9,5),TbTradesBinance[[#This Row],[Taxa]],0),8)))</f>
        <v>22.407218960000002</v>
      </c>
      <c r="R74" s="145" cm="1">
        <f t="array" ref="R74">IF(TbTradesBinance[[#This Row],[Tipo]]="EMPTY",0,R73+IF(TbTradesBinance[[#This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Row],[Par]]))),$1:$1,0)),-(Q73-Q74)/Q73*R73),0),0)+IF(TbTradesBinance[[#This Row],[Tipo]]="SELL",IF(ISNUMBER(FIND(MID(R$1,10,5),TbTradesBinance[[#This Row],[Par]])),IF(FIND(MID(R$1,10,5),TbTradesBinance[[#This Row],[Par]])=1, -(Q73-Q74)/Q73*R73,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Row],[Par]])),(-(Q73-Q74)/Q73*R73)+IF(TbTradesBinance[[#This Row],[Resultado]]&gt;0,0,TbTradesBinance[[#This Row],[Taxa]]),0),0))</f>
        <v>124.50645911950279</v>
      </c>
      <c r="S74" s="145">
        <f t="shared" si="21"/>
        <v>5.556533336054069</v>
      </c>
      <c r="T7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Row],[Tipo]]="DROP"),T73+TbTradesBinance[[#This Row],[Qtt]],T73-TbTradesBinance[[#This Row],[Qtt]]),IF(TbTradesBinance[[#This Row],[Tipo]]="BUY",T73-TbTradesBinance[[#This Row],[Qtt]]*TbTradesBinance[[#This Row],[Preço]],T73+TbTradesBinance[[#This Row],[Qtt]]*TbTradesBinance[[#This Row],[Preço]])),T73)-IF(TbTradesBinance[[#This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Row],[Tipo]]="DROP"),T73+TbTradesBinance[[#This Row],[Qtt]],T73-TbTradesBinance[[#This Row],[Qtt]]),IF(TbTradesBinance[[#This Row],[Tipo]]="BUY",T73-TbTradesBinance[[#This Row],[Qtt]]*TbTradesBinance[[#This Row],[Preço]],T73+TbTradesBinance[[#This Row],[Qtt]]*TbTradesBinance[[#This Row],[Preço]])),T73)-IF(TbTradesBinance[[#This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Row],[Tipo]]="DROP"),T73+TbTradesBinance[[#This Row],[Qtt]],T73-TbTradesBinance[[#This Row],[Qtt]]),IF(TbTradesBinance[[#This Row],[Tipo]]="BUY",T73-TbTradesBinance[[#This Row],[Qtt]]*TbTradesBinance[[#This Row],[Preço]],T73+TbTradesBinance[[#This Row],[Qtt]]*TbTradesBinance[[#This Row],[Preço]])),T73)-IF(TbTradesBinance[[#This Row],[Moeda da Taxa]]=MID(T$1,9,5),TbTradesBinance[[#This Row],[Taxa]],0),8)))</f>
        <v>199735.32000169999</v>
      </c>
      <c r="U74" s="145" cm="1">
        <f t="array" ref="U74">IF(TbTradesBinance[[#This Row],[Tipo]]="EMPTY",0,U73+IF(TbTradesBinance[[#This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Row],[Par]]))),$1:$1,0)),-(T73-T74)/T73*U73),0),0)+IF(TbTradesBinance[[#This Row],[Tipo]]="SELL",IF(ISNUMBER(FIND(MID(U$1,10,5),TbTradesBinance[[#This Row],[Par]])),IF(FIND(MID(U$1,10,5),TbTradesBinance[[#This Row],[Par]])=1, -(T73-T74)/T73*U73,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Row],[Par]])),(-(T73-T74)/T73*U73)+IF(TbTradesBinance[[#This Row],[Resultado]]&gt;0,0,TbTradesBinance[[#This Row],[Taxa]]),0),0))</f>
        <v>1328239.8809817513</v>
      </c>
      <c r="V74" s="145">
        <f t="shared" si="22"/>
        <v>6.6500000148719129</v>
      </c>
      <c r="W7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Row],[Tipo]]="DROP"),W73+TbTradesBinance[[#This Row],[Qtt]],W73-TbTradesBinance[[#This Row],[Qtt]]),IF(TbTradesBinance[[#This Row],[Tipo]]="BUY",W73-TbTradesBinance[[#This Row],[Qtt]]*TbTradesBinance[[#This Row],[Preço]],W73+TbTradesBinance[[#This Row],[Qtt]]*TbTradesBinance[[#This Row],[Preço]])),W73)-IF(TbTradesBinance[[#This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Row],[Tipo]]="DROP"),W73+TbTradesBinance[[#This Row],[Qtt]],W73-TbTradesBinance[[#This Row],[Qtt]]),IF(TbTradesBinance[[#This Row],[Tipo]]="BUY",W73-TbTradesBinance[[#This Row],[Qtt]]*TbTradesBinance[[#This Row],[Preço]],W73+TbTradesBinance[[#This Row],[Qtt]]*TbTradesBinance[[#This Row],[Preço]])),W73)-IF(TbTradesBinance[[#This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Row],[Tipo]]="DROP"),W73+TbTradesBinance[[#This Row],[Qtt]],W73-TbTradesBinance[[#This Row],[Qtt]]),IF(TbTradesBinance[[#This Row],[Tipo]]="BUY",W73-TbTradesBinance[[#This Row],[Qtt]]*TbTradesBinance[[#This Row],[Preço]],W73+TbTradesBinance[[#This Row],[Qtt]]*TbTradesBinance[[#This Row],[Preço]])),W73)-IF(TbTradesBinance[[#This Row],[Moeda da Taxa]]=MID(W$1,9,5),TbTradesBinance[[#This Row],[Taxa]],0),8)))</f>
        <v>3.1926300000000001E-3</v>
      </c>
      <c r="X74" s="145" cm="1">
        <f t="array" ref="X74">IF(TbTradesBinance[[#This Row],[Tipo]]="EMPTY",0,X73+IF(TbTradesBinance[[#This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Row],[Par]]))),$1:$1,0)),-(W73-W74)/W73*X73),0),0)+IF(TbTradesBinance[[#This Row],[Tipo]]="SELL",IF(ISNUMBER(FIND(MID(X$1,10,5),TbTradesBinance[[#This Row],[Par]])),IF(FIND(MID(X$1,10,5),TbTradesBinance[[#This Row],[Par]])=1, -(W73-W74)/W73*X73,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Row],[Par]])),(-(W73-W74)/W73*X73)+IF(TbTradesBinance[[#This Row],[Resultado]]&gt;0,0,TbTradesBinance[[#This Row],[Taxa]]),0),0))</f>
        <v>1021.8199346464224</v>
      </c>
      <c r="Y74" s="145">
        <f t="shared" si="23"/>
        <v>320055.85822548257</v>
      </c>
      <c r="Z7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Row],[Tipo]]="DROP"),Z73+TbTradesBinance[[#This Row],[Qtt]],Z73-TbTradesBinance[[#This Row],[Qtt]]),IF(TbTradesBinance[[#This Row],[Tipo]]="BUY",Z73-TbTradesBinance[[#This Row],[Qtt]]*TbTradesBinance[[#This Row],[Preço]],Z73+TbTradesBinance[[#This Row],[Qtt]]*TbTradesBinance[[#This Row],[Preço]])),Z73)-IF(TbTradesBinance[[#This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Row],[Tipo]]="DROP"),Z73+TbTradesBinance[[#This Row],[Qtt]],Z73-TbTradesBinance[[#This Row],[Qtt]]),IF(TbTradesBinance[[#This Row],[Tipo]]="BUY",Z73-TbTradesBinance[[#This Row],[Qtt]]*TbTradesBinance[[#This Row],[Preço]],Z73+TbTradesBinance[[#This Row],[Qtt]]*TbTradesBinance[[#This Row],[Preço]])),Z73)-IF(TbTradesBinance[[#This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Row],[Tipo]]="DROP"),Z73+TbTradesBinance[[#This Row],[Qtt]],Z73-TbTradesBinance[[#This Row],[Qtt]]),IF(TbTradesBinance[[#This Row],[Tipo]]="BUY",Z73-TbTradesBinance[[#This Row],[Qtt]]*TbTradesBinance[[#This Row],[Preço]],Z73+TbTradesBinance[[#This Row],[Qtt]]*TbTradesBinance[[#This Row],[Preço]])),Z73)-IF(TbTradesBinance[[#This Row],[Moeda da Taxa]]=MID(Z$1,9,5),TbTradesBinance[[#This Row],[Taxa]],0),8)))</f>
        <v>0</v>
      </c>
      <c r="AA74" s="145" cm="1">
        <f t="array" ref="AA74">IF(TbTradesBinance[[#This Row],[Tipo]]="EMPTY",0,AA73+IF(TbTradesBinance[[#This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Row],[Par]]))),$1:$1,0)),-(Z73-Z74)/Z73*AA73),0),0)+IF(TbTradesBinance[[#This Row],[Tipo]]="SELL",IF(ISNUMBER(FIND(MID(AA$1,10,5),TbTradesBinance[[#This Row],[Par]])),IF(FIND(MID(AA$1,10,5),TbTradesBinance[[#This Row],[Par]])=1, -(Z73-Z74)/Z73*AA73,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Row],[Par]])),(-(Z73-Z74)/Z73*AA73)+IF(TbTradesBinance[[#This Row],[Resultado]]&gt;0,0,TbTradesBinance[[#This Row],[Taxa]]),0),0))</f>
        <v>0</v>
      </c>
      <c r="AB74" s="145">
        <f t="shared" si="24"/>
        <v>0</v>
      </c>
      <c r="AC7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Row],[Tipo]]="DROP"),AC73+TbTradesBinance[[#This Row],[Qtt]],AC73-TbTradesBinance[[#This Row],[Qtt]]),IF(TbTradesBinance[[#This Row],[Tipo]]="BUY",AC73-TbTradesBinance[[#This Row],[Qtt]]*TbTradesBinance[[#This Row],[Preço]],AC73+TbTradesBinance[[#This Row],[Qtt]]*TbTradesBinance[[#This Row],[Preço]])),AC73)-IF(TbTradesBinance[[#This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Row],[Tipo]]="DROP"),AC73+TbTradesBinance[[#This Row],[Qtt]],AC73-TbTradesBinance[[#This Row],[Qtt]]),IF(TbTradesBinance[[#This Row],[Tipo]]="BUY",AC73-TbTradesBinance[[#This Row],[Qtt]]*TbTradesBinance[[#This Row],[Preço]],AC73+TbTradesBinance[[#This Row],[Qtt]]*TbTradesBinance[[#This Row],[Preço]])),AC73)-IF(TbTradesBinance[[#This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Row],[Tipo]]="DROP"),AC73+TbTradesBinance[[#This Row],[Qtt]],AC73-TbTradesBinance[[#This Row],[Qtt]]),IF(TbTradesBinance[[#This Row],[Tipo]]="BUY",AC73-TbTradesBinance[[#This Row],[Qtt]]*TbTradesBinance[[#This Row],[Preço]],AC73+TbTradesBinance[[#This Row],[Qtt]]*TbTradesBinance[[#This Row],[Preço]])),AC73)-IF(TbTradesBinance[[#This Row],[Moeda da Taxa]]=MID(AC$1,9,5),TbTradesBinance[[#This Row],[Taxa]],0),8)))</f>
        <v>0</v>
      </c>
      <c r="AD74" s="145" cm="1">
        <f t="array" ref="AD74">IF(TbTradesBinance[[#This Row],[Tipo]]="EMPTY",0,AD73+IF(TbTradesBinance[[#This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Row],[Par]]))),$1:$1,0)),-(AC73-AC74)/AC73*AD73),0),0)+IF(TbTradesBinance[[#This Row],[Tipo]]="SELL",IF(ISNUMBER(FIND(MID(AD$1,10,5),TbTradesBinance[[#This Row],[Par]])),IF(FIND(MID(AD$1,10,5),TbTradesBinance[[#This Row],[Par]])=1, -(AC73-AC74)/AC73*AD73,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Row],[Par]])),(-(AC73-AC74)/AC73*AD73)+IF(TbTradesBinance[[#This Row],[Resultado]]&gt;0,0,TbTradesBinance[[#This Row],[Taxa]]),0),0))</f>
        <v>0</v>
      </c>
      <c r="AE74" s="145">
        <f t="shared" si="25"/>
        <v>0</v>
      </c>
      <c r="AF7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Row],[Tipo]]="DROP"),AF73+TbTradesBinance[[#This Row],[Qtt]],AF73-TbTradesBinance[[#This Row],[Qtt]]),IF(TbTradesBinance[[#This Row],[Tipo]]="BUY",AF73-TbTradesBinance[[#This Row],[Qtt]]*TbTradesBinance[[#This Row],[Preço]],AF73+TbTradesBinance[[#This Row],[Qtt]]*TbTradesBinance[[#This Row],[Preço]])),AF73)-IF(TbTradesBinance[[#This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Row],[Tipo]]="DROP"),AF73+TbTradesBinance[[#This Row],[Qtt]],AF73-TbTradesBinance[[#This Row],[Qtt]]),IF(TbTradesBinance[[#This Row],[Tipo]]="BUY",AF73-TbTradesBinance[[#This Row],[Qtt]]*TbTradesBinance[[#This Row],[Preço]],AF73+TbTradesBinance[[#This Row],[Qtt]]*TbTradesBinance[[#This Row],[Preço]])),AF73)-IF(TbTradesBinance[[#This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Row],[Tipo]]="DROP"),AF73+TbTradesBinance[[#This Row],[Qtt]],AF73-TbTradesBinance[[#This Row],[Qtt]]),IF(TbTradesBinance[[#This Row],[Tipo]]="BUY",AF73-TbTradesBinance[[#This Row],[Qtt]]*TbTradesBinance[[#This Row],[Preço]],AF73+TbTradesBinance[[#This Row],[Qtt]]*TbTradesBinance[[#This Row],[Preço]])),AF73)-IF(TbTradesBinance[[#This Row],[Moeda da Taxa]]=MID(AF$1,9,5),TbTradesBinance[[#This Row],[Taxa]],0),8)))</f>
        <v>0</v>
      </c>
      <c r="AG74" s="145" cm="1">
        <f t="array" ref="AG74">IF(TbTradesBinance[[#This Row],[Tipo]]="EMPTY",0,AG73+IF(TbTradesBinance[[#This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Row],[Par]]))),$1:$1,0)),-(AF73-AF74)/AF73*AG73),0),0)+IF(TbTradesBinance[[#This Row],[Tipo]]="SELL",IF(ISNUMBER(FIND(MID(AG$1,10,5),TbTradesBinance[[#This Row],[Par]])),IF(FIND(MID(AG$1,10,5),TbTradesBinance[[#This Row],[Par]])=1, -(AF73-AF74)/AF73*AG73,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Row],[Par]])),(-(AF73-AF74)/AF73*AG73)+IF(TbTradesBinance[[#This Row],[Resultado]]&gt;0,0,TbTradesBinance[[#This Row],[Taxa]]),0),0))</f>
        <v>0</v>
      </c>
      <c r="AH74" s="145">
        <f t="shared" si="26"/>
        <v>0</v>
      </c>
      <c r="AI7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Row],[Tipo]]="DROP"),AI73+TbTradesBinance[[#This Row],[Qtt]],AI73-TbTradesBinance[[#This Row],[Qtt]]),IF(TbTradesBinance[[#This Row],[Tipo]]="BUY",AI73-TbTradesBinance[[#This Row],[Qtt]]*TbTradesBinance[[#This Row],[Preço]],AI73+TbTradesBinance[[#This Row],[Qtt]]*TbTradesBinance[[#This Row],[Preço]])),AI73)-IF(TbTradesBinance[[#This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Row],[Tipo]]="DROP"),AI73+TbTradesBinance[[#This Row],[Qtt]],AI73-TbTradesBinance[[#This Row],[Qtt]]),IF(TbTradesBinance[[#This Row],[Tipo]]="BUY",AI73-TbTradesBinance[[#This Row],[Qtt]]*TbTradesBinance[[#This Row],[Preço]],AI73+TbTradesBinance[[#This Row],[Qtt]]*TbTradesBinance[[#This Row],[Preço]])),AI73)-IF(TbTradesBinance[[#This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Row],[Tipo]]="DROP"),AI73+TbTradesBinance[[#This Row],[Qtt]],AI73-TbTradesBinance[[#This Row],[Qtt]]),IF(TbTradesBinance[[#This Row],[Tipo]]="BUY",AI73-TbTradesBinance[[#This Row],[Qtt]]*TbTradesBinance[[#This Row],[Preço]],AI73+TbTradesBinance[[#This Row],[Qtt]]*TbTradesBinance[[#This Row],[Preço]])),AI73)-IF(TbTradesBinance[[#This Row],[Moeda da Taxa]]=MID(AI$1,9,5),TbTradesBinance[[#This Row],[Taxa]],0),8)))</f>
        <v>0</v>
      </c>
      <c r="AJ74" s="145" cm="1">
        <f t="array" ref="AJ74">IF(TbTradesBinance[[#This Row],[Tipo]]="EMPTY",0,AJ73+IF(TbTradesBinance[[#This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Row],[Par]]))),$1:$1,0)),-(AI73-AI74)/AI73*AJ73),0),0)+IF(TbTradesBinance[[#This Row],[Tipo]]="SELL",IF(ISNUMBER(FIND(MID(AJ$1,10,5),TbTradesBinance[[#This Row],[Par]])),IF(FIND(MID(AJ$1,10,5),TbTradesBinance[[#This Row],[Par]])=1, -(AI73-AI74)/AI73*AJ73,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Row],[Par]])),(-(AI73-AI74)/AI73*AJ73)+IF(TbTradesBinance[[#This Row],[Resultado]]&gt;0,0,TbTradesBinance[[#This Row],[Taxa]]),0),0))</f>
        <v>0</v>
      </c>
      <c r="AK74" s="145">
        <f t="shared" si="27"/>
        <v>0</v>
      </c>
      <c r="AL7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Row],[Tipo]]="DROP"),AL73+TbTradesBinance[[#This Row],[Qtt]],AL73-TbTradesBinance[[#This Row],[Qtt]]),IF(TbTradesBinance[[#This Row],[Tipo]]="BUY",AL73-TbTradesBinance[[#This Row],[Qtt]]*TbTradesBinance[[#This Row],[Preço]],AL73+TbTradesBinance[[#This Row],[Qtt]]*TbTradesBinance[[#This Row],[Preço]])),AL73)-IF(TbTradesBinance[[#This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Row],[Tipo]]="DROP"),AL73+TbTradesBinance[[#This Row],[Qtt]],AL73-TbTradesBinance[[#This Row],[Qtt]]),IF(TbTradesBinance[[#This Row],[Tipo]]="BUY",AL73-TbTradesBinance[[#This Row],[Qtt]]*TbTradesBinance[[#This Row],[Preço]],AL73+TbTradesBinance[[#This Row],[Qtt]]*TbTradesBinance[[#This Row],[Preço]])),AL73)-IF(TbTradesBinance[[#This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Row],[Tipo]]="DROP"),AL73+TbTradesBinance[[#This Row],[Qtt]],AL73-TbTradesBinance[[#This Row],[Qtt]]),IF(TbTradesBinance[[#This Row],[Tipo]]="BUY",AL73-TbTradesBinance[[#This Row],[Qtt]]*TbTradesBinance[[#This Row],[Preço]],AL73+TbTradesBinance[[#This Row],[Qtt]]*TbTradesBinance[[#This Row],[Preço]])),AL73)-IF(TbTradesBinance[[#This Row],[Moeda da Taxa]]=MID(AL$1,9,5),TbTradesBinance[[#This Row],[Taxa]],0),8)))</f>
        <v>1.75824</v>
      </c>
      <c r="AM74" s="145" cm="1">
        <f t="array" ref="AM74">IF(TbTradesBinance[[#This Row],[Tipo]]="EMPTY",0,AM73+IF(TbTradesBinance[[#This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Row],[Par]]))),$1:$1,0)),-(AL73-AL74)/AL73*AM73),0),0)+IF(TbTradesBinance[[#This Row],[Tipo]]="SELL",IF(ISNUMBER(FIND(MID(AM$1,10,5),TbTradesBinance[[#This Row],[Par]])),IF(FIND(MID(AM$1,10,5),TbTradesBinance[[#This Row],[Par]])=1, -(AL73-AL74)/AL73*AM73,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Row],[Par]])),(-(AL73-AL74)/AL73*AM73)+IF(TbTradesBinance[[#This Row],[Resultado]]&gt;0,0,TbTradesBinance[[#This Row],[Taxa]]),0),0))</f>
        <v>144.56635471393039</v>
      </c>
      <c r="AN74" s="145">
        <f t="shared" si="28"/>
        <v>82.222196465744375</v>
      </c>
      <c r="AO7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Row],[Tipo]]="DROP"),AO73+TbTradesBinance[[#This Row],[Qtt]],AO73-TbTradesBinance[[#This Row],[Qtt]]),IF(TbTradesBinance[[#This Row],[Tipo]]="BUY",AO73-TbTradesBinance[[#This Row],[Qtt]]*TbTradesBinance[[#This Row],[Preço]],AO73+TbTradesBinance[[#This Row],[Qtt]]*TbTradesBinance[[#This Row],[Preço]])),AO73)-IF(TbTradesBinance[[#This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Row],[Tipo]]="DROP"),AO73+TbTradesBinance[[#This Row],[Qtt]],AO73-TbTradesBinance[[#This Row],[Qtt]]),IF(TbTradesBinance[[#This Row],[Tipo]]="BUY",AO73-TbTradesBinance[[#This Row],[Qtt]]*TbTradesBinance[[#This Row],[Preço]],AO73+TbTradesBinance[[#This Row],[Qtt]]*TbTradesBinance[[#This Row],[Preço]])),AO73)-IF(TbTradesBinance[[#This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Row],[Tipo]]="DROP"),AO73+TbTradesBinance[[#This Row],[Qtt]],AO73-TbTradesBinance[[#This Row],[Qtt]]),IF(TbTradesBinance[[#This Row],[Tipo]]="BUY",AO73-TbTradesBinance[[#This Row],[Qtt]]*TbTradesBinance[[#This Row],[Preço]],AO73+TbTradesBinance[[#This Row],[Qtt]]*TbTradesBinance[[#This Row],[Preço]])),AO73)-IF(TbTradesBinance[[#This Row],[Moeda da Taxa]]=MID(AO$1,9,5),TbTradesBinance[[#This Row],[Taxa]],0),8)))</f>
        <v>2.6344200000000002E-3</v>
      </c>
      <c r="AP74" s="145" cm="1">
        <f t="array" ref="AP74">IF(TbTradesBinance[[#This Row],[Tipo]]="EMPTY",0,AP73+IF(TbTradesBinance[[#This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Row],[Par]]))),$1:$1,0)),-(AO73-AO74)/AO73*AP73),0),0)+IF(TbTradesBinance[[#This Row],[Tipo]]="SELL",IF(ISNUMBER(FIND(MID(AP$1,10,5),TbTradesBinance[[#This Row],[Par]])),IF(FIND(MID(AP$1,10,5),TbTradesBinance[[#This Row],[Par]])=1, -(AO73-AO74)/AO73*AP73,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Row],[Par]])),(-(AO73-AO74)/AO73*AP73)+IF(TbTradesBinance[[#This Row],[Resultado]]&gt;0,0,TbTradesBinance[[#This Row],[Taxa]]),0),0))</f>
        <v>5.1390914851146583</v>
      </c>
      <c r="AQ74" s="145">
        <f t="shared" si="29"/>
        <v>1950.7487360081757</v>
      </c>
      <c r="AR7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Row],[Tipo]]="DROP"),AR73+TbTradesBinance[[#This Row],[Qtt]],AR73-TbTradesBinance[[#This Row],[Qtt]]),IF(TbTradesBinance[[#This Row],[Tipo]]="BUY",AR73-TbTradesBinance[[#This Row],[Qtt]]*TbTradesBinance[[#This Row],[Preço]],AR73+TbTradesBinance[[#This Row],[Qtt]]*TbTradesBinance[[#This Row],[Preço]])),AR73)-IF(TbTradesBinance[[#This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Row],[Tipo]]="DROP"),AR73+TbTradesBinance[[#This Row],[Qtt]],AR73-TbTradesBinance[[#This Row],[Qtt]]),IF(TbTradesBinance[[#This Row],[Tipo]]="BUY",AR73-TbTradesBinance[[#This Row],[Qtt]]*TbTradesBinance[[#This Row],[Preço]],AR73+TbTradesBinance[[#This Row],[Qtt]]*TbTradesBinance[[#This Row],[Preço]])),AR73)-IF(TbTradesBinance[[#This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Row],[Tipo]]="DROP"),AR73+TbTradesBinance[[#This Row],[Qtt]],AR73-TbTradesBinance[[#This Row],[Qtt]]),IF(TbTradesBinance[[#This Row],[Tipo]]="BUY",AR73-TbTradesBinance[[#This Row],[Qtt]]*TbTradesBinance[[#This Row],[Preço]],AR73+TbTradesBinance[[#This Row],[Qtt]]*TbTradesBinance[[#This Row],[Preço]])),AR73)-IF(TbTradesBinance[[#This Row],[Moeda da Taxa]]=MID(AR$1,9,5),TbTradesBinance[[#This Row],[Taxa]],0),8)))</f>
        <v>0</v>
      </c>
      <c r="AS74" s="145" cm="1">
        <f t="array" ref="AS74">IF(TbTradesBinance[[#This Row],[Tipo]]="EMPTY",0,AS73+IF(TbTradesBinance[[#This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Row],[Par]]))),$1:$1,0)),-(AR73-AR74)/AR73*AS73),0),0)+IF(TbTradesBinance[[#This Row],[Tipo]]="SELL",IF(ISNUMBER(FIND(MID(AS$1,10,5),TbTradesBinance[[#This Row],[Par]])),IF(FIND(MID(AS$1,10,5),TbTradesBinance[[#This Row],[Par]])=1, -(AR73-AR74)/AR73*AS73,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Row],[Par]])),(-(AR73-AR74)/AR73*AS73)+IF(TbTradesBinance[[#This Row],[Resultado]]&gt;0,0,TbTradesBinance[[#This Row],[Taxa]]),0),0))</f>
        <v>0</v>
      </c>
      <c r="AT74" s="145">
        <f t="shared" si="30"/>
        <v>0</v>
      </c>
      <c r="AU7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Row],[Tipo]]="DROP"),AU73+TbTradesBinance[[#This Row],[Qtt]],AU73-TbTradesBinance[[#This Row],[Qtt]]),IF(TbTradesBinance[[#This Row],[Tipo]]="BUY",AU73-TbTradesBinance[[#This Row],[Qtt]]*TbTradesBinance[[#This Row],[Preço]],AU73+TbTradesBinance[[#This Row],[Qtt]]*TbTradesBinance[[#This Row],[Preço]])),AU73)-IF(TbTradesBinance[[#This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Row],[Tipo]]="DROP"),AU73+TbTradesBinance[[#This Row],[Qtt]],AU73-TbTradesBinance[[#This Row],[Qtt]]),IF(TbTradesBinance[[#This Row],[Tipo]]="BUY",AU73-TbTradesBinance[[#This Row],[Qtt]]*TbTradesBinance[[#This Row],[Preço]],AU73+TbTradesBinance[[#This Row],[Qtt]]*TbTradesBinance[[#This Row],[Preço]])),AU73)-IF(TbTradesBinance[[#This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Row],[Tipo]]="DROP"),AU73+TbTradesBinance[[#This Row],[Qtt]],AU73-TbTradesBinance[[#This Row],[Qtt]]),IF(TbTradesBinance[[#This Row],[Tipo]]="BUY",AU73-TbTradesBinance[[#This Row],[Qtt]]*TbTradesBinance[[#This Row],[Preço]],AU73+TbTradesBinance[[#This Row],[Qtt]]*TbTradesBinance[[#This Row],[Preço]])),AU73)-IF(TbTradesBinance[[#This Row],[Moeda da Taxa]]=MID(AU$1,9,5),TbTradesBinance[[#This Row],[Taxa]],0),8)))</f>
        <v>0.26989999999999997</v>
      </c>
      <c r="AV74" s="145" cm="1">
        <f t="array" ref="AV74">IF(TbTradesBinance[[#This Row],[Tipo]]="EMPTY",0,AV73+IF(TbTradesBinance[[#This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Row],[Par]]))),$1:$1,0)),-(AU73-AU74)/AU73*AV73),0),0)+IF(TbTradesBinance[[#This Row],[Tipo]]="SELL",IF(ISNUMBER(FIND(MID(AV$1,10,5),TbTradesBinance[[#This Row],[Par]])),IF(FIND(MID(AV$1,10,5),TbTradesBinance[[#This Row],[Par]])=1, -(AU73-AU74)/AU73*AV73,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Row],[Par]])),(-(AU73-AU74)/AU73*AV73)+IF(TbTradesBinance[[#This Row],[Resultado]]&gt;0,0,TbTradesBinance[[#This Row],[Taxa]]),0),0))</f>
        <v>56.09788062740806</v>
      </c>
      <c r="AW74" s="145">
        <f t="shared" si="31"/>
        <v>207.8469085861729</v>
      </c>
      <c r="AX7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Row],[Tipo]]="DROP"),AX73+TbTradesBinance[[#This Row],[Qtt]],AX73-TbTradesBinance[[#This Row],[Qtt]]),IF(TbTradesBinance[[#This Row],[Tipo]]="BUY",AX73-TbTradesBinance[[#This Row],[Qtt]]*TbTradesBinance[[#This Row],[Preço]],AX73+TbTradesBinance[[#This Row],[Qtt]]*TbTradesBinance[[#This Row],[Preço]])),AX73)-IF(TbTradesBinance[[#This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Row],[Tipo]]="DROP"),AX73+TbTradesBinance[[#This Row],[Qtt]],AX73-TbTradesBinance[[#This Row],[Qtt]]),IF(TbTradesBinance[[#This Row],[Tipo]]="BUY",AX73-TbTradesBinance[[#This Row],[Qtt]]*TbTradesBinance[[#This Row],[Preço]],AX73+TbTradesBinance[[#This Row],[Qtt]]*TbTradesBinance[[#This Row],[Preço]])),AX73)-IF(TbTradesBinance[[#This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Row],[Tipo]]="DROP"),AX73+TbTradesBinance[[#This Row],[Qtt]],AX73-TbTradesBinance[[#This Row],[Qtt]]),IF(TbTradesBinance[[#This Row],[Tipo]]="BUY",AX73-TbTradesBinance[[#This Row],[Qtt]]*TbTradesBinance[[#This Row],[Preço]],AX73+TbTradesBinance[[#This Row],[Qtt]]*TbTradesBinance[[#This Row],[Preço]])),AX73)-IF(TbTradesBinance[[#This Row],[Moeda da Taxa]]=MID(AX$1,9,5),TbTradesBinance[[#This Row],[Taxa]],0),8)))</f>
        <v>0.22636999999999999</v>
      </c>
      <c r="AY74" s="145" cm="1">
        <f t="array" ref="AY74">IF(TbTradesBinance[[#This Row],[Tipo]]="EMPTY",0,AY73+IF(TbTradesBinance[[#This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Row],[Par]]))),$1:$1,0)),-(AX73-AX74)/AX73*AY73),0),0)+IF(TbTradesBinance[[#This Row],[Tipo]]="SELL",IF(ISNUMBER(FIND(MID(AY$1,10,5),TbTradesBinance[[#This Row],[Par]])),IF(FIND(MID(AY$1,10,5),TbTradesBinance[[#This Row],[Par]])=1, -(AX73-AX74)/AX73*AY73,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Row],[Par]])),(-(AX73-AX74)/AX73*AY73)+IF(TbTradesBinance[[#This Row],[Resultado]]&gt;0,0,TbTradesBinance[[#This Row],[Taxa]]),0),0))</f>
        <v>40.781337593356859</v>
      </c>
      <c r="AZ74" s="145">
        <f t="shared" si="32"/>
        <v>180.15345493376711</v>
      </c>
      <c r="BA7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Row],[Tipo]]="DROP"),BA73+TbTradesBinance[[#This Row],[Qtt]],BA73-TbTradesBinance[[#This Row],[Qtt]]),IF(TbTradesBinance[[#This Row],[Tipo]]="BUY",BA73-TbTradesBinance[[#This Row],[Qtt]]*TbTradesBinance[[#This Row],[Preço]],BA73+TbTradesBinance[[#This Row],[Qtt]]*TbTradesBinance[[#This Row],[Preço]])),BA73)-IF(TbTradesBinance[[#This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Row],[Tipo]]="DROP"),BA73+TbTradesBinance[[#This Row],[Qtt]],BA73-TbTradesBinance[[#This Row],[Qtt]]),IF(TbTradesBinance[[#This Row],[Tipo]]="BUY",BA73-TbTradesBinance[[#This Row],[Qtt]]*TbTradesBinance[[#This Row],[Preço]],BA73+TbTradesBinance[[#This Row],[Qtt]]*TbTradesBinance[[#This Row],[Preço]])),BA73)-IF(TbTradesBinance[[#This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Row],[Tipo]]="DROP"),BA73+TbTradesBinance[[#This Row],[Qtt]],BA73-TbTradesBinance[[#This Row],[Qtt]]),IF(TbTradesBinance[[#This Row],[Tipo]]="BUY",BA73-TbTradesBinance[[#This Row],[Qtt]]*TbTradesBinance[[#This Row],[Preço]],BA73+TbTradesBinance[[#This Row],[Qtt]]*TbTradesBinance[[#This Row],[Preço]])),BA73)-IF(TbTradesBinance[[#This Row],[Moeda da Taxa]]=MID(BA$1,9,5),TbTradesBinance[[#This Row],[Taxa]],0),8)))</f>
        <v>0</v>
      </c>
      <c r="BB74" s="145" cm="1">
        <f t="array" ref="BB74">IF(TbTradesBinance[[#This Row],[Tipo]]="EMPTY",0,BB73+IF(TbTradesBinance[[#This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Row],[Par]]))),$1:$1,0)),-(BA73-BA74)/BA73*BB73),0),0)+IF(TbTradesBinance[[#This Row],[Tipo]]="SELL",IF(ISNUMBER(FIND(MID(BB$1,10,5),TbTradesBinance[[#This Row],[Par]])),IF(FIND(MID(BB$1,10,5),TbTradesBinance[[#This Row],[Par]])=1, -(BA73-BA74)/BA73*BB73,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Row],[Par]])),(-(BA73-BA74)/BA73*BB73)+IF(TbTradesBinance[[#This Row],[Resultado]]&gt;0,0,TbTradesBinance[[#This Row],[Taxa]]),0),0))</f>
        <v>0</v>
      </c>
      <c r="BC74" s="145">
        <f t="shared" si="33"/>
        <v>0</v>
      </c>
      <c r="BD7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Row],[Tipo]]="DROP"),BD73+TbTradesBinance[[#This Row],[Qtt]],BD73-TbTradesBinance[[#This Row],[Qtt]]),IF(TbTradesBinance[[#This Row],[Tipo]]="BUY",BD73-TbTradesBinance[[#This Row],[Qtt]]*TbTradesBinance[[#This Row],[Preço]],BD73+TbTradesBinance[[#This Row],[Qtt]]*TbTradesBinance[[#This Row],[Preço]])),BD73)-IF(TbTradesBinance[[#This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Row],[Tipo]]="DROP"),BD73+TbTradesBinance[[#This Row],[Qtt]],BD73-TbTradesBinance[[#This Row],[Qtt]]),IF(TbTradesBinance[[#This Row],[Tipo]]="BUY",BD73-TbTradesBinance[[#This Row],[Qtt]]*TbTradesBinance[[#This Row],[Preço]],BD73+TbTradesBinance[[#This Row],[Qtt]]*TbTradesBinance[[#This Row],[Preço]])),BD73)-IF(TbTradesBinance[[#This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Row],[Tipo]]="DROP"),BD73+TbTradesBinance[[#This Row],[Qtt]],BD73-TbTradesBinance[[#This Row],[Qtt]]),IF(TbTradesBinance[[#This Row],[Tipo]]="BUY",BD73-TbTradesBinance[[#This Row],[Qtt]]*TbTradesBinance[[#This Row],[Preço]],BD73+TbTradesBinance[[#This Row],[Qtt]]*TbTradesBinance[[#This Row],[Preço]])),BD73)-IF(TbTradesBinance[[#This Row],[Moeda da Taxa]]=MID(BD$1,9,5),TbTradesBinance[[#This Row],[Taxa]],0),8)))</f>
        <v>0.37962000000000001</v>
      </c>
      <c r="BE74" s="145" cm="1">
        <f t="array" ref="BE74">IF(TbTradesBinance[[#This Row],[Tipo]]="EMPTY",0,BE73+IF(TbTradesBinance[[#This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Row],[Par]]))),$1:$1,0)),-(BD73-BD74)/BD73*BE73),0),0)+IF(TbTradesBinance[[#This Row],[Tipo]]="SELL",IF(ISNUMBER(FIND(MID(BE$1,10,5),TbTradesBinance[[#This Row],[Par]])),IF(FIND(MID(BE$1,10,5),TbTradesBinance[[#This Row],[Par]])=1, -(BD73-BD74)/BD73*BE73,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Row],[Par]])),(-(BD73-BD74)/BD73*BE73)+IF(TbTradesBinance[[#This Row],[Resultado]]&gt;0,0,TbTradesBinance[[#This Row],[Taxa]]),0),0))</f>
        <v>63.647297001537943</v>
      </c>
      <c r="BF74" s="145">
        <f t="shared" si="34"/>
        <v>167.66054739354601</v>
      </c>
      <c r="BG7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Row],[Tipo]]="DROP"),BG73+TbTradesBinance[[#This Row],[Qtt]],BG73-TbTradesBinance[[#This Row],[Qtt]]),IF(TbTradesBinance[[#This Row],[Tipo]]="BUY",BG73-TbTradesBinance[[#This Row],[Qtt]]*TbTradesBinance[[#This Row],[Preço]],BG73+TbTradesBinance[[#This Row],[Qtt]]*TbTradesBinance[[#This Row],[Preço]])),BG73)-IF(TbTradesBinance[[#This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Row],[Tipo]]="DROP"),BG73+TbTradesBinance[[#This Row],[Qtt]],BG73-TbTradesBinance[[#This Row],[Qtt]]),IF(TbTradesBinance[[#This Row],[Tipo]]="BUY",BG73-TbTradesBinance[[#This Row],[Qtt]]*TbTradesBinance[[#This Row],[Preço]],BG73+TbTradesBinance[[#This Row],[Qtt]]*TbTradesBinance[[#This Row],[Preço]])),BG73)-IF(TbTradesBinance[[#This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Row],[Tipo]]="DROP"),BG73+TbTradesBinance[[#This Row],[Qtt]],BG73-TbTradesBinance[[#This Row],[Qtt]]),IF(TbTradesBinance[[#This Row],[Tipo]]="BUY",BG73-TbTradesBinance[[#This Row],[Qtt]]*TbTradesBinance[[#This Row],[Preço]],BG73+TbTradesBinance[[#This Row],[Qtt]]*TbTradesBinance[[#This Row],[Preço]])),BG73)-IF(TbTradesBinance[[#This Row],[Moeda da Taxa]]=MID(BG$1,9,5),TbTradesBinance[[#This Row],[Taxa]],0),8)))</f>
        <v>111.71817</v>
      </c>
      <c r="BH74" s="145" cm="1">
        <f t="array" ref="BH74">IF(TbTradesBinance[[#This Row],[Tipo]]="EMPTY",0,BH73+IF(TbTradesBinance[[#This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Row],[Par]]))),$1:$1,0)),-(BG73-BG74)/BG73*BH73),0),0)+IF(TbTradesBinance[[#This Row],[Tipo]]="SELL",IF(ISNUMBER(FIND(MID(BH$1,10,5),TbTradesBinance[[#This Row],[Par]])),IF(FIND(MID(BH$1,10,5),TbTradesBinance[[#This Row],[Par]])=1, -(BG73-BG74)/BG73*BH73,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Row],[Par]])),(-(BG73-BG74)/BG73*BH73)+IF(TbTradesBinance[[#This Row],[Resultado]]&gt;0,0,TbTradesBinance[[#This Row],[Taxa]]),0),0))</f>
        <v>401.31269619490814</v>
      </c>
      <c r="BI74" s="145">
        <f t="shared" si="35"/>
        <v>3.5921882375526573</v>
      </c>
      <c r="BJ7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Row],[Tipo]]="DROP"),BJ73+TbTradesBinance[[#This Row],[Qtt]],BJ73-TbTradesBinance[[#This Row],[Qtt]]),IF(TbTradesBinance[[#This Row],[Tipo]]="BUY",BJ73-TbTradesBinance[[#This Row],[Qtt]]*TbTradesBinance[[#This Row],[Preço]],BJ73+TbTradesBinance[[#This Row],[Qtt]]*TbTradesBinance[[#This Row],[Preço]])),BJ73)-IF(TbTradesBinance[[#This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Row],[Tipo]]="DROP"),BJ73+TbTradesBinance[[#This Row],[Qtt]],BJ73-TbTradesBinance[[#This Row],[Qtt]]),IF(TbTradesBinance[[#This Row],[Tipo]]="BUY",BJ73-TbTradesBinance[[#This Row],[Qtt]]*TbTradesBinance[[#This Row],[Preço]],BJ73+TbTradesBinance[[#This Row],[Qtt]]*TbTradesBinance[[#This Row],[Preço]])),BJ73)-IF(TbTradesBinance[[#This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Row],[Tipo]]="DROP"),BJ73+TbTradesBinance[[#This Row],[Qtt]],BJ73-TbTradesBinance[[#This Row],[Qtt]]),IF(TbTradesBinance[[#This Row],[Tipo]]="BUY",BJ73-TbTradesBinance[[#This Row],[Qtt]]*TbTradesBinance[[#This Row],[Preço]],BJ73+TbTradesBinance[[#This Row],[Qtt]]*TbTradesBinance[[#This Row],[Preço]])),BJ73)-IF(TbTradesBinance[[#This Row],[Moeda da Taxa]]=MID(BJ$1,9,5),TbTradesBinance[[#This Row],[Taxa]],0),8)))</f>
        <v>0</v>
      </c>
      <c r="BK74" s="145" cm="1">
        <f t="array" ref="BK74">IF(TbTradesBinance[[#This Row],[Tipo]]="EMPTY",0,BK73+IF(TbTradesBinance[[#This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Row],[Par]]))),$1:$1,0)),-(BJ73-BJ74)/BJ73*BK73),0),0)+IF(TbTradesBinance[[#This Row],[Tipo]]="SELL",IF(ISNUMBER(FIND(MID(BK$1,10,5),TbTradesBinance[[#This Row],[Par]])),IF(FIND(MID(BK$1,10,5),TbTradesBinance[[#This Row],[Par]])=1, -(BJ73-BJ74)/BJ73*BK73,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Row],[Par]])),(-(BJ73-BJ74)/BJ73*BK73)+IF(TbTradesBinance[[#This Row],[Resultado]]&gt;0,0,TbTradesBinance[[#This Row],[Taxa]]),0),0))</f>
        <v>0</v>
      </c>
      <c r="BL74" s="145">
        <f t="shared" si="36"/>
        <v>0</v>
      </c>
      <c r="BM7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Row],[Tipo]]="DROP"),BM73+TbTradesBinance[[#This Row],[Qtt]],BM73-TbTradesBinance[[#This Row],[Qtt]]),IF(TbTradesBinance[[#This Row],[Tipo]]="BUY",BM73-TbTradesBinance[[#This Row],[Qtt]]*TbTradesBinance[[#This Row],[Preço]],BM73+TbTradesBinance[[#This Row],[Qtt]]*TbTradesBinance[[#This Row],[Preço]])),BM73)-IF(TbTradesBinance[[#This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Row],[Tipo]]="DROP"),BM73+TbTradesBinance[[#This Row],[Qtt]],BM73-TbTradesBinance[[#This Row],[Qtt]]),IF(TbTradesBinance[[#This Row],[Tipo]]="BUY",BM73-TbTradesBinance[[#This Row],[Qtt]]*TbTradesBinance[[#This Row],[Preço]],BM73+TbTradesBinance[[#This Row],[Qtt]]*TbTradesBinance[[#This Row],[Preço]])),BM73)-IF(TbTradesBinance[[#This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Row],[Tipo]]="DROP"),BM73+TbTradesBinance[[#This Row],[Qtt]],BM73-TbTradesBinance[[#This Row],[Qtt]]),IF(TbTradesBinance[[#This Row],[Tipo]]="BUY",BM73-TbTradesBinance[[#This Row],[Qtt]]*TbTradesBinance[[#This Row],[Preço]],BM73+TbTradesBinance[[#This Row],[Qtt]]*TbTradesBinance[[#This Row],[Preço]])),BM73)-IF(TbTradesBinance[[#This Row],[Moeda da Taxa]]=MID(BM$1,9,5),TbTradesBinance[[#This Row],[Taxa]],0),8)))</f>
        <v>0</v>
      </c>
      <c r="BN74" s="145" cm="1">
        <f t="array" ref="BN74">IF(TbTradesBinance[[#This Row],[Tipo]]="EMPTY",0,BN73+IF(TbTradesBinance[[#This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Row],[Par]]))),$1:$1,0)),-(BM73-BM74)/BM73*BN73),0),0)+IF(TbTradesBinance[[#This Row],[Tipo]]="SELL",IF(ISNUMBER(FIND(MID(BN$1,10,5),TbTradesBinance[[#This Row],[Par]])),IF(FIND(MID(BN$1,10,5),TbTradesBinance[[#This Row],[Par]])=1, -(BM73-BM74)/BM73*BN73,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Row],[Par]])),(-(BM73-BM74)/BM73*BN73)+IF(TbTradesBinance[[#This Row],[Resultado]]&gt;0,0,TbTradesBinance[[#This Row],[Taxa]]),0),0))</f>
        <v>0</v>
      </c>
      <c r="BO74" s="145">
        <f t="shared" si="37"/>
        <v>0</v>
      </c>
    </row>
    <row r="75" spans="2:67" x14ac:dyDescent="0.3">
      <c r="B75" s="51"/>
      <c r="C75" s="40">
        <f>TRUNC(IF(AND(TbTradesBinance[[#This Row],[Tipo]]="SEND",TbTradesBinance[[#This Row],[Par]]="BRL"),TbTradesBinance[[#This Row],[Qtt]]*(1-P73)-IF(TbTradesBinance[[#This Row],[Moeda da Taxa]]="BRL",TbTradesBinance[[#This Row],[Taxa]],0),0)+IF(AND(TbTradesBinance[[#This Row],[Tipo]]="BURN",TbTradesBinance[[#This Row],[Par]]="BRL"),-TbTradesBinance[[#This Row],[Qtt]]*P73,0),2)</f>
        <v>0</v>
      </c>
      <c r="D75" s="53">
        <v>44266.685671296298</v>
      </c>
      <c r="E75" s="37" t="s">
        <v>253</v>
      </c>
      <c r="F75" s="47" t="s">
        <v>139</v>
      </c>
      <c r="G75" s="38">
        <v>1.1161799999999999</v>
      </c>
      <c r="H75" s="38">
        <v>20</v>
      </c>
      <c r="I75" s="38">
        <v>0.02</v>
      </c>
      <c r="J75" s="37" t="s">
        <v>43</v>
      </c>
      <c r="K75" s="52">
        <v>5.5430000000000001</v>
      </c>
      <c r="L75" s="40">
        <f t="shared" si="19"/>
        <v>6.18</v>
      </c>
      <c r="M75" s="40">
        <f>IF(OR(TbTradesBinance[[#This Row],[Tipo]]="BUY",TbTradesBinance[[#This Row],[Tipo]]="RECEIVE",TbTradesBinance[[#This Row],[Tipo]]="DROP"),L75*H75,-L75*H75)</f>
        <v>123.6</v>
      </c>
      <c r="N7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Row],[Tipo]]="DROP"),N74+TbTradesBinance[[#This Row],[Qtt]],N74-TbTradesBinance[[#This Row],[Qtt]]),IF(TbTradesBinance[[#This Row],[Tipo]]="BUY",N74-TbTradesBinance[[#This Row],[Qtt]]*TbTradesBinance[[#This Row],[Preço]],N74+TbTradesBinance[[#This Row],[Qtt]]*TbTradesBinance[[#This Row],[Preço]])),N74)-IF(TbTradesBinance[[#This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Row],[Tipo]]="DROP"),N74+TbTradesBinance[[#This Row],[Qtt]],N74-TbTradesBinance[[#This Row],[Qtt]]),IF(TbTradesBinance[[#This Row],[Tipo]]="BUY",N74-TbTradesBinance[[#This Row],[Qtt]]*TbTradesBinance[[#This Row],[Preço]],N74+TbTradesBinance[[#This Row],[Qtt]]*TbTradesBinance[[#This Row],[Preço]])),N74)-IF(TbTradesBinance[[#This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Row],[Tipo]]="DROP"),N74+TbTradesBinance[[#This Row],[Qtt]],N74-TbTradesBinance[[#This Row],[Qtt]]),IF(TbTradesBinance[[#This Row],[Tipo]]="BUY",N74-TbTradesBinance[[#This Row],[Qtt]]*TbTradesBinance[[#This Row],[Preço]],N74+TbTradesBinance[[#This Row],[Qtt]]*TbTradesBinance[[#This Row],[Preço]])),N74)-IF(TbTradesBinance[[#This Row],[Moeda da Taxa]]=MID(N$1,9,5),TbTradesBinance[[#This Row],[Taxa]],0),8)))</f>
        <v>119745.52550598999</v>
      </c>
      <c r="O75" s="145" cm="1">
        <f t="array" ref="O75">IF(TbTradesBinance[[#This Row],[Tipo]]="EMPTY",0,O74+IF(TbTradesBinance[[#This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Row],[Par]]))),$1:$1,0)),-(N74-N75)/N74*O74),0),0)+IF(TbTradesBinance[[#This Row],[Tipo]]="SELL",IF(ISNUMBER(FIND(MID(O$1,10,5),TbTradesBinance[[#This Row],[Par]])),IF(FIND(MID(O$1,10,5),TbTradesBinance[[#This Row],[Par]])=1, -(N74-N75)/N74*O74,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Row],[Par]])),(-(N74-N75)/N74*O74)+IF(TbTradesBinance[[#This Row],[Resultado]]&gt;0,0,TbTradesBinance[[#This Row],[Taxa]]),0),0))</f>
        <v>119649.32558674218</v>
      </c>
      <c r="P75" s="145">
        <f t="shared" si="20"/>
        <v>0.99919663036392126</v>
      </c>
      <c r="Q7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Row],[Tipo]]="DROP"),Q74+TbTradesBinance[[#This Row],[Qtt]],Q74-TbTradesBinance[[#This Row],[Qtt]]),IF(TbTradesBinance[[#This Row],[Tipo]]="BUY",Q74-TbTradesBinance[[#This Row],[Qtt]]*TbTradesBinance[[#This Row],[Preço]],Q74+TbTradesBinance[[#This Row],[Qtt]]*TbTradesBinance[[#This Row],[Preço]])),Q74)-IF(TbTradesBinance[[#This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Row],[Tipo]]="DROP"),Q74+TbTradesBinance[[#This Row],[Qtt]],Q74-TbTradesBinance[[#This Row],[Qtt]]),IF(TbTradesBinance[[#This Row],[Tipo]]="BUY",Q74-TbTradesBinance[[#This Row],[Qtt]]*TbTradesBinance[[#This Row],[Preço]],Q74+TbTradesBinance[[#This Row],[Qtt]]*TbTradesBinance[[#This Row],[Preço]])),Q74)-IF(TbTradesBinance[[#This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Row],[Tipo]]="DROP"),Q74+TbTradesBinance[[#This Row],[Qtt]],Q74-TbTradesBinance[[#This Row],[Qtt]]),IF(TbTradesBinance[[#This Row],[Tipo]]="BUY",Q74-TbTradesBinance[[#This Row],[Qtt]]*TbTradesBinance[[#This Row],[Preço]],Q74+TbTradesBinance[[#This Row],[Qtt]]*TbTradesBinance[[#This Row],[Preço]])),Q74)-IF(TbTradesBinance[[#This Row],[Moeda da Taxa]]=MID(Q$1,9,5),TbTradesBinance[[#This Row],[Taxa]],0),8)))</f>
        <v>8.3618960000000006E-2</v>
      </c>
      <c r="R75" s="145" cm="1">
        <f t="array" ref="R75">IF(TbTradesBinance[[#This Row],[Tipo]]="EMPTY",0,R74+IF(TbTradesBinance[[#This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Row],[Par]]))),$1:$1,0)),-(Q74-Q75)/Q74*R74),0),0)+IF(TbTradesBinance[[#This Row],[Tipo]]="SELL",IF(ISNUMBER(FIND(MID(R$1,10,5),TbTradesBinance[[#This Row],[Par]])),IF(FIND(MID(R$1,10,5),TbTradesBinance[[#This Row],[Par]])=1, -(Q74-Q75)/Q74*R74,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Row],[Par]])),(-(Q74-Q75)/Q74*R74)+IF(TbTradesBinance[[#This Row],[Resultado]]&gt;0,0,TbTradesBinance[[#This Row],[Taxa]]),0),0))</f>
        <v>0.46463153876617014</v>
      </c>
      <c r="S75" s="145">
        <f t="shared" si="21"/>
        <v>5.5565333360540494</v>
      </c>
      <c r="T7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Row],[Tipo]]="DROP"),T74+TbTradesBinance[[#This Row],[Qtt]],T74-TbTradesBinance[[#This Row],[Qtt]]),IF(TbTradesBinance[[#This Row],[Tipo]]="BUY",T74-TbTradesBinance[[#This Row],[Qtt]]*TbTradesBinance[[#This Row],[Preço]],T74+TbTradesBinance[[#This Row],[Qtt]]*TbTradesBinance[[#This Row],[Preço]])),T74)-IF(TbTradesBinance[[#This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Row],[Tipo]]="DROP"),T74+TbTradesBinance[[#This Row],[Qtt]],T74-TbTradesBinance[[#This Row],[Qtt]]),IF(TbTradesBinance[[#This Row],[Tipo]]="BUY",T74-TbTradesBinance[[#This Row],[Qtt]]*TbTradesBinance[[#This Row],[Preço]],T74+TbTradesBinance[[#This Row],[Qtt]]*TbTradesBinance[[#This Row],[Preço]])),T74)-IF(TbTradesBinance[[#This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Row],[Tipo]]="DROP"),T74+TbTradesBinance[[#This Row],[Qtt]],T74-TbTradesBinance[[#This Row],[Qtt]]),IF(TbTradesBinance[[#This Row],[Tipo]]="BUY",T74-TbTradesBinance[[#This Row],[Qtt]]*TbTradesBinance[[#This Row],[Preço]],T74+TbTradesBinance[[#This Row],[Qtt]]*TbTradesBinance[[#This Row],[Preço]])),T74)-IF(TbTradesBinance[[#This Row],[Moeda da Taxa]]=MID(T$1,9,5),TbTradesBinance[[#This Row],[Taxa]],0),8)))</f>
        <v>199735.32000169999</v>
      </c>
      <c r="U75" s="145" cm="1">
        <f t="array" ref="U75">IF(TbTradesBinance[[#This Row],[Tipo]]="EMPTY",0,U74+IF(TbTradesBinance[[#This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Row],[Par]]))),$1:$1,0)),-(T74-T75)/T74*U74),0),0)+IF(TbTradesBinance[[#This Row],[Tipo]]="SELL",IF(ISNUMBER(FIND(MID(U$1,10,5),TbTradesBinance[[#This Row],[Par]])),IF(FIND(MID(U$1,10,5),TbTradesBinance[[#This Row],[Par]])=1, -(T74-T75)/T74*U74,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Row],[Par]])),(-(T74-T75)/T74*U74)+IF(TbTradesBinance[[#This Row],[Resultado]]&gt;0,0,TbTradesBinance[[#This Row],[Taxa]]),0),0))</f>
        <v>1328239.8809817513</v>
      </c>
      <c r="V75" s="145">
        <f t="shared" si="22"/>
        <v>6.6500000148719129</v>
      </c>
      <c r="W7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Row],[Tipo]]="DROP"),W74+TbTradesBinance[[#This Row],[Qtt]],W74-TbTradesBinance[[#This Row],[Qtt]]),IF(TbTradesBinance[[#This Row],[Tipo]]="BUY",W74-TbTradesBinance[[#This Row],[Qtt]]*TbTradesBinance[[#This Row],[Preço]],W74+TbTradesBinance[[#This Row],[Qtt]]*TbTradesBinance[[#This Row],[Preço]])),W74)-IF(TbTradesBinance[[#This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Row],[Tipo]]="DROP"),W74+TbTradesBinance[[#This Row],[Qtt]],W74-TbTradesBinance[[#This Row],[Qtt]]),IF(TbTradesBinance[[#This Row],[Tipo]]="BUY",W74-TbTradesBinance[[#This Row],[Qtt]]*TbTradesBinance[[#This Row],[Preço]],W74+TbTradesBinance[[#This Row],[Qtt]]*TbTradesBinance[[#This Row],[Preço]])),W74)-IF(TbTradesBinance[[#This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Row],[Tipo]]="DROP"),W74+TbTradesBinance[[#This Row],[Qtt]],W74-TbTradesBinance[[#This Row],[Qtt]]),IF(TbTradesBinance[[#This Row],[Tipo]]="BUY",W74-TbTradesBinance[[#This Row],[Qtt]]*TbTradesBinance[[#This Row],[Preço]],W74+TbTradesBinance[[#This Row],[Qtt]]*TbTradesBinance[[#This Row],[Preço]])),W74)-IF(TbTradesBinance[[#This Row],[Moeda da Taxa]]=MID(W$1,9,5),TbTradesBinance[[#This Row],[Taxa]],0),8)))</f>
        <v>3.1926300000000001E-3</v>
      </c>
      <c r="X75" s="145" cm="1">
        <f t="array" ref="X75">IF(TbTradesBinance[[#This Row],[Tipo]]="EMPTY",0,X74+IF(TbTradesBinance[[#This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Row],[Par]]))),$1:$1,0)),-(W74-W75)/W74*X74),0),0)+IF(TbTradesBinance[[#This Row],[Tipo]]="SELL",IF(ISNUMBER(FIND(MID(X$1,10,5),TbTradesBinance[[#This Row],[Par]])),IF(FIND(MID(X$1,10,5),TbTradesBinance[[#This Row],[Par]])=1, -(W74-W75)/W74*X74,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Row],[Par]])),(-(W74-W75)/W74*X74)+IF(TbTradesBinance[[#This Row],[Resultado]]&gt;0,0,TbTradesBinance[[#This Row],[Taxa]]),0),0))</f>
        <v>1021.8199346464224</v>
      </c>
      <c r="Y75" s="145">
        <f t="shared" si="23"/>
        <v>320055.85822548257</v>
      </c>
      <c r="Z7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Row],[Tipo]]="DROP"),Z74+TbTradesBinance[[#This Row],[Qtt]],Z74-TbTradesBinance[[#This Row],[Qtt]]),IF(TbTradesBinance[[#This Row],[Tipo]]="BUY",Z74-TbTradesBinance[[#This Row],[Qtt]]*TbTradesBinance[[#This Row],[Preço]],Z74+TbTradesBinance[[#This Row],[Qtt]]*TbTradesBinance[[#This Row],[Preço]])),Z74)-IF(TbTradesBinance[[#This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Row],[Tipo]]="DROP"),Z74+TbTradesBinance[[#This Row],[Qtt]],Z74-TbTradesBinance[[#This Row],[Qtt]]),IF(TbTradesBinance[[#This Row],[Tipo]]="BUY",Z74-TbTradesBinance[[#This Row],[Qtt]]*TbTradesBinance[[#This Row],[Preço]],Z74+TbTradesBinance[[#This Row],[Qtt]]*TbTradesBinance[[#This Row],[Preço]])),Z74)-IF(TbTradesBinance[[#This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Row],[Tipo]]="DROP"),Z74+TbTradesBinance[[#This Row],[Qtt]],Z74-TbTradesBinance[[#This Row],[Qtt]]),IF(TbTradesBinance[[#This Row],[Tipo]]="BUY",Z74-TbTradesBinance[[#This Row],[Qtt]]*TbTradesBinance[[#This Row],[Preço]],Z74+TbTradesBinance[[#This Row],[Qtt]]*TbTradesBinance[[#This Row],[Preço]])),Z74)-IF(TbTradesBinance[[#This Row],[Moeda da Taxa]]=MID(Z$1,9,5),TbTradesBinance[[#This Row],[Taxa]],0),8)))</f>
        <v>0</v>
      </c>
      <c r="AA75" s="145" cm="1">
        <f t="array" ref="AA75">IF(TbTradesBinance[[#This Row],[Tipo]]="EMPTY",0,AA74+IF(TbTradesBinance[[#This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Row],[Par]]))),$1:$1,0)),-(Z74-Z75)/Z74*AA74),0),0)+IF(TbTradesBinance[[#This Row],[Tipo]]="SELL",IF(ISNUMBER(FIND(MID(AA$1,10,5),TbTradesBinance[[#This Row],[Par]])),IF(FIND(MID(AA$1,10,5),TbTradesBinance[[#This Row],[Par]])=1, -(Z74-Z75)/Z74*AA74,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Row],[Par]])),(-(Z74-Z75)/Z74*AA74)+IF(TbTradesBinance[[#This Row],[Resultado]]&gt;0,0,TbTradesBinance[[#This Row],[Taxa]]),0),0))</f>
        <v>0</v>
      </c>
      <c r="AB75" s="145">
        <f t="shared" si="24"/>
        <v>0</v>
      </c>
      <c r="AC7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Row],[Tipo]]="DROP"),AC74+TbTradesBinance[[#This Row],[Qtt]],AC74-TbTradesBinance[[#This Row],[Qtt]]),IF(TbTradesBinance[[#This Row],[Tipo]]="BUY",AC74-TbTradesBinance[[#This Row],[Qtt]]*TbTradesBinance[[#This Row],[Preço]],AC74+TbTradesBinance[[#This Row],[Qtt]]*TbTradesBinance[[#This Row],[Preço]])),AC74)-IF(TbTradesBinance[[#This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Row],[Tipo]]="DROP"),AC74+TbTradesBinance[[#This Row],[Qtt]],AC74-TbTradesBinance[[#This Row],[Qtt]]),IF(TbTradesBinance[[#This Row],[Tipo]]="BUY",AC74-TbTradesBinance[[#This Row],[Qtt]]*TbTradesBinance[[#This Row],[Preço]],AC74+TbTradesBinance[[#This Row],[Qtt]]*TbTradesBinance[[#This Row],[Preço]])),AC74)-IF(TbTradesBinance[[#This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Row],[Tipo]]="DROP"),AC74+TbTradesBinance[[#This Row],[Qtt]],AC74-TbTradesBinance[[#This Row],[Qtt]]),IF(TbTradesBinance[[#This Row],[Tipo]]="BUY",AC74-TbTradesBinance[[#This Row],[Qtt]]*TbTradesBinance[[#This Row],[Preço]],AC74+TbTradesBinance[[#This Row],[Qtt]]*TbTradesBinance[[#This Row],[Preço]])),AC74)-IF(TbTradesBinance[[#This Row],[Moeda da Taxa]]=MID(AC$1,9,5),TbTradesBinance[[#This Row],[Taxa]],0),8)))</f>
        <v>0</v>
      </c>
      <c r="AD75" s="145" cm="1">
        <f t="array" ref="AD75">IF(TbTradesBinance[[#This Row],[Tipo]]="EMPTY",0,AD74+IF(TbTradesBinance[[#This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Row],[Par]]))),$1:$1,0)),-(AC74-AC75)/AC74*AD74),0),0)+IF(TbTradesBinance[[#This Row],[Tipo]]="SELL",IF(ISNUMBER(FIND(MID(AD$1,10,5),TbTradesBinance[[#This Row],[Par]])),IF(FIND(MID(AD$1,10,5),TbTradesBinance[[#This Row],[Par]])=1, -(AC74-AC75)/AC74*AD74,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Row],[Par]])),(-(AC74-AC75)/AC74*AD74)+IF(TbTradesBinance[[#This Row],[Resultado]]&gt;0,0,TbTradesBinance[[#This Row],[Taxa]]),0),0))</f>
        <v>0</v>
      </c>
      <c r="AE75" s="145">
        <f t="shared" si="25"/>
        <v>0</v>
      </c>
      <c r="AF7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Row],[Tipo]]="DROP"),AF74+TbTradesBinance[[#This Row],[Qtt]],AF74-TbTradesBinance[[#This Row],[Qtt]]),IF(TbTradesBinance[[#This Row],[Tipo]]="BUY",AF74-TbTradesBinance[[#This Row],[Qtt]]*TbTradesBinance[[#This Row],[Preço]],AF74+TbTradesBinance[[#This Row],[Qtt]]*TbTradesBinance[[#This Row],[Preço]])),AF74)-IF(TbTradesBinance[[#This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Row],[Tipo]]="DROP"),AF74+TbTradesBinance[[#This Row],[Qtt]],AF74-TbTradesBinance[[#This Row],[Qtt]]),IF(TbTradesBinance[[#This Row],[Tipo]]="BUY",AF74-TbTradesBinance[[#This Row],[Qtt]]*TbTradesBinance[[#This Row],[Preço]],AF74+TbTradesBinance[[#This Row],[Qtt]]*TbTradesBinance[[#This Row],[Preço]])),AF74)-IF(TbTradesBinance[[#This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Row],[Tipo]]="DROP"),AF74+TbTradesBinance[[#This Row],[Qtt]],AF74-TbTradesBinance[[#This Row],[Qtt]]),IF(TbTradesBinance[[#This Row],[Tipo]]="BUY",AF74-TbTradesBinance[[#This Row],[Qtt]]*TbTradesBinance[[#This Row],[Preço]],AF74+TbTradesBinance[[#This Row],[Qtt]]*TbTradesBinance[[#This Row],[Preço]])),AF74)-IF(TbTradesBinance[[#This Row],[Moeda da Taxa]]=MID(AF$1,9,5),TbTradesBinance[[#This Row],[Taxa]],0),8)))</f>
        <v>19.98</v>
      </c>
      <c r="AG75" s="145" cm="1">
        <f t="array" ref="AG75">IF(TbTradesBinance[[#This Row],[Tipo]]="EMPTY",0,AG74+IF(TbTradesBinance[[#This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Row],[Par]]))),$1:$1,0)),-(AF74-AF75)/AF74*AG74),0),0)+IF(TbTradesBinance[[#This Row],[Tipo]]="SELL",IF(ISNUMBER(FIND(MID(AG$1,10,5),TbTradesBinance[[#This Row],[Par]])),IF(FIND(MID(AG$1,10,5),TbTradesBinance[[#This Row],[Par]])=1, -(AF74-AF75)/AF74*AG74,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Row],[Par]])),(-(AF74-AF75)/AF74*AG74)+IF(TbTradesBinance[[#This Row],[Resultado]]&gt;0,0,TbTradesBinance[[#This Row],[Taxa]]),0),0))</f>
        <v>124.04182758073662</v>
      </c>
      <c r="AH75" s="145">
        <f t="shared" si="26"/>
        <v>6.2082996787155462</v>
      </c>
      <c r="AI7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Row],[Tipo]]="DROP"),AI74+TbTradesBinance[[#This Row],[Qtt]],AI74-TbTradesBinance[[#This Row],[Qtt]]),IF(TbTradesBinance[[#This Row],[Tipo]]="BUY",AI74-TbTradesBinance[[#This Row],[Qtt]]*TbTradesBinance[[#This Row],[Preço]],AI74+TbTradesBinance[[#This Row],[Qtt]]*TbTradesBinance[[#This Row],[Preço]])),AI74)-IF(TbTradesBinance[[#This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Row],[Tipo]]="DROP"),AI74+TbTradesBinance[[#This Row],[Qtt]],AI74-TbTradesBinance[[#This Row],[Qtt]]),IF(TbTradesBinance[[#This Row],[Tipo]]="BUY",AI74-TbTradesBinance[[#This Row],[Qtt]]*TbTradesBinance[[#This Row],[Preço]],AI74+TbTradesBinance[[#This Row],[Qtt]]*TbTradesBinance[[#This Row],[Preço]])),AI74)-IF(TbTradesBinance[[#This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Row],[Tipo]]="DROP"),AI74+TbTradesBinance[[#This Row],[Qtt]],AI74-TbTradesBinance[[#This Row],[Qtt]]),IF(TbTradesBinance[[#This Row],[Tipo]]="BUY",AI74-TbTradesBinance[[#This Row],[Qtt]]*TbTradesBinance[[#This Row],[Preço]],AI74+TbTradesBinance[[#This Row],[Qtt]]*TbTradesBinance[[#This Row],[Preço]])),AI74)-IF(TbTradesBinance[[#This Row],[Moeda da Taxa]]=MID(AI$1,9,5),TbTradesBinance[[#This Row],[Taxa]],0),8)))</f>
        <v>0</v>
      </c>
      <c r="AJ75" s="145" cm="1">
        <f t="array" ref="AJ75">IF(TbTradesBinance[[#This Row],[Tipo]]="EMPTY",0,AJ74+IF(TbTradesBinance[[#This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Row],[Par]]))),$1:$1,0)),-(AI74-AI75)/AI74*AJ74),0),0)+IF(TbTradesBinance[[#This Row],[Tipo]]="SELL",IF(ISNUMBER(FIND(MID(AJ$1,10,5),TbTradesBinance[[#This Row],[Par]])),IF(FIND(MID(AJ$1,10,5),TbTradesBinance[[#This Row],[Par]])=1, -(AI74-AI75)/AI74*AJ74,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Row],[Par]])),(-(AI74-AI75)/AI74*AJ74)+IF(TbTradesBinance[[#This Row],[Resultado]]&gt;0,0,TbTradesBinance[[#This Row],[Taxa]]),0),0))</f>
        <v>0</v>
      </c>
      <c r="AK75" s="145">
        <f t="shared" si="27"/>
        <v>0</v>
      </c>
      <c r="AL7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Row],[Tipo]]="DROP"),AL74+TbTradesBinance[[#This Row],[Qtt]],AL74-TbTradesBinance[[#This Row],[Qtt]]),IF(TbTradesBinance[[#This Row],[Tipo]]="BUY",AL74-TbTradesBinance[[#This Row],[Qtt]]*TbTradesBinance[[#This Row],[Preço]],AL74+TbTradesBinance[[#This Row],[Qtt]]*TbTradesBinance[[#This Row],[Preço]])),AL74)-IF(TbTradesBinance[[#This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Row],[Tipo]]="DROP"),AL74+TbTradesBinance[[#This Row],[Qtt]],AL74-TbTradesBinance[[#This Row],[Qtt]]),IF(TbTradesBinance[[#This Row],[Tipo]]="BUY",AL74-TbTradesBinance[[#This Row],[Qtt]]*TbTradesBinance[[#This Row],[Preço]],AL74+TbTradesBinance[[#This Row],[Qtt]]*TbTradesBinance[[#This Row],[Preço]])),AL74)-IF(TbTradesBinance[[#This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Row],[Tipo]]="DROP"),AL74+TbTradesBinance[[#This Row],[Qtt]],AL74-TbTradesBinance[[#This Row],[Qtt]]),IF(TbTradesBinance[[#This Row],[Tipo]]="BUY",AL74-TbTradesBinance[[#This Row],[Qtt]]*TbTradesBinance[[#This Row],[Preço]],AL74+TbTradesBinance[[#This Row],[Qtt]]*TbTradesBinance[[#This Row],[Preço]])),AL74)-IF(TbTradesBinance[[#This Row],[Moeda da Taxa]]=MID(AL$1,9,5),TbTradesBinance[[#This Row],[Taxa]],0),8)))</f>
        <v>1.75824</v>
      </c>
      <c r="AM75" s="145" cm="1">
        <f t="array" ref="AM75">IF(TbTradesBinance[[#This Row],[Tipo]]="EMPTY",0,AM74+IF(TbTradesBinance[[#This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Row],[Par]]))),$1:$1,0)),-(AL74-AL75)/AL74*AM74),0),0)+IF(TbTradesBinance[[#This Row],[Tipo]]="SELL",IF(ISNUMBER(FIND(MID(AM$1,10,5),TbTradesBinance[[#This Row],[Par]])),IF(FIND(MID(AM$1,10,5),TbTradesBinance[[#This Row],[Par]])=1, -(AL74-AL75)/AL74*AM74,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Row],[Par]])),(-(AL74-AL75)/AL74*AM74)+IF(TbTradesBinance[[#This Row],[Resultado]]&gt;0,0,TbTradesBinance[[#This Row],[Taxa]]),0),0))</f>
        <v>144.56635471393039</v>
      </c>
      <c r="AN75" s="145">
        <f t="shared" si="28"/>
        <v>82.222196465744375</v>
      </c>
      <c r="AO7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Row],[Tipo]]="DROP"),AO74+TbTradesBinance[[#This Row],[Qtt]],AO74-TbTradesBinance[[#This Row],[Qtt]]),IF(TbTradesBinance[[#This Row],[Tipo]]="BUY",AO74-TbTradesBinance[[#This Row],[Qtt]]*TbTradesBinance[[#This Row],[Preço]],AO74+TbTradesBinance[[#This Row],[Qtt]]*TbTradesBinance[[#This Row],[Preço]])),AO74)-IF(TbTradesBinance[[#This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Row],[Tipo]]="DROP"),AO74+TbTradesBinance[[#This Row],[Qtt]],AO74-TbTradesBinance[[#This Row],[Qtt]]),IF(TbTradesBinance[[#This Row],[Tipo]]="BUY",AO74-TbTradesBinance[[#This Row],[Qtt]]*TbTradesBinance[[#This Row],[Preço]],AO74+TbTradesBinance[[#This Row],[Qtt]]*TbTradesBinance[[#This Row],[Preço]])),AO74)-IF(TbTradesBinance[[#This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Row],[Tipo]]="DROP"),AO74+TbTradesBinance[[#This Row],[Qtt]],AO74-TbTradesBinance[[#This Row],[Qtt]]),IF(TbTradesBinance[[#This Row],[Tipo]]="BUY",AO74-TbTradesBinance[[#This Row],[Qtt]]*TbTradesBinance[[#This Row],[Preço]],AO74+TbTradesBinance[[#This Row],[Qtt]]*TbTradesBinance[[#This Row],[Preço]])),AO74)-IF(TbTradesBinance[[#This Row],[Moeda da Taxa]]=MID(AO$1,9,5),TbTradesBinance[[#This Row],[Taxa]],0),8)))</f>
        <v>2.6344200000000002E-3</v>
      </c>
      <c r="AP75" s="145" cm="1">
        <f t="array" ref="AP75">IF(TbTradesBinance[[#This Row],[Tipo]]="EMPTY",0,AP74+IF(TbTradesBinance[[#This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Row],[Par]]))),$1:$1,0)),-(AO74-AO75)/AO74*AP74),0),0)+IF(TbTradesBinance[[#This Row],[Tipo]]="SELL",IF(ISNUMBER(FIND(MID(AP$1,10,5),TbTradesBinance[[#This Row],[Par]])),IF(FIND(MID(AP$1,10,5),TbTradesBinance[[#This Row],[Par]])=1, -(AO74-AO75)/AO74*AP74,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Row],[Par]])),(-(AO74-AO75)/AO74*AP74)+IF(TbTradesBinance[[#This Row],[Resultado]]&gt;0,0,TbTradesBinance[[#This Row],[Taxa]]),0),0))</f>
        <v>5.1390914851146583</v>
      </c>
      <c r="AQ75" s="145">
        <f t="shared" si="29"/>
        <v>1950.7487360081757</v>
      </c>
      <c r="AR7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Row],[Tipo]]="DROP"),AR74+TbTradesBinance[[#This Row],[Qtt]],AR74-TbTradesBinance[[#This Row],[Qtt]]),IF(TbTradesBinance[[#This Row],[Tipo]]="BUY",AR74-TbTradesBinance[[#This Row],[Qtt]]*TbTradesBinance[[#This Row],[Preço]],AR74+TbTradesBinance[[#This Row],[Qtt]]*TbTradesBinance[[#This Row],[Preço]])),AR74)-IF(TbTradesBinance[[#This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Row],[Tipo]]="DROP"),AR74+TbTradesBinance[[#This Row],[Qtt]],AR74-TbTradesBinance[[#This Row],[Qtt]]),IF(TbTradesBinance[[#This Row],[Tipo]]="BUY",AR74-TbTradesBinance[[#This Row],[Qtt]]*TbTradesBinance[[#This Row],[Preço]],AR74+TbTradesBinance[[#This Row],[Qtt]]*TbTradesBinance[[#This Row],[Preço]])),AR74)-IF(TbTradesBinance[[#This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Row],[Tipo]]="DROP"),AR74+TbTradesBinance[[#This Row],[Qtt]],AR74-TbTradesBinance[[#This Row],[Qtt]]),IF(TbTradesBinance[[#This Row],[Tipo]]="BUY",AR74-TbTradesBinance[[#This Row],[Qtt]]*TbTradesBinance[[#This Row],[Preço]],AR74+TbTradesBinance[[#This Row],[Qtt]]*TbTradesBinance[[#This Row],[Preço]])),AR74)-IF(TbTradesBinance[[#This Row],[Moeda da Taxa]]=MID(AR$1,9,5),TbTradesBinance[[#This Row],[Taxa]],0),8)))</f>
        <v>0</v>
      </c>
      <c r="AS75" s="145" cm="1">
        <f t="array" ref="AS75">IF(TbTradesBinance[[#This Row],[Tipo]]="EMPTY",0,AS74+IF(TbTradesBinance[[#This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Row],[Par]]))),$1:$1,0)),-(AR74-AR75)/AR74*AS74),0),0)+IF(TbTradesBinance[[#This Row],[Tipo]]="SELL",IF(ISNUMBER(FIND(MID(AS$1,10,5),TbTradesBinance[[#This Row],[Par]])),IF(FIND(MID(AS$1,10,5),TbTradesBinance[[#This Row],[Par]])=1, -(AR74-AR75)/AR74*AS74,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Row],[Par]])),(-(AR74-AR75)/AR74*AS74)+IF(TbTradesBinance[[#This Row],[Resultado]]&gt;0,0,TbTradesBinance[[#This Row],[Taxa]]),0),0))</f>
        <v>0</v>
      </c>
      <c r="AT75" s="145">
        <f t="shared" si="30"/>
        <v>0</v>
      </c>
      <c r="AU7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Row],[Tipo]]="DROP"),AU74+TbTradesBinance[[#This Row],[Qtt]],AU74-TbTradesBinance[[#This Row],[Qtt]]),IF(TbTradesBinance[[#This Row],[Tipo]]="BUY",AU74-TbTradesBinance[[#This Row],[Qtt]]*TbTradesBinance[[#This Row],[Preço]],AU74+TbTradesBinance[[#This Row],[Qtt]]*TbTradesBinance[[#This Row],[Preço]])),AU74)-IF(TbTradesBinance[[#This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Row],[Tipo]]="DROP"),AU74+TbTradesBinance[[#This Row],[Qtt]],AU74-TbTradesBinance[[#This Row],[Qtt]]),IF(TbTradesBinance[[#This Row],[Tipo]]="BUY",AU74-TbTradesBinance[[#This Row],[Qtt]]*TbTradesBinance[[#This Row],[Preço]],AU74+TbTradesBinance[[#This Row],[Qtt]]*TbTradesBinance[[#This Row],[Preço]])),AU74)-IF(TbTradesBinance[[#This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Row],[Tipo]]="DROP"),AU74+TbTradesBinance[[#This Row],[Qtt]],AU74-TbTradesBinance[[#This Row],[Qtt]]),IF(TbTradesBinance[[#This Row],[Tipo]]="BUY",AU74-TbTradesBinance[[#This Row],[Qtt]]*TbTradesBinance[[#This Row],[Preço]],AU74+TbTradesBinance[[#This Row],[Qtt]]*TbTradesBinance[[#This Row],[Preço]])),AU74)-IF(TbTradesBinance[[#This Row],[Moeda da Taxa]]=MID(AU$1,9,5),TbTradesBinance[[#This Row],[Taxa]],0),8)))</f>
        <v>0.26989999999999997</v>
      </c>
      <c r="AV75" s="145" cm="1">
        <f t="array" ref="AV75">IF(TbTradesBinance[[#This Row],[Tipo]]="EMPTY",0,AV74+IF(TbTradesBinance[[#This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Row],[Par]]))),$1:$1,0)),-(AU74-AU75)/AU74*AV74),0),0)+IF(TbTradesBinance[[#This Row],[Tipo]]="SELL",IF(ISNUMBER(FIND(MID(AV$1,10,5),TbTradesBinance[[#This Row],[Par]])),IF(FIND(MID(AV$1,10,5),TbTradesBinance[[#This Row],[Par]])=1, -(AU74-AU75)/AU74*AV74,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Row],[Par]])),(-(AU74-AU75)/AU74*AV74)+IF(TbTradesBinance[[#This Row],[Resultado]]&gt;0,0,TbTradesBinance[[#This Row],[Taxa]]),0),0))</f>
        <v>56.09788062740806</v>
      </c>
      <c r="AW75" s="145">
        <f t="shared" si="31"/>
        <v>207.8469085861729</v>
      </c>
      <c r="AX7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Row],[Tipo]]="DROP"),AX74+TbTradesBinance[[#This Row],[Qtt]],AX74-TbTradesBinance[[#This Row],[Qtt]]),IF(TbTradesBinance[[#This Row],[Tipo]]="BUY",AX74-TbTradesBinance[[#This Row],[Qtt]]*TbTradesBinance[[#This Row],[Preço]],AX74+TbTradesBinance[[#This Row],[Qtt]]*TbTradesBinance[[#This Row],[Preço]])),AX74)-IF(TbTradesBinance[[#This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Row],[Tipo]]="DROP"),AX74+TbTradesBinance[[#This Row],[Qtt]],AX74-TbTradesBinance[[#This Row],[Qtt]]),IF(TbTradesBinance[[#This Row],[Tipo]]="BUY",AX74-TbTradesBinance[[#This Row],[Qtt]]*TbTradesBinance[[#This Row],[Preço]],AX74+TbTradesBinance[[#This Row],[Qtt]]*TbTradesBinance[[#This Row],[Preço]])),AX74)-IF(TbTradesBinance[[#This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Row],[Tipo]]="DROP"),AX74+TbTradesBinance[[#This Row],[Qtt]],AX74-TbTradesBinance[[#This Row],[Qtt]]),IF(TbTradesBinance[[#This Row],[Tipo]]="BUY",AX74-TbTradesBinance[[#This Row],[Qtt]]*TbTradesBinance[[#This Row],[Preço]],AX74+TbTradesBinance[[#This Row],[Qtt]]*TbTradesBinance[[#This Row],[Preço]])),AX74)-IF(TbTradesBinance[[#This Row],[Moeda da Taxa]]=MID(AX$1,9,5),TbTradesBinance[[#This Row],[Taxa]],0),8)))</f>
        <v>0.22636999999999999</v>
      </c>
      <c r="AY75" s="145" cm="1">
        <f t="array" ref="AY75">IF(TbTradesBinance[[#This Row],[Tipo]]="EMPTY",0,AY74+IF(TbTradesBinance[[#This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Row],[Par]]))),$1:$1,0)),-(AX74-AX75)/AX74*AY74),0),0)+IF(TbTradesBinance[[#This Row],[Tipo]]="SELL",IF(ISNUMBER(FIND(MID(AY$1,10,5),TbTradesBinance[[#This Row],[Par]])),IF(FIND(MID(AY$1,10,5),TbTradesBinance[[#This Row],[Par]])=1, -(AX74-AX75)/AX74*AY74,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Row],[Par]])),(-(AX74-AX75)/AX74*AY74)+IF(TbTradesBinance[[#This Row],[Resultado]]&gt;0,0,TbTradesBinance[[#This Row],[Taxa]]),0),0))</f>
        <v>40.781337593356859</v>
      </c>
      <c r="AZ75" s="145">
        <f t="shared" si="32"/>
        <v>180.15345493376711</v>
      </c>
      <c r="BA7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Row],[Tipo]]="DROP"),BA74+TbTradesBinance[[#This Row],[Qtt]],BA74-TbTradesBinance[[#This Row],[Qtt]]),IF(TbTradesBinance[[#This Row],[Tipo]]="BUY",BA74-TbTradesBinance[[#This Row],[Qtt]]*TbTradesBinance[[#This Row],[Preço]],BA74+TbTradesBinance[[#This Row],[Qtt]]*TbTradesBinance[[#This Row],[Preço]])),BA74)-IF(TbTradesBinance[[#This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Row],[Tipo]]="DROP"),BA74+TbTradesBinance[[#This Row],[Qtt]],BA74-TbTradesBinance[[#This Row],[Qtt]]),IF(TbTradesBinance[[#This Row],[Tipo]]="BUY",BA74-TbTradesBinance[[#This Row],[Qtt]]*TbTradesBinance[[#This Row],[Preço]],BA74+TbTradesBinance[[#This Row],[Qtt]]*TbTradesBinance[[#This Row],[Preço]])),BA74)-IF(TbTradesBinance[[#This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Row],[Tipo]]="DROP"),BA74+TbTradesBinance[[#This Row],[Qtt]],BA74-TbTradesBinance[[#This Row],[Qtt]]),IF(TbTradesBinance[[#This Row],[Tipo]]="BUY",BA74-TbTradesBinance[[#This Row],[Qtt]]*TbTradesBinance[[#This Row],[Preço]],BA74+TbTradesBinance[[#This Row],[Qtt]]*TbTradesBinance[[#This Row],[Preço]])),BA74)-IF(TbTradesBinance[[#This Row],[Moeda da Taxa]]=MID(BA$1,9,5),TbTradesBinance[[#This Row],[Taxa]],0),8)))</f>
        <v>0</v>
      </c>
      <c r="BB75" s="145" cm="1">
        <f t="array" ref="BB75">IF(TbTradesBinance[[#This Row],[Tipo]]="EMPTY",0,BB74+IF(TbTradesBinance[[#This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Row],[Par]]))),$1:$1,0)),-(BA74-BA75)/BA74*BB74),0),0)+IF(TbTradesBinance[[#This Row],[Tipo]]="SELL",IF(ISNUMBER(FIND(MID(BB$1,10,5),TbTradesBinance[[#This Row],[Par]])),IF(FIND(MID(BB$1,10,5),TbTradesBinance[[#This Row],[Par]])=1, -(BA74-BA75)/BA74*BB74,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Row],[Par]])),(-(BA74-BA75)/BA74*BB74)+IF(TbTradesBinance[[#This Row],[Resultado]]&gt;0,0,TbTradesBinance[[#This Row],[Taxa]]),0),0))</f>
        <v>0</v>
      </c>
      <c r="BC75" s="145">
        <f t="shared" si="33"/>
        <v>0</v>
      </c>
      <c r="BD7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Row],[Tipo]]="DROP"),BD74+TbTradesBinance[[#This Row],[Qtt]],BD74-TbTradesBinance[[#This Row],[Qtt]]),IF(TbTradesBinance[[#This Row],[Tipo]]="BUY",BD74-TbTradesBinance[[#This Row],[Qtt]]*TbTradesBinance[[#This Row],[Preço]],BD74+TbTradesBinance[[#This Row],[Qtt]]*TbTradesBinance[[#This Row],[Preço]])),BD74)-IF(TbTradesBinance[[#This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Row],[Tipo]]="DROP"),BD74+TbTradesBinance[[#This Row],[Qtt]],BD74-TbTradesBinance[[#This Row],[Qtt]]),IF(TbTradesBinance[[#This Row],[Tipo]]="BUY",BD74-TbTradesBinance[[#This Row],[Qtt]]*TbTradesBinance[[#This Row],[Preço]],BD74+TbTradesBinance[[#This Row],[Qtt]]*TbTradesBinance[[#This Row],[Preço]])),BD74)-IF(TbTradesBinance[[#This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Row],[Tipo]]="DROP"),BD74+TbTradesBinance[[#This Row],[Qtt]],BD74-TbTradesBinance[[#This Row],[Qtt]]),IF(TbTradesBinance[[#This Row],[Tipo]]="BUY",BD74-TbTradesBinance[[#This Row],[Qtt]]*TbTradesBinance[[#This Row],[Preço]],BD74+TbTradesBinance[[#This Row],[Qtt]]*TbTradesBinance[[#This Row],[Preço]])),BD74)-IF(TbTradesBinance[[#This Row],[Moeda da Taxa]]=MID(BD$1,9,5),TbTradesBinance[[#This Row],[Taxa]],0),8)))</f>
        <v>0.37962000000000001</v>
      </c>
      <c r="BE75" s="145" cm="1">
        <f t="array" ref="BE75">IF(TbTradesBinance[[#This Row],[Tipo]]="EMPTY",0,BE74+IF(TbTradesBinance[[#This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Row],[Par]]))),$1:$1,0)),-(BD74-BD75)/BD74*BE74),0),0)+IF(TbTradesBinance[[#This Row],[Tipo]]="SELL",IF(ISNUMBER(FIND(MID(BE$1,10,5),TbTradesBinance[[#This Row],[Par]])),IF(FIND(MID(BE$1,10,5),TbTradesBinance[[#This Row],[Par]])=1, -(BD74-BD75)/BD74*BE74,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Row],[Par]])),(-(BD74-BD75)/BD74*BE74)+IF(TbTradesBinance[[#This Row],[Resultado]]&gt;0,0,TbTradesBinance[[#This Row],[Taxa]]),0),0))</f>
        <v>63.647297001537943</v>
      </c>
      <c r="BF75" s="145">
        <f t="shared" si="34"/>
        <v>167.66054739354601</v>
      </c>
      <c r="BG7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Row],[Tipo]]="DROP"),BG74+TbTradesBinance[[#This Row],[Qtt]],BG74-TbTradesBinance[[#This Row],[Qtt]]),IF(TbTradesBinance[[#This Row],[Tipo]]="BUY",BG74-TbTradesBinance[[#This Row],[Qtt]]*TbTradesBinance[[#This Row],[Preço]],BG74+TbTradesBinance[[#This Row],[Qtt]]*TbTradesBinance[[#This Row],[Preço]])),BG74)-IF(TbTradesBinance[[#This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Row],[Tipo]]="DROP"),BG74+TbTradesBinance[[#This Row],[Qtt]],BG74-TbTradesBinance[[#This Row],[Qtt]]),IF(TbTradesBinance[[#This Row],[Tipo]]="BUY",BG74-TbTradesBinance[[#This Row],[Qtt]]*TbTradesBinance[[#This Row],[Preço]],BG74+TbTradesBinance[[#This Row],[Qtt]]*TbTradesBinance[[#This Row],[Preço]])),BG74)-IF(TbTradesBinance[[#This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Row],[Tipo]]="DROP"),BG74+TbTradesBinance[[#This Row],[Qtt]],BG74-TbTradesBinance[[#This Row],[Qtt]]),IF(TbTradesBinance[[#This Row],[Tipo]]="BUY",BG74-TbTradesBinance[[#This Row],[Qtt]]*TbTradesBinance[[#This Row],[Preço]],BG74+TbTradesBinance[[#This Row],[Qtt]]*TbTradesBinance[[#This Row],[Preço]])),BG74)-IF(TbTradesBinance[[#This Row],[Moeda da Taxa]]=MID(BG$1,9,5),TbTradesBinance[[#This Row],[Taxa]],0),8)))</f>
        <v>111.71817</v>
      </c>
      <c r="BH75" s="145" cm="1">
        <f t="array" ref="BH75">IF(TbTradesBinance[[#This Row],[Tipo]]="EMPTY",0,BH74+IF(TbTradesBinance[[#This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Row],[Par]]))),$1:$1,0)),-(BG74-BG75)/BG74*BH74),0),0)+IF(TbTradesBinance[[#This Row],[Tipo]]="SELL",IF(ISNUMBER(FIND(MID(BH$1,10,5),TbTradesBinance[[#This Row],[Par]])),IF(FIND(MID(BH$1,10,5),TbTradesBinance[[#This Row],[Par]])=1, -(BG74-BG75)/BG74*BH74,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Row],[Par]])),(-(BG74-BG75)/BG74*BH74)+IF(TbTradesBinance[[#This Row],[Resultado]]&gt;0,0,TbTradesBinance[[#This Row],[Taxa]]),0),0))</f>
        <v>401.31269619490814</v>
      </c>
      <c r="BI75" s="145">
        <f t="shared" si="35"/>
        <v>3.5921882375526573</v>
      </c>
      <c r="BJ7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Row],[Tipo]]="DROP"),BJ74+TbTradesBinance[[#This Row],[Qtt]],BJ74-TbTradesBinance[[#This Row],[Qtt]]),IF(TbTradesBinance[[#This Row],[Tipo]]="BUY",BJ74-TbTradesBinance[[#This Row],[Qtt]]*TbTradesBinance[[#This Row],[Preço]],BJ74+TbTradesBinance[[#This Row],[Qtt]]*TbTradesBinance[[#This Row],[Preço]])),BJ74)-IF(TbTradesBinance[[#This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Row],[Tipo]]="DROP"),BJ74+TbTradesBinance[[#This Row],[Qtt]],BJ74-TbTradesBinance[[#This Row],[Qtt]]),IF(TbTradesBinance[[#This Row],[Tipo]]="BUY",BJ74-TbTradesBinance[[#This Row],[Qtt]]*TbTradesBinance[[#This Row],[Preço]],BJ74+TbTradesBinance[[#This Row],[Qtt]]*TbTradesBinance[[#This Row],[Preço]])),BJ74)-IF(TbTradesBinance[[#This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Row],[Tipo]]="DROP"),BJ74+TbTradesBinance[[#This Row],[Qtt]],BJ74-TbTradesBinance[[#This Row],[Qtt]]),IF(TbTradesBinance[[#This Row],[Tipo]]="BUY",BJ74-TbTradesBinance[[#This Row],[Qtt]]*TbTradesBinance[[#This Row],[Preço]],BJ74+TbTradesBinance[[#This Row],[Qtt]]*TbTradesBinance[[#This Row],[Preço]])),BJ74)-IF(TbTradesBinance[[#This Row],[Moeda da Taxa]]=MID(BJ$1,9,5),TbTradesBinance[[#This Row],[Taxa]],0),8)))</f>
        <v>0</v>
      </c>
      <c r="BK75" s="145" cm="1">
        <f t="array" ref="BK75">IF(TbTradesBinance[[#This Row],[Tipo]]="EMPTY",0,BK74+IF(TbTradesBinance[[#This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Row],[Par]]))),$1:$1,0)),-(BJ74-BJ75)/BJ74*BK74),0),0)+IF(TbTradesBinance[[#This Row],[Tipo]]="SELL",IF(ISNUMBER(FIND(MID(BK$1,10,5),TbTradesBinance[[#This Row],[Par]])),IF(FIND(MID(BK$1,10,5),TbTradesBinance[[#This Row],[Par]])=1, -(BJ74-BJ75)/BJ74*BK74,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Row],[Par]])),(-(BJ74-BJ75)/BJ74*BK74)+IF(TbTradesBinance[[#This Row],[Resultado]]&gt;0,0,TbTradesBinance[[#This Row],[Taxa]]),0),0))</f>
        <v>0</v>
      </c>
      <c r="BL75" s="145">
        <f t="shared" si="36"/>
        <v>0</v>
      </c>
      <c r="BM7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Row],[Tipo]]="DROP"),BM74+TbTradesBinance[[#This Row],[Qtt]],BM74-TbTradesBinance[[#This Row],[Qtt]]),IF(TbTradesBinance[[#This Row],[Tipo]]="BUY",BM74-TbTradesBinance[[#This Row],[Qtt]]*TbTradesBinance[[#This Row],[Preço]],BM74+TbTradesBinance[[#This Row],[Qtt]]*TbTradesBinance[[#This Row],[Preço]])),BM74)-IF(TbTradesBinance[[#This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Row],[Tipo]]="DROP"),BM74+TbTradesBinance[[#This Row],[Qtt]],BM74-TbTradesBinance[[#This Row],[Qtt]]),IF(TbTradesBinance[[#This Row],[Tipo]]="BUY",BM74-TbTradesBinance[[#This Row],[Qtt]]*TbTradesBinance[[#This Row],[Preço]],BM74+TbTradesBinance[[#This Row],[Qtt]]*TbTradesBinance[[#This Row],[Preço]])),BM74)-IF(TbTradesBinance[[#This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Row],[Tipo]]="DROP"),BM74+TbTradesBinance[[#This Row],[Qtt]],BM74-TbTradesBinance[[#This Row],[Qtt]]),IF(TbTradesBinance[[#This Row],[Tipo]]="BUY",BM74-TbTradesBinance[[#This Row],[Qtt]]*TbTradesBinance[[#This Row],[Preço]],BM74+TbTradesBinance[[#This Row],[Qtt]]*TbTradesBinance[[#This Row],[Preço]])),BM74)-IF(TbTradesBinance[[#This Row],[Moeda da Taxa]]=MID(BM$1,9,5),TbTradesBinance[[#This Row],[Taxa]],0),8)))</f>
        <v>0</v>
      </c>
      <c r="BN75" s="145" cm="1">
        <f t="array" ref="BN75">IF(TbTradesBinance[[#This Row],[Tipo]]="EMPTY",0,BN74+IF(TbTradesBinance[[#This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Row],[Par]]))),$1:$1,0)),-(BM74-BM75)/BM74*BN74),0),0)+IF(TbTradesBinance[[#This Row],[Tipo]]="SELL",IF(ISNUMBER(FIND(MID(BN$1,10,5),TbTradesBinance[[#This Row],[Par]])),IF(FIND(MID(BN$1,10,5),TbTradesBinance[[#This Row],[Par]])=1, -(BM74-BM75)/BM74*BN74,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Row],[Par]])),(-(BM74-BM75)/BM74*BN74)+IF(TbTradesBinance[[#This Row],[Resultado]]&gt;0,0,TbTradesBinance[[#This Row],[Taxa]]),0),0))</f>
        <v>0</v>
      </c>
      <c r="BO75" s="145">
        <f t="shared" si="37"/>
        <v>0</v>
      </c>
    </row>
    <row r="76" spans="2:67" x14ac:dyDescent="0.3">
      <c r="B76" s="51" t="s">
        <v>107</v>
      </c>
      <c r="C76" s="40">
        <f>TRUNC(IF(AND(TbTradesBinance[[#This Row],[Tipo]]="SEND",TbTradesBinance[[#This Row],[Par]]="BRL"),TbTradesBinance[[#This Row],[Qtt]]*(1-P74)-IF(TbTradesBinance[[#This Row],[Moeda da Taxa]]="BRL",TbTradesBinance[[#This Row],[Taxa]],0),0)+IF(AND(TbTradesBinance[[#This Row],[Tipo]]="BURN",TbTradesBinance[[#This Row],[Par]]="BRL"),-TbTradesBinance[[#This Row],[Qtt]]*P74,0),2)</f>
        <v>0</v>
      </c>
      <c r="D76" s="53">
        <v>44266.726631944446</v>
      </c>
      <c r="E76" s="37" t="s">
        <v>243</v>
      </c>
      <c r="F76" s="47" t="s">
        <v>139</v>
      </c>
      <c r="G76" s="38">
        <v>291.44839856999999</v>
      </c>
      <c r="H76" s="38">
        <v>2.8100000000000002E-6</v>
      </c>
      <c r="I76" s="38">
        <v>5.9999999999999995E-8</v>
      </c>
      <c r="J76" s="37" t="s">
        <v>45</v>
      </c>
      <c r="K76" s="52">
        <v>5.6</v>
      </c>
      <c r="L76" s="40">
        <f t="shared" si="19"/>
        <v>1632.11</v>
      </c>
      <c r="M76" s="40">
        <f>IF(OR(TbTradesBinance[[#This Row],[Tipo]]="BUY",TbTradesBinance[[#This Row],[Tipo]]="RECEIVE",TbTradesBinance[[#This Row],[Tipo]]="DROP"),L76*H76,-L76*H76)</f>
        <v>4.5862291000000003E-3</v>
      </c>
      <c r="N7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Row],[Tipo]]="DROP"),N75+TbTradesBinance[[#This Row],[Qtt]],N75-TbTradesBinance[[#This Row],[Qtt]]),IF(TbTradesBinance[[#This Row],[Tipo]]="BUY",N75-TbTradesBinance[[#This Row],[Qtt]]*TbTradesBinance[[#This Row],[Preço]],N75+TbTradesBinance[[#This Row],[Qtt]]*TbTradesBinance[[#This Row],[Preço]])),N75)-IF(TbTradesBinance[[#This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Row],[Tipo]]="DROP"),N75+TbTradesBinance[[#This Row],[Qtt]],N75-TbTradesBinance[[#This Row],[Qtt]]),IF(TbTradesBinance[[#This Row],[Tipo]]="BUY",N75-TbTradesBinance[[#This Row],[Qtt]]*TbTradesBinance[[#This Row],[Preço]],N75+TbTradesBinance[[#This Row],[Qtt]]*TbTradesBinance[[#This Row],[Preço]])),N75)-IF(TbTradesBinance[[#This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Row],[Tipo]]="DROP"),N75+TbTradesBinance[[#This Row],[Qtt]],N75-TbTradesBinance[[#This Row],[Qtt]]),IF(TbTradesBinance[[#This Row],[Tipo]]="BUY",N75-TbTradesBinance[[#This Row],[Qtt]]*TbTradesBinance[[#This Row],[Preço]],N75+TbTradesBinance[[#This Row],[Qtt]]*TbTradesBinance[[#This Row],[Preço]])),N75)-IF(TbTradesBinance[[#This Row],[Moeda da Taxa]]=MID(N$1,9,5),TbTradesBinance[[#This Row],[Taxa]],0),8)))</f>
        <v>119745.52550598999</v>
      </c>
      <c r="O76" s="145" cm="1">
        <f t="array" ref="O76">IF(TbTradesBinance[[#This Row],[Tipo]]="EMPTY",0,O75+IF(TbTradesBinance[[#This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Row],[Par]]))),$1:$1,0)),-(N75-N76)/N75*O75),0),0)+IF(TbTradesBinance[[#This Row],[Tipo]]="SELL",IF(ISNUMBER(FIND(MID(O$1,10,5),TbTradesBinance[[#This Row],[Par]])),IF(FIND(MID(O$1,10,5),TbTradesBinance[[#This Row],[Par]])=1, -(N75-N76)/N75*O75,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Row],[Par]])),(-(N75-N76)/N75*O75)+IF(TbTradesBinance[[#This Row],[Resultado]]&gt;0,0,TbTradesBinance[[#This Row],[Taxa]]),0),0))</f>
        <v>119649.32558674218</v>
      </c>
      <c r="P76" s="145">
        <f t="shared" si="20"/>
        <v>0.99919663036392126</v>
      </c>
      <c r="Q7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Row],[Tipo]]="DROP"),Q75+TbTradesBinance[[#This Row],[Qtt]],Q75-TbTradesBinance[[#This Row],[Qtt]]),IF(TbTradesBinance[[#This Row],[Tipo]]="BUY",Q75-TbTradesBinance[[#This Row],[Qtt]]*TbTradesBinance[[#This Row],[Preço]],Q75+TbTradesBinance[[#This Row],[Qtt]]*TbTradesBinance[[#This Row],[Preço]])),Q75)-IF(TbTradesBinance[[#This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Row],[Tipo]]="DROP"),Q75+TbTradesBinance[[#This Row],[Qtt]],Q75-TbTradesBinance[[#This Row],[Qtt]]),IF(TbTradesBinance[[#This Row],[Tipo]]="BUY",Q75-TbTradesBinance[[#This Row],[Qtt]]*TbTradesBinance[[#This Row],[Preço]],Q75+TbTradesBinance[[#This Row],[Qtt]]*TbTradesBinance[[#This Row],[Preço]])),Q75)-IF(TbTradesBinance[[#This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Row],[Tipo]]="DROP"),Q75+TbTradesBinance[[#This Row],[Qtt]],Q75-TbTradesBinance[[#This Row],[Qtt]]),IF(TbTradesBinance[[#This Row],[Tipo]]="BUY",Q75-TbTradesBinance[[#This Row],[Qtt]]*TbTradesBinance[[#This Row],[Preço]],Q75+TbTradesBinance[[#This Row],[Qtt]]*TbTradesBinance[[#This Row],[Preço]])),Q75)-IF(TbTradesBinance[[#This Row],[Moeda da Taxa]]=MID(Q$1,9,5),TbTradesBinance[[#This Row],[Taxa]],0),8)))</f>
        <v>8.2799990000000004E-2</v>
      </c>
      <c r="R76" s="145" cm="1">
        <f t="array" ref="R76">IF(TbTradesBinance[[#This Row],[Tipo]]="EMPTY",0,R75+IF(TbTradesBinance[[#This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Row],[Par]]))),$1:$1,0)),-(Q75-Q76)/Q75*R75),0),0)+IF(TbTradesBinance[[#This Row],[Tipo]]="SELL",IF(ISNUMBER(FIND(MID(R$1,10,5),TbTradesBinance[[#This Row],[Par]])),IF(FIND(MID(R$1,10,5),TbTradesBinance[[#This Row],[Par]])=1, -(Q75-Q76)/Q75*R75,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Row],[Par]])),(-(Q75-Q76)/Q75*R75)+IF(TbTradesBinance[[#This Row],[Resultado]]&gt;0,0,TbTradesBinance[[#This Row],[Taxa]]),0),0))</f>
        <v>0.46008090465994195</v>
      </c>
      <c r="S76" s="145">
        <f t="shared" si="21"/>
        <v>5.5565333360540494</v>
      </c>
      <c r="T7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Row],[Tipo]]="DROP"),T75+TbTradesBinance[[#This Row],[Qtt]],T75-TbTradesBinance[[#This Row],[Qtt]]),IF(TbTradesBinance[[#This Row],[Tipo]]="BUY",T75-TbTradesBinance[[#This Row],[Qtt]]*TbTradesBinance[[#This Row],[Preço]],T75+TbTradesBinance[[#This Row],[Qtt]]*TbTradesBinance[[#This Row],[Preço]])),T75)-IF(TbTradesBinance[[#This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Row],[Tipo]]="DROP"),T75+TbTradesBinance[[#This Row],[Qtt]],T75-TbTradesBinance[[#This Row],[Qtt]]),IF(TbTradesBinance[[#This Row],[Tipo]]="BUY",T75-TbTradesBinance[[#This Row],[Qtt]]*TbTradesBinance[[#This Row],[Preço]],T75+TbTradesBinance[[#This Row],[Qtt]]*TbTradesBinance[[#This Row],[Preço]])),T75)-IF(TbTradesBinance[[#This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Row],[Tipo]]="DROP"),T75+TbTradesBinance[[#This Row],[Qtt]],T75-TbTradesBinance[[#This Row],[Qtt]]),IF(TbTradesBinance[[#This Row],[Tipo]]="BUY",T75-TbTradesBinance[[#This Row],[Qtt]]*TbTradesBinance[[#This Row],[Preço]],T75+TbTradesBinance[[#This Row],[Qtt]]*TbTradesBinance[[#This Row],[Preço]])),T75)-IF(TbTradesBinance[[#This Row],[Moeda da Taxa]]=MID(T$1,9,5),TbTradesBinance[[#This Row],[Taxa]],0),8)))</f>
        <v>199735.32000169999</v>
      </c>
      <c r="U76" s="145" cm="1">
        <f t="array" ref="U76">IF(TbTradesBinance[[#This Row],[Tipo]]="EMPTY",0,U75+IF(TbTradesBinance[[#This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Row],[Par]]))),$1:$1,0)),-(T75-T76)/T75*U75),0),0)+IF(TbTradesBinance[[#This Row],[Tipo]]="SELL",IF(ISNUMBER(FIND(MID(U$1,10,5),TbTradesBinance[[#This Row],[Par]])),IF(FIND(MID(U$1,10,5),TbTradesBinance[[#This Row],[Par]])=1, -(T75-T76)/T75*U75,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Row],[Par]])),(-(T75-T76)/T75*U75)+IF(TbTradesBinance[[#This Row],[Resultado]]&gt;0,0,TbTradesBinance[[#This Row],[Taxa]]),0),0))</f>
        <v>1328239.8809817513</v>
      </c>
      <c r="V76" s="145">
        <f t="shared" si="22"/>
        <v>6.6500000148719129</v>
      </c>
      <c r="W7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Row],[Tipo]]="DROP"),W75+TbTradesBinance[[#This Row],[Qtt]],W75-TbTradesBinance[[#This Row],[Qtt]]),IF(TbTradesBinance[[#This Row],[Tipo]]="BUY",W75-TbTradesBinance[[#This Row],[Qtt]]*TbTradesBinance[[#This Row],[Preço]],W75+TbTradesBinance[[#This Row],[Qtt]]*TbTradesBinance[[#This Row],[Preço]])),W75)-IF(TbTradesBinance[[#This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Row],[Tipo]]="DROP"),W75+TbTradesBinance[[#This Row],[Qtt]],W75-TbTradesBinance[[#This Row],[Qtt]]),IF(TbTradesBinance[[#This Row],[Tipo]]="BUY",W75-TbTradesBinance[[#This Row],[Qtt]]*TbTradesBinance[[#This Row],[Preço]],W75+TbTradesBinance[[#This Row],[Qtt]]*TbTradesBinance[[#This Row],[Preço]])),W75)-IF(TbTradesBinance[[#This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Row],[Tipo]]="DROP"),W75+TbTradesBinance[[#This Row],[Qtt]],W75-TbTradesBinance[[#This Row],[Qtt]]),IF(TbTradesBinance[[#This Row],[Tipo]]="BUY",W75-TbTradesBinance[[#This Row],[Qtt]]*TbTradesBinance[[#This Row],[Preço]],W75+TbTradesBinance[[#This Row],[Qtt]]*TbTradesBinance[[#This Row],[Preço]])),W75)-IF(TbTradesBinance[[#This Row],[Moeda da Taxa]]=MID(W$1,9,5),TbTradesBinance[[#This Row],[Taxa]],0),8)))</f>
        <v>3.1926300000000001E-3</v>
      </c>
      <c r="X76" s="145" cm="1">
        <f t="array" ref="X76">IF(TbTradesBinance[[#This Row],[Tipo]]="EMPTY",0,X75+IF(TbTradesBinance[[#This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Row],[Par]]))),$1:$1,0)),-(W75-W76)/W75*X75),0),0)+IF(TbTradesBinance[[#This Row],[Tipo]]="SELL",IF(ISNUMBER(FIND(MID(X$1,10,5),TbTradesBinance[[#This Row],[Par]])),IF(FIND(MID(X$1,10,5),TbTradesBinance[[#This Row],[Par]])=1, -(W75-W76)/W75*X75,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Row],[Par]])),(-(W75-W76)/W75*X75)+IF(TbTradesBinance[[#This Row],[Resultado]]&gt;0,0,TbTradesBinance[[#This Row],[Taxa]]),0),0))</f>
        <v>1021.8199346464224</v>
      </c>
      <c r="Y76" s="145">
        <f t="shared" si="23"/>
        <v>320055.85822548257</v>
      </c>
      <c r="Z7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Row],[Tipo]]="DROP"),Z75+TbTradesBinance[[#This Row],[Qtt]],Z75-TbTradesBinance[[#This Row],[Qtt]]),IF(TbTradesBinance[[#This Row],[Tipo]]="BUY",Z75-TbTradesBinance[[#This Row],[Qtt]]*TbTradesBinance[[#This Row],[Preço]],Z75+TbTradesBinance[[#This Row],[Qtt]]*TbTradesBinance[[#This Row],[Preço]])),Z75)-IF(TbTradesBinance[[#This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Row],[Tipo]]="DROP"),Z75+TbTradesBinance[[#This Row],[Qtt]],Z75-TbTradesBinance[[#This Row],[Qtt]]),IF(TbTradesBinance[[#This Row],[Tipo]]="BUY",Z75-TbTradesBinance[[#This Row],[Qtt]]*TbTradesBinance[[#This Row],[Preço]],Z75+TbTradesBinance[[#This Row],[Qtt]]*TbTradesBinance[[#This Row],[Preço]])),Z75)-IF(TbTradesBinance[[#This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Row],[Tipo]]="DROP"),Z75+TbTradesBinance[[#This Row],[Qtt]],Z75-TbTradesBinance[[#This Row],[Qtt]]),IF(TbTradesBinance[[#This Row],[Tipo]]="BUY",Z75-TbTradesBinance[[#This Row],[Qtt]]*TbTradesBinance[[#This Row],[Preço]],Z75+TbTradesBinance[[#This Row],[Qtt]]*TbTradesBinance[[#This Row],[Preço]])),Z75)-IF(TbTradesBinance[[#This Row],[Moeda da Taxa]]=MID(Z$1,9,5),TbTradesBinance[[#This Row],[Taxa]],0),8)))</f>
        <v>0</v>
      </c>
      <c r="AA76" s="145" cm="1">
        <f t="array" ref="AA76">IF(TbTradesBinance[[#This Row],[Tipo]]="EMPTY",0,AA75+IF(TbTradesBinance[[#This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Row],[Par]]))),$1:$1,0)),-(Z75-Z76)/Z75*AA75),0),0)+IF(TbTradesBinance[[#This Row],[Tipo]]="SELL",IF(ISNUMBER(FIND(MID(AA$1,10,5),TbTradesBinance[[#This Row],[Par]])),IF(FIND(MID(AA$1,10,5),TbTradesBinance[[#This Row],[Par]])=1, -(Z75-Z76)/Z75*AA75,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Row],[Par]])),(-(Z75-Z76)/Z75*AA75)+IF(TbTradesBinance[[#This Row],[Resultado]]&gt;0,0,TbTradesBinance[[#This Row],[Taxa]]),0),0))</f>
        <v>0</v>
      </c>
      <c r="AB76" s="145">
        <f t="shared" si="24"/>
        <v>0</v>
      </c>
      <c r="AC7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Row],[Tipo]]="DROP"),AC75+TbTradesBinance[[#This Row],[Qtt]],AC75-TbTradesBinance[[#This Row],[Qtt]]),IF(TbTradesBinance[[#This Row],[Tipo]]="BUY",AC75-TbTradesBinance[[#This Row],[Qtt]]*TbTradesBinance[[#This Row],[Preço]],AC75+TbTradesBinance[[#This Row],[Qtt]]*TbTradesBinance[[#This Row],[Preço]])),AC75)-IF(TbTradesBinance[[#This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Row],[Tipo]]="DROP"),AC75+TbTradesBinance[[#This Row],[Qtt]],AC75-TbTradesBinance[[#This Row],[Qtt]]),IF(TbTradesBinance[[#This Row],[Tipo]]="BUY",AC75-TbTradesBinance[[#This Row],[Qtt]]*TbTradesBinance[[#This Row],[Preço]],AC75+TbTradesBinance[[#This Row],[Qtt]]*TbTradesBinance[[#This Row],[Preço]])),AC75)-IF(TbTradesBinance[[#This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Row],[Tipo]]="DROP"),AC75+TbTradesBinance[[#This Row],[Qtt]],AC75-TbTradesBinance[[#This Row],[Qtt]]),IF(TbTradesBinance[[#This Row],[Tipo]]="BUY",AC75-TbTradesBinance[[#This Row],[Qtt]]*TbTradesBinance[[#This Row],[Preço]],AC75+TbTradesBinance[[#This Row],[Qtt]]*TbTradesBinance[[#This Row],[Preço]])),AC75)-IF(TbTradesBinance[[#This Row],[Moeda da Taxa]]=MID(AC$1,9,5),TbTradesBinance[[#This Row],[Taxa]],0),8)))</f>
        <v>0</v>
      </c>
      <c r="AD76" s="145" cm="1">
        <f t="array" ref="AD76">IF(TbTradesBinance[[#This Row],[Tipo]]="EMPTY",0,AD75+IF(TbTradesBinance[[#This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Row],[Par]]))),$1:$1,0)),-(AC75-AC76)/AC75*AD75),0),0)+IF(TbTradesBinance[[#This Row],[Tipo]]="SELL",IF(ISNUMBER(FIND(MID(AD$1,10,5),TbTradesBinance[[#This Row],[Par]])),IF(FIND(MID(AD$1,10,5),TbTradesBinance[[#This Row],[Par]])=1, -(AC75-AC76)/AC75*AD75,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Row],[Par]])),(-(AC75-AC76)/AC75*AD75)+IF(TbTradesBinance[[#This Row],[Resultado]]&gt;0,0,TbTradesBinance[[#This Row],[Taxa]]),0),0))</f>
        <v>0</v>
      </c>
      <c r="AE76" s="145">
        <f t="shared" si="25"/>
        <v>0</v>
      </c>
      <c r="AF7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Row],[Tipo]]="DROP"),AF75+TbTradesBinance[[#This Row],[Qtt]],AF75-TbTradesBinance[[#This Row],[Qtt]]),IF(TbTradesBinance[[#This Row],[Tipo]]="BUY",AF75-TbTradesBinance[[#This Row],[Qtt]]*TbTradesBinance[[#This Row],[Preço]],AF75+TbTradesBinance[[#This Row],[Qtt]]*TbTradesBinance[[#This Row],[Preço]])),AF75)-IF(TbTradesBinance[[#This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Row],[Tipo]]="DROP"),AF75+TbTradesBinance[[#This Row],[Qtt]],AF75-TbTradesBinance[[#This Row],[Qtt]]),IF(TbTradesBinance[[#This Row],[Tipo]]="BUY",AF75-TbTradesBinance[[#This Row],[Qtt]]*TbTradesBinance[[#This Row],[Preço]],AF75+TbTradesBinance[[#This Row],[Qtt]]*TbTradesBinance[[#This Row],[Preço]])),AF75)-IF(TbTradesBinance[[#This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Row],[Tipo]]="DROP"),AF75+TbTradesBinance[[#This Row],[Qtt]],AF75-TbTradesBinance[[#This Row],[Qtt]]),IF(TbTradesBinance[[#This Row],[Tipo]]="BUY",AF75-TbTradesBinance[[#This Row],[Qtt]]*TbTradesBinance[[#This Row],[Preço]],AF75+TbTradesBinance[[#This Row],[Qtt]]*TbTradesBinance[[#This Row],[Preço]])),AF75)-IF(TbTradesBinance[[#This Row],[Moeda da Taxa]]=MID(AF$1,9,5),TbTradesBinance[[#This Row],[Taxa]],0),8)))</f>
        <v>19.98</v>
      </c>
      <c r="AG76" s="145" cm="1">
        <f t="array" ref="AG76">IF(TbTradesBinance[[#This Row],[Tipo]]="EMPTY",0,AG75+IF(TbTradesBinance[[#This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Row],[Par]]))),$1:$1,0)),-(AF75-AF76)/AF75*AG75),0),0)+IF(TbTradesBinance[[#This Row],[Tipo]]="SELL",IF(ISNUMBER(FIND(MID(AG$1,10,5),TbTradesBinance[[#This Row],[Par]])),IF(FIND(MID(AG$1,10,5),TbTradesBinance[[#This Row],[Par]])=1, -(AF75-AF76)/AF75*AG75,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Row],[Par]])),(-(AF75-AF76)/AF75*AG75)+IF(TbTradesBinance[[#This Row],[Resultado]]&gt;0,0,TbTradesBinance[[#This Row],[Taxa]]),0),0))</f>
        <v>124.04182758073662</v>
      </c>
      <c r="AH76" s="145">
        <f t="shared" si="26"/>
        <v>6.2082996787155462</v>
      </c>
      <c r="AI7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Row],[Tipo]]="DROP"),AI75+TbTradesBinance[[#This Row],[Qtt]],AI75-TbTradesBinance[[#This Row],[Qtt]]),IF(TbTradesBinance[[#This Row],[Tipo]]="BUY",AI75-TbTradesBinance[[#This Row],[Qtt]]*TbTradesBinance[[#This Row],[Preço]],AI75+TbTradesBinance[[#This Row],[Qtt]]*TbTradesBinance[[#This Row],[Preço]])),AI75)-IF(TbTradesBinance[[#This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Row],[Tipo]]="DROP"),AI75+TbTradesBinance[[#This Row],[Qtt]],AI75-TbTradesBinance[[#This Row],[Qtt]]),IF(TbTradesBinance[[#This Row],[Tipo]]="BUY",AI75-TbTradesBinance[[#This Row],[Qtt]]*TbTradesBinance[[#This Row],[Preço]],AI75+TbTradesBinance[[#This Row],[Qtt]]*TbTradesBinance[[#This Row],[Preço]])),AI75)-IF(TbTradesBinance[[#This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Row],[Tipo]]="DROP"),AI75+TbTradesBinance[[#This Row],[Qtt]],AI75-TbTradesBinance[[#This Row],[Qtt]]),IF(TbTradesBinance[[#This Row],[Tipo]]="BUY",AI75-TbTradesBinance[[#This Row],[Qtt]]*TbTradesBinance[[#This Row],[Preço]],AI75+TbTradesBinance[[#This Row],[Qtt]]*TbTradesBinance[[#This Row],[Preço]])),AI75)-IF(TbTradesBinance[[#This Row],[Moeda da Taxa]]=MID(AI$1,9,5),TbTradesBinance[[#This Row],[Taxa]],0),8)))</f>
        <v>0</v>
      </c>
      <c r="AJ76" s="145" cm="1">
        <f t="array" ref="AJ76">IF(TbTradesBinance[[#This Row],[Tipo]]="EMPTY",0,AJ75+IF(TbTradesBinance[[#This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Row],[Par]]))),$1:$1,0)),-(AI75-AI76)/AI75*AJ75),0),0)+IF(TbTradesBinance[[#This Row],[Tipo]]="SELL",IF(ISNUMBER(FIND(MID(AJ$1,10,5),TbTradesBinance[[#This Row],[Par]])),IF(FIND(MID(AJ$1,10,5),TbTradesBinance[[#This Row],[Par]])=1, -(AI75-AI76)/AI75*AJ75,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Row],[Par]])),(-(AI75-AI76)/AI75*AJ75)+IF(TbTradesBinance[[#This Row],[Resultado]]&gt;0,0,TbTradesBinance[[#This Row],[Taxa]]),0),0))</f>
        <v>0</v>
      </c>
      <c r="AK76" s="145">
        <f t="shared" si="27"/>
        <v>0</v>
      </c>
      <c r="AL7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Row],[Tipo]]="DROP"),AL75+TbTradesBinance[[#This Row],[Qtt]],AL75-TbTradesBinance[[#This Row],[Qtt]]),IF(TbTradesBinance[[#This Row],[Tipo]]="BUY",AL75-TbTradesBinance[[#This Row],[Qtt]]*TbTradesBinance[[#This Row],[Preço]],AL75+TbTradesBinance[[#This Row],[Qtt]]*TbTradesBinance[[#This Row],[Preço]])),AL75)-IF(TbTradesBinance[[#This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Row],[Tipo]]="DROP"),AL75+TbTradesBinance[[#This Row],[Qtt]],AL75-TbTradesBinance[[#This Row],[Qtt]]),IF(TbTradesBinance[[#This Row],[Tipo]]="BUY",AL75-TbTradesBinance[[#This Row],[Qtt]]*TbTradesBinance[[#This Row],[Preço]],AL75+TbTradesBinance[[#This Row],[Qtt]]*TbTradesBinance[[#This Row],[Preço]])),AL75)-IF(TbTradesBinance[[#This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Row],[Tipo]]="DROP"),AL75+TbTradesBinance[[#This Row],[Qtt]],AL75-TbTradesBinance[[#This Row],[Qtt]]),IF(TbTradesBinance[[#This Row],[Tipo]]="BUY",AL75-TbTradesBinance[[#This Row],[Qtt]]*TbTradesBinance[[#This Row],[Preço]],AL75+TbTradesBinance[[#This Row],[Qtt]]*TbTradesBinance[[#This Row],[Preço]])),AL75)-IF(TbTradesBinance[[#This Row],[Moeda da Taxa]]=MID(AL$1,9,5),TbTradesBinance[[#This Row],[Taxa]],0),8)))</f>
        <v>1.75824</v>
      </c>
      <c r="AM76" s="145" cm="1">
        <f t="array" ref="AM76">IF(TbTradesBinance[[#This Row],[Tipo]]="EMPTY",0,AM75+IF(TbTradesBinance[[#This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Row],[Par]]))),$1:$1,0)),-(AL75-AL76)/AL75*AM75),0),0)+IF(TbTradesBinance[[#This Row],[Tipo]]="SELL",IF(ISNUMBER(FIND(MID(AM$1,10,5),TbTradesBinance[[#This Row],[Par]])),IF(FIND(MID(AM$1,10,5),TbTradesBinance[[#This Row],[Par]])=1, -(AL75-AL76)/AL75*AM75,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Row],[Par]])),(-(AL75-AL76)/AL75*AM75)+IF(TbTradesBinance[[#This Row],[Resultado]]&gt;0,0,TbTradesBinance[[#This Row],[Taxa]]),0),0))</f>
        <v>144.56635471393039</v>
      </c>
      <c r="AN76" s="145">
        <f t="shared" si="28"/>
        <v>82.222196465744375</v>
      </c>
      <c r="AO7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Row],[Tipo]]="DROP"),AO75+TbTradesBinance[[#This Row],[Qtt]],AO75-TbTradesBinance[[#This Row],[Qtt]]),IF(TbTradesBinance[[#This Row],[Tipo]]="BUY",AO75-TbTradesBinance[[#This Row],[Qtt]]*TbTradesBinance[[#This Row],[Preço]],AO75+TbTradesBinance[[#This Row],[Qtt]]*TbTradesBinance[[#This Row],[Preço]])),AO75)-IF(TbTradesBinance[[#This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Row],[Tipo]]="DROP"),AO75+TbTradesBinance[[#This Row],[Qtt]],AO75-TbTradesBinance[[#This Row],[Qtt]]),IF(TbTradesBinance[[#This Row],[Tipo]]="BUY",AO75-TbTradesBinance[[#This Row],[Qtt]]*TbTradesBinance[[#This Row],[Preço]],AO75+TbTradesBinance[[#This Row],[Qtt]]*TbTradesBinance[[#This Row],[Preço]])),AO75)-IF(TbTradesBinance[[#This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Row],[Tipo]]="DROP"),AO75+TbTradesBinance[[#This Row],[Qtt]],AO75-TbTradesBinance[[#This Row],[Qtt]]),IF(TbTradesBinance[[#This Row],[Tipo]]="BUY",AO75-TbTradesBinance[[#This Row],[Qtt]]*TbTradesBinance[[#This Row],[Preço]],AO75+TbTradesBinance[[#This Row],[Qtt]]*TbTradesBinance[[#This Row],[Preço]])),AO75)-IF(TbTradesBinance[[#This Row],[Moeda da Taxa]]=MID(AO$1,9,5),TbTradesBinance[[#This Row],[Taxa]],0),8)))</f>
        <v>2.6371699999999999E-3</v>
      </c>
      <c r="AP76" s="145" cm="1">
        <f t="array" ref="AP76">IF(TbTradesBinance[[#This Row],[Tipo]]="EMPTY",0,AP75+IF(TbTradesBinance[[#This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Row],[Par]]))),$1:$1,0)),-(AO75-AO76)/AO75*AP75),0),0)+IF(TbTradesBinance[[#This Row],[Tipo]]="SELL",IF(ISNUMBER(FIND(MID(AP$1,10,5),TbTradesBinance[[#This Row],[Par]])),IF(FIND(MID(AP$1,10,5),TbTradesBinance[[#This Row],[Par]])=1, -(AO75-AO76)/AO75*AP75,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Row],[Par]])),(-(AO75-AO76)/AO75*AP75)+IF(TbTradesBinance[[#This Row],[Resultado]]&gt;0,0,TbTradesBinance[[#This Row],[Taxa]]),0),0))</f>
        <v>5.1436421192208863</v>
      </c>
      <c r="AQ76" s="145">
        <f t="shared" si="29"/>
        <v>1950.4401002669099</v>
      </c>
      <c r="AR7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Row],[Tipo]]="DROP"),AR75+TbTradesBinance[[#This Row],[Qtt]],AR75-TbTradesBinance[[#This Row],[Qtt]]),IF(TbTradesBinance[[#This Row],[Tipo]]="BUY",AR75-TbTradesBinance[[#This Row],[Qtt]]*TbTradesBinance[[#This Row],[Preço]],AR75+TbTradesBinance[[#This Row],[Qtt]]*TbTradesBinance[[#This Row],[Preço]])),AR75)-IF(TbTradesBinance[[#This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Row],[Tipo]]="DROP"),AR75+TbTradesBinance[[#This Row],[Qtt]],AR75-TbTradesBinance[[#This Row],[Qtt]]),IF(TbTradesBinance[[#This Row],[Tipo]]="BUY",AR75-TbTradesBinance[[#This Row],[Qtt]]*TbTradesBinance[[#This Row],[Preço]],AR75+TbTradesBinance[[#This Row],[Qtt]]*TbTradesBinance[[#This Row],[Preço]])),AR75)-IF(TbTradesBinance[[#This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Row],[Tipo]]="DROP"),AR75+TbTradesBinance[[#This Row],[Qtt]],AR75-TbTradesBinance[[#This Row],[Qtt]]),IF(TbTradesBinance[[#This Row],[Tipo]]="BUY",AR75-TbTradesBinance[[#This Row],[Qtt]]*TbTradesBinance[[#This Row],[Preço]],AR75+TbTradesBinance[[#This Row],[Qtt]]*TbTradesBinance[[#This Row],[Preço]])),AR75)-IF(TbTradesBinance[[#This Row],[Moeda da Taxa]]=MID(AR$1,9,5),TbTradesBinance[[#This Row],[Taxa]],0),8)))</f>
        <v>0</v>
      </c>
      <c r="AS76" s="145" cm="1">
        <f t="array" ref="AS76">IF(TbTradesBinance[[#This Row],[Tipo]]="EMPTY",0,AS75+IF(TbTradesBinance[[#This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Row],[Par]]))),$1:$1,0)),-(AR75-AR76)/AR75*AS75),0),0)+IF(TbTradesBinance[[#This Row],[Tipo]]="SELL",IF(ISNUMBER(FIND(MID(AS$1,10,5),TbTradesBinance[[#This Row],[Par]])),IF(FIND(MID(AS$1,10,5),TbTradesBinance[[#This Row],[Par]])=1, -(AR75-AR76)/AR75*AS75,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Row],[Par]])),(-(AR75-AR76)/AR75*AS75)+IF(TbTradesBinance[[#This Row],[Resultado]]&gt;0,0,TbTradesBinance[[#This Row],[Taxa]]),0),0))</f>
        <v>0</v>
      </c>
      <c r="AT76" s="145">
        <f t="shared" si="30"/>
        <v>0</v>
      </c>
      <c r="AU7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Row],[Tipo]]="DROP"),AU75+TbTradesBinance[[#This Row],[Qtt]],AU75-TbTradesBinance[[#This Row],[Qtt]]),IF(TbTradesBinance[[#This Row],[Tipo]]="BUY",AU75-TbTradesBinance[[#This Row],[Qtt]]*TbTradesBinance[[#This Row],[Preço]],AU75+TbTradesBinance[[#This Row],[Qtt]]*TbTradesBinance[[#This Row],[Preço]])),AU75)-IF(TbTradesBinance[[#This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Row],[Tipo]]="DROP"),AU75+TbTradesBinance[[#This Row],[Qtt]],AU75-TbTradesBinance[[#This Row],[Qtt]]),IF(TbTradesBinance[[#This Row],[Tipo]]="BUY",AU75-TbTradesBinance[[#This Row],[Qtt]]*TbTradesBinance[[#This Row],[Preço]],AU75+TbTradesBinance[[#This Row],[Qtt]]*TbTradesBinance[[#This Row],[Preço]])),AU75)-IF(TbTradesBinance[[#This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Row],[Tipo]]="DROP"),AU75+TbTradesBinance[[#This Row],[Qtt]],AU75-TbTradesBinance[[#This Row],[Qtt]]),IF(TbTradesBinance[[#This Row],[Tipo]]="BUY",AU75-TbTradesBinance[[#This Row],[Qtt]]*TbTradesBinance[[#This Row],[Preço]],AU75+TbTradesBinance[[#This Row],[Qtt]]*TbTradesBinance[[#This Row],[Preço]])),AU75)-IF(TbTradesBinance[[#This Row],[Moeda da Taxa]]=MID(AU$1,9,5),TbTradesBinance[[#This Row],[Taxa]],0),8)))</f>
        <v>0.26989999999999997</v>
      </c>
      <c r="AV76" s="145" cm="1">
        <f t="array" ref="AV76">IF(TbTradesBinance[[#This Row],[Tipo]]="EMPTY",0,AV75+IF(TbTradesBinance[[#This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Row],[Par]]))),$1:$1,0)),-(AU75-AU76)/AU75*AV75),0),0)+IF(TbTradesBinance[[#This Row],[Tipo]]="SELL",IF(ISNUMBER(FIND(MID(AV$1,10,5),TbTradesBinance[[#This Row],[Par]])),IF(FIND(MID(AV$1,10,5),TbTradesBinance[[#This Row],[Par]])=1, -(AU75-AU76)/AU75*AV75,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Row],[Par]])),(-(AU75-AU76)/AU75*AV75)+IF(TbTradesBinance[[#This Row],[Resultado]]&gt;0,0,TbTradesBinance[[#This Row],[Taxa]]),0),0))</f>
        <v>56.09788062740806</v>
      </c>
      <c r="AW76" s="145">
        <f t="shared" si="31"/>
        <v>207.8469085861729</v>
      </c>
      <c r="AX7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Row],[Tipo]]="DROP"),AX75+TbTradesBinance[[#This Row],[Qtt]],AX75-TbTradesBinance[[#This Row],[Qtt]]),IF(TbTradesBinance[[#This Row],[Tipo]]="BUY",AX75-TbTradesBinance[[#This Row],[Qtt]]*TbTradesBinance[[#This Row],[Preço]],AX75+TbTradesBinance[[#This Row],[Qtt]]*TbTradesBinance[[#This Row],[Preço]])),AX75)-IF(TbTradesBinance[[#This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Row],[Tipo]]="DROP"),AX75+TbTradesBinance[[#This Row],[Qtt]],AX75-TbTradesBinance[[#This Row],[Qtt]]),IF(TbTradesBinance[[#This Row],[Tipo]]="BUY",AX75-TbTradesBinance[[#This Row],[Qtt]]*TbTradesBinance[[#This Row],[Preço]],AX75+TbTradesBinance[[#This Row],[Qtt]]*TbTradesBinance[[#This Row],[Preço]])),AX75)-IF(TbTradesBinance[[#This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Row],[Tipo]]="DROP"),AX75+TbTradesBinance[[#This Row],[Qtt]],AX75-TbTradesBinance[[#This Row],[Qtt]]),IF(TbTradesBinance[[#This Row],[Tipo]]="BUY",AX75-TbTradesBinance[[#This Row],[Qtt]]*TbTradesBinance[[#This Row],[Preço]],AX75+TbTradesBinance[[#This Row],[Qtt]]*TbTradesBinance[[#This Row],[Preço]])),AX75)-IF(TbTradesBinance[[#This Row],[Moeda da Taxa]]=MID(AX$1,9,5),TbTradesBinance[[#This Row],[Taxa]],0),8)))</f>
        <v>0.22636999999999999</v>
      </c>
      <c r="AY76" s="145" cm="1">
        <f t="array" ref="AY76">IF(TbTradesBinance[[#This Row],[Tipo]]="EMPTY",0,AY75+IF(TbTradesBinance[[#This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Row],[Par]]))),$1:$1,0)),-(AX75-AX76)/AX75*AY75),0),0)+IF(TbTradesBinance[[#This Row],[Tipo]]="SELL",IF(ISNUMBER(FIND(MID(AY$1,10,5),TbTradesBinance[[#This Row],[Par]])),IF(FIND(MID(AY$1,10,5),TbTradesBinance[[#This Row],[Par]])=1, -(AX75-AX76)/AX75*AY75,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Row],[Par]])),(-(AX75-AX76)/AX75*AY75)+IF(TbTradesBinance[[#This Row],[Resultado]]&gt;0,0,TbTradesBinance[[#This Row],[Taxa]]),0),0))</f>
        <v>40.781337593356859</v>
      </c>
      <c r="AZ76" s="145">
        <f t="shared" si="32"/>
        <v>180.15345493376711</v>
      </c>
      <c r="BA7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Row],[Tipo]]="DROP"),BA75+TbTradesBinance[[#This Row],[Qtt]],BA75-TbTradesBinance[[#This Row],[Qtt]]),IF(TbTradesBinance[[#This Row],[Tipo]]="BUY",BA75-TbTradesBinance[[#This Row],[Qtt]]*TbTradesBinance[[#This Row],[Preço]],BA75+TbTradesBinance[[#This Row],[Qtt]]*TbTradesBinance[[#This Row],[Preço]])),BA75)-IF(TbTradesBinance[[#This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Row],[Tipo]]="DROP"),BA75+TbTradesBinance[[#This Row],[Qtt]],BA75-TbTradesBinance[[#This Row],[Qtt]]),IF(TbTradesBinance[[#This Row],[Tipo]]="BUY",BA75-TbTradesBinance[[#This Row],[Qtt]]*TbTradesBinance[[#This Row],[Preço]],BA75+TbTradesBinance[[#This Row],[Qtt]]*TbTradesBinance[[#This Row],[Preço]])),BA75)-IF(TbTradesBinance[[#This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Row],[Tipo]]="DROP"),BA75+TbTradesBinance[[#This Row],[Qtt]],BA75-TbTradesBinance[[#This Row],[Qtt]]),IF(TbTradesBinance[[#This Row],[Tipo]]="BUY",BA75-TbTradesBinance[[#This Row],[Qtt]]*TbTradesBinance[[#This Row],[Preço]],BA75+TbTradesBinance[[#This Row],[Qtt]]*TbTradesBinance[[#This Row],[Preço]])),BA75)-IF(TbTradesBinance[[#This Row],[Moeda da Taxa]]=MID(BA$1,9,5),TbTradesBinance[[#This Row],[Taxa]],0),8)))</f>
        <v>0</v>
      </c>
      <c r="BB76" s="145" cm="1">
        <f t="array" ref="BB76">IF(TbTradesBinance[[#This Row],[Tipo]]="EMPTY",0,BB75+IF(TbTradesBinance[[#This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Row],[Par]]))),$1:$1,0)),-(BA75-BA76)/BA75*BB75),0),0)+IF(TbTradesBinance[[#This Row],[Tipo]]="SELL",IF(ISNUMBER(FIND(MID(BB$1,10,5),TbTradesBinance[[#This Row],[Par]])),IF(FIND(MID(BB$1,10,5),TbTradesBinance[[#This Row],[Par]])=1, -(BA75-BA76)/BA75*BB75,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Row],[Par]])),(-(BA75-BA76)/BA75*BB75)+IF(TbTradesBinance[[#This Row],[Resultado]]&gt;0,0,TbTradesBinance[[#This Row],[Taxa]]),0),0))</f>
        <v>0</v>
      </c>
      <c r="BC76" s="145">
        <f t="shared" si="33"/>
        <v>0</v>
      </c>
      <c r="BD7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Row],[Tipo]]="DROP"),BD75+TbTradesBinance[[#This Row],[Qtt]],BD75-TbTradesBinance[[#This Row],[Qtt]]),IF(TbTradesBinance[[#This Row],[Tipo]]="BUY",BD75-TbTradesBinance[[#This Row],[Qtt]]*TbTradesBinance[[#This Row],[Preço]],BD75+TbTradesBinance[[#This Row],[Qtt]]*TbTradesBinance[[#This Row],[Preço]])),BD75)-IF(TbTradesBinance[[#This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Row],[Tipo]]="DROP"),BD75+TbTradesBinance[[#This Row],[Qtt]],BD75-TbTradesBinance[[#This Row],[Qtt]]),IF(TbTradesBinance[[#This Row],[Tipo]]="BUY",BD75-TbTradesBinance[[#This Row],[Qtt]]*TbTradesBinance[[#This Row],[Preço]],BD75+TbTradesBinance[[#This Row],[Qtt]]*TbTradesBinance[[#This Row],[Preço]])),BD75)-IF(TbTradesBinance[[#This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Row],[Tipo]]="DROP"),BD75+TbTradesBinance[[#This Row],[Qtt]],BD75-TbTradesBinance[[#This Row],[Qtt]]),IF(TbTradesBinance[[#This Row],[Tipo]]="BUY",BD75-TbTradesBinance[[#This Row],[Qtt]]*TbTradesBinance[[#This Row],[Preço]],BD75+TbTradesBinance[[#This Row],[Qtt]]*TbTradesBinance[[#This Row],[Preço]])),BD75)-IF(TbTradesBinance[[#This Row],[Moeda da Taxa]]=MID(BD$1,9,5),TbTradesBinance[[#This Row],[Taxa]],0),8)))</f>
        <v>0.37962000000000001</v>
      </c>
      <c r="BE76" s="145" cm="1">
        <f t="array" ref="BE76">IF(TbTradesBinance[[#This Row],[Tipo]]="EMPTY",0,BE75+IF(TbTradesBinance[[#This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Row],[Par]]))),$1:$1,0)),-(BD75-BD76)/BD75*BE75),0),0)+IF(TbTradesBinance[[#This Row],[Tipo]]="SELL",IF(ISNUMBER(FIND(MID(BE$1,10,5),TbTradesBinance[[#This Row],[Par]])),IF(FIND(MID(BE$1,10,5),TbTradesBinance[[#This Row],[Par]])=1, -(BD75-BD76)/BD75*BE75,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Row],[Par]])),(-(BD75-BD76)/BD75*BE75)+IF(TbTradesBinance[[#This Row],[Resultado]]&gt;0,0,TbTradesBinance[[#This Row],[Taxa]]),0),0))</f>
        <v>63.647297001537943</v>
      </c>
      <c r="BF76" s="145">
        <f t="shared" si="34"/>
        <v>167.66054739354601</v>
      </c>
      <c r="BG7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Row],[Tipo]]="DROP"),BG75+TbTradesBinance[[#This Row],[Qtt]],BG75-TbTradesBinance[[#This Row],[Qtt]]),IF(TbTradesBinance[[#This Row],[Tipo]]="BUY",BG75-TbTradesBinance[[#This Row],[Qtt]]*TbTradesBinance[[#This Row],[Preço]],BG75+TbTradesBinance[[#This Row],[Qtt]]*TbTradesBinance[[#This Row],[Preço]])),BG75)-IF(TbTradesBinance[[#This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Row],[Tipo]]="DROP"),BG75+TbTradesBinance[[#This Row],[Qtt]],BG75-TbTradesBinance[[#This Row],[Qtt]]),IF(TbTradesBinance[[#This Row],[Tipo]]="BUY",BG75-TbTradesBinance[[#This Row],[Qtt]]*TbTradesBinance[[#This Row],[Preço]],BG75+TbTradesBinance[[#This Row],[Qtt]]*TbTradesBinance[[#This Row],[Preço]])),BG75)-IF(TbTradesBinance[[#This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Row],[Tipo]]="DROP"),BG75+TbTradesBinance[[#This Row],[Qtt]],BG75-TbTradesBinance[[#This Row],[Qtt]]),IF(TbTradesBinance[[#This Row],[Tipo]]="BUY",BG75-TbTradesBinance[[#This Row],[Qtt]]*TbTradesBinance[[#This Row],[Preço]],BG75+TbTradesBinance[[#This Row],[Qtt]]*TbTradesBinance[[#This Row],[Preço]])),BG75)-IF(TbTradesBinance[[#This Row],[Moeda da Taxa]]=MID(BG$1,9,5),TbTradesBinance[[#This Row],[Taxa]],0),8)))</f>
        <v>111.71817</v>
      </c>
      <c r="BH76" s="145" cm="1">
        <f t="array" ref="BH76">IF(TbTradesBinance[[#This Row],[Tipo]]="EMPTY",0,BH75+IF(TbTradesBinance[[#This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Row],[Par]]))),$1:$1,0)),-(BG75-BG76)/BG75*BH75),0),0)+IF(TbTradesBinance[[#This Row],[Tipo]]="SELL",IF(ISNUMBER(FIND(MID(BH$1,10,5),TbTradesBinance[[#This Row],[Par]])),IF(FIND(MID(BH$1,10,5),TbTradesBinance[[#This Row],[Par]])=1, -(BG75-BG76)/BG75*BH75,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Row],[Par]])),(-(BG75-BG76)/BG75*BH75)+IF(TbTradesBinance[[#This Row],[Resultado]]&gt;0,0,TbTradesBinance[[#This Row],[Taxa]]),0),0))</f>
        <v>401.31269619490814</v>
      </c>
      <c r="BI76" s="145">
        <f t="shared" si="35"/>
        <v>3.5921882375526573</v>
      </c>
      <c r="BJ7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Row],[Tipo]]="DROP"),BJ75+TbTradesBinance[[#This Row],[Qtt]],BJ75-TbTradesBinance[[#This Row],[Qtt]]),IF(TbTradesBinance[[#This Row],[Tipo]]="BUY",BJ75-TbTradesBinance[[#This Row],[Qtt]]*TbTradesBinance[[#This Row],[Preço]],BJ75+TbTradesBinance[[#This Row],[Qtt]]*TbTradesBinance[[#This Row],[Preço]])),BJ75)-IF(TbTradesBinance[[#This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Row],[Tipo]]="DROP"),BJ75+TbTradesBinance[[#This Row],[Qtt]],BJ75-TbTradesBinance[[#This Row],[Qtt]]),IF(TbTradesBinance[[#This Row],[Tipo]]="BUY",BJ75-TbTradesBinance[[#This Row],[Qtt]]*TbTradesBinance[[#This Row],[Preço]],BJ75+TbTradesBinance[[#This Row],[Qtt]]*TbTradesBinance[[#This Row],[Preço]])),BJ75)-IF(TbTradesBinance[[#This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Row],[Tipo]]="DROP"),BJ75+TbTradesBinance[[#This Row],[Qtt]],BJ75-TbTradesBinance[[#This Row],[Qtt]]),IF(TbTradesBinance[[#This Row],[Tipo]]="BUY",BJ75-TbTradesBinance[[#This Row],[Qtt]]*TbTradesBinance[[#This Row],[Preço]],BJ75+TbTradesBinance[[#This Row],[Qtt]]*TbTradesBinance[[#This Row],[Preço]])),BJ75)-IF(TbTradesBinance[[#This Row],[Moeda da Taxa]]=MID(BJ$1,9,5),TbTradesBinance[[#This Row],[Taxa]],0),8)))</f>
        <v>0</v>
      </c>
      <c r="BK76" s="145" cm="1">
        <f t="array" ref="BK76">IF(TbTradesBinance[[#This Row],[Tipo]]="EMPTY",0,BK75+IF(TbTradesBinance[[#This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Row],[Par]]))),$1:$1,0)),-(BJ75-BJ76)/BJ75*BK75),0),0)+IF(TbTradesBinance[[#This Row],[Tipo]]="SELL",IF(ISNUMBER(FIND(MID(BK$1,10,5),TbTradesBinance[[#This Row],[Par]])),IF(FIND(MID(BK$1,10,5),TbTradesBinance[[#This Row],[Par]])=1, -(BJ75-BJ76)/BJ75*BK75,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Row],[Par]])),(-(BJ75-BJ76)/BJ75*BK75)+IF(TbTradesBinance[[#This Row],[Resultado]]&gt;0,0,TbTradesBinance[[#This Row],[Taxa]]),0),0))</f>
        <v>0</v>
      </c>
      <c r="BL76" s="145">
        <f t="shared" si="36"/>
        <v>0</v>
      </c>
      <c r="BM7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Row],[Tipo]]="DROP"),BM75+TbTradesBinance[[#This Row],[Qtt]],BM75-TbTradesBinance[[#This Row],[Qtt]]),IF(TbTradesBinance[[#This Row],[Tipo]]="BUY",BM75-TbTradesBinance[[#This Row],[Qtt]]*TbTradesBinance[[#This Row],[Preço]],BM75+TbTradesBinance[[#This Row],[Qtt]]*TbTradesBinance[[#This Row],[Preço]])),BM75)-IF(TbTradesBinance[[#This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Row],[Tipo]]="DROP"),BM75+TbTradesBinance[[#This Row],[Qtt]],BM75-TbTradesBinance[[#This Row],[Qtt]]),IF(TbTradesBinance[[#This Row],[Tipo]]="BUY",BM75-TbTradesBinance[[#This Row],[Qtt]]*TbTradesBinance[[#This Row],[Preço]],BM75+TbTradesBinance[[#This Row],[Qtt]]*TbTradesBinance[[#This Row],[Preço]])),BM75)-IF(TbTradesBinance[[#This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Row],[Tipo]]="DROP"),BM75+TbTradesBinance[[#This Row],[Qtt]],BM75-TbTradesBinance[[#This Row],[Qtt]]),IF(TbTradesBinance[[#This Row],[Tipo]]="BUY",BM75-TbTradesBinance[[#This Row],[Qtt]]*TbTradesBinance[[#This Row],[Preço]],BM75+TbTradesBinance[[#This Row],[Qtt]]*TbTradesBinance[[#This Row],[Preço]])),BM75)-IF(TbTradesBinance[[#This Row],[Moeda da Taxa]]=MID(BM$1,9,5),TbTradesBinance[[#This Row],[Taxa]],0),8)))</f>
        <v>0</v>
      </c>
      <c r="BN76" s="145" cm="1">
        <f t="array" ref="BN76">IF(TbTradesBinance[[#This Row],[Tipo]]="EMPTY",0,BN75+IF(TbTradesBinance[[#This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Row],[Par]]))),$1:$1,0)),-(BM75-BM76)/BM75*BN75),0),0)+IF(TbTradesBinance[[#This Row],[Tipo]]="SELL",IF(ISNUMBER(FIND(MID(BN$1,10,5),TbTradesBinance[[#This Row],[Par]])),IF(FIND(MID(BN$1,10,5),TbTradesBinance[[#This Row],[Par]])=1, -(BM75-BM76)/BM75*BN75,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Row],[Par]])),(-(BM75-BM76)/BM75*BN75)+IF(TbTradesBinance[[#This Row],[Resultado]]&gt;0,0,TbTradesBinance[[#This Row],[Taxa]]),0),0))</f>
        <v>0</v>
      </c>
      <c r="BO76" s="145">
        <f t="shared" si="37"/>
        <v>0</v>
      </c>
    </row>
    <row r="77" spans="2:67" x14ac:dyDescent="0.3">
      <c r="B77" s="51" t="s">
        <v>107</v>
      </c>
      <c r="C77" s="40">
        <f>TRUNC(IF(AND(TbTradesBinance[[#This Row],[Tipo]]="SEND",TbTradesBinance[[#This Row],[Par]]="BRL"),TbTradesBinance[[#This Row],[Qtt]]*(1-P75)-IF(TbTradesBinance[[#This Row],[Moeda da Taxa]]="BRL",TbTradesBinance[[#This Row],[Taxa]],0),0)+IF(AND(TbTradesBinance[[#This Row],[Tipo]]="BURN",TbTradesBinance[[#This Row],[Par]]="BRL"),-TbTradesBinance[[#This Row],[Qtt]]*P75,0),2)</f>
        <v>0</v>
      </c>
      <c r="D77" s="53">
        <v>44266.726631944446</v>
      </c>
      <c r="E77" s="37" t="s">
        <v>248</v>
      </c>
      <c r="F77" s="47" t="s">
        <v>139</v>
      </c>
      <c r="G77" s="38">
        <v>1631.70429941</v>
      </c>
      <c r="H77" s="38">
        <v>6.4659999999999994E-5</v>
      </c>
      <c r="I77" s="38">
        <v>1.2899999999999999E-6</v>
      </c>
      <c r="J77" s="37" t="s">
        <v>45</v>
      </c>
      <c r="K77" s="52">
        <v>1</v>
      </c>
      <c r="L77" s="40">
        <f t="shared" si="19"/>
        <v>1631.7</v>
      </c>
      <c r="M77" s="40">
        <f>IF(OR(TbTradesBinance[[#This Row],[Tipo]]="BUY",TbTradesBinance[[#This Row],[Tipo]]="RECEIVE",TbTradesBinance[[#This Row],[Tipo]]="DROP"),L77*H77,-L77*H77)</f>
        <v>0.105505722</v>
      </c>
      <c r="N7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Row],[Tipo]]="DROP"),N76+TbTradesBinance[[#This Row],[Qtt]],N76-TbTradesBinance[[#This Row],[Qtt]]),IF(TbTradesBinance[[#This Row],[Tipo]]="BUY",N76-TbTradesBinance[[#This Row],[Qtt]]*TbTradesBinance[[#This Row],[Preço]],N76+TbTradesBinance[[#This Row],[Qtt]]*TbTradesBinance[[#This Row],[Preço]])),N76)-IF(TbTradesBinance[[#This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Row],[Tipo]]="DROP"),N76+TbTradesBinance[[#This Row],[Qtt]],N76-TbTradesBinance[[#This Row],[Qtt]]),IF(TbTradesBinance[[#This Row],[Tipo]]="BUY",N76-TbTradesBinance[[#This Row],[Qtt]]*TbTradesBinance[[#This Row],[Preço]],N76+TbTradesBinance[[#This Row],[Qtt]]*TbTradesBinance[[#This Row],[Preço]])),N76)-IF(TbTradesBinance[[#This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Row],[Tipo]]="DROP"),N76+TbTradesBinance[[#This Row],[Qtt]],N76-TbTradesBinance[[#This Row],[Qtt]]),IF(TbTradesBinance[[#This Row],[Tipo]]="BUY",N76-TbTradesBinance[[#This Row],[Qtt]]*TbTradesBinance[[#This Row],[Preço]],N76+TbTradesBinance[[#This Row],[Qtt]]*TbTradesBinance[[#This Row],[Preço]])),N76)-IF(TbTradesBinance[[#This Row],[Moeda da Taxa]]=MID(N$1,9,5),TbTradesBinance[[#This Row],[Taxa]],0),8)))</f>
        <v>119745.41999999</v>
      </c>
      <c r="O77" s="145" cm="1">
        <f t="array" ref="O77">IF(TbTradesBinance[[#This Row],[Tipo]]="EMPTY",0,O76+IF(TbTradesBinance[[#This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Row],[Par]]))),$1:$1,0)),-(N76-N77)/N76*O76),0),0)+IF(TbTradesBinance[[#This Row],[Tipo]]="SELL",IF(ISNUMBER(FIND(MID(O$1,10,5),TbTradesBinance[[#This Row],[Par]])),IF(FIND(MID(O$1,10,5),TbTradesBinance[[#This Row],[Par]])=1, -(N76-N77)/N76*O76,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Row],[Par]])),(-(N76-N77)/N76*O76)+IF(TbTradesBinance[[#This Row],[Resultado]]&gt;0,0,TbTradesBinance[[#This Row],[Taxa]]),0),0))</f>
        <v>119649.22016550251</v>
      </c>
      <c r="P77" s="145">
        <f t="shared" si="20"/>
        <v>0.99919663036392126</v>
      </c>
      <c r="Q7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Row],[Tipo]]="DROP"),Q76+TbTradesBinance[[#This Row],[Qtt]],Q76-TbTradesBinance[[#This Row],[Qtt]]),IF(TbTradesBinance[[#This Row],[Tipo]]="BUY",Q76-TbTradesBinance[[#This Row],[Qtt]]*TbTradesBinance[[#This Row],[Preço]],Q76+TbTradesBinance[[#This Row],[Qtt]]*TbTradesBinance[[#This Row],[Preço]])),Q76)-IF(TbTradesBinance[[#This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Row],[Tipo]]="DROP"),Q76+TbTradesBinance[[#This Row],[Qtt]],Q76-TbTradesBinance[[#This Row],[Qtt]]),IF(TbTradesBinance[[#This Row],[Tipo]]="BUY",Q76-TbTradesBinance[[#This Row],[Qtt]]*TbTradesBinance[[#This Row],[Preço]],Q76+TbTradesBinance[[#This Row],[Qtt]]*TbTradesBinance[[#This Row],[Preço]])),Q76)-IF(TbTradesBinance[[#This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Row],[Tipo]]="DROP"),Q76+TbTradesBinance[[#This Row],[Qtt]],Q76-TbTradesBinance[[#This Row],[Qtt]]),IF(TbTradesBinance[[#This Row],[Tipo]]="BUY",Q76-TbTradesBinance[[#This Row],[Qtt]]*TbTradesBinance[[#This Row],[Preço]],Q76+TbTradesBinance[[#This Row],[Qtt]]*TbTradesBinance[[#This Row],[Preço]])),Q76)-IF(TbTradesBinance[[#This Row],[Moeda da Taxa]]=MID(Q$1,9,5),TbTradesBinance[[#This Row],[Taxa]],0),8)))</f>
        <v>8.2799990000000004E-2</v>
      </c>
      <c r="R77" s="145" cm="1">
        <f t="array" ref="R77">IF(TbTradesBinance[[#This Row],[Tipo]]="EMPTY",0,R76+IF(TbTradesBinance[[#This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Row],[Par]]))),$1:$1,0)),-(Q76-Q77)/Q76*R76),0),0)+IF(TbTradesBinance[[#This Row],[Tipo]]="SELL",IF(ISNUMBER(FIND(MID(R$1,10,5),TbTradesBinance[[#This Row],[Par]])),IF(FIND(MID(R$1,10,5),TbTradesBinance[[#This Row],[Par]])=1, -(Q76-Q77)/Q76*R76,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Row],[Par]])),(-(Q76-Q77)/Q76*R76)+IF(TbTradesBinance[[#This Row],[Resultado]]&gt;0,0,TbTradesBinance[[#This Row],[Taxa]]),0),0))</f>
        <v>0.46008090465994195</v>
      </c>
      <c r="S77" s="145">
        <f t="shared" si="21"/>
        <v>5.5565333360540494</v>
      </c>
      <c r="T7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Row],[Tipo]]="DROP"),T76+TbTradesBinance[[#This Row],[Qtt]],T76-TbTradesBinance[[#This Row],[Qtt]]),IF(TbTradesBinance[[#This Row],[Tipo]]="BUY",T76-TbTradesBinance[[#This Row],[Qtt]]*TbTradesBinance[[#This Row],[Preço]],T76+TbTradesBinance[[#This Row],[Qtt]]*TbTradesBinance[[#This Row],[Preço]])),T76)-IF(TbTradesBinance[[#This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Row],[Tipo]]="DROP"),T76+TbTradesBinance[[#This Row],[Qtt]],T76-TbTradesBinance[[#This Row],[Qtt]]),IF(TbTradesBinance[[#This Row],[Tipo]]="BUY",T76-TbTradesBinance[[#This Row],[Qtt]]*TbTradesBinance[[#This Row],[Preço]],T76+TbTradesBinance[[#This Row],[Qtt]]*TbTradesBinance[[#This Row],[Preço]])),T76)-IF(TbTradesBinance[[#This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Row],[Tipo]]="DROP"),T76+TbTradesBinance[[#This Row],[Qtt]],T76-TbTradesBinance[[#This Row],[Qtt]]),IF(TbTradesBinance[[#This Row],[Tipo]]="BUY",T76-TbTradesBinance[[#This Row],[Qtt]]*TbTradesBinance[[#This Row],[Preço]],T76+TbTradesBinance[[#This Row],[Qtt]]*TbTradesBinance[[#This Row],[Preço]])),T76)-IF(TbTradesBinance[[#This Row],[Moeda da Taxa]]=MID(T$1,9,5),TbTradesBinance[[#This Row],[Taxa]],0),8)))</f>
        <v>199735.32000169999</v>
      </c>
      <c r="U77" s="145" cm="1">
        <f t="array" ref="U77">IF(TbTradesBinance[[#This Row],[Tipo]]="EMPTY",0,U76+IF(TbTradesBinance[[#This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Row],[Par]]))),$1:$1,0)),-(T76-T77)/T76*U76),0),0)+IF(TbTradesBinance[[#This Row],[Tipo]]="SELL",IF(ISNUMBER(FIND(MID(U$1,10,5),TbTradesBinance[[#This Row],[Par]])),IF(FIND(MID(U$1,10,5),TbTradesBinance[[#This Row],[Par]])=1, -(T76-T77)/T76*U76,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Row],[Par]])),(-(T76-T77)/T76*U76)+IF(TbTradesBinance[[#This Row],[Resultado]]&gt;0,0,TbTradesBinance[[#This Row],[Taxa]]),0),0))</f>
        <v>1328239.8809817513</v>
      </c>
      <c r="V77" s="145">
        <f t="shared" si="22"/>
        <v>6.6500000148719129</v>
      </c>
      <c r="W7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Row],[Tipo]]="DROP"),W76+TbTradesBinance[[#This Row],[Qtt]],W76-TbTradesBinance[[#This Row],[Qtt]]),IF(TbTradesBinance[[#This Row],[Tipo]]="BUY",W76-TbTradesBinance[[#This Row],[Qtt]]*TbTradesBinance[[#This Row],[Preço]],W76+TbTradesBinance[[#This Row],[Qtt]]*TbTradesBinance[[#This Row],[Preço]])),W76)-IF(TbTradesBinance[[#This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Row],[Tipo]]="DROP"),W76+TbTradesBinance[[#This Row],[Qtt]],W76-TbTradesBinance[[#This Row],[Qtt]]),IF(TbTradesBinance[[#This Row],[Tipo]]="BUY",W76-TbTradesBinance[[#This Row],[Qtt]]*TbTradesBinance[[#This Row],[Preço]],W76+TbTradesBinance[[#This Row],[Qtt]]*TbTradesBinance[[#This Row],[Preço]])),W76)-IF(TbTradesBinance[[#This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Row],[Tipo]]="DROP"),W76+TbTradesBinance[[#This Row],[Qtt]],W76-TbTradesBinance[[#This Row],[Qtt]]),IF(TbTradesBinance[[#This Row],[Tipo]]="BUY",W76-TbTradesBinance[[#This Row],[Qtt]]*TbTradesBinance[[#This Row],[Preço]],W76+TbTradesBinance[[#This Row],[Qtt]]*TbTradesBinance[[#This Row],[Preço]])),W76)-IF(TbTradesBinance[[#This Row],[Moeda da Taxa]]=MID(W$1,9,5),TbTradesBinance[[#This Row],[Taxa]],0),8)))</f>
        <v>3.1926300000000001E-3</v>
      </c>
      <c r="X77" s="145" cm="1">
        <f t="array" ref="X77">IF(TbTradesBinance[[#This Row],[Tipo]]="EMPTY",0,X76+IF(TbTradesBinance[[#This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Row],[Par]]))),$1:$1,0)),-(W76-W77)/W76*X76),0),0)+IF(TbTradesBinance[[#This Row],[Tipo]]="SELL",IF(ISNUMBER(FIND(MID(X$1,10,5),TbTradesBinance[[#This Row],[Par]])),IF(FIND(MID(X$1,10,5),TbTradesBinance[[#This Row],[Par]])=1, -(W76-W77)/W76*X76,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Row],[Par]])),(-(W76-W77)/W76*X76)+IF(TbTradesBinance[[#This Row],[Resultado]]&gt;0,0,TbTradesBinance[[#This Row],[Taxa]]),0),0))</f>
        <v>1021.8199346464224</v>
      </c>
      <c r="Y77" s="145">
        <f t="shared" si="23"/>
        <v>320055.85822548257</v>
      </c>
      <c r="Z7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Row],[Tipo]]="DROP"),Z76+TbTradesBinance[[#This Row],[Qtt]],Z76-TbTradesBinance[[#This Row],[Qtt]]),IF(TbTradesBinance[[#This Row],[Tipo]]="BUY",Z76-TbTradesBinance[[#This Row],[Qtt]]*TbTradesBinance[[#This Row],[Preço]],Z76+TbTradesBinance[[#This Row],[Qtt]]*TbTradesBinance[[#This Row],[Preço]])),Z76)-IF(TbTradesBinance[[#This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Row],[Tipo]]="DROP"),Z76+TbTradesBinance[[#This Row],[Qtt]],Z76-TbTradesBinance[[#This Row],[Qtt]]),IF(TbTradesBinance[[#This Row],[Tipo]]="BUY",Z76-TbTradesBinance[[#This Row],[Qtt]]*TbTradesBinance[[#This Row],[Preço]],Z76+TbTradesBinance[[#This Row],[Qtt]]*TbTradesBinance[[#This Row],[Preço]])),Z76)-IF(TbTradesBinance[[#This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Row],[Tipo]]="DROP"),Z76+TbTradesBinance[[#This Row],[Qtt]],Z76-TbTradesBinance[[#This Row],[Qtt]]),IF(TbTradesBinance[[#This Row],[Tipo]]="BUY",Z76-TbTradesBinance[[#This Row],[Qtt]]*TbTradesBinance[[#This Row],[Preço]],Z76+TbTradesBinance[[#This Row],[Qtt]]*TbTradesBinance[[#This Row],[Preço]])),Z76)-IF(TbTradesBinance[[#This Row],[Moeda da Taxa]]=MID(Z$1,9,5),TbTradesBinance[[#This Row],[Taxa]],0),8)))</f>
        <v>0</v>
      </c>
      <c r="AA77" s="145" cm="1">
        <f t="array" ref="AA77">IF(TbTradesBinance[[#This Row],[Tipo]]="EMPTY",0,AA76+IF(TbTradesBinance[[#This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Row],[Par]]))),$1:$1,0)),-(Z76-Z77)/Z76*AA76),0),0)+IF(TbTradesBinance[[#This Row],[Tipo]]="SELL",IF(ISNUMBER(FIND(MID(AA$1,10,5),TbTradesBinance[[#This Row],[Par]])),IF(FIND(MID(AA$1,10,5),TbTradesBinance[[#This Row],[Par]])=1, -(Z76-Z77)/Z76*AA76,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Row],[Par]])),(-(Z76-Z77)/Z76*AA76)+IF(TbTradesBinance[[#This Row],[Resultado]]&gt;0,0,TbTradesBinance[[#This Row],[Taxa]]),0),0))</f>
        <v>0</v>
      </c>
      <c r="AB77" s="145">
        <f t="shared" si="24"/>
        <v>0</v>
      </c>
      <c r="AC7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Row],[Tipo]]="DROP"),AC76+TbTradesBinance[[#This Row],[Qtt]],AC76-TbTradesBinance[[#This Row],[Qtt]]),IF(TbTradesBinance[[#This Row],[Tipo]]="BUY",AC76-TbTradesBinance[[#This Row],[Qtt]]*TbTradesBinance[[#This Row],[Preço]],AC76+TbTradesBinance[[#This Row],[Qtt]]*TbTradesBinance[[#This Row],[Preço]])),AC76)-IF(TbTradesBinance[[#This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Row],[Tipo]]="DROP"),AC76+TbTradesBinance[[#This Row],[Qtt]],AC76-TbTradesBinance[[#This Row],[Qtt]]),IF(TbTradesBinance[[#This Row],[Tipo]]="BUY",AC76-TbTradesBinance[[#This Row],[Qtt]]*TbTradesBinance[[#This Row],[Preço]],AC76+TbTradesBinance[[#This Row],[Qtt]]*TbTradesBinance[[#This Row],[Preço]])),AC76)-IF(TbTradesBinance[[#This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Row],[Tipo]]="DROP"),AC76+TbTradesBinance[[#This Row],[Qtt]],AC76-TbTradesBinance[[#This Row],[Qtt]]),IF(TbTradesBinance[[#This Row],[Tipo]]="BUY",AC76-TbTradesBinance[[#This Row],[Qtt]]*TbTradesBinance[[#This Row],[Preço]],AC76+TbTradesBinance[[#This Row],[Qtt]]*TbTradesBinance[[#This Row],[Preço]])),AC76)-IF(TbTradesBinance[[#This Row],[Moeda da Taxa]]=MID(AC$1,9,5),TbTradesBinance[[#This Row],[Taxa]],0),8)))</f>
        <v>0</v>
      </c>
      <c r="AD77" s="145" cm="1">
        <f t="array" ref="AD77">IF(TbTradesBinance[[#This Row],[Tipo]]="EMPTY",0,AD76+IF(TbTradesBinance[[#This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Row],[Par]]))),$1:$1,0)),-(AC76-AC77)/AC76*AD76),0),0)+IF(TbTradesBinance[[#This Row],[Tipo]]="SELL",IF(ISNUMBER(FIND(MID(AD$1,10,5),TbTradesBinance[[#This Row],[Par]])),IF(FIND(MID(AD$1,10,5),TbTradesBinance[[#This Row],[Par]])=1, -(AC76-AC77)/AC76*AD76,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Row],[Par]])),(-(AC76-AC77)/AC76*AD76)+IF(TbTradesBinance[[#This Row],[Resultado]]&gt;0,0,TbTradesBinance[[#This Row],[Taxa]]),0),0))</f>
        <v>0</v>
      </c>
      <c r="AE77" s="145">
        <f t="shared" si="25"/>
        <v>0</v>
      </c>
      <c r="AF7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Row],[Tipo]]="DROP"),AF76+TbTradesBinance[[#This Row],[Qtt]],AF76-TbTradesBinance[[#This Row],[Qtt]]),IF(TbTradesBinance[[#This Row],[Tipo]]="BUY",AF76-TbTradesBinance[[#This Row],[Qtt]]*TbTradesBinance[[#This Row],[Preço]],AF76+TbTradesBinance[[#This Row],[Qtt]]*TbTradesBinance[[#This Row],[Preço]])),AF76)-IF(TbTradesBinance[[#This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Row],[Tipo]]="DROP"),AF76+TbTradesBinance[[#This Row],[Qtt]],AF76-TbTradesBinance[[#This Row],[Qtt]]),IF(TbTradesBinance[[#This Row],[Tipo]]="BUY",AF76-TbTradesBinance[[#This Row],[Qtt]]*TbTradesBinance[[#This Row],[Preço]],AF76+TbTradesBinance[[#This Row],[Qtt]]*TbTradesBinance[[#This Row],[Preço]])),AF76)-IF(TbTradesBinance[[#This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Row],[Tipo]]="DROP"),AF76+TbTradesBinance[[#This Row],[Qtt]],AF76-TbTradesBinance[[#This Row],[Qtt]]),IF(TbTradesBinance[[#This Row],[Tipo]]="BUY",AF76-TbTradesBinance[[#This Row],[Qtt]]*TbTradesBinance[[#This Row],[Preço]],AF76+TbTradesBinance[[#This Row],[Qtt]]*TbTradesBinance[[#This Row],[Preço]])),AF76)-IF(TbTradesBinance[[#This Row],[Moeda da Taxa]]=MID(AF$1,9,5),TbTradesBinance[[#This Row],[Taxa]],0),8)))</f>
        <v>19.98</v>
      </c>
      <c r="AG77" s="145" cm="1">
        <f t="array" ref="AG77">IF(TbTradesBinance[[#This Row],[Tipo]]="EMPTY",0,AG76+IF(TbTradesBinance[[#This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Row],[Par]]))),$1:$1,0)),-(AF76-AF77)/AF76*AG76),0),0)+IF(TbTradesBinance[[#This Row],[Tipo]]="SELL",IF(ISNUMBER(FIND(MID(AG$1,10,5),TbTradesBinance[[#This Row],[Par]])),IF(FIND(MID(AG$1,10,5),TbTradesBinance[[#This Row],[Par]])=1, -(AF76-AF77)/AF76*AG76,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Row],[Par]])),(-(AF76-AF77)/AF76*AG76)+IF(TbTradesBinance[[#This Row],[Resultado]]&gt;0,0,TbTradesBinance[[#This Row],[Taxa]]),0),0))</f>
        <v>124.04182758073662</v>
      </c>
      <c r="AH77" s="145">
        <f t="shared" si="26"/>
        <v>6.2082996787155462</v>
      </c>
      <c r="AI7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Row],[Tipo]]="DROP"),AI76+TbTradesBinance[[#This Row],[Qtt]],AI76-TbTradesBinance[[#This Row],[Qtt]]),IF(TbTradesBinance[[#This Row],[Tipo]]="BUY",AI76-TbTradesBinance[[#This Row],[Qtt]]*TbTradesBinance[[#This Row],[Preço]],AI76+TbTradesBinance[[#This Row],[Qtt]]*TbTradesBinance[[#This Row],[Preço]])),AI76)-IF(TbTradesBinance[[#This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Row],[Tipo]]="DROP"),AI76+TbTradesBinance[[#This Row],[Qtt]],AI76-TbTradesBinance[[#This Row],[Qtt]]),IF(TbTradesBinance[[#This Row],[Tipo]]="BUY",AI76-TbTradesBinance[[#This Row],[Qtt]]*TbTradesBinance[[#This Row],[Preço]],AI76+TbTradesBinance[[#This Row],[Qtt]]*TbTradesBinance[[#This Row],[Preço]])),AI76)-IF(TbTradesBinance[[#This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Row],[Tipo]]="DROP"),AI76+TbTradesBinance[[#This Row],[Qtt]],AI76-TbTradesBinance[[#This Row],[Qtt]]),IF(TbTradesBinance[[#This Row],[Tipo]]="BUY",AI76-TbTradesBinance[[#This Row],[Qtt]]*TbTradesBinance[[#This Row],[Preço]],AI76+TbTradesBinance[[#This Row],[Qtt]]*TbTradesBinance[[#This Row],[Preço]])),AI76)-IF(TbTradesBinance[[#This Row],[Moeda da Taxa]]=MID(AI$1,9,5),TbTradesBinance[[#This Row],[Taxa]],0),8)))</f>
        <v>0</v>
      </c>
      <c r="AJ77" s="145" cm="1">
        <f t="array" ref="AJ77">IF(TbTradesBinance[[#This Row],[Tipo]]="EMPTY",0,AJ76+IF(TbTradesBinance[[#This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Row],[Par]]))),$1:$1,0)),-(AI76-AI77)/AI76*AJ76),0),0)+IF(TbTradesBinance[[#This Row],[Tipo]]="SELL",IF(ISNUMBER(FIND(MID(AJ$1,10,5),TbTradesBinance[[#This Row],[Par]])),IF(FIND(MID(AJ$1,10,5),TbTradesBinance[[#This Row],[Par]])=1, -(AI76-AI77)/AI76*AJ76,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Row],[Par]])),(-(AI76-AI77)/AI76*AJ76)+IF(TbTradesBinance[[#This Row],[Resultado]]&gt;0,0,TbTradesBinance[[#This Row],[Taxa]]),0),0))</f>
        <v>0</v>
      </c>
      <c r="AK77" s="145">
        <f t="shared" si="27"/>
        <v>0</v>
      </c>
      <c r="AL7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Row],[Tipo]]="DROP"),AL76+TbTradesBinance[[#This Row],[Qtt]],AL76-TbTradesBinance[[#This Row],[Qtt]]),IF(TbTradesBinance[[#This Row],[Tipo]]="BUY",AL76-TbTradesBinance[[#This Row],[Qtt]]*TbTradesBinance[[#This Row],[Preço]],AL76+TbTradesBinance[[#This Row],[Qtt]]*TbTradesBinance[[#This Row],[Preço]])),AL76)-IF(TbTradesBinance[[#This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Row],[Tipo]]="DROP"),AL76+TbTradesBinance[[#This Row],[Qtt]],AL76-TbTradesBinance[[#This Row],[Qtt]]),IF(TbTradesBinance[[#This Row],[Tipo]]="BUY",AL76-TbTradesBinance[[#This Row],[Qtt]]*TbTradesBinance[[#This Row],[Preço]],AL76+TbTradesBinance[[#This Row],[Qtt]]*TbTradesBinance[[#This Row],[Preço]])),AL76)-IF(TbTradesBinance[[#This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Row],[Tipo]]="DROP"),AL76+TbTradesBinance[[#This Row],[Qtt]],AL76-TbTradesBinance[[#This Row],[Qtt]]),IF(TbTradesBinance[[#This Row],[Tipo]]="BUY",AL76-TbTradesBinance[[#This Row],[Qtt]]*TbTradesBinance[[#This Row],[Preço]],AL76+TbTradesBinance[[#This Row],[Qtt]]*TbTradesBinance[[#This Row],[Preço]])),AL76)-IF(TbTradesBinance[[#This Row],[Moeda da Taxa]]=MID(AL$1,9,5),TbTradesBinance[[#This Row],[Taxa]],0),8)))</f>
        <v>1.75824</v>
      </c>
      <c r="AM77" s="145" cm="1">
        <f t="array" ref="AM77">IF(TbTradesBinance[[#This Row],[Tipo]]="EMPTY",0,AM76+IF(TbTradesBinance[[#This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Row],[Par]]))),$1:$1,0)),-(AL76-AL77)/AL76*AM76),0),0)+IF(TbTradesBinance[[#This Row],[Tipo]]="SELL",IF(ISNUMBER(FIND(MID(AM$1,10,5),TbTradesBinance[[#This Row],[Par]])),IF(FIND(MID(AM$1,10,5),TbTradesBinance[[#This Row],[Par]])=1, -(AL76-AL77)/AL76*AM76,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Row],[Par]])),(-(AL76-AL77)/AL76*AM76)+IF(TbTradesBinance[[#This Row],[Resultado]]&gt;0,0,TbTradesBinance[[#This Row],[Taxa]]),0),0))</f>
        <v>144.56635471393039</v>
      </c>
      <c r="AN77" s="145">
        <f t="shared" si="28"/>
        <v>82.222196465744375</v>
      </c>
      <c r="AO7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Row],[Tipo]]="DROP"),AO76+TbTradesBinance[[#This Row],[Qtt]],AO76-TbTradesBinance[[#This Row],[Qtt]]),IF(TbTradesBinance[[#This Row],[Tipo]]="BUY",AO76-TbTradesBinance[[#This Row],[Qtt]]*TbTradesBinance[[#This Row],[Preço]],AO76+TbTradesBinance[[#This Row],[Qtt]]*TbTradesBinance[[#This Row],[Preço]])),AO76)-IF(TbTradesBinance[[#This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Row],[Tipo]]="DROP"),AO76+TbTradesBinance[[#This Row],[Qtt]],AO76-TbTradesBinance[[#This Row],[Qtt]]),IF(TbTradesBinance[[#This Row],[Tipo]]="BUY",AO76-TbTradesBinance[[#This Row],[Qtt]]*TbTradesBinance[[#This Row],[Preço]],AO76+TbTradesBinance[[#This Row],[Qtt]]*TbTradesBinance[[#This Row],[Preço]])),AO76)-IF(TbTradesBinance[[#This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Row],[Tipo]]="DROP"),AO76+TbTradesBinance[[#This Row],[Qtt]],AO76-TbTradesBinance[[#This Row],[Qtt]]),IF(TbTradesBinance[[#This Row],[Tipo]]="BUY",AO76-TbTradesBinance[[#This Row],[Qtt]]*TbTradesBinance[[#This Row],[Preço]],AO76+TbTradesBinance[[#This Row],[Qtt]]*TbTradesBinance[[#This Row],[Preço]])),AO76)-IF(TbTradesBinance[[#This Row],[Moeda da Taxa]]=MID(AO$1,9,5),TbTradesBinance[[#This Row],[Taxa]],0),8)))</f>
        <v>2.70054E-3</v>
      </c>
      <c r="AP77" s="145" cm="1">
        <f t="array" ref="AP77">IF(TbTradesBinance[[#This Row],[Tipo]]="EMPTY",0,AP76+IF(TbTradesBinance[[#This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Row],[Par]]))),$1:$1,0)),-(AO76-AO77)/AO76*AP76),0),0)+IF(TbTradesBinance[[#This Row],[Tipo]]="SELL",IF(ISNUMBER(FIND(MID(AP$1,10,5),TbTradesBinance[[#This Row],[Par]])),IF(FIND(MID(AP$1,10,5),TbTradesBinance[[#This Row],[Par]])=1, -(AO76-AO77)/AO76*AP76,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Row],[Par]])),(-(AO76-AO77)/AO76*AP76)+IF(TbTradesBinance[[#This Row],[Resultado]]&gt;0,0,TbTradesBinance[[#This Row],[Taxa]]),0),0))</f>
        <v>5.2490633588966693</v>
      </c>
      <c r="AQ77" s="145">
        <f t="shared" si="29"/>
        <v>1943.7087985723854</v>
      </c>
      <c r="AR7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Row],[Tipo]]="DROP"),AR76+TbTradesBinance[[#This Row],[Qtt]],AR76-TbTradesBinance[[#This Row],[Qtt]]),IF(TbTradesBinance[[#This Row],[Tipo]]="BUY",AR76-TbTradesBinance[[#This Row],[Qtt]]*TbTradesBinance[[#This Row],[Preço]],AR76+TbTradesBinance[[#This Row],[Qtt]]*TbTradesBinance[[#This Row],[Preço]])),AR76)-IF(TbTradesBinance[[#This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Row],[Tipo]]="DROP"),AR76+TbTradesBinance[[#This Row],[Qtt]],AR76-TbTradesBinance[[#This Row],[Qtt]]),IF(TbTradesBinance[[#This Row],[Tipo]]="BUY",AR76-TbTradesBinance[[#This Row],[Qtt]]*TbTradesBinance[[#This Row],[Preço]],AR76+TbTradesBinance[[#This Row],[Qtt]]*TbTradesBinance[[#This Row],[Preço]])),AR76)-IF(TbTradesBinance[[#This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Row],[Tipo]]="DROP"),AR76+TbTradesBinance[[#This Row],[Qtt]],AR76-TbTradesBinance[[#This Row],[Qtt]]),IF(TbTradesBinance[[#This Row],[Tipo]]="BUY",AR76-TbTradesBinance[[#This Row],[Qtt]]*TbTradesBinance[[#This Row],[Preço]],AR76+TbTradesBinance[[#This Row],[Qtt]]*TbTradesBinance[[#This Row],[Preço]])),AR76)-IF(TbTradesBinance[[#This Row],[Moeda da Taxa]]=MID(AR$1,9,5),TbTradesBinance[[#This Row],[Taxa]],0),8)))</f>
        <v>0</v>
      </c>
      <c r="AS77" s="145" cm="1">
        <f t="array" ref="AS77">IF(TbTradesBinance[[#This Row],[Tipo]]="EMPTY",0,AS76+IF(TbTradesBinance[[#This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Row],[Par]]))),$1:$1,0)),-(AR76-AR77)/AR76*AS76),0),0)+IF(TbTradesBinance[[#This Row],[Tipo]]="SELL",IF(ISNUMBER(FIND(MID(AS$1,10,5),TbTradesBinance[[#This Row],[Par]])),IF(FIND(MID(AS$1,10,5),TbTradesBinance[[#This Row],[Par]])=1, -(AR76-AR77)/AR76*AS76,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Row],[Par]])),(-(AR76-AR77)/AR76*AS76)+IF(TbTradesBinance[[#This Row],[Resultado]]&gt;0,0,TbTradesBinance[[#This Row],[Taxa]]),0),0))</f>
        <v>0</v>
      </c>
      <c r="AT77" s="145">
        <f t="shared" si="30"/>
        <v>0</v>
      </c>
      <c r="AU7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Row],[Tipo]]="DROP"),AU76+TbTradesBinance[[#This Row],[Qtt]],AU76-TbTradesBinance[[#This Row],[Qtt]]),IF(TbTradesBinance[[#This Row],[Tipo]]="BUY",AU76-TbTradesBinance[[#This Row],[Qtt]]*TbTradesBinance[[#This Row],[Preço]],AU76+TbTradesBinance[[#This Row],[Qtt]]*TbTradesBinance[[#This Row],[Preço]])),AU76)-IF(TbTradesBinance[[#This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Row],[Tipo]]="DROP"),AU76+TbTradesBinance[[#This Row],[Qtt]],AU76-TbTradesBinance[[#This Row],[Qtt]]),IF(TbTradesBinance[[#This Row],[Tipo]]="BUY",AU76-TbTradesBinance[[#This Row],[Qtt]]*TbTradesBinance[[#This Row],[Preço]],AU76+TbTradesBinance[[#This Row],[Qtt]]*TbTradesBinance[[#This Row],[Preço]])),AU76)-IF(TbTradesBinance[[#This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Row],[Tipo]]="DROP"),AU76+TbTradesBinance[[#This Row],[Qtt]],AU76-TbTradesBinance[[#This Row],[Qtt]]),IF(TbTradesBinance[[#This Row],[Tipo]]="BUY",AU76-TbTradesBinance[[#This Row],[Qtt]]*TbTradesBinance[[#This Row],[Preço]],AU76+TbTradesBinance[[#This Row],[Qtt]]*TbTradesBinance[[#This Row],[Preço]])),AU76)-IF(TbTradesBinance[[#This Row],[Moeda da Taxa]]=MID(AU$1,9,5),TbTradesBinance[[#This Row],[Taxa]],0),8)))</f>
        <v>0.26989999999999997</v>
      </c>
      <c r="AV77" s="145" cm="1">
        <f t="array" ref="AV77">IF(TbTradesBinance[[#This Row],[Tipo]]="EMPTY",0,AV76+IF(TbTradesBinance[[#This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Row],[Par]]))),$1:$1,0)),-(AU76-AU77)/AU76*AV76),0),0)+IF(TbTradesBinance[[#This Row],[Tipo]]="SELL",IF(ISNUMBER(FIND(MID(AV$1,10,5),TbTradesBinance[[#This Row],[Par]])),IF(FIND(MID(AV$1,10,5),TbTradesBinance[[#This Row],[Par]])=1, -(AU76-AU77)/AU76*AV76,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Row],[Par]])),(-(AU76-AU77)/AU76*AV76)+IF(TbTradesBinance[[#This Row],[Resultado]]&gt;0,0,TbTradesBinance[[#This Row],[Taxa]]),0),0))</f>
        <v>56.09788062740806</v>
      </c>
      <c r="AW77" s="145">
        <f t="shared" si="31"/>
        <v>207.8469085861729</v>
      </c>
      <c r="AX7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Row],[Tipo]]="DROP"),AX76+TbTradesBinance[[#This Row],[Qtt]],AX76-TbTradesBinance[[#This Row],[Qtt]]),IF(TbTradesBinance[[#This Row],[Tipo]]="BUY",AX76-TbTradesBinance[[#This Row],[Qtt]]*TbTradesBinance[[#This Row],[Preço]],AX76+TbTradesBinance[[#This Row],[Qtt]]*TbTradesBinance[[#This Row],[Preço]])),AX76)-IF(TbTradesBinance[[#This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Row],[Tipo]]="DROP"),AX76+TbTradesBinance[[#This Row],[Qtt]],AX76-TbTradesBinance[[#This Row],[Qtt]]),IF(TbTradesBinance[[#This Row],[Tipo]]="BUY",AX76-TbTradesBinance[[#This Row],[Qtt]]*TbTradesBinance[[#This Row],[Preço]],AX76+TbTradesBinance[[#This Row],[Qtt]]*TbTradesBinance[[#This Row],[Preço]])),AX76)-IF(TbTradesBinance[[#This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Row],[Tipo]]="DROP"),AX76+TbTradesBinance[[#This Row],[Qtt]],AX76-TbTradesBinance[[#This Row],[Qtt]]),IF(TbTradesBinance[[#This Row],[Tipo]]="BUY",AX76-TbTradesBinance[[#This Row],[Qtt]]*TbTradesBinance[[#This Row],[Preço]],AX76+TbTradesBinance[[#This Row],[Qtt]]*TbTradesBinance[[#This Row],[Preço]])),AX76)-IF(TbTradesBinance[[#This Row],[Moeda da Taxa]]=MID(AX$1,9,5),TbTradesBinance[[#This Row],[Taxa]],0),8)))</f>
        <v>0.22636999999999999</v>
      </c>
      <c r="AY77" s="145" cm="1">
        <f t="array" ref="AY77">IF(TbTradesBinance[[#This Row],[Tipo]]="EMPTY",0,AY76+IF(TbTradesBinance[[#This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Row],[Par]]))),$1:$1,0)),-(AX76-AX77)/AX76*AY76),0),0)+IF(TbTradesBinance[[#This Row],[Tipo]]="SELL",IF(ISNUMBER(FIND(MID(AY$1,10,5),TbTradesBinance[[#This Row],[Par]])),IF(FIND(MID(AY$1,10,5),TbTradesBinance[[#This Row],[Par]])=1, -(AX76-AX77)/AX76*AY76,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Row],[Par]])),(-(AX76-AX77)/AX76*AY76)+IF(TbTradesBinance[[#This Row],[Resultado]]&gt;0,0,TbTradesBinance[[#This Row],[Taxa]]),0),0))</f>
        <v>40.781337593356859</v>
      </c>
      <c r="AZ77" s="145">
        <f t="shared" si="32"/>
        <v>180.15345493376711</v>
      </c>
      <c r="BA7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Row],[Tipo]]="DROP"),BA76+TbTradesBinance[[#This Row],[Qtt]],BA76-TbTradesBinance[[#This Row],[Qtt]]),IF(TbTradesBinance[[#This Row],[Tipo]]="BUY",BA76-TbTradesBinance[[#This Row],[Qtt]]*TbTradesBinance[[#This Row],[Preço]],BA76+TbTradesBinance[[#This Row],[Qtt]]*TbTradesBinance[[#This Row],[Preço]])),BA76)-IF(TbTradesBinance[[#This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Row],[Tipo]]="DROP"),BA76+TbTradesBinance[[#This Row],[Qtt]],BA76-TbTradesBinance[[#This Row],[Qtt]]),IF(TbTradesBinance[[#This Row],[Tipo]]="BUY",BA76-TbTradesBinance[[#This Row],[Qtt]]*TbTradesBinance[[#This Row],[Preço]],BA76+TbTradesBinance[[#This Row],[Qtt]]*TbTradesBinance[[#This Row],[Preço]])),BA76)-IF(TbTradesBinance[[#This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Row],[Tipo]]="DROP"),BA76+TbTradesBinance[[#This Row],[Qtt]],BA76-TbTradesBinance[[#This Row],[Qtt]]),IF(TbTradesBinance[[#This Row],[Tipo]]="BUY",BA76-TbTradesBinance[[#This Row],[Qtt]]*TbTradesBinance[[#This Row],[Preço]],BA76+TbTradesBinance[[#This Row],[Qtt]]*TbTradesBinance[[#This Row],[Preço]])),BA76)-IF(TbTradesBinance[[#This Row],[Moeda da Taxa]]=MID(BA$1,9,5),TbTradesBinance[[#This Row],[Taxa]],0),8)))</f>
        <v>0</v>
      </c>
      <c r="BB77" s="145" cm="1">
        <f t="array" ref="BB77">IF(TbTradesBinance[[#This Row],[Tipo]]="EMPTY",0,BB76+IF(TbTradesBinance[[#This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Row],[Par]]))),$1:$1,0)),-(BA76-BA77)/BA76*BB76),0),0)+IF(TbTradesBinance[[#This Row],[Tipo]]="SELL",IF(ISNUMBER(FIND(MID(BB$1,10,5),TbTradesBinance[[#This Row],[Par]])),IF(FIND(MID(BB$1,10,5),TbTradesBinance[[#This Row],[Par]])=1, -(BA76-BA77)/BA76*BB76,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Row],[Par]])),(-(BA76-BA77)/BA76*BB76)+IF(TbTradesBinance[[#This Row],[Resultado]]&gt;0,0,TbTradesBinance[[#This Row],[Taxa]]),0),0))</f>
        <v>0</v>
      </c>
      <c r="BC77" s="145">
        <f t="shared" si="33"/>
        <v>0</v>
      </c>
      <c r="BD7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Row],[Tipo]]="DROP"),BD76+TbTradesBinance[[#This Row],[Qtt]],BD76-TbTradesBinance[[#This Row],[Qtt]]),IF(TbTradesBinance[[#This Row],[Tipo]]="BUY",BD76-TbTradesBinance[[#This Row],[Qtt]]*TbTradesBinance[[#This Row],[Preço]],BD76+TbTradesBinance[[#This Row],[Qtt]]*TbTradesBinance[[#This Row],[Preço]])),BD76)-IF(TbTradesBinance[[#This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Row],[Tipo]]="DROP"),BD76+TbTradesBinance[[#This Row],[Qtt]],BD76-TbTradesBinance[[#This Row],[Qtt]]),IF(TbTradesBinance[[#This Row],[Tipo]]="BUY",BD76-TbTradesBinance[[#This Row],[Qtt]]*TbTradesBinance[[#This Row],[Preço]],BD76+TbTradesBinance[[#This Row],[Qtt]]*TbTradesBinance[[#This Row],[Preço]])),BD76)-IF(TbTradesBinance[[#This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Row],[Tipo]]="DROP"),BD76+TbTradesBinance[[#This Row],[Qtt]],BD76-TbTradesBinance[[#This Row],[Qtt]]),IF(TbTradesBinance[[#This Row],[Tipo]]="BUY",BD76-TbTradesBinance[[#This Row],[Qtt]]*TbTradesBinance[[#This Row],[Preço]],BD76+TbTradesBinance[[#This Row],[Qtt]]*TbTradesBinance[[#This Row],[Preço]])),BD76)-IF(TbTradesBinance[[#This Row],[Moeda da Taxa]]=MID(BD$1,9,5),TbTradesBinance[[#This Row],[Taxa]],0),8)))</f>
        <v>0.37962000000000001</v>
      </c>
      <c r="BE77" s="145" cm="1">
        <f t="array" ref="BE77">IF(TbTradesBinance[[#This Row],[Tipo]]="EMPTY",0,BE76+IF(TbTradesBinance[[#This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Row],[Par]]))),$1:$1,0)),-(BD76-BD77)/BD76*BE76),0),0)+IF(TbTradesBinance[[#This Row],[Tipo]]="SELL",IF(ISNUMBER(FIND(MID(BE$1,10,5),TbTradesBinance[[#This Row],[Par]])),IF(FIND(MID(BE$1,10,5),TbTradesBinance[[#This Row],[Par]])=1, -(BD76-BD77)/BD76*BE76,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Row],[Par]])),(-(BD76-BD77)/BD76*BE76)+IF(TbTradesBinance[[#This Row],[Resultado]]&gt;0,0,TbTradesBinance[[#This Row],[Taxa]]),0),0))</f>
        <v>63.647297001537943</v>
      </c>
      <c r="BF77" s="145">
        <f t="shared" si="34"/>
        <v>167.66054739354601</v>
      </c>
      <c r="BG7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Row],[Tipo]]="DROP"),BG76+TbTradesBinance[[#This Row],[Qtt]],BG76-TbTradesBinance[[#This Row],[Qtt]]),IF(TbTradesBinance[[#This Row],[Tipo]]="BUY",BG76-TbTradesBinance[[#This Row],[Qtt]]*TbTradesBinance[[#This Row],[Preço]],BG76+TbTradesBinance[[#This Row],[Qtt]]*TbTradesBinance[[#This Row],[Preço]])),BG76)-IF(TbTradesBinance[[#This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Row],[Tipo]]="DROP"),BG76+TbTradesBinance[[#This Row],[Qtt]],BG76-TbTradesBinance[[#This Row],[Qtt]]),IF(TbTradesBinance[[#This Row],[Tipo]]="BUY",BG76-TbTradesBinance[[#This Row],[Qtt]]*TbTradesBinance[[#This Row],[Preço]],BG76+TbTradesBinance[[#This Row],[Qtt]]*TbTradesBinance[[#This Row],[Preço]])),BG76)-IF(TbTradesBinance[[#This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Row],[Tipo]]="DROP"),BG76+TbTradesBinance[[#This Row],[Qtt]],BG76-TbTradesBinance[[#This Row],[Qtt]]),IF(TbTradesBinance[[#This Row],[Tipo]]="BUY",BG76-TbTradesBinance[[#This Row],[Qtt]]*TbTradesBinance[[#This Row],[Preço]],BG76+TbTradesBinance[[#This Row],[Qtt]]*TbTradesBinance[[#This Row],[Preço]])),BG76)-IF(TbTradesBinance[[#This Row],[Moeda da Taxa]]=MID(BG$1,9,5),TbTradesBinance[[#This Row],[Taxa]],0),8)))</f>
        <v>111.71817</v>
      </c>
      <c r="BH77" s="145" cm="1">
        <f t="array" ref="BH77">IF(TbTradesBinance[[#This Row],[Tipo]]="EMPTY",0,BH76+IF(TbTradesBinance[[#This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Row],[Par]]))),$1:$1,0)),-(BG76-BG77)/BG76*BH76),0),0)+IF(TbTradesBinance[[#This Row],[Tipo]]="SELL",IF(ISNUMBER(FIND(MID(BH$1,10,5),TbTradesBinance[[#This Row],[Par]])),IF(FIND(MID(BH$1,10,5),TbTradesBinance[[#This Row],[Par]])=1, -(BG76-BG77)/BG76*BH76,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Row],[Par]])),(-(BG76-BG77)/BG76*BH76)+IF(TbTradesBinance[[#This Row],[Resultado]]&gt;0,0,TbTradesBinance[[#This Row],[Taxa]]),0),0))</f>
        <v>401.31269619490814</v>
      </c>
      <c r="BI77" s="145">
        <f t="shared" si="35"/>
        <v>3.5921882375526573</v>
      </c>
      <c r="BJ7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Row],[Tipo]]="DROP"),BJ76+TbTradesBinance[[#This Row],[Qtt]],BJ76-TbTradesBinance[[#This Row],[Qtt]]),IF(TbTradesBinance[[#This Row],[Tipo]]="BUY",BJ76-TbTradesBinance[[#This Row],[Qtt]]*TbTradesBinance[[#This Row],[Preço]],BJ76+TbTradesBinance[[#This Row],[Qtt]]*TbTradesBinance[[#This Row],[Preço]])),BJ76)-IF(TbTradesBinance[[#This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Row],[Tipo]]="DROP"),BJ76+TbTradesBinance[[#This Row],[Qtt]],BJ76-TbTradesBinance[[#This Row],[Qtt]]),IF(TbTradesBinance[[#This Row],[Tipo]]="BUY",BJ76-TbTradesBinance[[#This Row],[Qtt]]*TbTradesBinance[[#This Row],[Preço]],BJ76+TbTradesBinance[[#This Row],[Qtt]]*TbTradesBinance[[#This Row],[Preço]])),BJ76)-IF(TbTradesBinance[[#This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Row],[Tipo]]="DROP"),BJ76+TbTradesBinance[[#This Row],[Qtt]],BJ76-TbTradesBinance[[#This Row],[Qtt]]),IF(TbTradesBinance[[#This Row],[Tipo]]="BUY",BJ76-TbTradesBinance[[#This Row],[Qtt]]*TbTradesBinance[[#This Row],[Preço]],BJ76+TbTradesBinance[[#This Row],[Qtt]]*TbTradesBinance[[#This Row],[Preço]])),BJ76)-IF(TbTradesBinance[[#This Row],[Moeda da Taxa]]=MID(BJ$1,9,5),TbTradesBinance[[#This Row],[Taxa]],0),8)))</f>
        <v>0</v>
      </c>
      <c r="BK77" s="145" cm="1">
        <f t="array" ref="BK77">IF(TbTradesBinance[[#This Row],[Tipo]]="EMPTY",0,BK76+IF(TbTradesBinance[[#This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Row],[Par]]))),$1:$1,0)),-(BJ76-BJ77)/BJ76*BK76),0),0)+IF(TbTradesBinance[[#This Row],[Tipo]]="SELL",IF(ISNUMBER(FIND(MID(BK$1,10,5),TbTradesBinance[[#This Row],[Par]])),IF(FIND(MID(BK$1,10,5),TbTradesBinance[[#This Row],[Par]])=1, -(BJ76-BJ77)/BJ76*BK76,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Row],[Par]])),(-(BJ76-BJ77)/BJ76*BK76)+IF(TbTradesBinance[[#This Row],[Resultado]]&gt;0,0,TbTradesBinance[[#This Row],[Taxa]]),0),0))</f>
        <v>0</v>
      </c>
      <c r="BL77" s="145">
        <f t="shared" si="36"/>
        <v>0</v>
      </c>
      <c r="BM7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Row],[Tipo]]="DROP"),BM76+TbTradesBinance[[#This Row],[Qtt]],BM76-TbTradesBinance[[#This Row],[Qtt]]),IF(TbTradesBinance[[#This Row],[Tipo]]="BUY",BM76-TbTradesBinance[[#This Row],[Qtt]]*TbTradesBinance[[#This Row],[Preço]],BM76+TbTradesBinance[[#This Row],[Qtt]]*TbTradesBinance[[#This Row],[Preço]])),BM76)-IF(TbTradesBinance[[#This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Row],[Tipo]]="DROP"),BM76+TbTradesBinance[[#This Row],[Qtt]],BM76-TbTradesBinance[[#This Row],[Qtt]]),IF(TbTradesBinance[[#This Row],[Tipo]]="BUY",BM76-TbTradesBinance[[#This Row],[Qtt]]*TbTradesBinance[[#This Row],[Preço]],BM76+TbTradesBinance[[#This Row],[Qtt]]*TbTradesBinance[[#This Row],[Preço]])),BM76)-IF(TbTradesBinance[[#This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Row],[Tipo]]="DROP"),BM76+TbTradesBinance[[#This Row],[Qtt]],BM76-TbTradesBinance[[#This Row],[Qtt]]),IF(TbTradesBinance[[#This Row],[Tipo]]="BUY",BM76-TbTradesBinance[[#This Row],[Qtt]]*TbTradesBinance[[#This Row],[Preço]],BM76+TbTradesBinance[[#This Row],[Qtt]]*TbTradesBinance[[#This Row],[Preço]])),BM76)-IF(TbTradesBinance[[#This Row],[Moeda da Taxa]]=MID(BM$1,9,5),TbTradesBinance[[#This Row],[Taxa]],0),8)))</f>
        <v>0</v>
      </c>
      <c r="BN77" s="145" cm="1">
        <f t="array" ref="BN77">IF(TbTradesBinance[[#This Row],[Tipo]]="EMPTY",0,BN76+IF(TbTradesBinance[[#This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Row],[Par]]))),$1:$1,0)),-(BM76-BM77)/BM76*BN76),0),0)+IF(TbTradesBinance[[#This Row],[Tipo]]="SELL",IF(ISNUMBER(FIND(MID(BN$1,10,5),TbTradesBinance[[#This Row],[Par]])),IF(FIND(MID(BN$1,10,5),TbTradesBinance[[#This Row],[Par]])=1, -(BM76-BM77)/BM76*BN76,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Row],[Par]])),(-(BM76-BM77)/BM76*BN76)+IF(TbTradesBinance[[#This Row],[Resultado]]&gt;0,0,TbTradesBinance[[#This Row],[Taxa]]),0),0))</f>
        <v>0</v>
      </c>
      <c r="BO77" s="145">
        <f t="shared" si="37"/>
        <v>0</v>
      </c>
    </row>
    <row r="78" spans="2:67" x14ac:dyDescent="0.3">
      <c r="B78" s="51"/>
      <c r="C78" s="40">
        <f>TRUNC(IF(AND(TbTradesBinance[[#This Row],[Tipo]]="SEND",TbTradesBinance[[#This Row],[Par]]="BRL"),TbTradesBinance[[#This Row],[Qtt]]*(1-P76)-IF(TbTradesBinance[[#This Row],[Moeda da Taxa]]="BRL",TbTradesBinance[[#This Row],[Taxa]],0),0)+IF(AND(TbTradesBinance[[#This Row],[Tipo]]="BURN",TbTradesBinance[[#This Row],[Par]]="BRL"),-TbTradesBinance[[#This Row],[Qtt]]*P76,0),2)</f>
        <v>0</v>
      </c>
      <c r="D78" s="53">
        <v>44266.75037037037</v>
      </c>
      <c r="E78" s="37" t="s">
        <v>138</v>
      </c>
      <c r="F78" s="47" t="s">
        <v>140</v>
      </c>
      <c r="G78" s="38">
        <v>322000</v>
      </c>
      <c r="H78" s="38">
        <v>3.124E-3</v>
      </c>
      <c r="I78" s="38">
        <v>0</v>
      </c>
      <c r="J78" s="37" t="s">
        <v>45</v>
      </c>
      <c r="K78" s="52">
        <v>1</v>
      </c>
      <c r="L78" s="40">
        <f t="shared" si="19"/>
        <v>322000</v>
      </c>
      <c r="M78" s="40">
        <f>IF(OR(TbTradesBinance[[#This Row],[Tipo]]="BUY",TbTradesBinance[[#This Row],[Tipo]]="RECEIVE",TbTradesBinance[[#This Row],[Tipo]]="DROP"),L78*H78,-L78*H78)</f>
        <v>-1005.928</v>
      </c>
      <c r="N7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Row],[Tipo]]="DROP"),N77+TbTradesBinance[[#This Row],[Qtt]],N77-TbTradesBinance[[#This Row],[Qtt]]),IF(TbTradesBinance[[#This Row],[Tipo]]="BUY",N77-TbTradesBinance[[#This Row],[Qtt]]*TbTradesBinance[[#This Row],[Preço]],N77+TbTradesBinance[[#This Row],[Qtt]]*TbTradesBinance[[#This Row],[Preço]])),N77)-IF(TbTradesBinance[[#This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Row],[Tipo]]="DROP"),N77+TbTradesBinance[[#This Row],[Qtt]],N77-TbTradesBinance[[#This Row],[Qtt]]),IF(TbTradesBinance[[#This Row],[Tipo]]="BUY",N77-TbTradesBinance[[#This Row],[Qtt]]*TbTradesBinance[[#This Row],[Preço]],N77+TbTradesBinance[[#This Row],[Qtt]]*TbTradesBinance[[#This Row],[Preço]])),N77)-IF(TbTradesBinance[[#This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Row],[Tipo]]="DROP"),N77+TbTradesBinance[[#This Row],[Qtt]],N77-TbTradesBinance[[#This Row],[Qtt]]),IF(TbTradesBinance[[#This Row],[Tipo]]="BUY",N77-TbTradesBinance[[#This Row],[Qtt]]*TbTradesBinance[[#This Row],[Preço]],N77+TbTradesBinance[[#This Row],[Qtt]]*TbTradesBinance[[#This Row],[Preço]])),N77)-IF(TbTradesBinance[[#This Row],[Moeda da Taxa]]=MID(N$1,9,5),TbTradesBinance[[#This Row],[Taxa]],0),8)))</f>
        <v>120751.34799999</v>
      </c>
      <c r="O78" s="145" cm="1">
        <f t="array" ref="O78">IF(TbTradesBinance[[#This Row],[Tipo]]="EMPTY",0,O77+IF(TbTradesBinance[[#This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Row],[Par]]))),$1:$1,0)),-(N77-N78)/N77*O77),0),0)+IF(TbTradesBinance[[#This Row],[Tipo]]="SELL",IF(ISNUMBER(FIND(MID(O$1,10,5),TbTradesBinance[[#This Row],[Par]])),IF(FIND(MID(O$1,10,5),TbTradesBinance[[#This Row],[Par]])=1, -(N77-N78)/N77*O77,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Row],[Par]])),(-(N77-N78)/N77*O77)+IF(TbTradesBinance[[#This Row],[Resultado]]&gt;0,0,TbTradesBinance[[#This Row],[Taxa]]),0),0))</f>
        <v>120649.07466659891</v>
      </c>
      <c r="P78" s="145">
        <f t="shared" si="20"/>
        <v>0.99915302532779104</v>
      </c>
      <c r="Q7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Row],[Tipo]]="DROP"),Q77+TbTradesBinance[[#This Row],[Qtt]],Q77-TbTradesBinance[[#This Row],[Qtt]]),IF(TbTradesBinance[[#This Row],[Tipo]]="BUY",Q77-TbTradesBinance[[#This Row],[Qtt]]*TbTradesBinance[[#This Row],[Preço]],Q77+TbTradesBinance[[#This Row],[Qtt]]*TbTradesBinance[[#This Row],[Preço]])),Q77)-IF(TbTradesBinance[[#This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Row],[Tipo]]="DROP"),Q77+TbTradesBinance[[#This Row],[Qtt]],Q77-TbTradesBinance[[#This Row],[Qtt]]),IF(TbTradesBinance[[#This Row],[Tipo]]="BUY",Q77-TbTradesBinance[[#This Row],[Qtt]]*TbTradesBinance[[#This Row],[Preço]],Q77+TbTradesBinance[[#This Row],[Qtt]]*TbTradesBinance[[#This Row],[Preço]])),Q77)-IF(TbTradesBinance[[#This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Row],[Tipo]]="DROP"),Q77+TbTradesBinance[[#This Row],[Qtt]],Q77-TbTradesBinance[[#This Row],[Qtt]]),IF(TbTradesBinance[[#This Row],[Tipo]]="BUY",Q77-TbTradesBinance[[#This Row],[Qtt]]*TbTradesBinance[[#This Row],[Preço]],Q77+TbTradesBinance[[#This Row],[Qtt]]*TbTradesBinance[[#This Row],[Preço]])),Q77)-IF(TbTradesBinance[[#This Row],[Moeda da Taxa]]=MID(Q$1,9,5),TbTradesBinance[[#This Row],[Taxa]],0),8)))</f>
        <v>8.2799990000000004E-2</v>
      </c>
      <c r="R78" s="145" cm="1">
        <f t="array" ref="R78">IF(TbTradesBinance[[#This Row],[Tipo]]="EMPTY",0,R77+IF(TbTradesBinance[[#This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Row],[Par]]))),$1:$1,0)),-(Q77-Q78)/Q77*R77),0),0)+IF(TbTradesBinance[[#This Row],[Tipo]]="SELL",IF(ISNUMBER(FIND(MID(R$1,10,5),TbTradesBinance[[#This Row],[Par]])),IF(FIND(MID(R$1,10,5),TbTradesBinance[[#This Row],[Par]])=1, -(Q77-Q78)/Q77*R77,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Row],[Par]])),(-(Q77-Q78)/Q77*R77)+IF(TbTradesBinance[[#This Row],[Resultado]]&gt;0,0,TbTradesBinance[[#This Row],[Taxa]]),0),0))</f>
        <v>0.46008090465994195</v>
      </c>
      <c r="S78" s="145">
        <f t="shared" si="21"/>
        <v>5.5565333360540494</v>
      </c>
      <c r="T7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Row],[Tipo]]="DROP"),T77+TbTradesBinance[[#This Row],[Qtt]],T77-TbTradesBinance[[#This Row],[Qtt]]),IF(TbTradesBinance[[#This Row],[Tipo]]="BUY",T77-TbTradesBinance[[#This Row],[Qtt]]*TbTradesBinance[[#This Row],[Preço]],T77+TbTradesBinance[[#This Row],[Qtt]]*TbTradesBinance[[#This Row],[Preço]])),T77)-IF(TbTradesBinance[[#This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Row],[Tipo]]="DROP"),T77+TbTradesBinance[[#This Row],[Qtt]],T77-TbTradesBinance[[#This Row],[Qtt]]),IF(TbTradesBinance[[#This Row],[Tipo]]="BUY",T77-TbTradesBinance[[#This Row],[Qtt]]*TbTradesBinance[[#This Row],[Preço]],T77+TbTradesBinance[[#This Row],[Qtt]]*TbTradesBinance[[#This Row],[Preço]])),T77)-IF(TbTradesBinance[[#This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Row],[Tipo]]="DROP"),T77+TbTradesBinance[[#This Row],[Qtt]],T77-TbTradesBinance[[#This Row],[Qtt]]),IF(TbTradesBinance[[#This Row],[Tipo]]="BUY",T77-TbTradesBinance[[#This Row],[Qtt]]*TbTradesBinance[[#This Row],[Preço]],T77+TbTradesBinance[[#This Row],[Qtt]]*TbTradesBinance[[#This Row],[Preço]])),T77)-IF(TbTradesBinance[[#This Row],[Moeda da Taxa]]=MID(T$1,9,5),TbTradesBinance[[#This Row],[Taxa]],0),8)))</f>
        <v>199735.32000169999</v>
      </c>
      <c r="U78" s="145" cm="1">
        <f t="array" ref="U78">IF(TbTradesBinance[[#This Row],[Tipo]]="EMPTY",0,U77+IF(TbTradesBinance[[#This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Row],[Par]]))),$1:$1,0)),-(T77-T78)/T77*U77),0),0)+IF(TbTradesBinance[[#This Row],[Tipo]]="SELL",IF(ISNUMBER(FIND(MID(U$1,10,5),TbTradesBinance[[#This Row],[Par]])),IF(FIND(MID(U$1,10,5),TbTradesBinance[[#This Row],[Par]])=1, -(T77-T78)/T77*U77,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Row],[Par]])),(-(T77-T78)/T77*U77)+IF(TbTradesBinance[[#This Row],[Resultado]]&gt;0,0,TbTradesBinance[[#This Row],[Taxa]]),0),0))</f>
        <v>1328239.8809817513</v>
      </c>
      <c r="V78" s="145">
        <f t="shared" si="22"/>
        <v>6.6500000148719129</v>
      </c>
      <c r="W7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Row],[Tipo]]="DROP"),W77+TbTradesBinance[[#This Row],[Qtt]],W77-TbTradesBinance[[#This Row],[Qtt]]),IF(TbTradesBinance[[#This Row],[Tipo]]="BUY",W77-TbTradesBinance[[#This Row],[Qtt]]*TbTradesBinance[[#This Row],[Preço]],W77+TbTradesBinance[[#This Row],[Qtt]]*TbTradesBinance[[#This Row],[Preço]])),W77)-IF(TbTradesBinance[[#This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Row],[Tipo]]="DROP"),W77+TbTradesBinance[[#This Row],[Qtt]],W77-TbTradesBinance[[#This Row],[Qtt]]),IF(TbTradesBinance[[#This Row],[Tipo]]="BUY",W77-TbTradesBinance[[#This Row],[Qtt]]*TbTradesBinance[[#This Row],[Preço]],W77+TbTradesBinance[[#This Row],[Qtt]]*TbTradesBinance[[#This Row],[Preço]])),W77)-IF(TbTradesBinance[[#This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Row],[Tipo]]="DROP"),W77+TbTradesBinance[[#This Row],[Qtt]],W77-TbTradesBinance[[#This Row],[Qtt]]),IF(TbTradesBinance[[#This Row],[Tipo]]="BUY",W77-TbTradesBinance[[#This Row],[Qtt]]*TbTradesBinance[[#This Row],[Preço]],W77+TbTradesBinance[[#This Row],[Qtt]]*TbTradesBinance[[#This Row],[Preço]])),W77)-IF(TbTradesBinance[[#This Row],[Moeda da Taxa]]=MID(W$1,9,5),TbTradesBinance[[#This Row],[Taxa]],0),8)))</f>
        <v>6.8629999999999999E-5</v>
      </c>
      <c r="X78" s="145" cm="1">
        <f t="array" ref="X78">IF(TbTradesBinance[[#This Row],[Tipo]]="EMPTY",0,X77+IF(TbTradesBinance[[#This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Row],[Par]]))),$1:$1,0)),-(W77-W78)/W77*X77),0),0)+IF(TbTradesBinance[[#This Row],[Tipo]]="SELL",IF(ISNUMBER(FIND(MID(X$1,10,5),TbTradesBinance[[#This Row],[Par]])),IF(FIND(MID(X$1,10,5),TbTradesBinance[[#This Row],[Par]])=1, -(W77-W78)/W77*X77,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Row],[Par]])),(-(W77-W78)/W77*X77)+IF(TbTradesBinance[[#This Row],[Resultado]]&gt;0,0,TbTradesBinance[[#This Row],[Taxa]]),0),0))</f>
        <v>21.96543355001495</v>
      </c>
      <c r="Y78" s="145">
        <f t="shared" si="23"/>
        <v>320055.85822548374</v>
      </c>
      <c r="Z7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Row],[Tipo]]="DROP"),Z77+TbTradesBinance[[#This Row],[Qtt]],Z77-TbTradesBinance[[#This Row],[Qtt]]),IF(TbTradesBinance[[#This Row],[Tipo]]="BUY",Z77-TbTradesBinance[[#This Row],[Qtt]]*TbTradesBinance[[#This Row],[Preço]],Z77+TbTradesBinance[[#This Row],[Qtt]]*TbTradesBinance[[#This Row],[Preço]])),Z77)-IF(TbTradesBinance[[#This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Row],[Tipo]]="DROP"),Z77+TbTradesBinance[[#This Row],[Qtt]],Z77-TbTradesBinance[[#This Row],[Qtt]]),IF(TbTradesBinance[[#This Row],[Tipo]]="BUY",Z77-TbTradesBinance[[#This Row],[Qtt]]*TbTradesBinance[[#This Row],[Preço]],Z77+TbTradesBinance[[#This Row],[Qtt]]*TbTradesBinance[[#This Row],[Preço]])),Z77)-IF(TbTradesBinance[[#This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Row],[Tipo]]="DROP"),Z77+TbTradesBinance[[#This Row],[Qtt]],Z77-TbTradesBinance[[#This Row],[Qtt]]),IF(TbTradesBinance[[#This Row],[Tipo]]="BUY",Z77-TbTradesBinance[[#This Row],[Qtt]]*TbTradesBinance[[#This Row],[Preço]],Z77+TbTradesBinance[[#This Row],[Qtt]]*TbTradesBinance[[#This Row],[Preço]])),Z77)-IF(TbTradesBinance[[#This Row],[Moeda da Taxa]]=MID(Z$1,9,5),TbTradesBinance[[#This Row],[Taxa]],0),8)))</f>
        <v>0</v>
      </c>
      <c r="AA78" s="145" cm="1">
        <f t="array" ref="AA78">IF(TbTradesBinance[[#This Row],[Tipo]]="EMPTY",0,AA77+IF(TbTradesBinance[[#This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Row],[Par]]))),$1:$1,0)),-(Z77-Z78)/Z77*AA77),0),0)+IF(TbTradesBinance[[#This Row],[Tipo]]="SELL",IF(ISNUMBER(FIND(MID(AA$1,10,5),TbTradesBinance[[#This Row],[Par]])),IF(FIND(MID(AA$1,10,5),TbTradesBinance[[#This Row],[Par]])=1, -(Z77-Z78)/Z77*AA77,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Row],[Par]])),(-(Z77-Z78)/Z77*AA77)+IF(TbTradesBinance[[#This Row],[Resultado]]&gt;0,0,TbTradesBinance[[#This Row],[Taxa]]),0),0))</f>
        <v>0</v>
      </c>
      <c r="AB78" s="145">
        <f t="shared" si="24"/>
        <v>0</v>
      </c>
      <c r="AC7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Row],[Tipo]]="DROP"),AC77+TbTradesBinance[[#This Row],[Qtt]],AC77-TbTradesBinance[[#This Row],[Qtt]]),IF(TbTradesBinance[[#This Row],[Tipo]]="BUY",AC77-TbTradesBinance[[#This Row],[Qtt]]*TbTradesBinance[[#This Row],[Preço]],AC77+TbTradesBinance[[#This Row],[Qtt]]*TbTradesBinance[[#This Row],[Preço]])),AC77)-IF(TbTradesBinance[[#This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Row],[Tipo]]="DROP"),AC77+TbTradesBinance[[#This Row],[Qtt]],AC77-TbTradesBinance[[#This Row],[Qtt]]),IF(TbTradesBinance[[#This Row],[Tipo]]="BUY",AC77-TbTradesBinance[[#This Row],[Qtt]]*TbTradesBinance[[#This Row],[Preço]],AC77+TbTradesBinance[[#This Row],[Qtt]]*TbTradesBinance[[#This Row],[Preço]])),AC77)-IF(TbTradesBinance[[#This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Row],[Tipo]]="DROP"),AC77+TbTradesBinance[[#This Row],[Qtt]],AC77-TbTradesBinance[[#This Row],[Qtt]]),IF(TbTradesBinance[[#This Row],[Tipo]]="BUY",AC77-TbTradesBinance[[#This Row],[Qtt]]*TbTradesBinance[[#This Row],[Preço]],AC77+TbTradesBinance[[#This Row],[Qtt]]*TbTradesBinance[[#This Row],[Preço]])),AC77)-IF(TbTradesBinance[[#This Row],[Moeda da Taxa]]=MID(AC$1,9,5),TbTradesBinance[[#This Row],[Taxa]],0),8)))</f>
        <v>0</v>
      </c>
      <c r="AD78" s="145" cm="1">
        <f t="array" ref="AD78">IF(TbTradesBinance[[#This Row],[Tipo]]="EMPTY",0,AD77+IF(TbTradesBinance[[#This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Row],[Par]]))),$1:$1,0)),-(AC77-AC78)/AC77*AD77),0),0)+IF(TbTradesBinance[[#This Row],[Tipo]]="SELL",IF(ISNUMBER(FIND(MID(AD$1,10,5),TbTradesBinance[[#This Row],[Par]])),IF(FIND(MID(AD$1,10,5),TbTradesBinance[[#This Row],[Par]])=1, -(AC77-AC78)/AC77*AD77,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Row],[Par]])),(-(AC77-AC78)/AC77*AD77)+IF(TbTradesBinance[[#This Row],[Resultado]]&gt;0,0,TbTradesBinance[[#This Row],[Taxa]]),0),0))</f>
        <v>0</v>
      </c>
      <c r="AE78" s="145">
        <f t="shared" si="25"/>
        <v>0</v>
      </c>
      <c r="AF7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Row],[Tipo]]="DROP"),AF77+TbTradesBinance[[#This Row],[Qtt]],AF77-TbTradesBinance[[#This Row],[Qtt]]),IF(TbTradesBinance[[#This Row],[Tipo]]="BUY",AF77-TbTradesBinance[[#This Row],[Qtt]]*TbTradesBinance[[#This Row],[Preço]],AF77+TbTradesBinance[[#This Row],[Qtt]]*TbTradesBinance[[#This Row],[Preço]])),AF77)-IF(TbTradesBinance[[#This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Row],[Tipo]]="DROP"),AF77+TbTradesBinance[[#This Row],[Qtt]],AF77-TbTradesBinance[[#This Row],[Qtt]]),IF(TbTradesBinance[[#This Row],[Tipo]]="BUY",AF77-TbTradesBinance[[#This Row],[Qtt]]*TbTradesBinance[[#This Row],[Preço]],AF77+TbTradesBinance[[#This Row],[Qtt]]*TbTradesBinance[[#This Row],[Preço]])),AF77)-IF(TbTradesBinance[[#This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Row],[Tipo]]="DROP"),AF77+TbTradesBinance[[#This Row],[Qtt]],AF77-TbTradesBinance[[#This Row],[Qtt]]),IF(TbTradesBinance[[#This Row],[Tipo]]="BUY",AF77-TbTradesBinance[[#This Row],[Qtt]]*TbTradesBinance[[#This Row],[Preço]],AF77+TbTradesBinance[[#This Row],[Qtt]]*TbTradesBinance[[#This Row],[Preço]])),AF77)-IF(TbTradesBinance[[#This Row],[Moeda da Taxa]]=MID(AF$1,9,5),TbTradesBinance[[#This Row],[Taxa]],0),8)))</f>
        <v>19.98</v>
      </c>
      <c r="AG78" s="145" cm="1">
        <f t="array" ref="AG78">IF(TbTradesBinance[[#This Row],[Tipo]]="EMPTY",0,AG77+IF(TbTradesBinance[[#This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Row],[Par]]))),$1:$1,0)),-(AF77-AF78)/AF77*AG77),0),0)+IF(TbTradesBinance[[#This Row],[Tipo]]="SELL",IF(ISNUMBER(FIND(MID(AG$1,10,5),TbTradesBinance[[#This Row],[Par]])),IF(FIND(MID(AG$1,10,5),TbTradesBinance[[#This Row],[Par]])=1, -(AF77-AF78)/AF77*AG77,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Row],[Par]])),(-(AF77-AF78)/AF77*AG77)+IF(TbTradesBinance[[#This Row],[Resultado]]&gt;0,0,TbTradesBinance[[#This Row],[Taxa]]),0),0))</f>
        <v>124.04182758073662</v>
      </c>
      <c r="AH78" s="145">
        <f t="shared" si="26"/>
        <v>6.2082996787155462</v>
      </c>
      <c r="AI7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Row],[Tipo]]="DROP"),AI77+TbTradesBinance[[#This Row],[Qtt]],AI77-TbTradesBinance[[#This Row],[Qtt]]),IF(TbTradesBinance[[#This Row],[Tipo]]="BUY",AI77-TbTradesBinance[[#This Row],[Qtt]]*TbTradesBinance[[#This Row],[Preço]],AI77+TbTradesBinance[[#This Row],[Qtt]]*TbTradesBinance[[#This Row],[Preço]])),AI77)-IF(TbTradesBinance[[#This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Row],[Tipo]]="DROP"),AI77+TbTradesBinance[[#This Row],[Qtt]],AI77-TbTradesBinance[[#This Row],[Qtt]]),IF(TbTradesBinance[[#This Row],[Tipo]]="BUY",AI77-TbTradesBinance[[#This Row],[Qtt]]*TbTradesBinance[[#This Row],[Preço]],AI77+TbTradesBinance[[#This Row],[Qtt]]*TbTradesBinance[[#This Row],[Preço]])),AI77)-IF(TbTradesBinance[[#This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Row],[Tipo]]="DROP"),AI77+TbTradesBinance[[#This Row],[Qtt]],AI77-TbTradesBinance[[#This Row],[Qtt]]),IF(TbTradesBinance[[#This Row],[Tipo]]="BUY",AI77-TbTradesBinance[[#This Row],[Qtt]]*TbTradesBinance[[#This Row],[Preço]],AI77+TbTradesBinance[[#This Row],[Qtt]]*TbTradesBinance[[#This Row],[Preço]])),AI77)-IF(TbTradesBinance[[#This Row],[Moeda da Taxa]]=MID(AI$1,9,5),TbTradesBinance[[#This Row],[Taxa]],0),8)))</f>
        <v>0</v>
      </c>
      <c r="AJ78" s="145" cm="1">
        <f t="array" ref="AJ78">IF(TbTradesBinance[[#This Row],[Tipo]]="EMPTY",0,AJ77+IF(TbTradesBinance[[#This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Row],[Par]]))),$1:$1,0)),-(AI77-AI78)/AI77*AJ77),0),0)+IF(TbTradesBinance[[#This Row],[Tipo]]="SELL",IF(ISNUMBER(FIND(MID(AJ$1,10,5),TbTradesBinance[[#This Row],[Par]])),IF(FIND(MID(AJ$1,10,5),TbTradesBinance[[#This Row],[Par]])=1, -(AI77-AI78)/AI77*AJ77,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Row],[Par]])),(-(AI77-AI78)/AI77*AJ77)+IF(TbTradesBinance[[#This Row],[Resultado]]&gt;0,0,TbTradesBinance[[#This Row],[Taxa]]),0),0))</f>
        <v>0</v>
      </c>
      <c r="AK78" s="145">
        <f t="shared" si="27"/>
        <v>0</v>
      </c>
      <c r="AL7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Row],[Tipo]]="DROP"),AL77+TbTradesBinance[[#This Row],[Qtt]],AL77-TbTradesBinance[[#This Row],[Qtt]]),IF(TbTradesBinance[[#This Row],[Tipo]]="BUY",AL77-TbTradesBinance[[#This Row],[Qtt]]*TbTradesBinance[[#This Row],[Preço]],AL77+TbTradesBinance[[#This Row],[Qtt]]*TbTradesBinance[[#This Row],[Preço]])),AL77)-IF(TbTradesBinance[[#This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Row],[Tipo]]="DROP"),AL77+TbTradesBinance[[#This Row],[Qtt]],AL77-TbTradesBinance[[#This Row],[Qtt]]),IF(TbTradesBinance[[#This Row],[Tipo]]="BUY",AL77-TbTradesBinance[[#This Row],[Qtt]]*TbTradesBinance[[#This Row],[Preço]],AL77+TbTradesBinance[[#This Row],[Qtt]]*TbTradesBinance[[#This Row],[Preço]])),AL77)-IF(TbTradesBinance[[#This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Row],[Tipo]]="DROP"),AL77+TbTradesBinance[[#This Row],[Qtt]],AL77-TbTradesBinance[[#This Row],[Qtt]]),IF(TbTradesBinance[[#This Row],[Tipo]]="BUY",AL77-TbTradesBinance[[#This Row],[Qtt]]*TbTradesBinance[[#This Row],[Preço]],AL77+TbTradesBinance[[#This Row],[Qtt]]*TbTradesBinance[[#This Row],[Preço]])),AL77)-IF(TbTradesBinance[[#This Row],[Moeda da Taxa]]=MID(AL$1,9,5),TbTradesBinance[[#This Row],[Taxa]],0),8)))</f>
        <v>1.75824</v>
      </c>
      <c r="AM78" s="145" cm="1">
        <f t="array" ref="AM78">IF(TbTradesBinance[[#This Row],[Tipo]]="EMPTY",0,AM77+IF(TbTradesBinance[[#This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Row],[Par]]))),$1:$1,0)),-(AL77-AL78)/AL77*AM77),0),0)+IF(TbTradesBinance[[#This Row],[Tipo]]="SELL",IF(ISNUMBER(FIND(MID(AM$1,10,5),TbTradesBinance[[#This Row],[Par]])),IF(FIND(MID(AM$1,10,5),TbTradesBinance[[#This Row],[Par]])=1, -(AL77-AL78)/AL77*AM77,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Row],[Par]])),(-(AL77-AL78)/AL77*AM77)+IF(TbTradesBinance[[#This Row],[Resultado]]&gt;0,0,TbTradesBinance[[#This Row],[Taxa]]),0),0))</f>
        <v>144.56635471393039</v>
      </c>
      <c r="AN78" s="145">
        <f t="shared" si="28"/>
        <v>82.222196465744375</v>
      </c>
      <c r="AO7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Row],[Tipo]]="DROP"),AO77+TbTradesBinance[[#This Row],[Qtt]],AO77-TbTradesBinance[[#This Row],[Qtt]]),IF(TbTradesBinance[[#This Row],[Tipo]]="BUY",AO77-TbTradesBinance[[#This Row],[Qtt]]*TbTradesBinance[[#This Row],[Preço]],AO77+TbTradesBinance[[#This Row],[Qtt]]*TbTradesBinance[[#This Row],[Preço]])),AO77)-IF(TbTradesBinance[[#This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Row],[Tipo]]="DROP"),AO77+TbTradesBinance[[#This Row],[Qtt]],AO77-TbTradesBinance[[#This Row],[Qtt]]),IF(TbTradesBinance[[#This Row],[Tipo]]="BUY",AO77-TbTradesBinance[[#This Row],[Qtt]]*TbTradesBinance[[#This Row],[Preço]],AO77+TbTradesBinance[[#This Row],[Qtt]]*TbTradesBinance[[#This Row],[Preço]])),AO77)-IF(TbTradesBinance[[#This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Row],[Tipo]]="DROP"),AO77+TbTradesBinance[[#This Row],[Qtt]],AO77-TbTradesBinance[[#This Row],[Qtt]]),IF(TbTradesBinance[[#This Row],[Tipo]]="BUY",AO77-TbTradesBinance[[#This Row],[Qtt]]*TbTradesBinance[[#This Row],[Preço]],AO77+TbTradesBinance[[#This Row],[Qtt]]*TbTradesBinance[[#This Row],[Preço]])),AO77)-IF(TbTradesBinance[[#This Row],[Moeda da Taxa]]=MID(AO$1,9,5),TbTradesBinance[[#This Row],[Taxa]],0),8)))</f>
        <v>2.70054E-3</v>
      </c>
      <c r="AP78" s="145" cm="1">
        <f t="array" ref="AP78">IF(TbTradesBinance[[#This Row],[Tipo]]="EMPTY",0,AP77+IF(TbTradesBinance[[#This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Row],[Par]]))),$1:$1,0)),-(AO77-AO78)/AO77*AP77),0),0)+IF(TbTradesBinance[[#This Row],[Tipo]]="SELL",IF(ISNUMBER(FIND(MID(AP$1,10,5),TbTradesBinance[[#This Row],[Par]])),IF(FIND(MID(AP$1,10,5),TbTradesBinance[[#This Row],[Par]])=1, -(AO77-AO78)/AO77*AP77,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Row],[Par]])),(-(AO77-AO78)/AO77*AP77)+IF(TbTradesBinance[[#This Row],[Resultado]]&gt;0,0,TbTradesBinance[[#This Row],[Taxa]]),0),0))</f>
        <v>5.2490633588966693</v>
      </c>
      <c r="AQ78" s="145">
        <f t="shared" si="29"/>
        <v>1943.7087985723854</v>
      </c>
      <c r="AR7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Row],[Tipo]]="DROP"),AR77+TbTradesBinance[[#This Row],[Qtt]],AR77-TbTradesBinance[[#This Row],[Qtt]]),IF(TbTradesBinance[[#This Row],[Tipo]]="BUY",AR77-TbTradesBinance[[#This Row],[Qtt]]*TbTradesBinance[[#This Row],[Preço]],AR77+TbTradesBinance[[#This Row],[Qtt]]*TbTradesBinance[[#This Row],[Preço]])),AR77)-IF(TbTradesBinance[[#This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Row],[Tipo]]="DROP"),AR77+TbTradesBinance[[#This Row],[Qtt]],AR77-TbTradesBinance[[#This Row],[Qtt]]),IF(TbTradesBinance[[#This Row],[Tipo]]="BUY",AR77-TbTradesBinance[[#This Row],[Qtt]]*TbTradesBinance[[#This Row],[Preço]],AR77+TbTradesBinance[[#This Row],[Qtt]]*TbTradesBinance[[#This Row],[Preço]])),AR77)-IF(TbTradesBinance[[#This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Row],[Tipo]]="DROP"),AR77+TbTradesBinance[[#This Row],[Qtt]],AR77-TbTradesBinance[[#This Row],[Qtt]]),IF(TbTradesBinance[[#This Row],[Tipo]]="BUY",AR77-TbTradesBinance[[#This Row],[Qtt]]*TbTradesBinance[[#This Row],[Preço]],AR77+TbTradesBinance[[#This Row],[Qtt]]*TbTradesBinance[[#This Row],[Preço]])),AR77)-IF(TbTradesBinance[[#This Row],[Moeda da Taxa]]=MID(AR$1,9,5),TbTradesBinance[[#This Row],[Taxa]],0),8)))</f>
        <v>0</v>
      </c>
      <c r="AS78" s="145" cm="1">
        <f t="array" ref="AS78">IF(TbTradesBinance[[#This Row],[Tipo]]="EMPTY",0,AS77+IF(TbTradesBinance[[#This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Row],[Par]]))),$1:$1,0)),-(AR77-AR78)/AR77*AS77),0),0)+IF(TbTradesBinance[[#This Row],[Tipo]]="SELL",IF(ISNUMBER(FIND(MID(AS$1,10,5),TbTradesBinance[[#This Row],[Par]])),IF(FIND(MID(AS$1,10,5),TbTradesBinance[[#This Row],[Par]])=1, -(AR77-AR78)/AR77*AS77,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Row],[Par]])),(-(AR77-AR78)/AR77*AS77)+IF(TbTradesBinance[[#This Row],[Resultado]]&gt;0,0,TbTradesBinance[[#This Row],[Taxa]]),0),0))</f>
        <v>0</v>
      </c>
      <c r="AT78" s="145">
        <f t="shared" si="30"/>
        <v>0</v>
      </c>
      <c r="AU7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Row],[Tipo]]="DROP"),AU77+TbTradesBinance[[#This Row],[Qtt]],AU77-TbTradesBinance[[#This Row],[Qtt]]),IF(TbTradesBinance[[#This Row],[Tipo]]="BUY",AU77-TbTradesBinance[[#This Row],[Qtt]]*TbTradesBinance[[#This Row],[Preço]],AU77+TbTradesBinance[[#This Row],[Qtt]]*TbTradesBinance[[#This Row],[Preço]])),AU77)-IF(TbTradesBinance[[#This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Row],[Tipo]]="DROP"),AU77+TbTradesBinance[[#This Row],[Qtt]],AU77-TbTradesBinance[[#This Row],[Qtt]]),IF(TbTradesBinance[[#This Row],[Tipo]]="BUY",AU77-TbTradesBinance[[#This Row],[Qtt]]*TbTradesBinance[[#This Row],[Preço]],AU77+TbTradesBinance[[#This Row],[Qtt]]*TbTradesBinance[[#This Row],[Preço]])),AU77)-IF(TbTradesBinance[[#This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Row],[Tipo]]="DROP"),AU77+TbTradesBinance[[#This Row],[Qtt]],AU77-TbTradesBinance[[#This Row],[Qtt]]),IF(TbTradesBinance[[#This Row],[Tipo]]="BUY",AU77-TbTradesBinance[[#This Row],[Qtt]]*TbTradesBinance[[#This Row],[Preço]],AU77+TbTradesBinance[[#This Row],[Qtt]]*TbTradesBinance[[#This Row],[Preço]])),AU77)-IF(TbTradesBinance[[#This Row],[Moeda da Taxa]]=MID(AU$1,9,5),TbTradesBinance[[#This Row],[Taxa]],0),8)))</f>
        <v>0.26989999999999997</v>
      </c>
      <c r="AV78" s="145" cm="1">
        <f t="array" ref="AV78">IF(TbTradesBinance[[#This Row],[Tipo]]="EMPTY",0,AV77+IF(TbTradesBinance[[#This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Row],[Par]]))),$1:$1,0)),-(AU77-AU78)/AU77*AV77),0),0)+IF(TbTradesBinance[[#This Row],[Tipo]]="SELL",IF(ISNUMBER(FIND(MID(AV$1,10,5),TbTradesBinance[[#This Row],[Par]])),IF(FIND(MID(AV$1,10,5),TbTradesBinance[[#This Row],[Par]])=1, -(AU77-AU78)/AU77*AV77,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Row],[Par]])),(-(AU77-AU78)/AU77*AV77)+IF(TbTradesBinance[[#This Row],[Resultado]]&gt;0,0,TbTradesBinance[[#This Row],[Taxa]]),0),0))</f>
        <v>56.09788062740806</v>
      </c>
      <c r="AW78" s="145">
        <f t="shared" si="31"/>
        <v>207.8469085861729</v>
      </c>
      <c r="AX7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Row],[Tipo]]="DROP"),AX77+TbTradesBinance[[#This Row],[Qtt]],AX77-TbTradesBinance[[#This Row],[Qtt]]),IF(TbTradesBinance[[#This Row],[Tipo]]="BUY",AX77-TbTradesBinance[[#This Row],[Qtt]]*TbTradesBinance[[#This Row],[Preço]],AX77+TbTradesBinance[[#This Row],[Qtt]]*TbTradesBinance[[#This Row],[Preço]])),AX77)-IF(TbTradesBinance[[#This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Row],[Tipo]]="DROP"),AX77+TbTradesBinance[[#This Row],[Qtt]],AX77-TbTradesBinance[[#This Row],[Qtt]]),IF(TbTradesBinance[[#This Row],[Tipo]]="BUY",AX77-TbTradesBinance[[#This Row],[Qtt]]*TbTradesBinance[[#This Row],[Preço]],AX77+TbTradesBinance[[#This Row],[Qtt]]*TbTradesBinance[[#This Row],[Preço]])),AX77)-IF(TbTradesBinance[[#This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Row],[Tipo]]="DROP"),AX77+TbTradesBinance[[#This Row],[Qtt]],AX77-TbTradesBinance[[#This Row],[Qtt]]),IF(TbTradesBinance[[#This Row],[Tipo]]="BUY",AX77-TbTradesBinance[[#This Row],[Qtt]]*TbTradesBinance[[#This Row],[Preço]],AX77+TbTradesBinance[[#This Row],[Qtt]]*TbTradesBinance[[#This Row],[Preço]])),AX77)-IF(TbTradesBinance[[#This Row],[Moeda da Taxa]]=MID(AX$1,9,5),TbTradesBinance[[#This Row],[Taxa]],0),8)))</f>
        <v>0.22636999999999999</v>
      </c>
      <c r="AY78" s="145" cm="1">
        <f t="array" ref="AY78">IF(TbTradesBinance[[#This Row],[Tipo]]="EMPTY",0,AY77+IF(TbTradesBinance[[#This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Row],[Par]]))),$1:$1,0)),-(AX77-AX78)/AX77*AY77),0),0)+IF(TbTradesBinance[[#This Row],[Tipo]]="SELL",IF(ISNUMBER(FIND(MID(AY$1,10,5),TbTradesBinance[[#This Row],[Par]])),IF(FIND(MID(AY$1,10,5),TbTradesBinance[[#This Row],[Par]])=1, -(AX77-AX78)/AX77*AY77,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Row],[Par]])),(-(AX77-AX78)/AX77*AY77)+IF(TbTradesBinance[[#This Row],[Resultado]]&gt;0,0,TbTradesBinance[[#This Row],[Taxa]]),0),0))</f>
        <v>40.781337593356859</v>
      </c>
      <c r="AZ78" s="145">
        <f t="shared" si="32"/>
        <v>180.15345493376711</v>
      </c>
      <c r="BA7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Row],[Tipo]]="DROP"),BA77+TbTradesBinance[[#This Row],[Qtt]],BA77-TbTradesBinance[[#This Row],[Qtt]]),IF(TbTradesBinance[[#This Row],[Tipo]]="BUY",BA77-TbTradesBinance[[#This Row],[Qtt]]*TbTradesBinance[[#This Row],[Preço]],BA77+TbTradesBinance[[#This Row],[Qtt]]*TbTradesBinance[[#This Row],[Preço]])),BA77)-IF(TbTradesBinance[[#This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Row],[Tipo]]="DROP"),BA77+TbTradesBinance[[#This Row],[Qtt]],BA77-TbTradesBinance[[#This Row],[Qtt]]),IF(TbTradesBinance[[#This Row],[Tipo]]="BUY",BA77-TbTradesBinance[[#This Row],[Qtt]]*TbTradesBinance[[#This Row],[Preço]],BA77+TbTradesBinance[[#This Row],[Qtt]]*TbTradesBinance[[#This Row],[Preço]])),BA77)-IF(TbTradesBinance[[#This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Row],[Tipo]]="DROP"),BA77+TbTradesBinance[[#This Row],[Qtt]],BA77-TbTradesBinance[[#This Row],[Qtt]]),IF(TbTradesBinance[[#This Row],[Tipo]]="BUY",BA77-TbTradesBinance[[#This Row],[Qtt]]*TbTradesBinance[[#This Row],[Preço]],BA77+TbTradesBinance[[#This Row],[Qtt]]*TbTradesBinance[[#This Row],[Preço]])),BA77)-IF(TbTradesBinance[[#This Row],[Moeda da Taxa]]=MID(BA$1,9,5),TbTradesBinance[[#This Row],[Taxa]],0),8)))</f>
        <v>0</v>
      </c>
      <c r="BB78" s="145" cm="1">
        <f t="array" ref="BB78">IF(TbTradesBinance[[#This Row],[Tipo]]="EMPTY",0,BB77+IF(TbTradesBinance[[#This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Row],[Par]]))),$1:$1,0)),-(BA77-BA78)/BA77*BB77),0),0)+IF(TbTradesBinance[[#This Row],[Tipo]]="SELL",IF(ISNUMBER(FIND(MID(BB$1,10,5),TbTradesBinance[[#This Row],[Par]])),IF(FIND(MID(BB$1,10,5),TbTradesBinance[[#This Row],[Par]])=1, -(BA77-BA78)/BA77*BB77,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Row],[Par]])),(-(BA77-BA78)/BA77*BB77)+IF(TbTradesBinance[[#This Row],[Resultado]]&gt;0,0,TbTradesBinance[[#This Row],[Taxa]]),0),0))</f>
        <v>0</v>
      </c>
      <c r="BC78" s="145">
        <f t="shared" si="33"/>
        <v>0</v>
      </c>
      <c r="BD7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Row],[Tipo]]="DROP"),BD77+TbTradesBinance[[#This Row],[Qtt]],BD77-TbTradesBinance[[#This Row],[Qtt]]),IF(TbTradesBinance[[#This Row],[Tipo]]="BUY",BD77-TbTradesBinance[[#This Row],[Qtt]]*TbTradesBinance[[#This Row],[Preço]],BD77+TbTradesBinance[[#This Row],[Qtt]]*TbTradesBinance[[#This Row],[Preço]])),BD77)-IF(TbTradesBinance[[#This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Row],[Tipo]]="DROP"),BD77+TbTradesBinance[[#This Row],[Qtt]],BD77-TbTradesBinance[[#This Row],[Qtt]]),IF(TbTradesBinance[[#This Row],[Tipo]]="BUY",BD77-TbTradesBinance[[#This Row],[Qtt]]*TbTradesBinance[[#This Row],[Preço]],BD77+TbTradesBinance[[#This Row],[Qtt]]*TbTradesBinance[[#This Row],[Preço]])),BD77)-IF(TbTradesBinance[[#This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Row],[Tipo]]="DROP"),BD77+TbTradesBinance[[#This Row],[Qtt]],BD77-TbTradesBinance[[#This Row],[Qtt]]),IF(TbTradesBinance[[#This Row],[Tipo]]="BUY",BD77-TbTradesBinance[[#This Row],[Qtt]]*TbTradesBinance[[#This Row],[Preço]],BD77+TbTradesBinance[[#This Row],[Qtt]]*TbTradesBinance[[#This Row],[Preço]])),BD77)-IF(TbTradesBinance[[#This Row],[Moeda da Taxa]]=MID(BD$1,9,5),TbTradesBinance[[#This Row],[Taxa]],0),8)))</f>
        <v>0.37962000000000001</v>
      </c>
      <c r="BE78" s="145" cm="1">
        <f t="array" ref="BE78">IF(TbTradesBinance[[#This Row],[Tipo]]="EMPTY",0,BE77+IF(TbTradesBinance[[#This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Row],[Par]]))),$1:$1,0)),-(BD77-BD78)/BD77*BE77),0),0)+IF(TbTradesBinance[[#This Row],[Tipo]]="SELL",IF(ISNUMBER(FIND(MID(BE$1,10,5),TbTradesBinance[[#This Row],[Par]])),IF(FIND(MID(BE$1,10,5),TbTradesBinance[[#This Row],[Par]])=1, -(BD77-BD78)/BD77*BE77,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Row],[Par]])),(-(BD77-BD78)/BD77*BE77)+IF(TbTradesBinance[[#This Row],[Resultado]]&gt;0,0,TbTradesBinance[[#This Row],[Taxa]]),0),0))</f>
        <v>63.647297001537943</v>
      </c>
      <c r="BF78" s="145">
        <f t="shared" si="34"/>
        <v>167.66054739354601</v>
      </c>
      <c r="BG7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Row],[Tipo]]="DROP"),BG77+TbTradesBinance[[#This Row],[Qtt]],BG77-TbTradesBinance[[#This Row],[Qtt]]),IF(TbTradesBinance[[#This Row],[Tipo]]="BUY",BG77-TbTradesBinance[[#This Row],[Qtt]]*TbTradesBinance[[#This Row],[Preço]],BG77+TbTradesBinance[[#This Row],[Qtt]]*TbTradesBinance[[#This Row],[Preço]])),BG77)-IF(TbTradesBinance[[#This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Row],[Tipo]]="DROP"),BG77+TbTradesBinance[[#This Row],[Qtt]],BG77-TbTradesBinance[[#This Row],[Qtt]]),IF(TbTradesBinance[[#This Row],[Tipo]]="BUY",BG77-TbTradesBinance[[#This Row],[Qtt]]*TbTradesBinance[[#This Row],[Preço]],BG77+TbTradesBinance[[#This Row],[Qtt]]*TbTradesBinance[[#This Row],[Preço]])),BG77)-IF(TbTradesBinance[[#This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Row],[Tipo]]="DROP"),BG77+TbTradesBinance[[#This Row],[Qtt]],BG77-TbTradesBinance[[#This Row],[Qtt]]),IF(TbTradesBinance[[#This Row],[Tipo]]="BUY",BG77-TbTradesBinance[[#This Row],[Qtt]]*TbTradesBinance[[#This Row],[Preço]],BG77+TbTradesBinance[[#This Row],[Qtt]]*TbTradesBinance[[#This Row],[Preço]])),BG77)-IF(TbTradesBinance[[#This Row],[Moeda da Taxa]]=MID(BG$1,9,5),TbTradesBinance[[#This Row],[Taxa]],0),8)))</f>
        <v>111.71817</v>
      </c>
      <c r="BH78" s="145" cm="1">
        <f t="array" ref="BH78">IF(TbTradesBinance[[#This Row],[Tipo]]="EMPTY",0,BH77+IF(TbTradesBinance[[#This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Row],[Par]]))),$1:$1,0)),-(BG77-BG78)/BG77*BH77),0),0)+IF(TbTradesBinance[[#This Row],[Tipo]]="SELL",IF(ISNUMBER(FIND(MID(BH$1,10,5),TbTradesBinance[[#This Row],[Par]])),IF(FIND(MID(BH$1,10,5),TbTradesBinance[[#This Row],[Par]])=1, -(BG77-BG78)/BG77*BH77,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Row],[Par]])),(-(BG77-BG78)/BG77*BH77)+IF(TbTradesBinance[[#This Row],[Resultado]]&gt;0,0,TbTradesBinance[[#This Row],[Taxa]]),0),0))</f>
        <v>401.31269619490814</v>
      </c>
      <c r="BI78" s="145">
        <f t="shared" si="35"/>
        <v>3.5921882375526573</v>
      </c>
      <c r="BJ7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Row],[Tipo]]="DROP"),BJ77+TbTradesBinance[[#This Row],[Qtt]],BJ77-TbTradesBinance[[#This Row],[Qtt]]),IF(TbTradesBinance[[#This Row],[Tipo]]="BUY",BJ77-TbTradesBinance[[#This Row],[Qtt]]*TbTradesBinance[[#This Row],[Preço]],BJ77+TbTradesBinance[[#This Row],[Qtt]]*TbTradesBinance[[#This Row],[Preço]])),BJ77)-IF(TbTradesBinance[[#This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Row],[Tipo]]="DROP"),BJ77+TbTradesBinance[[#This Row],[Qtt]],BJ77-TbTradesBinance[[#This Row],[Qtt]]),IF(TbTradesBinance[[#This Row],[Tipo]]="BUY",BJ77-TbTradesBinance[[#This Row],[Qtt]]*TbTradesBinance[[#This Row],[Preço]],BJ77+TbTradesBinance[[#This Row],[Qtt]]*TbTradesBinance[[#This Row],[Preço]])),BJ77)-IF(TbTradesBinance[[#This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Row],[Tipo]]="DROP"),BJ77+TbTradesBinance[[#This Row],[Qtt]],BJ77-TbTradesBinance[[#This Row],[Qtt]]),IF(TbTradesBinance[[#This Row],[Tipo]]="BUY",BJ77-TbTradesBinance[[#This Row],[Qtt]]*TbTradesBinance[[#This Row],[Preço]],BJ77+TbTradesBinance[[#This Row],[Qtt]]*TbTradesBinance[[#This Row],[Preço]])),BJ77)-IF(TbTradesBinance[[#This Row],[Moeda da Taxa]]=MID(BJ$1,9,5),TbTradesBinance[[#This Row],[Taxa]],0),8)))</f>
        <v>0</v>
      </c>
      <c r="BK78" s="145" cm="1">
        <f t="array" ref="BK78">IF(TbTradesBinance[[#This Row],[Tipo]]="EMPTY",0,BK77+IF(TbTradesBinance[[#This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Row],[Par]]))),$1:$1,0)),-(BJ77-BJ78)/BJ77*BK77),0),0)+IF(TbTradesBinance[[#This Row],[Tipo]]="SELL",IF(ISNUMBER(FIND(MID(BK$1,10,5),TbTradesBinance[[#This Row],[Par]])),IF(FIND(MID(BK$1,10,5),TbTradesBinance[[#This Row],[Par]])=1, -(BJ77-BJ78)/BJ77*BK77,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Row],[Par]])),(-(BJ77-BJ78)/BJ77*BK77)+IF(TbTradesBinance[[#This Row],[Resultado]]&gt;0,0,TbTradesBinance[[#This Row],[Taxa]]),0),0))</f>
        <v>0</v>
      </c>
      <c r="BL78" s="145">
        <f t="shared" si="36"/>
        <v>0</v>
      </c>
      <c r="BM7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Row],[Tipo]]="DROP"),BM77+TbTradesBinance[[#This Row],[Qtt]],BM77-TbTradesBinance[[#This Row],[Qtt]]),IF(TbTradesBinance[[#This Row],[Tipo]]="BUY",BM77-TbTradesBinance[[#This Row],[Qtt]]*TbTradesBinance[[#This Row],[Preço]],BM77+TbTradesBinance[[#This Row],[Qtt]]*TbTradesBinance[[#This Row],[Preço]])),BM77)-IF(TbTradesBinance[[#This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Row],[Tipo]]="DROP"),BM77+TbTradesBinance[[#This Row],[Qtt]],BM77-TbTradesBinance[[#This Row],[Qtt]]),IF(TbTradesBinance[[#This Row],[Tipo]]="BUY",BM77-TbTradesBinance[[#This Row],[Qtt]]*TbTradesBinance[[#This Row],[Preço]],BM77+TbTradesBinance[[#This Row],[Qtt]]*TbTradesBinance[[#This Row],[Preço]])),BM77)-IF(TbTradesBinance[[#This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Row],[Tipo]]="DROP"),BM77+TbTradesBinance[[#This Row],[Qtt]],BM77-TbTradesBinance[[#This Row],[Qtt]]),IF(TbTradesBinance[[#This Row],[Tipo]]="BUY",BM77-TbTradesBinance[[#This Row],[Qtt]]*TbTradesBinance[[#This Row],[Preço]],BM77+TbTradesBinance[[#This Row],[Qtt]]*TbTradesBinance[[#This Row],[Preço]])),BM77)-IF(TbTradesBinance[[#This Row],[Moeda da Taxa]]=MID(BM$1,9,5),TbTradesBinance[[#This Row],[Taxa]],0),8)))</f>
        <v>0</v>
      </c>
      <c r="BN78" s="145" cm="1">
        <f t="array" ref="BN78">IF(TbTradesBinance[[#This Row],[Tipo]]="EMPTY",0,BN77+IF(TbTradesBinance[[#This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Row],[Par]]))),$1:$1,0)),-(BM77-BM78)/BM77*BN77),0),0)+IF(TbTradesBinance[[#This Row],[Tipo]]="SELL",IF(ISNUMBER(FIND(MID(BN$1,10,5),TbTradesBinance[[#This Row],[Par]])),IF(FIND(MID(BN$1,10,5),TbTradesBinance[[#This Row],[Par]])=1, -(BM77-BM78)/BM77*BN77,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Row],[Par]])),(-(BM77-BM78)/BM77*BN77)+IF(TbTradesBinance[[#This Row],[Resultado]]&gt;0,0,TbTradesBinance[[#This Row],[Taxa]]),0),0))</f>
        <v>0</v>
      </c>
      <c r="BO78" s="145">
        <f t="shared" si="37"/>
        <v>0</v>
      </c>
    </row>
    <row r="79" spans="2:67" x14ac:dyDescent="0.3">
      <c r="B79" s="51"/>
      <c r="C79" s="40">
        <f>TRUNC(IF(AND(TbTradesBinance[[#This Row],[Tipo]]="SEND",TbTradesBinance[[#This Row],[Par]]="BRL"),TbTradesBinance[[#This Row],[Qtt]]*(1-P77)-IF(TbTradesBinance[[#This Row],[Moeda da Taxa]]="BRL",TbTradesBinance[[#This Row],[Taxa]],0),0)+IF(AND(TbTradesBinance[[#This Row],[Tipo]]="BURN",TbTradesBinance[[#This Row],[Par]]="BRL"),-TbTradesBinance[[#This Row],[Qtt]]*P77,0),2)</f>
        <v>0</v>
      </c>
      <c r="D79" s="53">
        <v>44266.773692129631</v>
      </c>
      <c r="E79" s="37" t="s">
        <v>138</v>
      </c>
      <c r="F79" s="47" t="s">
        <v>139</v>
      </c>
      <c r="G79" s="38">
        <v>322000</v>
      </c>
      <c r="H79" s="38">
        <v>3.124E-3</v>
      </c>
      <c r="I79" s="38">
        <v>0</v>
      </c>
      <c r="J79" s="37" t="s">
        <v>45</v>
      </c>
      <c r="K79" s="52">
        <v>1</v>
      </c>
      <c r="L79" s="40">
        <f t="shared" si="19"/>
        <v>322000</v>
      </c>
      <c r="M79" s="40">
        <f>IF(OR(TbTradesBinance[[#This Row],[Tipo]]="BUY",TbTradesBinance[[#This Row],[Tipo]]="RECEIVE",TbTradesBinance[[#This Row],[Tipo]]="DROP"),L79*H79,-L79*H79)</f>
        <v>1005.928</v>
      </c>
      <c r="N7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Row],[Tipo]]="DROP"),N78+TbTradesBinance[[#This Row],[Qtt]],N78-TbTradesBinance[[#This Row],[Qtt]]),IF(TbTradesBinance[[#This Row],[Tipo]]="BUY",N78-TbTradesBinance[[#This Row],[Qtt]]*TbTradesBinance[[#This Row],[Preço]],N78+TbTradesBinance[[#This Row],[Qtt]]*TbTradesBinance[[#This Row],[Preço]])),N78)-IF(TbTradesBinance[[#This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Row],[Tipo]]="DROP"),N78+TbTradesBinance[[#This Row],[Qtt]],N78-TbTradesBinance[[#This Row],[Qtt]]),IF(TbTradesBinance[[#This Row],[Tipo]]="BUY",N78-TbTradesBinance[[#This Row],[Qtt]]*TbTradesBinance[[#This Row],[Preço]],N78+TbTradesBinance[[#This Row],[Qtt]]*TbTradesBinance[[#This Row],[Preço]])),N78)-IF(TbTradesBinance[[#This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Row],[Tipo]]="DROP"),N78+TbTradesBinance[[#This Row],[Qtt]],N78-TbTradesBinance[[#This Row],[Qtt]]),IF(TbTradesBinance[[#This Row],[Tipo]]="BUY",N78-TbTradesBinance[[#This Row],[Qtt]]*TbTradesBinance[[#This Row],[Preço]],N78+TbTradesBinance[[#This Row],[Qtt]]*TbTradesBinance[[#This Row],[Preço]])),N78)-IF(TbTradesBinance[[#This Row],[Moeda da Taxa]]=MID(N$1,9,5),TbTradesBinance[[#This Row],[Taxa]],0),8)))</f>
        <v>119745.41999999</v>
      </c>
      <c r="O79" s="145" cm="1">
        <f t="array" ref="O79">IF(TbTradesBinance[[#This Row],[Tipo]]="EMPTY",0,O78+IF(TbTradesBinance[[#This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Row],[Par]]))),$1:$1,0)),-(N78-N79)/N78*O78),0),0)+IF(TbTradesBinance[[#This Row],[Tipo]]="SELL",IF(ISNUMBER(FIND(MID(O$1,10,5),TbTradesBinance[[#This Row],[Par]])),IF(FIND(MID(O$1,10,5),TbTradesBinance[[#This Row],[Par]])=1, -(N78-N79)/N78*O78,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Row],[Par]])),(-(N78-N79)/N78*O78)+IF(TbTradesBinance[[#This Row],[Resultado]]&gt;0,0,TbTradesBinance[[#This Row],[Taxa]]),0),0))</f>
        <v>119643.99866213698</v>
      </c>
      <c r="P79" s="145">
        <f t="shared" si="20"/>
        <v>0.99915302532779093</v>
      </c>
      <c r="Q7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Row],[Tipo]]="DROP"),Q78+TbTradesBinance[[#This Row],[Qtt]],Q78-TbTradesBinance[[#This Row],[Qtt]]),IF(TbTradesBinance[[#This Row],[Tipo]]="BUY",Q78-TbTradesBinance[[#This Row],[Qtt]]*TbTradesBinance[[#This Row],[Preço]],Q78+TbTradesBinance[[#This Row],[Qtt]]*TbTradesBinance[[#This Row],[Preço]])),Q78)-IF(TbTradesBinance[[#This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Row],[Tipo]]="DROP"),Q78+TbTradesBinance[[#This Row],[Qtt]],Q78-TbTradesBinance[[#This Row],[Qtt]]),IF(TbTradesBinance[[#This Row],[Tipo]]="BUY",Q78-TbTradesBinance[[#This Row],[Qtt]]*TbTradesBinance[[#This Row],[Preço]],Q78+TbTradesBinance[[#This Row],[Qtt]]*TbTradesBinance[[#This Row],[Preço]])),Q78)-IF(TbTradesBinance[[#This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Row],[Tipo]]="DROP"),Q78+TbTradesBinance[[#This Row],[Qtt]],Q78-TbTradesBinance[[#This Row],[Qtt]]),IF(TbTradesBinance[[#This Row],[Tipo]]="BUY",Q78-TbTradesBinance[[#This Row],[Qtt]]*TbTradesBinance[[#This Row],[Preço]],Q78+TbTradesBinance[[#This Row],[Qtt]]*TbTradesBinance[[#This Row],[Preço]])),Q78)-IF(TbTradesBinance[[#This Row],[Moeda da Taxa]]=MID(Q$1,9,5),TbTradesBinance[[#This Row],[Taxa]],0),8)))</f>
        <v>8.2799990000000004E-2</v>
      </c>
      <c r="R79" s="145" cm="1">
        <f t="array" ref="R79">IF(TbTradesBinance[[#This Row],[Tipo]]="EMPTY",0,R78+IF(TbTradesBinance[[#This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Row],[Par]]))),$1:$1,0)),-(Q78-Q79)/Q78*R78),0),0)+IF(TbTradesBinance[[#This Row],[Tipo]]="SELL",IF(ISNUMBER(FIND(MID(R$1,10,5),TbTradesBinance[[#This Row],[Par]])),IF(FIND(MID(R$1,10,5),TbTradesBinance[[#This Row],[Par]])=1, -(Q78-Q79)/Q78*R78,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Row],[Par]])),(-(Q78-Q79)/Q78*R78)+IF(TbTradesBinance[[#This Row],[Resultado]]&gt;0,0,TbTradesBinance[[#This Row],[Taxa]]),0),0))</f>
        <v>0.46008090465994195</v>
      </c>
      <c r="S79" s="145">
        <f t="shared" si="21"/>
        <v>5.5565333360540494</v>
      </c>
      <c r="T7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Row],[Tipo]]="DROP"),T78+TbTradesBinance[[#This Row],[Qtt]],T78-TbTradesBinance[[#This Row],[Qtt]]),IF(TbTradesBinance[[#This Row],[Tipo]]="BUY",T78-TbTradesBinance[[#This Row],[Qtt]]*TbTradesBinance[[#This Row],[Preço]],T78+TbTradesBinance[[#This Row],[Qtt]]*TbTradesBinance[[#This Row],[Preço]])),T78)-IF(TbTradesBinance[[#This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Row],[Tipo]]="DROP"),T78+TbTradesBinance[[#This Row],[Qtt]],T78-TbTradesBinance[[#This Row],[Qtt]]),IF(TbTradesBinance[[#This Row],[Tipo]]="BUY",T78-TbTradesBinance[[#This Row],[Qtt]]*TbTradesBinance[[#This Row],[Preço]],T78+TbTradesBinance[[#This Row],[Qtt]]*TbTradesBinance[[#This Row],[Preço]])),T78)-IF(TbTradesBinance[[#This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Row],[Tipo]]="DROP"),T78+TbTradesBinance[[#This Row],[Qtt]],T78-TbTradesBinance[[#This Row],[Qtt]]),IF(TbTradesBinance[[#This Row],[Tipo]]="BUY",T78-TbTradesBinance[[#This Row],[Qtt]]*TbTradesBinance[[#This Row],[Preço]],T78+TbTradesBinance[[#This Row],[Qtt]]*TbTradesBinance[[#This Row],[Preço]])),T78)-IF(TbTradesBinance[[#This Row],[Moeda da Taxa]]=MID(T$1,9,5),TbTradesBinance[[#This Row],[Taxa]],0),8)))</f>
        <v>199735.32000169999</v>
      </c>
      <c r="U79" s="145" cm="1">
        <f t="array" ref="U79">IF(TbTradesBinance[[#This Row],[Tipo]]="EMPTY",0,U78+IF(TbTradesBinance[[#This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Row],[Par]]))),$1:$1,0)),-(T78-T79)/T78*U78),0),0)+IF(TbTradesBinance[[#This Row],[Tipo]]="SELL",IF(ISNUMBER(FIND(MID(U$1,10,5),TbTradesBinance[[#This Row],[Par]])),IF(FIND(MID(U$1,10,5),TbTradesBinance[[#This Row],[Par]])=1, -(T78-T79)/T78*U78,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Row],[Par]])),(-(T78-T79)/T78*U78)+IF(TbTradesBinance[[#This Row],[Resultado]]&gt;0,0,TbTradesBinance[[#This Row],[Taxa]]),0),0))</f>
        <v>1328239.8809817513</v>
      </c>
      <c r="V79" s="145">
        <f t="shared" si="22"/>
        <v>6.6500000148719129</v>
      </c>
      <c r="W7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Row],[Tipo]]="DROP"),W78+TbTradesBinance[[#This Row],[Qtt]],W78-TbTradesBinance[[#This Row],[Qtt]]),IF(TbTradesBinance[[#This Row],[Tipo]]="BUY",W78-TbTradesBinance[[#This Row],[Qtt]]*TbTradesBinance[[#This Row],[Preço]],W78+TbTradesBinance[[#This Row],[Qtt]]*TbTradesBinance[[#This Row],[Preço]])),W78)-IF(TbTradesBinance[[#This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Row],[Tipo]]="DROP"),W78+TbTradesBinance[[#This Row],[Qtt]],W78-TbTradesBinance[[#This Row],[Qtt]]),IF(TbTradesBinance[[#This Row],[Tipo]]="BUY",W78-TbTradesBinance[[#This Row],[Qtt]]*TbTradesBinance[[#This Row],[Preço]],W78+TbTradesBinance[[#This Row],[Qtt]]*TbTradesBinance[[#This Row],[Preço]])),W78)-IF(TbTradesBinance[[#This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Row],[Tipo]]="DROP"),W78+TbTradesBinance[[#This Row],[Qtt]],W78-TbTradesBinance[[#This Row],[Qtt]]),IF(TbTradesBinance[[#This Row],[Tipo]]="BUY",W78-TbTradesBinance[[#This Row],[Qtt]]*TbTradesBinance[[#This Row],[Preço]],W78+TbTradesBinance[[#This Row],[Qtt]]*TbTradesBinance[[#This Row],[Preço]])),W78)-IF(TbTradesBinance[[#This Row],[Moeda da Taxa]]=MID(W$1,9,5),TbTradesBinance[[#This Row],[Taxa]],0),8)))</f>
        <v>3.1926300000000001E-3</v>
      </c>
      <c r="X79" s="145" cm="1">
        <f t="array" ref="X79">IF(TbTradesBinance[[#This Row],[Tipo]]="EMPTY",0,X78+IF(TbTradesBinance[[#This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Row],[Par]]))),$1:$1,0)),-(W78-W79)/W78*X78),0),0)+IF(TbTradesBinance[[#This Row],[Tipo]]="SELL",IF(ISNUMBER(FIND(MID(X$1,10,5),TbTradesBinance[[#This Row],[Par]])),IF(FIND(MID(X$1,10,5),TbTradesBinance[[#This Row],[Par]])=1, -(W78-W79)/W78*X78,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Row],[Par]])),(-(W78-W79)/W78*X78)+IF(TbTradesBinance[[#This Row],[Resultado]]&gt;0,0,TbTradesBinance[[#This Row],[Taxa]]),0),0))</f>
        <v>1027.0414380119491</v>
      </c>
      <c r="Y79" s="145">
        <f t="shared" si="23"/>
        <v>321691.34475712787</v>
      </c>
      <c r="Z7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Row],[Tipo]]="DROP"),Z78+TbTradesBinance[[#This Row],[Qtt]],Z78-TbTradesBinance[[#This Row],[Qtt]]),IF(TbTradesBinance[[#This Row],[Tipo]]="BUY",Z78-TbTradesBinance[[#This Row],[Qtt]]*TbTradesBinance[[#This Row],[Preço]],Z78+TbTradesBinance[[#This Row],[Qtt]]*TbTradesBinance[[#This Row],[Preço]])),Z78)-IF(TbTradesBinance[[#This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Row],[Tipo]]="DROP"),Z78+TbTradesBinance[[#This Row],[Qtt]],Z78-TbTradesBinance[[#This Row],[Qtt]]),IF(TbTradesBinance[[#This Row],[Tipo]]="BUY",Z78-TbTradesBinance[[#This Row],[Qtt]]*TbTradesBinance[[#This Row],[Preço]],Z78+TbTradesBinance[[#This Row],[Qtt]]*TbTradesBinance[[#This Row],[Preço]])),Z78)-IF(TbTradesBinance[[#This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Row],[Tipo]]="DROP"),Z78+TbTradesBinance[[#This Row],[Qtt]],Z78-TbTradesBinance[[#This Row],[Qtt]]),IF(TbTradesBinance[[#This Row],[Tipo]]="BUY",Z78-TbTradesBinance[[#This Row],[Qtt]]*TbTradesBinance[[#This Row],[Preço]],Z78+TbTradesBinance[[#This Row],[Qtt]]*TbTradesBinance[[#This Row],[Preço]])),Z78)-IF(TbTradesBinance[[#This Row],[Moeda da Taxa]]=MID(Z$1,9,5),TbTradesBinance[[#This Row],[Taxa]],0),8)))</f>
        <v>0</v>
      </c>
      <c r="AA79" s="145" cm="1">
        <f t="array" ref="AA79">IF(TbTradesBinance[[#This Row],[Tipo]]="EMPTY",0,AA78+IF(TbTradesBinance[[#This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Row],[Par]]))),$1:$1,0)),-(Z78-Z79)/Z78*AA78),0),0)+IF(TbTradesBinance[[#This Row],[Tipo]]="SELL",IF(ISNUMBER(FIND(MID(AA$1,10,5),TbTradesBinance[[#This Row],[Par]])),IF(FIND(MID(AA$1,10,5),TbTradesBinance[[#This Row],[Par]])=1, -(Z78-Z79)/Z78*AA78,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Row],[Par]])),(-(Z78-Z79)/Z78*AA78)+IF(TbTradesBinance[[#This Row],[Resultado]]&gt;0,0,TbTradesBinance[[#This Row],[Taxa]]),0),0))</f>
        <v>0</v>
      </c>
      <c r="AB79" s="145">
        <f t="shared" si="24"/>
        <v>0</v>
      </c>
      <c r="AC7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Row],[Tipo]]="DROP"),AC78+TbTradesBinance[[#This Row],[Qtt]],AC78-TbTradesBinance[[#This Row],[Qtt]]),IF(TbTradesBinance[[#This Row],[Tipo]]="BUY",AC78-TbTradesBinance[[#This Row],[Qtt]]*TbTradesBinance[[#This Row],[Preço]],AC78+TbTradesBinance[[#This Row],[Qtt]]*TbTradesBinance[[#This Row],[Preço]])),AC78)-IF(TbTradesBinance[[#This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Row],[Tipo]]="DROP"),AC78+TbTradesBinance[[#This Row],[Qtt]],AC78-TbTradesBinance[[#This Row],[Qtt]]),IF(TbTradesBinance[[#This Row],[Tipo]]="BUY",AC78-TbTradesBinance[[#This Row],[Qtt]]*TbTradesBinance[[#This Row],[Preço]],AC78+TbTradesBinance[[#This Row],[Qtt]]*TbTradesBinance[[#This Row],[Preço]])),AC78)-IF(TbTradesBinance[[#This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Row],[Tipo]]="DROP"),AC78+TbTradesBinance[[#This Row],[Qtt]],AC78-TbTradesBinance[[#This Row],[Qtt]]),IF(TbTradesBinance[[#This Row],[Tipo]]="BUY",AC78-TbTradesBinance[[#This Row],[Qtt]]*TbTradesBinance[[#This Row],[Preço]],AC78+TbTradesBinance[[#This Row],[Qtt]]*TbTradesBinance[[#This Row],[Preço]])),AC78)-IF(TbTradesBinance[[#This Row],[Moeda da Taxa]]=MID(AC$1,9,5),TbTradesBinance[[#This Row],[Taxa]],0),8)))</f>
        <v>0</v>
      </c>
      <c r="AD79" s="145" cm="1">
        <f t="array" ref="AD79">IF(TbTradesBinance[[#This Row],[Tipo]]="EMPTY",0,AD78+IF(TbTradesBinance[[#This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Row],[Par]]))),$1:$1,0)),-(AC78-AC79)/AC78*AD78),0),0)+IF(TbTradesBinance[[#This Row],[Tipo]]="SELL",IF(ISNUMBER(FIND(MID(AD$1,10,5),TbTradesBinance[[#This Row],[Par]])),IF(FIND(MID(AD$1,10,5),TbTradesBinance[[#This Row],[Par]])=1, -(AC78-AC79)/AC78*AD78,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Row],[Par]])),(-(AC78-AC79)/AC78*AD78)+IF(TbTradesBinance[[#This Row],[Resultado]]&gt;0,0,TbTradesBinance[[#This Row],[Taxa]]),0),0))</f>
        <v>0</v>
      </c>
      <c r="AE79" s="145">
        <f t="shared" si="25"/>
        <v>0</v>
      </c>
      <c r="AF7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Row],[Tipo]]="DROP"),AF78+TbTradesBinance[[#This Row],[Qtt]],AF78-TbTradesBinance[[#This Row],[Qtt]]),IF(TbTradesBinance[[#This Row],[Tipo]]="BUY",AF78-TbTradesBinance[[#This Row],[Qtt]]*TbTradesBinance[[#This Row],[Preço]],AF78+TbTradesBinance[[#This Row],[Qtt]]*TbTradesBinance[[#This Row],[Preço]])),AF78)-IF(TbTradesBinance[[#This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Row],[Tipo]]="DROP"),AF78+TbTradesBinance[[#This Row],[Qtt]],AF78-TbTradesBinance[[#This Row],[Qtt]]),IF(TbTradesBinance[[#This Row],[Tipo]]="BUY",AF78-TbTradesBinance[[#This Row],[Qtt]]*TbTradesBinance[[#This Row],[Preço]],AF78+TbTradesBinance[[#This Row],[Qtt]]*TbTradesBinance[[#This Row],[Preço]])),AF78)-IF(TbTradesBinance[[#This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Row],[Tipo]]="DROP"),AF78+TbTradesBinance[[#This Row],[Qtt]],AF78-TbTradesBinance[[#This Row],[Qtt]]),IF(TbTradesBinance[[#This Row],[Tipo]]="BUY",AF78-TbTradesBinance[[#This Row],[Qtt]]*TbTradesBinance[[#This Row],[Preço]],AF78+TbTradesBinance[[#This Row],[Qtt]]*TbTradesBinance[[#This Row],[Preço]])),AF78)-IF(TbTradesBinance[[#This Row],[Moeda da Taxa]]=MID(AF$1,9,5),TbTradesBinance[[#This Row],[Taxa]],0),8)))</f>
        <v>19.98</v>
      </c>
      <c r="AG79" s="145" cm="1">
        <f t="array" ref="AG79">IF(TbTradesBinance[[#This Row],[Tipo]]="EMPTY",0,AG78+IF(TbTradesBinance[[#This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Row],[Par]]))),$1:$1,0)),-(AF78-AF79)/AF78*AG78),0),0)+IF(TbTradesBinance[[#This Row],[Tipo]]="SELL",IF(ISNUMBER(FIND(MID(AG$1,10,5),TbTradesBinance[[#This Row],[Par]])),IF(FIND(MID(AG$1,10,5),TbTradesBinance[[#This Row],[Par]])=1, -(AF78-AF79)/AF78*AG78,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Row],[Par]])),(-(AF78-AF79)/AF78*AG78)+IF(TbTradesBinance[[#This Row],[Resultado]]&gt;0,0,TbTradesBinance[[#This Row],[Taxa]]),0),0))</f>
        <v>124.04182758073662</v>
      </c>
      <c r="AH79" s="145">
        <f t="shared" si="26"/>
        <v>6.2082996787155462</v>
      </c>
      <c r="AI7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Row],[Tipo]]="DROP"),AI78+TbTradesBinance[[#This Row],[Qtt]],AI78-TbTradesBinance[[#This Row],[Qtt]]),IF(TbTradesBinance[[#This Row],[Tipo]]="BUY",AI78-TbTradesBinance[[#This Row],[Qtt]]*TbTradesBinance[[#This Row],[Preço]],AI78+TbTradesBinance[[#This Row],[Qtt]]*TbTradesBinance[[#This Row],[Preço]])),AI78)-IF(TbTradesBinance[[#This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Row],[Tipo]]="DROP"),AI78+TbTradesBinance[[#This Row],[Qtt]],AI78-TbTradesBinance[[#This Row],[Qtt]]),IF(TbTradesBinance[[#This Row],[Tipo]]="BUY",AI78-TbTradesBinance[[#This Row],[Qtt]]*TbTradesBinance[[#This Row],[Preço]],AI78+TbTradesBinance[[#This Row],[Qtt]]*TbTradesBinance[[#This Row],[Preço]])),AI78)-IF(TbTradesBinance[[#This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Row],[Tipo]]="DROP"),AI78+TbTradesBinance[[#This Row],[Qtt]],AI78-TbTradesBinance[[#This Row],[Qtt]]),IF(TbTradesBinance[[#This Row],[Tipo]]="BUY",AI78-TbTradesBinance[[#This Row],[Qtt]]*TbTradesBinance[[#This Row],[Preço]],AI78+TbTradesBinance[[#This Row],[Qtt]]*TbTradesBinance[[#This Row],[Preço]])),AI78)-IF(TbTradesBinance[[#This Row],[Moeda da Taxa]]=MID(AI$1,9,5),TbTradesBinance[[#This Row],[Taxa]],0),8)))</f>
        <v>0</v>
      </c>
      <c r="AJ79" s="145" cm="1">
        <f t="array" ref="AJ79">IF(TbTradesBinance[[#This Row],[Tipo]]="EMPTY",0,AJ78+IF(TbTradesBinance[[#This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Row],[Par]]))),$1:$1,0)),-(AI78-AI79)/AI78*AJ78),0),0)+IF(TbTradesBinance[[#This Row],[Tipo]]="SELL",IF(ISNUMBER(FIND(MID(AJ$1,10,5),TbTradesBinance[[#This Row],[Par]])),IF(FIND(MID(AJ$1,10,5),TbTradesBinance[[#This Row],[Par]])=1, -(AI78-AI79)/AI78*AJ78,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Row],[Par]])),(-(AI78-AI79)/AI78*AJ78)+IF(TbTradesBinance[[#This Row],[Resultado]]&gt;0,0,TbTradesBinance[[#This Row],[Taxa]]),0),0))</f>
        <v>0</v>
      </c>
      <c r="AK79" s="145">
        <f t="shared" si="27"/>
        <v>0</v>
      </c>
      <c r="AL7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Row],[Tipo]]="DROP"),AL78+TbTradesBinance[[#This Row],[Qtt]],AL78-TbTradesBinance[[#This Row],[Qtt]]),IF(TbTradesBinance[[#This Row],[Tipo]]="BUY",AL78-TbTradesBinance[[#This Row],[Qtt]]*TbTradesBinance[[#This Row],[Preço]],AL78+TbTradesBinance[[#This Row],[Qtt]]*TbTradesBinance[[#This Row],[Preço]])),AL78)-IF(TbTradesBinance[[#This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Row],[Tipo]]="DROP"),AL78+TbTradesBinance[[#This Row],[Qtt]],AL78-TbTradesBinance[[#This Row],[Qtt]]),IF(TbTradesBinance[[#This Row],[Tipo]]="BUY",AL78-TbTradesBinance[[#This Row],[Qtt]]*TbTradesBinance[[#This Row],[Preço]],AL78+TbTradesBinance[[#This Row],[Qtt]]*TbTradesBinance[[#This Row],[Preço]])),AL78)-IF(TbTradesBinance[[#This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Row],[Tipo]]="DROP"),AL78+TbTradesBinance[[#This Row],[Qtt]],AL78-TbTradesBinance[[#This Row],[Qtt]]),IF(TbTradesBinance[[#This Row],[Tipo]]="BUY",AL78-TbTradesBinance[[#This Row],[Qtt]]*TbTradesBinance[[#This Row],[Preço]],AL78+TbTradesBinance[[#This Row],[Qtt]]*TbTradesBinance[[#This Row],[Preço]])),AL78)-IF(TbTradesBinance[[#This Row],[Moeda da Taxa]]=MID(AL$1,9,5),TbTradesBinance[[#This Row],[Taxa]],0),8)))</f>
        <v>1.75824</v>
      </c>
      <c r="AM79" s="145" cm="1">
        <f t="array" ref="AM79">IF(TbTradesBinance[[#This Row],[Tipo]]="EMPTY",0,AM78+IF(TbTradesBinance[[#This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Row],[Par]]))),$1:$1,0)),-(AL78-AL79)/AL78*AM78),0),0)+IF(TbTradesBinance[[#This Row],[Tipo]]="SELL",IF(ISNUMBER(FIND(MID(AM$1,10,5),TbTradesBinance[[#This Row],[Par]])),IF(FIND(MID(AM$1,10,5),TbTradesBinance[[#This Row],[Par]])=1, -(AL78-AL79)/AL78*AM78,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Row],[Par]])),(-(AL78-AL79)/AL78*AM78)+IF(TbTradesBinance[[#This Row],[Resultado]]&gt;0,0,TbTradesBinance[[#This Row],[Taxa]]),0),0))</f>
        <v>144.56635471393039</v>
      </c>
      <c r="AN79" s="145">
        <f t="shared" si="28"/>
        <v>82.222196465744375</v>
      </c>
      <c r="AO7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Row],[Tipo]]="DROP"),AO78+TbTradesBinance[[#This Row],[Qtt]],AO78-TbTradesBinance[[#This Row],[Qtt]]),IF(TbTradesBinance[[#This Row],[Tipo]]="BUY",AO78-TbTradesBinance[[#This Row],[Qtt]]*TbTradesBinance[[#This Row],[Preço]],AO78+TbTradesBinance[[#This Row],[Qtt]]*TbTradesBinance[[#This Row],[Preço]])),AO78)-IF(TbTradesBinance[[#This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Row],[Tipo]]="DROP"),AO78+TbTradesBinance[[#This Row],[Qtt]],AO78-TbTradesBinance[[#This Row],[Qtt]]),IF(TbTradesBinance[[#This Row],[Tipo]]="BUY",AO78-TbTradesBinance[[#This Row],[Qtt]]*TbTradesBinance[[#This Row],[Preço]],AO78+TbTradesBinance[[#This Row],[Qtt]]*TbTradesBinance[[#This Row],[Preço]])),AO78)-IF(TbTradesBinance[[#This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Row],[Tipo]]="DROP"),AO78+TbTradesBinance[[#This Row],[Qtt]],AO78-TbTradesBinance[[#This Row],[Qtt]]),IF(TbTradesBinance[[#This Row],[Tipo]]="BUY",AO78-TbTradesBinance[[#This Row],[Qtt]]*TbTradesBinance[[#This Row],[Preço]],AO78+TbTradesBinance[[#This Row],[Qtt]]*TbTradesBinance[[#This Row],[Preço]])),AO78)-IF(TbTradesBinance[[#This Row],[Moeda da Taxa]]=MID(AO$1,9,5),TbTradesBinance[[#This Row],[Taxa]],0),8)))</f>
        <v>2.70054E-3</v>
      </c>
      <c r="AP79" s="145" cm="1">
        <f t="array" ref="AP79">IF(TbTradesBinance[[#This Row],[Tipo]]="EMPTY",0,AP78+IF(TbTradesBinance[[#This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Row],[Par]]))),$1:$1,0)),-(AO78-AO79)/AO78*AP78),0),0)+IF(TbTradesBinance[[#This Row],[Tipo]]="SELL",IF(ISNUMBER(FIND(MID(AP$1,10,5),TbTradesBinance[[#This Row],[Par]])),IF(FIND(MID(AP$1,10,5),TbTradesBinance[[#This Row],[Par]])=1, -(AO78-AO79)/AO78*AP78,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Row],[Par]])),(-(AO78-AO79)/AO78*AP78)+IF(TbTradesBinance[[#This Row],[Resultado]]&gt;0,0,TbTradesBinance[[#This Row],[Taxa]]),0),0))</f>
        <v>5.2490633588966693</v>
      </c>
      <c r="AQ79" s="145">
        <f t="shared" si="29"/>
        <v>1943.7087985723854</v>
      </c>
      <c r="AR7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Row],[Tipo]]="DROP"),AR78+TbTradesBinance[[#This Row],[Qtt]],AR78-TbTradesBinance[[#This Row],[Qtt]]),IF(TbTradesBinance[[#This Row],[Tipo]]="BUY",AR78-TbTradesBinance[[#This Row],[Qtt]]*TbTradesBinance[[#This Row],[Preço]],AR78+TbTradesBinance[[#This Row],[Qtt]]*TbTradesBinance[[#This Row],[Preço]])),AR78)-IF(TbTradesBinance[[#This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Row],[Tipo]]="DROP"),AR78+TbTradesBinance[[#This Row],[Qtt]],AR78-TbTradesBinance[[#This Row],[Qtt]]),IF(TbTradesBinance[[#This Row],[Tipo]]="BUY",AR78-TbTradesBinance[[#This Row],[Qtt]]*TbTradesBinance[[#This Row],[Preço]],AR78+TbTradesBinance[[#This Row],[Qtt]]*TbTradesBinance[[#This Row],[Preço]])),AR78)-IF(TbTradesBinance[[#This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Row],[Tipo]]="DROP"),AR78+TbTradesBinance[[#This Row],[Qtt]],AR78-TbTradesBinance[[#This Row],[Qtt]]),IF(TbTradesBinance[[#This Row],[Tipo]]="BUY",AR78-TbTradesBinance[[#This Row],[Qtt]]*TbTradesBinance[[#This Row],[Preço]],AR78+TbTradesBinance[[#This Row],[Qtt]]*TbTradesBinance[[#This Row],[Preço]])),AR78)-IF(TbTradesBinance[[#This Row],[Moeda da Taxa]]=MID(AR$1,9,5),TbTradesBinance[[#This Row],[Taxa]],0),8)))</f>
        <v>0</v>
      </c>
      <c r="AS79" s="145" cm="1">
        <f t="array" ref="AS79">IF(TbTradesBinance[[#This Row],[Tipo]]="EMPTY",0,AS78+IF(TbTradesBinance[[#This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Row],[Par]]))),$1:$1,0)),-(AR78-AR79)/AR78*AS78),0),0)+IF(TbTradesBinance[[#This Row],[Tipo]]="SELL",IF(ISNUMBER(FIND(MID(AS$1,10,5),TbTradesBinance[[#This Row],[Par]])),IF(FIND(MID(AS$1,10,5),TbTradesBinance[[#This Row],[Par]])=1, -(AR78-AR79)/AR78*AS78,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Row],[Par]])),(-(AR78-AR79)/AR78*AS78)+IF(TbTradesBinance[[#This Row],[Resultado]]&gt;0,0,TbTradesBinance[[#This Row],[Taxa]]),0),0))</f>
        <v>0</v>
      </c>
      <c r="AT79" s="145">
        <f t="shared" si="30"/>
        <v>0</v>
      </c>
      <c r="AU7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Row],[Tipo]]="DROP"),AU78+TbTradesBinance[[#This Row],[Qtt]],AU78-TbTradesBinance[[#This Row],[Qtt]]),IF(TbTradesBinance[[#This Row],[Tipo]]="BUY",AU78-TbTradesBinance[[#This Row],[Qtt]]*TbTradesBinance[[#This Row],[Preço]],AU78+TbTradesBinance[[#This Row],[Qtt]]*TbTradesBinance[[#This Row],[Preço]])),AU78)-IF(TbTradesBinance[[#This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Row],[Tipo]]="DROP"),AU78+TbTradesBinance[[#This Row],[Qtt]],AU78-TbTradesBinance[[#This Row],[Qtt]]),IF(TbTradesBinance[[#This Row],[Tipo]]="BUY",AU78-TbTradesBinance[[#This Row],[Qtt]]*TbTradesBinance[[#This Row],[Preço]],AU78+TbTradesBinance[[#This Row],[Qtt]]*TbTradesBinance[[#This Row],[Preço]])),AU78)-IF(TbTradesBinance[[#This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Row],[Tipo]]="DROP"),AU78+TbTradesBinance[[#This Row],[Qtt]],AU78-TbTradesBinance[[#This Row],[Qtt]]),IF(TbTradesBinance[[#This Row],[Tipo]]="BUY",AU78-TbTradesBinance[[#This Row],[Qtt]]*TbTradesBinance[[#This Row],[Preço]],AU78+TbTradesBinance[[#This Row],[Qtt]]*TbTradesBinance[[#This Row],[Preço]])),AU78)-IF(TbTradesBinance[[#This Row],[Moeda da Taxa]]=MID(AU$1,9,5),TbTradesBinance[[#This Row],[Taxa]],0),8)))</f>
        <v>0.26989999999999997</v>
      </c>
      <c r="AV79" s="145" cm="1">
        <f t="array" ref="AV79">IF(TbTradesBinance[[#This Row],[Tipo]]="EMPTY",0,AV78+IF(TbTradesBinance[[#This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Row],[Par]]))),$1:$1,0)),-(AU78-AU79)/AU78*AV78),0),0)+IF(TbTradesBinance[[#This Row],[Tipo]]="SELL",IF(ISNUMBER(FIND(MID(AV$1,10,5),TbTradesBinance[[#This Row],[Par]])),IF(FIND(MID(AV$1,10,5),TbTradesBinance[[#This Row],[Par]])=1, -(AU78-AU79)/AU78*AV78,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Row],[Par]])),(-(AU78-AU79)/AU78*AV78)+IF(TbTradesBinance[[#This Row],[Resultado]]&gt;0,0,TbTradesBinance[[#This Row],[Taxa]]),0),0))</f>
        <v>56.09788062740806</v>
      </c>
      <c r="AW79" s="145">
        <f t="shared" si="31"/>
        <v>207.8469085861729</v>
      </c>
      <c r="AX7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Row],[Tipo]]="DROP"),AX78+TbTradesBinance[[#This Row],[Qtt]],AX78-TbTradesBinance[[#This Row],[Qtt]]),IF(TbTradesBinance[[#This Row],[Tipo]]="BUY",AX78-TbTradesBinance[[#This Row],[Qtt]]*TbTradesBinance[[#This Row],[Preço]],AX78+TbTradesBinance[[#This Row],[Qtt]]*TbTradesBinance[[#This Row],[Preço]])),AX78)-IF(TbTradesBinance[[#This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Row],[Tipo]]="DROP"),AX78+TbTradesBinance[[#This Row],[Qtt]],AX78-TbTradesBinance[[#This Row],[Qtt]]),IF(TbTradesBinance[[#This Row],[Tipo]]="BUY",AX78-TbTradesBinance[[#This Row],[Qtt]]*TbTradesBinance[[#This Row],[Preço]],AX78+TbTradesBinance[[#This Row],[Qtt]]*TbTradesBinance[[#This Row],[Preço]])),AX78)-IF(TbTradesBinance[[#This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Row],[Tipo]]="DROP"),AX78+TbTradesBinance[[#This Row],[Qtt]],AX78-TbTradesBinance[[#This Row],[Qtt]]),IF(TbTradesBinance[[#This Row],[Tipo]]="BUY",AX78-TbTradesBinance[[#This Row],[Qtt]]*TbTradesBinance[[#This Row],[Preço]],AX78+TbTradesBinance[[#This Row],[Qtt]]*TbTradesBinance[[#This Row],[Preço]])),AX78)-IF(TbTradesBinance[[#This Row],[Moeda da Taxa]]=MID(AX$1,9,5),TbTradesBinance[[#This Row],[Taxa]],0),8)))</f>
        <v>0.22636999999999999</v>
      </c>
      <c r="AY79" s="145" cm="1">
        <f t="array" ref="AY79">IF(TbTradesBinance[[#This Row],[Tipo]]="EMPTY",0,AY78+IF(TbTradesBinance[[#This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Row],[Par]]))),$1:$1,0)),-(AX78-AX79)/AX78*AY78),0),0)+IF(TbTradesBinance[[#This Row],[Tipo]]="SELL",IF(ISNUMBER(FIND(MID(AY$1,10,5),TbTradesBinance[[#This Row],[Par]])),IF(FIND(MID(AY$1,10,5),TbTradesBinance[[#This Row],[Par]])=1, -(AX78-AX79)/AX78*AY78,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Row],[Par]])),(-(AX78-AX79)/AX78*AY78)+IF(TbTradesBinance[[#This Row],[Resultado]]&gt;0,0,TbTradesBinance[[#This Row],[Taxa]]),0),0))</f>
        <v>40.781337593356859</v>
      </c>
      <c r="AZ79" s="145">
        <f t="shared" si="32"/>
        <v>180.15345493376711</v>
      </c>
      <c r="BA7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Row],[Tipo]]="DROP"),BA78+TbTradesBinance[[#This Row],[Qtt]],BA78-TbTradesBinance[[#This Row],[Qtt]]),IF(TbTradesBinance[[#This Row],[Tipo]]="BUY",BA78-TbTradesBinance[[#This Row],[Qtt]]*TbTradesBinance[[#This Row],[Preço]],BA78+TbTradesBinance[[#This Row],[Qtt]]*TbTradesBinance[[#This Row],[Preço]])),BA78)-IF(TbTradesBinance[[#This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Row],[Tipo]]="DROP"),BA78+TbTradesBinance[[#This Row],[Qtt]],BA78-TbTradesBinance[[#This Row],[Qtt]]),IF(TbTradesBinance[[#This Row],[Tipo]]="BUY",BA78-TbTradesBinance[[#This Row],[Qtt]]*TbTradesBinance[[#This Row],[Preço]],BA78+TbTradesBinance[[#This Row],[Qtt]]*TbTradesBinance[[#This Row],[Preço]])),BA78)-IF(TbTradesBinance[[#This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Row],[Tipo]]="DROP"),BA78+TbTradesBinance[[#This Row],[Qtt]],BA78-TbTradesBinance[[#This Row],[Qtt]]),IF(TbTradesBinance[[#This Row],[Tipo]]="BUY",BA78-TbTradesBinance[[#This Row],[Qtt]]*TbTradesBinance[[#This Row],[Preço]],BA78+TbTradesBinance[[#This Row],[Qtt]]*TbTradesBinance[[#This Row],[Preço]])),BA78)-IF(TbTradesBinance[[#This Row],[Moeda da Taxa]]=MID(BA$1,9,5),TbTradesBinance[[#This Row],[Taxa]],0),8)))</f>
        <v>0</v>
      </c>
      <c r="BB79" s="145" cm="1">
        <f t="array" ref="BB79">IF(TbTradesBinance[[#This Row],[Tipo]]="EMPTY",0,BB78+IF(TbTradesBinance[[#This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Row],[Par]]))),$1:$1,0)),-(BA78-BA79)/BA78*BB78),0),0)+IF(TbTradesBinance[[#This Row],[Tipo]]="SELL",IF(ISNUMBER(FIND(MID(BB$1,10,5),TbTradesBinance[[#This Row],[Par]])),IF(FIND(MID(BB$1,10,5),TbTradesBinance[[#This Row],[Par]])=1, -(BA78-BA79)/BA78*BB78,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Row],[Par]])),(-(BA78-BA79)/BA78*BB78)+IF(TbTradesBinance[[#This Row],[Resultado]]&gt;0,0,TbTradesBinance[[#This Row],[Taxa]]),0),0))</f>
        <v>0</v>
      </c>
      <c r="BC79" s="145">
        <f t="shared" si="33"/>
        <v>0</v>
      </c>
      <c r="BD7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Row],[Tipo]]="DROP"),BD78+TbTradesBinance[[#This Row],[Qtt]],BD78-TbTradesBinance[[#This Row],[Qtt]]),IF(TbTradesBinance[[#This Row],[Tipo]]="BUY",BD78-TbTradesBinance[[#This Row],[Qtt]]*TbTradesBinance[[#This Row],[Preço]],BD78+TbTradesBinance[[#This Row],[Qtt]]*TbTradesBinance[[#This Row],[Preço]])),BD78)-IF(TbTradesBinance[[#This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Row],[Tipo]]="DROP"),BD78+TbTradesBinance[[#This Row],[Qtt]],BD78-TbTradesBinance[[#This Row],[Qtt]]),IF(TbTradesBinance[[#This Row],[Tipo]]="BUY",BD78-TbTradesBinance[[#This Row],[Qtt]]*TbTradesBinance[[#This Row],[Preço]],BD78+TbTradesBinance[[#This Row],[Qtt]]*TbTradesBinance[[#This Row],[Preço]])),BD78)-IF(TbTradesBinance[[#This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Row],[Tipo]]="DROP"),BD78+TbTradesBinance[[#This Row],[Qtt]],BD78-TbTradesBinance[[#This Row],[Qtt]]),IF(TbTradesBinance[[#This Row],[Tipo]]="BUY",BD78-TbTradesBinance[[#This Row],[Qtt]]*TbTradesBinance[[#This Row],[Preço]],BD78+TbTradesBinance[[#This Row],[Qtt]]*TbTradesBinance[[#This Row],[Preço]])),BD78)-IF(TbTradesBinance[[#This Row],[Moeda da Taxa]]=MID(BD$1,9,5),TbTradesBinance[[#This Row],[Taxa]],0),8)))</f>
        <v>0.37962000000000001</v>
      </c>
      <c r="BE79" s="145" cm="1">
        <f t="array" ref="BE79">IF(TbTradesBinance[[#This Row],[Tipo]]="EMPTY",0,BE78+IF(TbTradesBinance[[#This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Row],[Par]]))),$1:$1,0)),-(BD78-BD79)/BD78*BE78),0),0)+IF(TbTradesBinance[[#This Row],[Tipo]]="SELL",IF(ISNUMBER(FIND(MID(BE$1,10,5),TbTradesBinance[[#This Row],[Par]])),IF(FIND(MID(BE$1,10,5),TbTradesBinance[[#This Row],[Par]])=1, -(BD78-BD79)/BD78*BE78,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Row],[Par]])),(-(BD78-BD79)/BD78*BE78)+IF(TbTradesBinance[[#This Row],[Resultado]]&gt;0,0,TbTradesBinance[[#This Row],[Taxa]]),0),0))</f>
        <v>63.647297001537943</v>
      </c>
      <c r="BF79" s="145">
        <f t="shared" si="34"/>
        <v>167.66054739354601</v>
      </c>
      <c r="BG7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Row],[Tipo]]="DROP"),BG78+TbTradesBinance[[#This Row],[Qtt]],BG78-TbTradesBinance[[#This Row],[Qtt]]),IF(TbTradesBinance[[#This Row],[Tipo]]="BUY",BG78-TbTradesBinance[[#This Row],[Qtt]]*TbTradesBinance[[#This Row],[Preço]],BG78+TbTradesBinance[[#This Row],[Qtt]]*TbTradesBinance[[#This Row],[Preço]])),BG78)-IF(TbTradesBinance[[#This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Row],[Tipo]]="DROP"),BG78+TbTradesBinance[[#This Row],[Qtt]],BG78-TbTradesBinance[[#This Row],[Qtt]]),IF(TbTradesBinance[[#This Row],[Tipo]]="BUY",BG78-TbTradesBinance[[#This Row],[Qtt]]*TbTradesBinance[[#This Row],[Preço]],BG78+TbTradesBinance[[#This Row],[Qtt]]*TbTradesBinance[[#This Row],[Preço]])),BG78)-IF(TbTradesBinance[[#This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Row],[Tipo]]="DROP"),BG78+TbTradesBinance[[#This Row],[Qtt]],BG78-TbTradesBinance[[#This Row],[Qtt]]),IF(TbTradesBinance[[#This Row],[Tipo]]="BUY",BG78-TbTradesBinance[[#This Row],[Qtt]]*TbTradesBinance[[#This Row],[Preço]],BG78+TbTradesBinance[[#This Row],[Qtt]]*TbTradesBinance[[#This Row],[Preço]])),BG78)-IF(TbTradesBinance[[#This Row],[Moeda da Taxa]]=MID(BG$1,9,5),TbTradesBinance[[#This Row],[Taxa]],0),8)))</f>
        <v>111.71817</v>
      </c>
      <c r="BH79" s="145" cm="1">
        <f t="array" ref="BH79">IF(TbTradesBinance[[#This Row],[Tipo]]="EMPTY",0,BH78+IF(TbTradesBinance[[#This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Row],[Par]]))),$1:$1,0)),-(BG78-BG79)/BG78*BH78),0),0)+IF(TbTradesBinance[[#This Row],[Tipo]]="SELL",IF(ISNUMBER(FIND(MID(BH$1,10,5),TbTradesBinance[[#This Row],[Par]])),IF(FIND(MID(BH$1,10,5),TbTradesBinance[[#This Row],[Par]])=1, -(BG78-BG79)/BG78*BH78,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Row],[Par]])),(-(BG78-BG79)/BG78*BH78)+IF(TbTradesBinance[[#This Row],[Resultado]]&gt;0,0,TbTradesBinance[[#This Row],[Taxa]]),0),0))</f>
        <v>401.31269619490814</v>
      </c>
      <c r="BI79" s="145">
        <f t="shared" si="35"/>
        <v>3.5921882375526573</v>
      </c>
      <c r="BJ7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Row],[Tipo]]="DROP"),BJ78+TbTradesBinance[[#This Row],[Qtt]],BJ78-TbTradesBinance[[#This Row],[Qtt]]),IF(TbTradesBinance[[#This Row],[Tipo]]="BUY",BJ78-TbTradesBinance[[#This Row],[Qtt]]*TbTradesBinance[[#This Row],[Preço]],BJ78+TbTradesBinance[[#This Row],[Qtt]]*TbTradesBinance[[#This Row],[Preço]])),BJ78)-IF(TbTradesBinance[[#This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Row],[Tipo]]="DROP"),BJ78+TbTradesBinance[[#This Row],[Qtt]],BJ78-TbTradesBinance[[#This Row],[Qtt]]),IF(TbTradesBinance[[#This Row],[Tipo]]="BUY",BJ78-TbTradesBinance[[#This Row],[Qtt]]*TbTradesBinance[[#This Row],[Preço]],BJ78+TbTradesBinance[[#This Row],[Qtt]]*TbTradesBinance[[#This Row],[Preço]])),BJ78)-IF(TbTradesBinance[[#This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Row],[Tipo]]="DROP"),BJ78+TbTradesBinance[[#This Row],[Qtt]],BJ78-TbTradesBinance[[#This Row],[Qtt]]),IF(TbTradesBinance[[#This Row],[Tipo]]="BUY",BJ78-TbTradesBinance[[#This Row],[Qtt]]*TbTradesBinance[[#This Row],[Preço]],BJ78+TbTradesBinance[[#This Row],[Qtt]]*TbTradesBinance[[#This Row],[Preço]])),BJ78)-IF(TbTradesBinance[[#This Row],[Moeda da Taxa]]=MID(BJ$1,9,5),TbTradesBinance[[#This Row],[Taxa]],0),8)))</f>
        <v>0</v>
      </c>
      <c r="BK79" s="145" cm="1">
        <f t="array" ref="BK79">IF(TbTradesBinance[[#This Row],[Tipo]]="EMPTY",0,BK78+IF(TbTradesBinance[[#This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Row],[Par]]))),$1:$1,0)),-(BJ78-BJ79)/BJ78*BK78),0),0)+IF(TbTradesBinance[[#This Row],[Tipo]]="SELL",IF(ISNUMBER(FIND(MID(BK$1,10,5),TbTradesBinance[[#This Row],[Par]])),IF(FIND(MID(BK$1,10,5),TbTradesBinance[[#This Row],[Par]])=1, -(BJ78-BJ79)/BJ78*BK78,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Row],[Par]])),(-(BJ78-BJ79)/BJ78*BK78)+IF(TbTradesBinance[[#This Row],[Resultado]]&gt;0,0,TbTradesBinance[[#This Row],[Taxa]]),0),0))</f>
        <v>0</v>
      </c>
      <c r="BL79" s="145">
        <f t="shared" si="36"/>
        <v>0</v>
      </c>
      <c r="BM7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Row],[Tipo]]="DROP"),BM78+TbTradesBinance[[#This Row],[Qtt]],BM78-TbTradesBinance[[#This Row],[Qtt]]),IF(TbTradesBinance[[#This Row],[Tipo]]="BUY",BM78-TbTradesBinance[[#This Row],[Qtt]]*TbTradesBinance[[#This Row],[Preço]],BM78+TbTradesBinance[[#This Row],[Qtt]]*TbTradesBinance[[#This Row],[Preço]])),BM78)-IF(TbTradesBinance[[#This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Row],[Tipo]]="DROP"),BM78+TbTradesBinance[[#This Row],[Qtt]],BM78-TbTradesBinance[[#This Row],[Qtt]]),IF(TbTradesBinance[[#This Row],[Tipo]]="BUY",BM78-TbTradesBinance[[#This Row],[Qtt]]*TbTradesBinance[[#This Row],[Preço]],BM78+TbTradesBinance[[#This Row],[Qtt]]*TbTradesBinance[[#This Row],[Preço]])),BM78)-IF(TbTradesBinance[[#This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Row],[Tipo]]="DROP"),BM78+TbTradesBinance[[#This Row],[Qtt]],BM78-TbTradesBinance[[#This Row],[Qtt]]),IF(TbTradesBinance[[#This Row],[Tipo]]="BUY",BM78-TbTradesBinance[[#This Row],[Qtt]]*TbTradesBinance[[#This Row],[Preço]],BM78+TbTradesBinance[[#This Row],[Qtt]]*TbTradesBinance[[#This Row],[Preço]])),BM78)-IF(TbTradesBinance[[#This Row],[Moeda da Taxa]]=MID(BM$1,9,5),TbTradesBinance[[#This Row],[Taxa]],0),8)))</f>
        <v>0</v>
      </c>
      <c r="BN79" s="145" cm="1">
        <f t="array" ref="BN79">IF(TbTradesBinance[[#This Row],[Tipo]]="EMPTY",0,BN78+IF(TbTradesBinance[[#This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Row],[Par]]))),$1:$1,0)),-(BM78-BM79)/BM78*BN78),0),0)+IF(TbTradesBinance[[#This Row],[Tipo]]="SELL",IF(ISNUMBER(FIND(MID(BN$1,10,5),TbTradesBinance[[#This Row],[Par]])),IF(FIND(MID(BN$1,10,5),TbTradesBinance[[#This Row],[Par]])=1, -(BM78-BM79)/BM78*BN78,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Row],[Par]])),(-(BM78-BM79)/BM78*BN78)+IF(TbTradesBinance[[#This Row],[Resultado]]&gt;0,0,TbTradesBinance[[#This Row],[Taxa]]),0),0))</f>
        <v>0</v>
      </c>
      <c r="BO79" s="145">
        <f t="shared" si="37"/>
        <v>0</v>
      </c>
    </row>
    <row r="80" spans="2:67" x14ac:dyDescent="0.3">
      <c r="B80" s="51"/>
      <c r="C80" s="40">
        <f>TRUNC(IF(AND(TbTradesBinance[[#This Row],[Tipo]]="SEND",TbTradesBinance[[#This Row],[Par]]="BRL"),TbTradesBinance[[#This Row],[Qtt]]*(1-P78)-IF(TbTradesBinance[[#This Row],[Moeda da Taxa]]="BRL",TbTradesBinance[[#This Row],[Taxa]],0),0)+IF(AND(TbTradesBinance[[#This Row],[Tipo]]="BURN",TbTradesBinance[[#This Row],[Par]]="BRL"),-TbTradesBinance[[#This Row],[Qtt]]*P78,0),2)</f>
        <v>0</v>
      </c>
      <c r="D80" s="53">
        <v>44266.80641203704</v>
      </c>
      <c r="E80" s="37" t="s">
        <v>138</v>
      </c>
      <c r="F80" s="47" t="s">
        <v>140</v>
      </c>
      <c r="G80" s="38">
        <v>323000</v>
      </c>
      <c r="H80" s="38">
        <v>3.1879999999999999E-3</v>
      </c>
      <c r="I80" s="38">
        <v>0</v>
      </c>
      <c r="J80" s="37" t="s">
        <v>45</v>
      </c>
      <c r="K80" s="52">
        <v>1</v>
      </c>
      <c r="L80" s="40">
        <f t="shared" si="19"/>
        <v>323000</v>
      </c>
      <c r="M80" s="40">
        <f>IF(OR(TbTradesBinance[[#This Row],[Tipo]]="BUY",TbTradesBinance[[#This Row],[Tipo]]="RECEIVE",TbTradesBinance[[#This Row],[Tipo]]="DROP"),L80*H80,-L80*H80)</f>
        <v>-1029.7239999999999</v>
      </c>
      <c r="N8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Row],[Tipo]]="DROP"),N79+TbTradesBinance[[#This Row],[Qtt]],N79-TbTradesBinance[[#This Row],[Qtt]]),IF(TbTradesBinance[[#This Row],[Tipo]]="BUY",N79-TbTradesBinance[[#This Row],[Qtt]]*TbTradesBinance[[#This Row],[Preço]],N79+TbTradesBinance[[#This Row],[Qtt]]*TbTradesBinance[[#This Row],[Preço]])),N79)-IF(TbTradesBinance[[#This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Row],[Tipo]]="DROP"),N79+TbTradesBinance[[#This Row],[Qtt]],N79-TbTradesBinance[[#This Row],[Qtt]]),IF(TbTradesBinance[[#This Row],[Tipo]]="BUY",N79-TbTradesBinance[[#This Row],[Qtt]]*TbTradesBinance[[#This Row],[Preço]],N79+TbTradesBinance[[#This Row],[Qtt]]*TbTradesBinance[[#This Row],[Preço]])),N79)-IF(TbTradesBinance[[#This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Row],[Tipo]]="DROP"),N79+TbTradesBinance[[#This Row],[Qtt]],N79-TbTradesBinance[[#This Row],[Qtt]]),IF(TbTradesBinance[[#This Row],[Tipo]]="BUY",N79-TbTradesBinance[[#This Row],[Qtt]]*TbTradesBinance[[#This Row],[Preço]],N79+TbTradesBinance[[#This Row],[Qtt]]*TbTradesBinance[[#This Row],[Preço]])),N79)-IF(TbTradesBinance[[#This Row],[Moeda da Taxa]]=MID(N$1,9,5),TbTradesBinance[[#This Row],[Taxa]],0),8)))</f>
        <v>120775.14399999</v>
      </c>
      <c r="O80" s="145" cm="1">
        <f t="array" ref="O80">IF(TbTradesBinance[[#This Row],[Tipo]]="EMPTY",0,O79+IF(TbTradesBinance[[#This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Row],[Par]]))),$1:$1,0)),-(N79-N80)/N79*O79),0),0)+IF(TbTradesBinance[[#This Row],[Tipo]]="SELL",IF(ISNUMBER(FIND(MID(O$1,10,5),TbTradesBinance[[#This Row],[Par]])),IF(FIND(MID(O$1,10,5),TbTradesBinance[[#This Row],[Par]])=1, -(N79-N80)/N79*O79,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Row],[Par]])),(-(N79-N80)/N79*O79)+IF(TbTradesBinance[[#This Row],[Resultado]]&gt;0,0,TbTradesBinance[[#This Row],[Taxa]]),0),0))</f>
        <v>120669.55066922269</v>
      </c>
      <c r="P80" s="145">
        <f t="shared" si="20"/>
        <v>0.9991257031267351</v>
      </c>
      <c r="Q8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Row],[Tipo]]="DROP"),Q79+TbTradesBinance[[#This Row],[Qtt]],Q79-TbTradesBinance[[#This Row],[Qtt]]),IF(TbTradesBinance[[#This Row],[Tipo]]="BUY",Q79-TbTradesBinance[[#This Row],[Qtt]]*TbTradesBinance[[#This Row],[Preço]],Q79+TbTradesBinance[[#This Row],[Qtt]]*TbTradesBinance[[#This Row],[Preço]])),Q79)-IF(TbTradesBinance[[#This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Row],[Tipo]]="DROP"),Q79+TbTradesBinance[[#This Row],[Qtt]],Q79-TbTradesBinance[[#This Row],[Qtt]]),IF(TbTradesBinance[[#This Row],[Tipo]]="BUY",Q79-TbTradesBinance[[#This Row],[Qtt]]*TbTradesBinance[[#This Row],[Preço]],Q79+TbTradesBinance[[#This Row],[Qtt]]*TbTradesBinance[[#This Row],[Preço]])),Q79)-IF(TbTradesBinance[[#This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Row],[Tipo]]="DROP"),Q79+TbTradesBinance[[#This Row],[Qtt]],Q79-TbTradesBinance[[#This Row],[Qtt]]),IF(TbTradesBinance[[#This Row],[Tipo]]="BUY",Q79-TbTradesBinance[[#This Row],[Qtt]]*TbTradesBinance[[#This Row],[Preço]],Q79+TbTradesBinance[[#This Row],[Qtt]]*TbTradesBinance[[#This Row],[Preço]])),Q79)-IF(TbTradesBinance[[#This Row],[Moeda da Taxa]]=MID(Q$1,9,5),TbTradesBinance[[#This Row],[Taxa]],0),8)))</f>
        <v>8.2799990000000004E-2</v>
      </c>
      <c r="R80" s="145" cm="1">
        <f t="array" ref="R80">IF(TbTradesBinance[[#This Row],[Tipo]]="EMPTY",0,R79+IF(TbTradesBinance[[#This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Row],[Par]]))),$1:$1,0)),-(Q79-Q80)/Q79*R79),0),0)+IF(TbTradesBinance[[#This Row],[Tipo]]="SELL",IF(ISNUMBER(FIND(MID(R$1,10,5),TbTradesBinance[[#This Row],[Par]])),IF(FIND(MID(R$1,10,5),TbTradesBinance[[#This Row],[Par]])=1, -(Q79-Q80)/Q79*R79,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Row],[Par]])),(-(Q79-Q80)/Q79*R79)+IF(TbTradesBinance[[#This Row],[Resultado]]&gt;0,0,TbTradesBinance[[#This Row],[Taxa]]),0),0))</f>
        <v>0.46008090465994195</v>
      </c>
      <c r="S80" s="145">
        <f t="shared" si="21"/>
        <v>5.5565333360540494</v>
      </c>
      <c r="T8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Row],[Tipo]]="DROP"),T79+TbTradesBinance[[#This Row],[Qtt]],T79-TbTradesBinance[[#This Row],[Qtt]]),IF(TbTradesBinance[[#This Row],[Tipo]]="BUY",T79-TbTradesBinance[[#This Row],[Qtt]]*TbTradesBinance[[#This Row],[Preço]],T79+TbTradesBinance[[#This Row],[Qtt]]*TbTradesBinance[[#This Row],[Preço]])),T79)-IF(TbTradesBinance[[#This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Row],[Tipo]]="DROP"),T79+TbTradesBinance[[#This Row],[Qtt]],T79-TbTradesBinance[[#This Row],[Qtt]]),IF(TbTradesBinance[[#This Row],[Tipo]]="BUY",T79-TbTradesBinance[[#This Row],[Qtt]]*TbTradesBinance[[#This Row],[Preço]],T79+TbTradesBinance[[#This Row],[Qtt]]*TbTradesBinance[[#This Row],[Preço]])),T79)-IF(TbTradesBinance[[#This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Row],[Tipo]]="DROP"),T79+TbTradesBinance[[#This Row],[Qtt]],T79-TbTradesBinance[[#This Row],[Qtt]]),IF(TbTradesBinance[[#This Row],[Tipo]]="BUY",T79-TbTradesBinance[[#This Row],[Qtt]]*TbTradesBinance[[#This Row],[Preço]],T79+TbTradesBinance[[#This Row],[Qtt]]*TbTradesBinance[[#This Row],[Preço]])),T79)-IF(TbTradesBinance[[#This Row],[Moeda da Taxa]]=MID(T$1,9,5),TbTradesBinance[[#This Row],[Taxa]],0),8)))</f>
        <v>199735.32000169999</v>
      </c>
      <c r="U80" s="145" cm="1">
        <f t="array" ref="U80">IF(TbTradesBinance[[#This Row],[Tipo]]="EMPTY",0,U79+IF(TbTradesBinance[[#This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Row],[Par]]))),$1:$1,0)),-(T79-T80)/T79*U79),0),0)+IF(TbTradesBinance[[#This Row],[Tipo]]="SELL",IF(ISNUMBER(FIND(MID(U$1,10,5),TbTradesBinance[[#This Row],[Par]])),IF(FIND(MID(U$1,10,5),TbTradesBinance[[#This Row],[Par]])=1, -(T79-T80)/T79*U79,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Row],[Par]])),(-(T79-T80)/T79*U79)+IF(TbTradesBinance[[#This Row],[Resultado]]&gt;0,0,TbTradesBinance[[#This Row],[Taxa]]),0),0))</f>
        <v>1328239.8809817513</v>
      </c>
      <c r="V80" s="145">
        <f t="shared" si="22"/>
        <v>6.6500000148719129</v>
      </c>
      <c r="W8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Row],[Tipo]]="DROP"),W79+TbTradesBinance[[#This Row],[Qtt]],W79-TbTradesBinance[[#This Row],[Qtt]]),IF(TbTradesBinance[[#This Row],[Tipo]]="BUY",W79-TbTradesBinance[[#This Row],[Qtt]]*TbTradesBinance[[#This Row],[Preço]],W79+TbTradesBinance[[#This Row],[Qtt]]*TbTradesBinance[[#This Row],[Preço]])),W79)-IF(TbTradesBinance[[#This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Row],[Tipo]]="DROP"),W79+TbTradesBinance[[#This Row],[Qtt]],W79-TbTradesBinance[[#This Row],[Qtt]]),IF(TbTradesBinance[[#This Row],[Tipo]]="BUY",W79-TbTradesBinance[[#This Row],[Qtt]]*TbTradesBinance[[#This Row],[Preço]],W79+TbTradesBinance[[#This Row],[Qtt]]*TbTradesBinance[[#This Row],[Preço]])),W79)-IF(TbTradesBinance[[#This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Row],[Tipo]]="DROP"),W79+TbTradesBinance[[#This Row],[Qtt]],W79-TbTradesBinance[[#This Row],[Qtt]]),IF(TbTradesBinance[[#This Row],[Tipo]]="BUY",W79-TbTradesBinance[[#This Row],[Qtt]]*TbTradesBinance[[#This Row],[Preço]],W79+TbTradesBinance[[#This Row],[Qtt]]*TbTradesBinance[[#This Row],[Preço]])),W79)-IF(TbTradesBinance[[#This Row],[Moeda da Taxa]]=MID(W$1,9,5),TbTradesBinance[[#This Row],[Taxa]],0),8)))</f>
        <v>4.6299999999999997E-6</v>
      </c>
      <c r="X80" s="145" cm="1">
        <f t="array" ref="X80">IF(TbTradesBinance[[#This Row],[Tipo]]="EMPTY",0,X79+IF(TbTradesBinance[[#This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Row],[Par]]))),$1:$1,0)),-(W79-W80)/W79*X79),0),0)+IF(TbTradesBinance[[#This Row],[Tipo]]="SELL",IF(ISNUMBER(FIND(MID(X$1,10,5),TbTradesBinance[[#This Row],[Par]])),IF(FIND(MID(X$1,10,5),TbTradesBinance[[#This Row],[Par]])=1, -(W79-W80)/W79*X79,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Row],[Par]])),(-(W79-W80)/W79*X79)+IF(TbTradesBinance[[#This Row],[Resultado]]&gt;0,0,TbTradesBinance[[#This Row],[Taxa]]),0),0))</f>
        <v>1.4894309262253955</v>
      </c>
      <c r="Y80" s="145">
        <f t="shared" si="23"/>
        <v>321691.34475710487</v>
      </c>
      <c r="Z8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Row],[Tipo]]="DROP"),Z79+TbTradesBinance[[#This Row],[Qtt]],Z79-TbTradesBinance[[#This Row],[Qtt]]),IF(TbTradesBinance[[#This Row],[Tipo]]="BUY",Z79-TbTradesBinance[[#This Row],[Qtt]]*TbTradesBinance[[#This Row],[Preço]],Z79+TbTradesBinance[[#This Row],[Qtt]]*TbTradesBinance[[#This Row],[Preço]])),Z79)-IF(TbTradesBinance[[#This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Row],[Tipo]]="DROP"),Z79+TbTradesBinance[[#This Row],[Qtt]],Z79-TbTradesBinance[[#This Row],[Qtt]]),IF(TbTradesBinance[[#This Row],[Tipo]]="BUY",Z79-TbTradesBinance[[#This Row],[Qtt]]*TbTradesBinance[[#This Row],[Preço]],Z79+TbTradesBinance[[#This Row],[Qtt]]*TbTradesBinance[[#This Row],[Preço]])),Z79)-IF(TbTradesBinance[[#This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Row],[Tipo]]="DROP"),Z79+TbTradesBinance[[#This Row],[Qtt]],Z79-TbTradesBinance[[#This Row],[Qtt]]),IF(TbTradesBinance[[#This Row],[Tipo]]="BUY",Z79-TbTradesBinance[[#This Row],[Qtt]]*TbTradesBinance[[#This Row],[Preço]],Z79+TbTradesBinance[[#This Row],[Qtt]]*TbTradesBinance[[#This Row],[Preço]])),Z79)-IF(TbTradesBinance[[#This Row],[Moeda da Taxa]]=MID(Z$1,9,5),TbTradesBinance[[#This Row],[Taxa]],0),8)))</f>
        <v>0</v>
      </c>
      <c r="AA80" s="145" cm="1">
        <f t="array" ref="AA80">IF(TbTradesBinance[[#This Row],[Tipo]]="EMPTY",0,AA79+IF(TbTradesBinance[[#This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Row],[Par]]))),$1:$1,0)),-(Z79-Z80)/Z79*AA79),0),0)+IF(TbTradesBinance[[#This Row],[Tipo]]="SELL",IF(ISNUMBER(FIND(MID(AA$1,10,5),TbTradesBinance[[#This Row],[Par]])),IF(FIND(MID(AA$1,10,5),TbTradesBinance[[#This Row],[Par]])=1, -(Z79-Z80)/Z79*AA79,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Row],[Par]])),(-(Z79-Z80)/Z79*AA79)+IF(TbTradesBinance[[#This Row],[Resultado]]&gt;0,0,TbTradesBinance[[#This Row],[Taxa]]),0),0))</f>
        <v>0</v>
      </c>
      <c r="AB80" s="145">
        <f t="shared" si="24"/>
        <v>0</v>
      </c>
      <c r="AC8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Row],[Tipo]]="DROP"),AC79+TbTradesBinance[[#This Row],[Qtt]],AC79-TbTradesBinance[[#This Row],[Qtt]]),IF(TbTradesBinance[[#This Row],[Tipo]]="BUY",AC79-TbTradesBinance[[#This Row],[Qtt]]*TbTradesBinance[[#This Row],[Preço]],AC79+TbTradesBinance[[#This Row],[Qtt]]*TbTradesBinance[[#This Row],[Preço]])),AC79)-IF(TbTradesBinance[[#This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Row],[Tipo]]="DROP"),AC79+TbTradesBinance[[#This Row],[Qtt]],AC79-TbTradesBinance[[#This Row],[Qtt]]),IF(TbTradesBinance[[#This Row],[Tipo]]="BUY",AC79-TbTradesBinance[[#This Row],[Qtt]]*TbTradesBinance[[#This Row],[Preço]],AC79+TbTradesBinance[[#This Row],[Qtt]]*TbTradesBinance[[#This Row],[Preço]])),AC79)-IF(TbTradesBinance[[#This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Row],[Tipo]]="DROP"),AC79+TbTradesBinance[[#This Row],[Qtt]],AC79-TbTradesBinance[[#This Row],[Qtt]]),IF(TbTradesBinance[[#This Row],[Tipo]]="BUY",AC79-TbTradesBinance[[#This Row],[Qtt]]*TbTradesBinance[[#This Row],[Preço]],AC79+TbTradesBinance[[#This Row],[Qtt]]*TbTradesBinance[[#This Row],[Preço]])),AC79)-IF(TbTradesBinance[[#This Row],[Moeda da Taxa]]=MID(AC$1,9,5),TbTradesBinance[[#This Row],[Taxa]],0),8)))</f>
        <v>0</v>
      </c>
      <c r="AD80" s="145" cm="1">
        <f t="array" ref="AD80">IF(TbTradesBinance[[#This Row],[Tipo]]="EMPTY",0,AD79+IF(TbTradesBinance[[#This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Row],[Par]]))),$1:$1,0)),-(AC79-AC80)/AC79*AD79),0),0)+IF(TbTradesBinance[[#This Row],[Tipo]]="SELL",IF(ISNUMBER(FIND(MID(AD$1,10,5),TbTradesBinance[[#This Row],[Par]])),IF(FIND(MID(AD$1,10,5),TbTradesBinance[[#This Row],[Par]])=1, -(AC79-AC80)/AC79*AD79,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Row],[Par]])),(-(AC79-AC80)/AC79*AD79)+IF(TbTradesBinance[[#This Row],[Resultado]]&gt;0,0,TbTradesBinance[[#This Row],[Taxa]]),0),0))</f>
        <v>0</v>
      </c>
      <c r="AE80" s="145">
        <f t="shared" si="25"/>
        <v>0</v>
      </c>
      <c r="AF8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Row],[Tipo]]="DROP"),AF79+TbTradesBinance[[#This Row],[Qtt]],AF79-TbTradesBinance[[#This Row],[Qtt]]),IF(TbTradesBinance[[#This Row],[Tipo]]="BUY",AF79-TbTradesBinance[[#This Row],[Qtt]]*TbTradesBinance[[#This Row],[Preço]],AF79+TbTradesBinance[[#This Row],[Qtt]]*TbTradesBinance[[#This Row],[Preço]])),AF79)-IF(TbTradesBinance[[#This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Row],[Tipo]]="DROP"),AF79+TbTradesBinance[[#This Row],[Qtt]],AF79-TbTradesBinance[[#This Row],[Qtt]]),IF(TbTradesBinance[[#This Row],[Tipo]]="BUY",AF79-TbTradesBinance[[#This Row],[Qtt]]*TbTradesBinance[[#This Row],[Preço]],AF79+TbTradesBinance[[#This Row],[Qtt]]*TbTradesBinance[[#This Row],[Preço]])),AF79)-IF(TbTradesBinance[[#This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Row],[Tipo]]="DROP"),AF79+TbTradesBinance[[#This Row],[Qtt]],AF79-TbTradesBinance[[#This Row],[Qtt]]),IF(TbTradesBinance[[#This Row],[Tipo]]="BUY",AF79-TbTradesBinance[[#This Row],[Qtt]]*TbTradesBinance[[#This Row],[Preço]],AF79+TbTradesBinance[[#This Row],[Qtt]]*TbTradesBinance[[#This Row],[Preço]])),AF79)-IF(TbTradesBinance[[#This Row],[Moeda da Taxa]]=MID(AF$1,9,5),TbTradesBinance[[#This Row],[Taxa]],0),8)))</f>
        <v>19.98</v>
      </c>
      <c r="AG80" s="145" cm="1">
        <f t="array" ref="AG80">IF(TbTradesBinance[[#This Row],[Tipo]]="EMPTY",0,AG79+IF(TbTradesBinance[[#This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Row],[Par]]))),$1:$1,0)),-(AF79-AF80)/AF79*AG79),0),0)+IF(TbTradesBinance[[#This Row],[Tipo]]="SELL",IF(ISNUMBER(FIND(MID(AG$1,10,5),TbTradesBinance[[#This Row],[Par]])),IF(FIND(MID(AG$1,10,5),TbTradesBinance[[#This Row],[Par]])=1, -(AF79-AF80)/AF79*AG79,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Row],[Par]])),(-(AF79-AF80)/AF79*AG79)+IF(TbTradesBinance[[#This Row],[Resultado]]&gt;0,0,TbTradesBinance[[#This Row],[Taxa]]),0),0))</f>
        <v>124.04182758073662</v>
      </c>
      <c r="AH80" s="145">
        <f t="shared" si="26"/>
        <v>6.2082996787155462</v>
      </c>
      <c r="AI8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Row],[Tipo]]="DROP"),AI79+TbTradesBinance[[#This Row],[Qtt]],AI79-TbTradesBinance[[#This Row],[Qtt]]),IF(TbTradesBinance[[#This Row],[Tipo]]="BUY",AI79-TbTradesBinance[[#This Row],[Qtt]]*TbTradesBinance[[#This Row],[Preço]],AI79+TbTradesBinance[[#This Row],[Qtt]]*TbTradesBinance[[#This Row],[Preço]])),AI79)-IF(TbTradesBinance[[#This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Row],[Tipo]]="DROP"),AI79+TbTradesBinance[[#This Row],[Qtt]],AI79-TbTradesBinance[[#This Row],[Qtt]]),IF(TbTradesBinance[[#This Row],[Tipo]]="BUY",AI79-TbTradesBinance[[#This Row],[Qtt]]*TbTradesBinance[[#This Row],[Preço]],AI79+TbTradesBinance[[#This Row],[Qtt]]*TbTradesBinance[[#This Row],[Preço]])),AI79)-IF(TbTradesBinance[[#This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Row],[Tipo]]="DROP"),AI79+TbTradesBinance[[#This Row],[Qtt]],AI79-TbTradesBinance[[#This Row],[Qtt]]),IF(TbTradesBinance[[#This Row],[Tipo]]="BUY",AI79-TbTradesBinance[[#This Row],[Qtt]]*TbTradesBinance[[#This Row],[Preço]],AI79+TbTradesBinance[[#This Row],[Qtt]]*TbTradesBinance[[#This Row],[Preço]])),AI79)-IF(TbTradesBinance[[#This Row],[Moeda da Taxa]]=MID(AI$1,9,5),TbTradesBinance[[#This Row],[Taxa]],0),8)))</f>
        <v>0</v>
      </c>
      <c r="AJ80" s="145" cm="1">
        <f t="array" ref="AJ80">IF(TbTradesBinance[[#This Row],[Tipo]]="EMPTY",0,AJ79+IF(TbTradesBinance[[#This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Row],[Par]]))),$1:$1,0)),-(AI79-AI80)/AI79*AJ79),0),0)+IF(TbTradesBinance[[#This Row],[Tipo]]="SELL",IF(ISNUMBER(FIND(MID(AJ$1,10,5),TbTradesBinance[[#This Row],[Par]])),IF(FIND(MID(AJ$1,10,5),TbTradesBinance[[#This Row],[Par]])=1, -(AI79-AI80)/AI79*AJ79,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Row],[Par]])),(-(AI79-AI80)/AI79*AJ79)+IF(TbTradesBinance[[#This Row],[Resultado]]&gt;0,0,TbTradesBinance[[#This Row],[Taxa]]),0),0))</f>
        <v>0</v>
      </c>
      <c r="AK80" s="145">
        <f t="shared" si="27"/>
        <v>0</v>
      </c>
      <c r="AL8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Row],[Tipo]]="DROP"),AL79+TbTradesBinance[[#This Row],[Qtt]],AL79-TbTradesBinance[[#This Row],[Qtt]]),IF(TbTradesBinance[[#This Row],[Tipo]]="BUY",AL79-TbTradesBinance[[#This Row],[Qtt]]*TbTradesBinance[[#This Row],[Preço]],AL79+TbTradesBinance[[#This Row],[Qtt]]*TbTradesBinance[[#This Row],[Preço]])),AL79)-IF(TbTradesBinance[[#This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Row],[Tipo]]="DROP"),AL79+TbTradesBinance[[#This Row],[Qtt]],AL79-TbTradesBinance[[#This Row],[Qtt]]),IF(TbTradesBinance[[#This Row],[Tipo]]="BUY",AL79-TbTradesBinance[[#This Row],[Qtt]]*TbTradesBinance[[#This Row],[Preço]],AL79+TbTradesBinance[[#This Row],[Qtt]]*TbTradesBinance[[#This Row],[Preço]])),AL79)-IF(TbTradesBinance[[#This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Row],[Tipo]]="DROP"),AL79+TbTradesBinance[[#This Row],[Qtt]],AL79-TbTradesBinance[[#This Row],[Qtt]]),IF(TbTradesBinance[[#This Row],[Tipo]]="BUY",AL79-TbTradesBinance[[#This Row],[Qtt]]*TbTradesBinance[[#This Row],[Preço]],AL79+TbTradesBinance[[#This Row],[Qtt]]*TbTradesBinance[[#This Row],[Preço]])),AL79)-IF(TbTradesBinance[[#This Row],[Moeda da Taxa]]=MID(AL$1,9,5),TbTradesBinance[[#This Row],[Taxa]],0),8)))</f>
        <v>1.75824</v>
      </c>
      <c r="AM80" s="145" cm="1">
        <f t="array" ref="AM80">IF(TbTradesBinance[[#This Row],[Tipo]]="EMPTY",0,AM79+IF(TbTradesBinance[[#This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Row],[Par]]))),$1:$1,0)),-(AL79-AL80)/AL79*AM79),0),0)+IF(TbTradesBinance[[#This Row],[Tipo]]="SELL",IF(ISNUMBER(FIND(MID(AM$1,10,5),TbTradesBinance[[#This Row],[Par]])),IF(FIND(MID(AM$1,10,5),TbTradesBinance[[#This Row],[Par]])=1, -(AL79-AL80)/AL79*AM79,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Row],[Par]])),(-(AL79-AL80)/AL79*AM79)+IF(TbTradesBinance[[#This Row],[Resultado]]&gt;0,0,TbTradesBinance[[#This Row],[Taxa]]),0),0))</f>
        <v>144.56635471393039</v>
      </c>
      <c r="AN80" s="145">
        <f t="shared" si="28"/>
        <v>82.222196465744375</v>
      </c>
      <c r="AO8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Row],[Tipo]]="DROP"),AO79+TbTradesBinance[[#This Row],[Qtt]],AO79-TbTradesBinance[[#This Row],[Qtt]]),IF(TbTradesBinance[[#This Row],[Tipo]]="BUY",AO79-TbTradesBinance[[#This Row],[Qtt]]*TbTradesBinance[[#This Row],[Preço]],AO79+TbTradesBinance[[#This Row],[Qtt]]*TbTradesBinance[[#This Row],[Preço]])),AO79)-IF(TbTradesBinance[[#This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Row],[Tipo]]="DROP"),AO79+TbTradesBinance[[#This Row],[Qtt]],AO79-TbTradesBinance[[#This Row],[Qtt]]),IF(TbTradesBinance[[#This Row],[Tipo]]="BUY",AO79-TbTradesBinance[[#This Row],[Qtt]]*TbTradesBinance[[#This Row],[Preço]],AO79+TbTradesBinance[[#This Row],[Qtt]]*TbTradesBinance[[#This Row],[Preço]])),AO79)-IF(TbTradesBinance[[#This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Row],[Tipo]]="DROP"),AO79+TbTradesBinance[[#This Row],[Qtt]],AO79-TbTradesBinance[[#This Row],[Qtt]]),IF(TbTradesBinance[[#This Row],[Tipo]]="BUY",AO79-TbTradesBinance[[#This Row],[Qtt]]*TbTradesBinance[[#This Row],[Preço]],AO79+TbTradesBinance[[#This Row],[Qtt]]*TbTradesBinance[[#This Row],[Preço]])),AO79)-IF(TbTradesBinance[[#This Row],[Moeda da Taxa]]=MID(AO$1,9,5),TbTradesBinance[[#This Row],[Taxa]],0),8)))</f>
        <v>2.70054E-3</v>
      </c>
      <c r="AP80" s="145" cm="1">
        <f t="array" ref="AP80">IF(TbTradesBinance[[#This Row],[Tipo]]="EMPTY",0,AP79+IF(TbTradesBinance[[#This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Row],[Par]]))),$1:$1,0)),-(AO79-AO80)/AO79*AP79),0),0)+IF(TbTradesBinance[[#This Row],[Tipo]]="SELL",IF(ISNUMBER(FIND(MID(AP$1,10,5),TbTradesBinance[[#This Row],[Par]])),IF(FIND(MID(AP$1,10,5),TbTradesBinance[[#This Row],[Par]])=1, -(AO79-AO80)/AO79*AP79,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Row],[Par]])),(-(AO79-AO80)/AO79*AP79)+IF(TbTradesBinance[[#This Row],[Resultado]]&gt;0,0,TbTradesBinance[[#This Row],[Taxa]]),0),0))</f>
        <v>5.2490633588966693</v>
      </c>
      <c r="AQ80" s="145">
        <f t="shared" si="29"/>
        <v>1943.7087985723854</v>
      </c>
      <c r="AR8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Row],[Tipo]]="DROP"),AR79+TbTradesBinance[[#This Row],[Qtt]],AR79-TbTradesBinance[[#This Row],[Qtt]]),IF(TbTradesBinance[[#This Row],[Tipo]]="BUY",AR79-TbTradesBinance[[#This Row],[Qtt]]*TbTradesBinance[[#This Row],[Preço]],AR79+TbTradesBinance[[#This Row],[Qtt]]*TbTradesBinance[[#This Row],[Preço]])),AR79)-IF(TbTradesBinance[[#This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Row],[Tipo]]="DROP"),AR79+TbTradesBinance[[#This Row],[Qtt]],AR79-TbTradesBinance[[#This Row],[Qtt]]),IF(TbTradesBinance[[#This Row],[Tipo]]="BUY",AR79-TbTradesBinance[[#This Row],[Qtt]]*TbTradesBinance[[#This Row],[Preço]],AR79+TbTradesBinance[[#This Row],[Qtt]]*TbTradesBinance[[#This Row],[Preço]])),AR79)-IF(TbTradesBinance[[#This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Row],[Tipo]]="DROP"),AR79+TbTradesBinance[[#This Row],[Qtt]],AR79-TbTradesBinance[[#This Row],[Qtt]]),IF(TbTradesBinance[[#This Row],[Tipo]]="BUY",AR79-TbTradesBinance[[#This Row],[Qtt]]*TbTradesBinance[[#This Row],[Preço]],AR79+TbTradesBinance[[#This Row],[Qtt]]*TbTradesBinance[[#This Row],[Preço]])),AR79)-IF(TbTradesBinance[[#This Row],[Moeda da Taxa]]=MID(AR$1,9,5),TbTradesBinance[[#This Row],[Taxa]],0),8)))</f>
        <v>0</v>
      </c>
      <c r="AS80" s="145" cm="1">
        <f t="array" ref="AS80">IF(TbTradesBinance[[#This Row],[Tipo]]="EMPTY",0,AS79+IF(TbTradesBinance[[#This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Row],[Par]]))),$1:$1,0)),-(AR79-AR80)/AR79*AS79),0),0)+IF(TbTradesBinance[[#This Row],[Tipo]]="SELL",IF(ISNUMBER(FIND(MID(AS$1,10,5),TbTradesBinance[[#This Row],[Par]])),IF(FIND(MID(AS$1,10,5),TbTradesBinance[[#This Row],[Par]])=1, -(AR79-AR80)/AR79*AS79,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Row],[Par]])),(-(AR79-AR80)/AR79*AS79)+IF(TbTradesBinance[[#This Row],[Resultado]]&gt;0,0,TbTradesBinance[[#This Row],[Taxa]]),0),0))</f>
        <v>0</v>
      </c>
      <c r="AT80" s="145">
        <f t="shared" si="30"/>
        <v>0</v>
      </c>
      <c r="AU8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Row],[Tipo]]="DROP"),AU79+TbTradesBinance[[#This Row],[Qtt]],AU79-TbTradesBinance[[#This Row],[Qtt]]),IF(TbTradesBinance[[#This Row],[Tipo]]="BUY",AU79-TbTradesBinance[[#This Row],[Qtt]]*TbTradesBinance[[#This Row],[Preço]],AU79+TbTradesBinance[[#This Row],[Qtt]]*TbTradesBinance[[#This Row],[Preço]])),AU79)-IF(TbTradesBinance[[#This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Row],[Tipo]]="DROP"),AU79+TbTradesBinance[[#This Row],[Qtt]],AU79-TbTradesBinance[[#This Row],[Qtt]]),IF(TbTradesBinance[[#This Row],[Tipo]]="BUY",AU79-TbTradesBinance[[#This Row],[Qtt]]*TbTradesBinance[[#This Row],[Preço]],AU79+TbTradesBinance[[#This Row],[Qtt]]*TbTradesBinance[[#This Row],[Preço]])),AU79)-IF(TbTradesBinance[[#This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Row],[Tipo]]="DROP"),AU79+TbTradesBinance[[#This Row],[Qtt]],AU79-TbTradesBinance[[#This Row],[Qtt]]),IF(TbTradesBinance[[#This Row],[Tipo]]="BUY",AU79-TbTradesBinance[[#This Row],[Qtt]]*TbTradesBinance[[#This Row],[Preço]],AU79+TbTradesBinance[[#This Row],[Qtt]]*TbTradesBinance[[#This Row],[Preço]])),AU79)-IF(TbTradesBinance[[#This Row],[Moeda da Taxa]]=MID(AU$1,9,5),TbTradesBinance[[#This Row],[Taxa]],0),8)))</f>
        <v>0.26989999999999997</v>
      </c>
      <c r="AV80" s="145" cm="1">
        <f t="array" ref="AV80">IF(TbTradesBinance[[#This Row],[Tipo]]="EMPTY",0,AV79+IF(TbTradesBinance[[#This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Row],[Par]]))),$1:$1,0)),-(AU79-AU80)/AU79*AV79),0),0)+IF(TbTradesBinance[[#This Row],[Tipo]]="SELL",IF(ISNUMBER(FIND(MID(AV$1,10,5),TbTradesBinance[[#This Row],[Par]])),IF(FIND(MID(AV$1,10,5),TbTradesBinance[[#This Row],[Par]])=1, -(AU79-AU80)/AU79*AV79,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Row],[Par]])),(-(AU79-AU80)/AU79*AV79)+IF(TbTradesBinance[[#This Row],[Resultado]]&gt;0,0,TbTradesBinance[[#This Row],[Taxa]]),0),0))</f>
        <v>56.09788062740806</v>
      </c>
      <c r="AW80" s="145">
        <f t="shared" si="31"/>
        <v>207.8469085861729</v>
      </c>
      <c r="AX8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Row],[Tipo]]="DROP"),AX79+TbTradesBinance[[#This Row],[Qtt]],AX79-TbTradesBinance[[#This Row],[Qtt]]),IF(TbTradesBinance[[#This Row],[Tipo]]="BUY",AX79-TbTradesBinance[[#This Row],[Qtt]]*TbTradesBinance[[#This Row],[Preço]],AX79+TbTradesBinance[[#This Row],[Qtt]]*TbTradesBinance[[#This Row],[Preço]])),AX79)-IF(TbTradesBinance[[#This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Row],[Tipo]]="DROP"),AX79+TbTradesBinance[[#This Row],[Qtt]],AX79-TbTradesBinance[[#This Row],[Qtt]]),IF(TbTradesBinance[[#This Row],[Tipo]]="BUY",AX79-TbTradesBinance[[#This Row],[Qtt]]*TbTradesBinance[[#This Row],[Preço]],AX79+TbTradesBinance[[#This Row],[Qtt]]*TbTradesBinance[[#This Row],[Preço]])),AX79)-IF(TbTradesBinance[[#This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Row],[Tipo]]="DROP"),AX79+TbTradesBinance[[#This Row],[Qtt]],AX79-TbTradesBinance[[#This Row],[Qtt]]),IF(TbTradesBinance[[#This Row],[Tipo]]="BUY",AX79-TbTradesBinance[[#This Row],[Qtt]]*TbTradesBinance[[#This Row],[Preço]],AX79+TbTradesBinance[[#This Row],[Qtt]]*TbTradesBinance[[#This Row],[Preço]])),AX79)-IF(TbTradesBinance[[#This Row],[Moeda da Taxa]]=MID(AX$1,9,5),TbTradesBinance[[#This Row],[Taxa]],0),8)))</f>
        <v>0.22636999999999999</v>
      </c>
      <c r="AY80" s="145" cm="1">
        <f t="array" ref="AY80">IF(TbTradesBinance[[#This Row],[Tipo]]="EMPTY",0,AY79+IF(TbTradesBinance[[#This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Row],[Par]]))),$1:$1,0)),-(AX79-AX80)/AX79*AY79),0),0)+IF(TbTradesBinance[[#This Row],[Tipo]]="SELL",IF(ISNUMBER(FIND(MID(AY$1,10,5),TbTradesBinance[[#This Row],[Par]])),IF(FIND(MID(AY$1,10,5),TbTradesBinance[[#This Row],[Par]])=1, -(AX79-AX80)/AX79*AY79,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Row],[Par]])),(-(AX79-AX80)/AX79*AY79)+IF(TbTradesBinance[[#This Row],[Resultado]]&gt;0,0,TbTradesBinance[[#This Row],[Taxa]]),0),0))</f>
        <v>40.781337593356859</v>
      </c>
      <c r="AZ80" s="145">
        <f t="shared" si="32"/>
        <v>180.15345493376711</v>
      </c>
      <c r="BA8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Row],[Tipo]]="DROP"),BA79+TbTradesBinance[[#This Row],[Qtt]],BA79-TbTradesBinance[[#This Row],[Qtt]]),IF(TbTradesBinance[[#This Row],[Tipo]]="BUY",BA79-TbTradesBinance[[#This Row],[Qtt]]*TbTradesBinance[[#This Row],[Preço]],BA79+TbTradesBinance[[#This Row],[Qtt]]*TbTradesBinance[[#This Row],[Preço]])),BA79)-IF(TbTradesBinance[[#This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Row],[Tipo]]="DROP"),BA79+TbTradesBinance[[#This Row],[Qtt]],BA79-TbTradesBinance[[#This Row],[Qtt]]),IF(TbTradesBinance[[#This Row],[Tipo]]="BUY",BA79-TbTradesBinance[[#This Row],[Qtt]]*TbTradesBinance[[#This Row],[Preço]],BA79+TbTradesBinance[[#This Row],[Qtt]]*TbTradesBinance[[#This Row],[Preço]])),BA79)-IF(TbTradesBinance[[#This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Row],[Tipo]]="DROP"),BA79+TbTradesBinance[[#This Row],[Qtt]],BA79-TbTradesBinance[[#This Row],[Qtt]]),IF(TbTradesBinance[[#This Row],[Tipo]]="BUY",BA79-TbTradesBinance[[#This Row],[Qtt]]*TbTradesBinance[[#This Row],[Preço]],BA79+TbTradesBinance[[#This Row],[Qtt]]*TbTradesBinance[[#This Row],[Preço]])),BA79)-IF(TbTradesBinance[[#This Row],[Moeda da Taxa]]=MID(BA$1,9,5),TbTradesBinance[[#This Row],[Taxa]],0),8)))</f>
        <v>0</v>
      </c>
      <c r="BB80" s="145" cm="1">
        <f t="array" ref="BB80">IF(TbTradesBinance[[#This Row],[Tipo]]="EMPTY",0,BB79+IF(TbTradesBinance[[#This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Row],[Par]]))),$1:$1,0)),-(BA79-BA80)/BA79*BB79),0),0)+IF(TbTradesBinance[[#This Row],[Tipo]]="SELL",IF(ISNUMBER(FIND(MID(BB$1,10,5),TbTradesBinance[[#This Row],[Par]])),IF(FIND(MID(BB$1,10,5),TbTradesBinance[[#This Row],[Par]])=1, -(BA79-BA80)/BA79*BB79,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Row],[Par]])),(-(BA79-BA80)/BA79*BB79)+IF(TbTradesBinance[[#This Row],[Resultado]]&gt;0,0,TbTradesBinance[[#This Row],[Taxa]]),0),0))</f>
        <v>0</v>
      </c>
      <c r="BC80" s="145">
        <f t="shared" si="33"/>
        <v>0</v>
      </c>
      <c r="BD8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Row],[Tipo]]="DROP"),BD79+TbTradesBinance[[#This Row],[Qtt]],BD79-TbTradesBinance[[#This Row],[Qtt]]),IF(TbTradesBinance[[#This Row],[Tipo]]="BUY",BD79-TbTradesBinance[[#This Row],[Qtt]]*TbTradesBinance[[#This Row],[Preço]],BD79+TbTradesBinance[[#This Row],[Qtt]]*TbTradesBinance[[#This Row],[Preço]])),BD79)-IF(TbTradesBinance[[#This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Row],[Tipo]]="DROP"),BD79+TbTradesBinance[[#This Row],[Qtt]],BD79-TbTradesBinance[[#This Row],[Qtt]]),IF(TbTradesBinance[[#This Row],[Tipo]]="BUY",BD79-TbTradesBinance[[#This Row],[Qtt]]*TbTradesBinance[[#This Row],[Preço]],BD79+TbTradesBinance[[#This Row],[Qtt]]*TbTradesBinance[[#This Row],[Preço]])),BD79)-IF(TbTradesBinance[[#This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Row],[Tipo]]="DROP"),BD79+TbTradesBinance[[#This Row],[Qtt]],BD79-TbTradesBinance[[#This Row],[Qtt]]),IF(TbTradesBinance[[#This Row],[Tipo]]="BUY",BD79-TbTradesBinance[[#This Row],[Qtt]]*TbTradesBinance[[#This Row],[Preço]],BD79+TbTradesBinance[[#This Row],[Qtt]]*TbTradesBinance[[#This Row],[Preço]])),BD79)-IF(TbTradesBinance[[#This Row],[Moeda da Taxa]]=MID(BD$1,9,5),TbTradesBinance[[#This Row],[Taxa]],0),8)))</f>
        <v>0.37962000000000001</v>
      </c>
      <c r="BE80" s="145" cm="1">
        <f t="array" ref="BE80">IF(TbTradesBinance[[#This Row],[Tipo]]="EMPTY",0,BE79+IF(TbTradesBinance[[#This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Row],[Par]]))),$1:$1,0)),-(BD79-BD80)/BD79*BE79),0),0)+IF(TbTradesBinance[[#This Row],[Tipo]]="SELL",IF(ISNUMBER(FIND(MID(BE$1,10,5),TbTradesBinance[[#This Row],[Par]])),IF(FIND(MID(BE$1,10,5),TbTradesBinance[[#This Row],[Par]])=1, -(BD79-BD80)/BD79*BE79,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Row],[Par]])),(-(BD79-BD80)/BD79*BE79)+IF(TbTradesBinance[[#This Row],[Resultado]]&gt;0,0,TbTradesBinance[[#This Row],[Taxa]]),0),0))</f>
        <v>63.647297001537943</v>
      </c>
      <c r="BF80" s="145">
        <f t="shared" si="34"/>
        <v>167.66054739354601</v>
      </c>
      <c r="BG8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Row],[Tipo]]="DROP"),BG79+TbTradesBinance[[#This Row],[Qtt]],BG79-TbTradesBinance[[#This Row],[Qtt]]),IF(TbTradesBinance[[#This Row],[Tipo]]="BUY",BG79-TbTradesBinance[[#This Row],[Qtt]]*TbTradesBinance[[#This Row],[Preço]],BG79+TbTradesBinance[[#This Row],[Qtt]]*TbTradesBinance[[#This Row],[Preço]])),BG79)-IF(TbTradesBinance[[#This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Row],[Tipo]]="DROP"),BG79+TbTradesBinance[[#This Row],[Qtt]],BG79-TbTradesBinance[[#This Row],[Qtt]]),IF(TbTradesBinance[[#This Row],[Tipo]]="BUY",BG79-TbTradesBinance[[#This Row],[Qtt]]*TbTradesBinance[[#This Row],[Preço]],BG79+TbTradesBinance[[#This Row],[Qtt]]*TbTradesBinance[[#This Row],[Preço]])),BG79)-IF(TbTradesBinance[[#This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Row],[Tipo]]="DROP"),BG79+TbTradesBinance[[#This Row],[Qtt]],BG79-TbTradesBinance[[#This Row],[Qtt]]),IF(TbTradesBinance[[#This Row],[Tipo]]="BUY",BG79-TbTradesBinance[[#This Row],[Qtt]]*TbTradesBinance[[#This Row],[Preço]],BG79+TbTradesBinance[[#This Row],[Qtt]]*TbTradesBinance[[#This Row],[Preço]])),BG79)-IF(TbTradesBinance[[#This Row],[Moeda da Taxa]]=MID(BG$1,9,5),TbTradesBinance[[#This Row],[Taxa]],0),8)))</f>
        <v>111.71817</v>
      </c>
      <c r="BH80" s="145" cm="1">
        <f t="array" ref="BH80">IF(TbTradesBinance[[#This Row],[Tipo]]="EMPTY",0,BH79+IF(TbTradesBinance[[#This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Row],[Par]]))),$1:$1,0)),-(BG79-BG80)/BG79*BH79),0),0)+IF(TbTradesBinance[[#This Row],[Tipo]]="SELL",IF(ISNUMBER(FIND(MID(BH$1,10,5),TbTradesBinance[[#This Row],[Par]])),IF(FIND(MID(BH$1,10,5),TbTradesBinance[[#This Row],[Par]])=1, -(BG79-BG80)/BG79*BH79,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Row],[Par]])),(-(BG79-BG80)/BG79*BH79)+IF(TbTradesBinance[[#This Row],[Resultado]]&gt;0,0,TbTradesBinance[[#This Row],[Taxa]]),0),0))</f>
        <v>401.31269619490814</v>
      </c>
      <c r="BI80" s="145">
        <f t="shared" si="35"/>
        <v>3.5921882375526573</v>
      </c>
      <c r="BJ8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Row],[Tipo]]="DROP"),BJ79+TbTradesBinance[[#This Row],[Qtt]],BJ79-TbTradesBinance[[#This Row],[Qtt]]),IF(TbTradesBinance[[#This Row],[Tipo]]="BUY",BJ79-TbTradesBinance[[#This Row],[Qtt]]*TbTradesBinance[[#This Row],[Preço]],BJ79+TbTradesBinance[[#This Row],[Qtt]]*TbTradesBinance[[#This Row],[Preço]])),BJ79)-IF(TbTradesBinance[[#This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Row],[Tipo]]="DROP"),BJ79+TbTradesBinance[[#This Row],[Qtt]],BJ79-TbTradesBinance[[#This Row],[Qtt]]),IF(TbTradesBinance[[#This Row],[Tipo]]="BUY",BJ79-TbTradesBinance[[#This Row],[Qtt]]*TbTradesBinance[[#This Row],[Preço]],BJ79+TbTradesBinance[[#This Row],[Qtt]]*TbTradesBinance[[#This Row],[Preço]])),BJ79)-IF(TbTradesBinance[[#This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Row],[Tipo]]="DROP"),BJ79+TbTradesBinance[[#This Row],[Qtt]],BJ79-TbTradesBinance[[#This Row],[Qtt]]),IF(TbTradesBinance[[#This Row],[Tipo]]="BUY",BJ79-TbTradesBinance[[#This Row],[Qtt]]*TbTradesBinance[[#This Row],[Preço]],BJ79+TbTradesBinance[[#This Row],[Qtt]]*TbTradesBinance[[#This Row],[Preço]])),BJ79)-IF(TbTradesBinance[[#This Row],[Moeda da Taxa]]=MID(BJ$1,9,5),TbTradesBinance[[#This Row],[Taxa]],0),8)))</f>
        <v>0</v>
      </c>
      <c r="BK80" s="145" cm="1">
        <f t="array" ref="BK80">IF(TbTradesBinance[[#This Row],[Tipo]]="EMPTY",0,BK79+IF(TbTradesBinance[[#This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Row],[Par]]))),$1:$1,0)),-(BJ79-BJ80)/BJ79*BK79),0),0)+IF(TbTradesBinance[[#This Row],[Tipo]]="SELL",IF(ISNUMBER(FIND(MID(BK$1,10,5),TbTradesBinance[[#This Row],[Par]])),IF(FIND(MID(BK$1,10,5),TbTradesBinance[[#This Row],[Par]])=1, -(BJ79-BJ80)/BJ79*BK79,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Row],[Par]])),(-(BJ79-BJ80)/BJ79*BK79)+IF(TbTradesBinance[[#This Row],[Resultado]]&gt;0,0,TbTradesBinance[[#This Row],[Taxa]]),0),0))</f>
        <v>0</v>
      </c>
      <c r="BL80" s="145">
        <f t="shared" si="36"/>
        <v>0</v>
      </c>
      <c r="BM8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Row],[Tipo]]="DROP"),BM79+TbTradesBinance[[#This Row],[Qtt]],BM79-TbTradesBinance[[#This Row],[Qtt]]),IF(TbTradesBinance[[#This Row],[Tipo]]="BUY",BM79-TbTradesBinance[[#This Row],[Qtt]]*TbTradesBinance[[#This Row],[Preço]],BM79+TbTradesBinance[[#This Row],[Qtt]]*TbTradesBinance[[#This Row],[Preço]])),BM79)-IF(TbTradesBinance[[#This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Row],[Tipo]]="DROP"),BM79+TbTradesBinance[[#This Row],[Qtt]],BM79-TbTradesBinance[[#This Row],[Qtt]]),IF(TbTradesBinance[[#This Row],[Tipo]]="BUY",BM79-TbTradesBinance[[#This Row],[Qtt]]*TbTradesBinance[[#This Row],[Preço]],BM79+TbTradesBinance[[#This Row],[Qtt]]*TbTradesBinance[[#This Row],[Preço]])),BM79)-IF(TbTradesBinance[[#This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Row],[Tipo]]="DROP"),BM79+TbTradesBinance[[#This Row],[Qtt]],BM79-TbTradesBinance[[#This Row],[Qtt]]),IF(TbTradesBinance[[#This Row],[Tipo]]="BUY",BM79-TbTradesBinance[[#This Row],[Qtt]]*TbTradesBinance[[#This Row],[Preço]],BM79+TbTradesBinance[[#This Row],[Qtt]]*TbTradesBinance[[#This Row],[Preço]])),BM79)-IF(TbTradesBinance[[#This Row],[Moeda da Taxa]]=MID(BM$1,9,5),TbTradesBinance[[#This Row],[Taxa]],0),8)))</f>
        <v>0</v>
      </c>
      <c r="BN80" s="145" cm="1">
        <f t="array" ref="BN80">IF(TbTradesBinance[[#This Row],[Tipo]]="EMPTY",0,BN79+IF(TbTradesBinance[[#This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Row],[Par]]))),$1:$1,0)),-(BM79-BM80)/BM79*BN79),0),0)+IF(TbTradesBinance[[#This Row],[Tipo]]="SELL",IF(ISNUMBER(FIND(MID(BN$1,10,5),TbTradesBinance[[#This Row],[Par]])),IF(FIND(MID(BN$1,10,5),TbTradesBinance[[#This Row],[Par]])=1, -(BM79-BM80)/BM79*BN79,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Row],[Par]])),(-(BM79-BM80)/BM79*BN79)+IF(TbTradesBinance[[#This Row],[Resultado]]&gt;0,0,TbTradesBinance[[#This Row],[Taxa]]),0),0))</f>
        <v>0</v>
      </c>
      <c r="BO80" s="145">
        <f t="shared" si="37"/>
        <v>0</v>
      </c>
    </row>
    <row r="81" spans="2:67" x14ac:dyDescent="0.3">
      <c r="B81" s="51"/>
      <c r="C81" s="40">
        <f>TRUNC(IF(AND(TbTradesBinance[[#This Row],[Tipo]]="SEND",TbTradesBinance[[#This Row],[Par]]="BRL"),TbTradesBinance[[#This Row],[Qtt]]*(1-P79)-IF(TbTradesBinance[[#This Row],[Moeda da Taxa]]="BRL",TbTradesBinance[[#This Row],[Taxa]],0),0)+IF(AND(TbTradesBinance[[#This Row],[Tipo]]="BURN",TbTradesBinance[[#This Row],[Par]]="BRL"),-TbTradesBinance[[#This Row],[Qtt]]*P79,0),2)</f>
        <v>0</v>
      </c>
      <c r="D81" s="53">
        <v>44266.881296296298</v>
      </c>
      <c r="E81" s="37" t="s">
        <v>138</v>
      </c>
      <c r="F81" s="47" t="s">
        <v>139</v>
      </c>
      <c r="G81" s="38">
        <v>321000</v>
      </c>
      <c r="H81" s="38">
        <v>3.2070000000000002E-3</v>
      </c>
      <c r="I81" s="38">
        <v>0</v>
      </c>
      <c r="J81" s="37" t="s">
        <v>45</v>
      </c>
      <c r="K81" s="52">
        <v>1</v>
      </c>
      <c r="L81" s="40">
        <f t="shared" si="19"/>
        <v>321000</v>
      </c>
      <c r="M81" s="40">
        <f>IF(OR(TbTradesBinance[[#This Row],[Tipo]]="BUY",TbTradesBinance[[#This Row],[Tipo]]="RECEIVE",TbTradesBinance[[#This Row],[Tipo]]="DROP"),L81*H81,-L81*H81)</f>
        <v>1029.4470000000001</v>
      </c>
      <c r="N8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Row],[Tipo]]="DROP"),N80+TbTradesBinance[[#This Row],[Qtt]],N80-TbTradesBinance[[#This Row],[Qtt]]),IF(TbTradesBinance[[#This Row],[Tipo]]="BUY",N80-TbTradesBinance[[#This Row],[Qtt]]*TbTradesBinance[[#This Row],[Preço]],N80+TbTradesBinance[[#This Row],[Qtt]]*TbTradesBinance[[#This Row],[Preço]])),N80)-IF(TbTradesBinance[[#This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Row],[Tipo]]="DROP"),N80+TbTradesBinance[[#This Row],[Qtt]],N80-TbTradesBinance[[#This Row],[Qtt]]),IF(TbTradesBinance[[#This Row],[Tipo]]="BUY",N80-TbTradesBinance[[#This Row],[Qtt]]*TbTradesBinance[[#This Row],[Preço]],N80+TbTradesBinance[[#This Row],[Qtt]]*TbTradesBinance[[#This Row],[Preço]])),N80)-IF(TbTradesBinance[[#This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Row],[Tipo]]="DROP"),N80+TbTradesBinance[[#This Row],[Qtt]],N80-TbTradesBinance[[#This Row],[Qtt]]),IF(TbTradesBinance[[#This Row],[Tipo]]="BUY",N80-TbTradesBinance[[#This Row],[Qtt]]*TbTradesBinance[[#This Row],[Preço]],N80+TbTradesBinance[[#This Row],[Qtt]]*TbTradesBinance[[#This Row],[Preço]])),N80)-IF(TbTradesBinance[[#This Row],[Moeda da Taxa]]=MID(N$1,9,5),TbTradesBinance[[#This Row],[Taxa]],0),8)))</f>
        <v>119745.69699999</v>
      </c>
      <c r="O81" s="145" cm="1">
        <f t="array" ref="O81">IF(TbTradesBinance[[#This Row],[Tipo]]="EMPTY",0,O80+IF(TbTradesBinance[[#This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Row],[Par]]))),$1:$1,0)),-(N80-N81)/N80*O80),0),0)+IF(TbTradesBinance[[#This Row],[Tipo]]="SELL",IF(ISNUMBER(FIND(MID(O$1,10,5),TbTradesBinance[[#This Row],[Par]])),IF(FIND(MID(O$1,10,5),TbTradesBinance[[#This Row],[Par]])=1, -(N80-N81)/N80*O80,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Row],[Par]])),(-(N80-N81)/N80*O80)+IF(TbTradesBinance[[#This Row],[Resultado]]&gt;0,0,TbTradesBinance[[#This Row],[Taxa]]),0),0))</f>
        <v>119641.00371151598</v>
      </c>
      <c r="P81" s="145">
        <f t="shared" si="20"/>
        <v>0.9991257031267351</v>
      </c>
      <c r="Q8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Row],[Tipo]]="DROP"),Q80+TbTradesBinance[[#This Row],[Qtt]],Q80-TbTradesBinance[[#This Row],[Qtt]]),IF(TbTradesBinance[[#This Row],[Tipo]]="BUY",Q80-TbTradesBinance[[#This Row],[Qtt]]*TbTradesBinance[[#This Row],[Preço]],Q80+TbTradesBinance[[#This Row],[Qtt]]*TbTradesBinance[[#This Row],[Preço]])),Q80)-IF(TbTradesBinance[[#This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Row],[Tipo]]="DROP"),Q80+TbTradesBinance[[#This Row],[Qtt]],Q80-TbTradesBinance[[#This Row],[Qtt]]),IF(TbTradesBinance[[#This Row],[Tipo]]="BUY",Q80-TbTradesBinance[[#This Row],[Qtt]]*TbTradesBinance[[#This Row],[Preço]],Q80+TbTradesBinance[[#This Row],[Qtt]]*TbTradesBinance[[#This Row],[Preço]])),Q80)-IF(TbTradesBinance[[#This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Row],[Tipo]]="DROP"),Q80+TbTradesBinance[[#This Row],[Qtt]],Q80-TbTradesBinance[[#This Row],[Qtt]]),IF(TbTradesBinance[[#This Row],[Tipo]]="BUY",Q80-TbTradesBinance[[#This Row],[Qtt]]*TbTradesBinance[[#This Row],[Preço]],Q80+TbTradesBinance[[#This Row],[Qtt]]*TbTradesBinance[[#This Row],[Preço]])),Q80)-IF(TbTradesBinance[[#This Row],[Moeda da Taxa]]=MID(Q$1,9,5),TbTradesBinance[[#This Row],[Taxa]],0),8)))</f>
        <v>8.2799990000000004E-2</v>
      </c>
      <c r="R81" s="145" cm="1">
        <f t="array" ref="R81">IF(TbTradesBinance[[#This Row],[Tipo]]="EMPTY",0,R80+IF(TbTradesBinance[[#This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Row],[Par]]))),$1:$1,0)),-(Q80-Q81)/Q80*R80),0),0)+IF(TbTradesBinance[[#This Row],[Tipo]]="SELL",IF(ISNUMBER(FIND(MID(R$1,10,5),TbTradesBinance[[#This Row],[Par]])),IF(FIND(MID(R$1,10,5),TbTradesBinance[[#This Row],[Par]])=1, -(Q80-Q81)/Q80*R80,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Row],[Par]])),(-(Q80-Q81)/Q80*R80)+IF(TbTradesBinance[[#This Row],[Resultado]]&gt;0,0,TbTradesBinance[[#This Row],[Taxa]]),0),0))</f>
        <v>0.46008090465994195</v>
      </c>
      <c r="S81" s="145">
        <f t="shared" si="21"/>
        <v>5.5565333360540494</v>
      </c>
      <c r="T8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Row],[Tipo]]="DROP"),T80+TbTradesBinance[[#This Row],[Qtt]],T80-TbTradesBinance[[#This Row],[Qtt]]),IF(TbTradesBinance[[#This Row],[Tipo]]="BUY",T80-TbTradesBinance[[#This Row],[Qtt]]*TbTradesBinance[[#This Row],[Preço]],T80+TbTradesBinance[[#This Row],[Qtt]]*TbTradesBinance[[#This Row],[Preço]])),T80)-IF(TbTradesBinance[[#This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Row],[Tipo]]="DROP"),T80+TbTradesBinance[[#This Row],[Qtt]],T80-TbTradesBinance[[#This Row],[Qtt]]),IF(TbTradesBinance[[#This Row],[Tipo]]="BUY",T80-TbTradesBinance[[#This Row],[Qtt]]*TbTradesBinance[[#This Row],[Preço]],T80+TbTradesBinance[[#This Row],[Qtt]]*TbTradesBinance[[#This Row],[Preço]])),T80)-IF(TbTradesBinance[[#This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Row],[Tipo]]="DROP"),T80+TbTradesBinance[[#This Row],[Qtt]],T80-TbTradesBinance[[#This Row],[Qtt]]),IF(TbTradesBinance[[#This Row],[Tipo]]="BUY",T80-TbTradesBinance[[#This Row],[Qtt]]*TbTradesBinance[[#This Row],[Preço]],T80+TbTradesBinance[[#This Row],[Qtt]]*TbTradesBinance[[#This Row],[Preço]])),T80)-IF(TbTradesBinance[[#This Row],[Moeda da Taxa]]=MID(T$1,9,5),TbTradesBinance[[#This Row],[Taxa]],0),8)))</f>
        <v>199735.32000169999</v>
      </c>
      <c r="U81" s="145" cm="1">
        <f t="array" ref="U81">IF(TbTradesBinance[[#This Row],[Tipo]]="EMPTY",0,U80+IF(TbTradesBinance[[#This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Row],[Par]]))),$1:$1,0)),-(T80-T81)/T80*U80),0),0)+IF(TbTradesBinance[[#This Row],[Tipo]]="SELL",IF(ISNUMBER(FIND(MID(U$1,10,5),TbTradesBinance[[#This Row],[Par]])),IF(FIND(MID(U$1,10,5),TbTradesBinance[[#This Row],[Par]])=1, -(T80-T81)/T80*U80,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Row],[Par]])),(-(T80-T81)/T80*U80)+IF(TbTradesBinance[[#This Row],[Resultado]]&gt;0,0,TbTradesBinance[[#This Row],[Taxa]]),0),0))</f>
        <v>1328239.8809817513</v>
      </c>
      <c r="V81" s="145">
        <f t="shared" si="22"/>
        <v>6.6500000148719129</v>
      </c>
      <c r="W8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Row],[Tipo]]="DROP"),W80+TbTradesBinance[[#This Row],[Qtt]],W80-TbTradesBinance[[#This Row],[Qtt]]),IF(TbTradesBinance[[#This Row],[Tipo]]="BUY",W80-TbTradesBinance[[#This Row],[Qtt]]*TbTradesBinance[[#This Row],[Preço]],W80+TbTradesBinance[[#This Row],[Qtt]]*TbTradesBinance[[#This Row],[Preço]])),W80)-IF(TbTradesBinance[[#This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Row],[Tipo]]="DROP"),W80+TbTradesBinance[[#This Row],[Qtt]],W80-TbTradesBinance[[#This Row],[Qtt]]),IF(TbTradesBinance[[#This Row],[Tipo]]="BUY",W80-TbTradesBinance[[#This Row],[Qtt]]*TbTradesBinance[[#This Row],[Preço]],W80+TbTradesBinance[[#This Row],[Qtt]]*TbTradesBinance[[#This Row],[Preço]])),W80)-IF(TbTradesBinance[[#This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Row],[Tipo]]="DROP"),W80+TbTradesBinance[[#This Row],[Qtt]],W80-TbTradesBinance[[#This Row],[Qtt]]),IF(TbTradesBinance[[#This Row],[Tipo]]="BUY",W80-TbTradesBinance[[#This Row],[Qtt]]*TbTradesBinance[[#This Row],[Preço]],W80+TbTradesBinance[[#This Row],[Qtt]]*TbTradesBinance[[#This Row],[Preço]])),W80)-IF(TbTradesBinance[[#This Row],[Moeda da Taxa]]=MID(W$1,9,5),TbTradesBinance[[#This Row],[Taxa]],0),8)))</f>
        <v>3.21163E-3</v>
      </c>
      <c r="X81" s="145" cm="1">
        <f t="array" ref="X81">IF(TbTradesBinance[[#This Row],[Tipo]]="EMPTY",0,X80+IF(TbTradesBinance[[#This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Row],[Par]]))),$1:$1,0)),-(W80-W81)/W80*X80),0),0)+IF(TbTradesBinance[[#This Row],[Tipo]]="SELL",IF(ISNUMBER(FIND(MID(X$1,10,5),TbTradesBinance[[#This Row],[Par]])),IF(FIND(MID(X$1,10,5),TbTradesBinance[[#This Row],[Par]])=1, -(W80-W81)/W80*X80,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Row],[Par]])),(-(W80-W81)/W80*X80)+IF(TbTradesBinance[[#This Row],[Resultado]]&gt;0,0,TbTradesBinance[[#This Row],[Taxa]]),0),0))</f>
        <v>1030.0363886329337</v>
      </c>
      <c r="Y81" s="145">
        <f t="shared" si="23"/>
        <v>320720.75196486944</v>
      </c>
      <c r="Z8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Row],[Tipo]]="DROP"),Z80+TbTradesBinance[[#This Row],[Qtt]],Z80-TbTradesBinance[[#This Row],[Qtt]]),IF(TbTradesBinance[[#This Row],[Tipo]]="BUY",Z80-TbTradesBinance[[#This Row],[Qtt]]*TbTradesBinance[[#This Row],[Preço]],Z80+TbTradesBinance[[#This Row],[Qtt]]*TbTradesBinance[[#This Row],[Preço]])),Z80)-IF(TbTradesBinance[[#This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Row],[Tipo]]="DROP"),Z80+TbTradesBinance[[#This Row],[Qtt]],Z80-TbTradesBinance[[#This Row],[Qtt]]),IF(TbTradesBinance[[#This Row],[Tipo]]="BUY",Z80-TbTradesBinance[[#This Row],[Qtt]]*TbTradesBinance[[#This Row],[Preço]],Z80+TbTradesBinance[[#This Row],[Qtt]]*TbTradesBinance[[#This Row],[Preço]])),Z80)-IF(TbTradesBinance[[#This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Row],[Tipo]]="DROP"),Z80+TbTradesBinance[[#This Row],[Qtt]],Z80-TbTradesBinance[[#This Row],[Qtt]]),IF(TbTradesBinance[[#This Row],[Tipo]]="BUY",Z80-TbTradesBinance[[#This Row],[Qtt]]*TbTradesBinance[[#This Row],[Preço]],Z80+TbTradesBinance[[#This Row],[Qtt]]*TbTradesBinance[[#This Row],[Preço]])),Z80)-IF(TbTradesBinance[[#This Row],[Moeda da Taxa]]=MID(Z$1,9,5),TbTradesBinance[[#This Row],[Taxa]],0),8)))</f>
        <v>0</v>
      </c>
      <c r="AA81" s="145" cm="1">
        <f t="array" ref="AA81">IF(TbTradesBinance[[#This Row],[Tipo]]="EMPTY",0,AA80+IF(TbTradesBinance[[#This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Row],[Par]]))),$1:$1,0)),-(Z80-Z81)/Z80*AA80),0),0)+IF(TbTradesBinance[[#This Row],[Tipo]]="SELL",IF(ISNUMBER(FIND(MID(AA$1,10,5),TbTradesBinance[[#This Row],[Par]])),IF(FIND(MID(AA$1,10,5),TbTradesBinance[[#This Row],[Par]])=1, -(Z80-Z81)/Z80*AA80,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Row],[Par]])),(-(Z80-Z81)/Z80*AA80)+IF(TbTradesBinance[[#This Row],[Resultado]]&gt;0,0,TbTradesBinance[[#This Row],[Taxa]]),0),0))</f>
        <v>0</v>
      </c>
      <c r="AB81" s="145">
        <f t="shared" si="24"/>
        <v>0</v>
      </c>
      <c r="AC8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Row],[Tipo]]="DROP"),AC80+TbTradesBinance[[#This Row],[Qtt]],AC80-TbTradesBinance[[#This Row],[Qtt]]),IF(TbTradesBinance[[#This Row],[Tipo]]="BUY",AC80-TbTradesBinance[[#This Row],[Qtt]]*TbTradesBinance[[#This Row],[Preço]],AC80+TbTradesBinance[[#This Row],[Qtt]]*TbTradesBinance[[#This Row],[Preço]])),AC80)-IF(TbTradesBinance[[#This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Row],[Tipo]]="DROP"),AC80+TbTradesBinance[[#This Row],[Qtt]],AC80-TbTradesBinance[[#This Row],[Qtt]]),IF(TbTradesBinance[[#This Row],[Tipo]]="BUY",AC80-TbTradesBinance[[#This Row],[Qtt]]*TbTradesBinance[[#This Row],[Preço]],AC80+TbTradesBinance[[#This Row],[Qtt]]*TbTradesBinance[[#This Row],[Preço]])),AC80)-IF(TbTradesBinance[[#This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Row],[Tipo]]="DROP"),AC80+TbTradesBinance[[#This Row],[Qtt]],AC80-TbTradesBinance[[#This Row],[Qtt]]),IF(TbTradesBinance[[#This Row],[Tipo]]="BUY",AC80-TbTradesBinance[[#This Row],[Qtt]]*TbTradesBinance[[#This Row],[Preço]],AC80+TbTradesBinance[[#This Row],[Qtt]]*TbTradesBinance[[#This Row],[Preço]])),AC80)-IF(TbTradesBinance[[#This Row],[Moeda da Taxa]]=MID(AC$1,9,5),TbTradesBinance[[#This Row],[Taxa]],0),8)))</f>
        <v>0</v>
      </c>
      <c r="AD81" s="145" cm="1">
        <f t="array" ref="AD81">IF(TbTradesBinance[[#This Row],[Tipo]]="EMPTY",0,AD80+IF(TbTradesBinance[[#This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Row],[Par]]))),$1:$1,0)),-(AC80-AC81)/AC80*AD80),0),0)+IF(TbTradesBinance[[#This Row],[Tipo]]="SELL",IF(ISNUMBER(FIND(MID(AD$1,10,5),TbTradesBinance[[#This Row],[Par]])),IF(FIND(MID(AD$1,10,5),TbTradesBinance[[#This Row],[Par]])=1, -(AC80-AC81)/AC80*AD80,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Row],[Par]])),(-(AC80-AC81)/AC80*AD80)+IF(TbTradesBinance[[#This Row],[Resultado]]&gt;0,0,TbTradesBinance[[#This Row],[Taxa]]),0),0))</f>
        <v>0</v>
      </c>
      <c r="AE81" s="145">
        <f t="shared" si="25"/>
        <v>0</v>
      </c>
      <c r="AF8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Row],[Tipo]]="DROP"),AF80+TbTradesBinance[[#This Row],[Qtt]],AF80-TbTradesBinance[[#This Row],[Qtt]]),IF(TbTradesBinance[[#This Row],[Tipo]]="BUY",AF80-TbTradesBinance[[#This Row],[Qtt]]*TbTradesBinance[[#This Row],[Preço]],AF80+TbTradesBinance[[#This Row],[Qtt]]*TbTradesBinance[[#This Row],[Preço]])),AF80)-IF(TbTradesBinance[[#This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Row],[Tipo]]="DROP"),AF80+TbTradesBinance[[#This Row],[Qtt]],AF80-TbTradesBinance[[#This Row],[Qtt]]),IF(TbTradesBinance[[#This Row],[Tipo]]="BUY",AF80-TbTradesBinance[[#This Row],[Qtt]]*TbTradesBinance[[#This Row],[Preço]],AF80+TbTradesBinance[[#This Row],[Qtt]]*TbTradesBinance[[#This Row],[Preço]])),AF80)-IF(TbTradesBinance[[#This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Row],[Tipo]]="DROP"),AF80+TbTradesBinance[[#This Row],[Qtt]],AF80-TbTradesBinance[[#This Row],[Qtt]]),IF(TbTradesBinance[[#This Row],[Tipo]]="BUY",AF80-TbTradesBinance[[#This Row],[Qtt]]*TbTradesBinance[[#This Row],[Preço]],AF80+TbTradesBinance[[#This Row],[Qtt]]*TbTradesBinance[[#This Row],[Preço]])),AF80)-IF(TbTradesBinance[[#This Row],[Moeda da Taxa]]=MID(AF$1,9,5),TbTradesBinance[[#This Row],[Taxa]],0),8)))</f>
        <v>19.98</v>
      </c>
      <c r="AG81" s="145" cm="1">
        <f t="array" ref="AG81">IF(TbTradesBinance[[#This Row],[Tipo]]="EMPTY",0,AG80+IF(TbTradesBinance[[#This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Row],[Par]]))),$1:$1,0)),-(AF80-AF81)/AF80*AG80),0),0)+IF(TbTradesBinance[[#This Row],[Tipo]]="SELL",IF(ISNUMBER(FIND(MID(AG$1,10,5),TbTradesBinance[[#This Row],[Par]])),IF(FIND(MID(AG$1,10,5),TbTradesBinance[[#This Row],[Par]])=1, -(AF80-AF81)/AF80*AG80,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Row],[Par]])),(-(AF80-AF81)/AF80*AG80)+IF(TbTradesBinance[[#This Row],[Resultado]]&gt;0,0,TbTradesBinance[[#This Row],[Taxa]]),0),0))</f>
        <v>124.04182758073662</v>
      </c>
      <c r="AH81" s="145">
        <f t="shared" si="26"/>
        <v>6.2082996787155462</v>
      </c>
      <c r="AI8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Row],[Tipo]]="DROP"),AI80+TbTradesBinance[[#This Row],[Qtt]],AI80-TbTradesBinance[[#This Row],[Qtt]]),IF(TbTradesBinance[[#This Row],[Tipo]]="BUY",AI80-TbTradesBinance[[#This Row],[Qtt]]*TbTradesBinance[[#This Row],[Preço]],AI80+TbTradesBinance[[#This Row],[Qtt]]*TbTradesBinance[[#This Row],[Preço]])),AI80)-IF(TbTradesBinance[[#This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Row],[Tipo]]="DROP"),AI80+TbTradesBinance[[#This Row],[Qtt]],AI80-TbTradesBinance[[#This Row],[Qtt]]),IF(TbTradesBinance[[#This Row],[Tipo]]="BUY",AI80-TbTradesBinance[[#This Row],[Qtt]]*TbTradesBinance[[#This Row],[Preço]],AI80+TbTradesBinance[[#This Row],[Qtt]]*TbTradesBinance[[#This Row],[Preço]])),AI80)-IF(TbTradesBinance[[#This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Row],[Tipo]]="DROP"),AI80+TbTradesBinance[[#This Row],[Qtt]],AI80-TbTradesBinance[[#This Row],[Qtt]]),IF(TbTradesBinance[[#This Row],[Tipo]]="BUY",AI80-TbTradesBinance[[#This Row],[Qtt]]*TbTradesBinance[[#This Row],[Preço]],AI80+TbTradesBinance[[#This Row],[Qtt]]*TbTradesBinance[[#This Row],[Preço]])),AI80)-IF(TbTradesBinance[[#This Row],[Moeda da Taxa]]=MID(AI$1,9,5),TbTradesBinance[[#This Row],[Taxa]],0),8)))</f>
        <v>0</v>
      </c>
      <c r="AJ81" s="145" cm="1">
        <f t="array" ref="AJ81">IF(TbTradesBinance[[#This Row],[Tipo]]="EMPTY",0,AJ80+IF(TbTradesBinance[[#This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Row],[Par]]))),$1:$1,0)),-(AI80-AI81)/AI80*AJ80),0),0)+IF(TbTradesBinance[[#This Row],[Tipo]]="SELL",IF(ISNUMBER(FIND(MID(AJ$1,10,5),TbTradesBinance[[#This Row],[Par]])),IF(FIND(MID(AJ$1,10,5),TbTradesBinance[[#This Row],[Par]])=1, -(AI80-AI81)/AI80*AJ80,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Row],[Par]])),(-(AI80-AI81)/AI80*AJ80)+IF(TbTradesBinance[[#This Row],[Resultado]]&gt;0,0,TbTradesBinance[[#This Row],[Taxa]]),0),0))</f>
        <v>0</v>
      </c>
      <c r="AK81" s="145">
        <f t="shared" si="27"/>
        <v>0</v>
      </c>
      <c r="AL8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Row],[Tipo]]="DROP"),AL80+TbTradesBinance[[#This Row],[Qtt]],AL80-TbTradesBinance[[#This Row],[Qtt]]),IF(TbTradesBinance[[#This Row],[Tipo]]="BUY",AL80-TbTradesBinance[[#This Row],[Qtt]]*TbTradesBinance[[#This Row],[Preço]],AL80+TbTradesBinance[[#This Row],[Qtt]]*TbTradesBinance[[#This Row],[Preço]])),AL80)-IF(TbTradesBinance[[#This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Row],[Tipo]]="DROP"),AL80+TbTradesBinance[[#This Row],[Qtt]],AL80-TbTradesBinance[[#This Row],[Qtt]]),IF(TbTradesBinance[[#This Row],[Tipo]]="BUY",AL80-TbTradesBinance[[#This Row],[Qtt]]*TbTradesBinance[[#This Row],[Preço]],AL80+TbTradesBinance[[#This Row],[Qtt]]*TbTradesBinance[[#This Row],[Preço]])),AL80)-IF(TbTradesBinance[[#This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Row],[Tipo]]="DROP"),AL80+TbTradesBinance[[#This Row],[Qtt]],AL80-TbTradesBinance[[#This Row],[Qtt]]),IF(TbTradesBinance[[#This Row],[Tipo]]="BUY",AL80-TbTradesBinance[[#This Row],[Qtt]]*TbTradesBinance[[#This Row],[Preço]],AL80+TbTradesBinance[[#This Row],[Qtt]]*TbTradesBinance[[#This Row],[Preço]])),AL80)-IF(TbTradesBinance[[#This Row],[Moeda da Taxa]]=MID(AL$1,9,5),TbTradesBinance[[#This Row],[Taxa]],0),8)))</f>
        <v>1.75824</v>
      </c>
      <c r="AM81" s="145" cm="1">
        <f t="array" ref="AM81">IF(TbTradesBinance[[#This Row],[Tipo]]="EMPTY",0,AM80+IF(TbTradesBinance[[#This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Row],[Par]]))),$1:$1,0)),-(AL80-AL81)/AL80*AM80),0),0)+IF(TbTradesBinance[[#This Row],[Tipo]]="SELL",IF(ISNUMBER(FIND(MID(AM$1,10,5),TbTradesBinance[[#This Row],[Par]])),IF(FIND(MID(AM$1,10,5),TbTradesBinance[[#This Row],[Par]])=1, -(AL80-AL81)/AL80*AM80,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Row],[Par]])),(-(AL80-AL81)/AL80*AM80)+IF(TbTradesBinance[[#This Row],[Resultado]]&gt;0,0,TbTradesBinance[[#This Row],[Taxa]]),0),0))</f>
        <v>144.56635471393039</v>
      </c>
      <c r="AN81" s="145">
        <f t="shared" si="28"/>
        <v>82.222196465744375</v>
      </c>
      <c r="AO8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Row],[Tipo]]="DROP"),AO80+TbTradesBinance[[#This Row],[Qtt]],AO80-TbTradesBinance[[#This Row],[Qtt]]),IF(TbTradesBinance[[#This Row],[Tipo]]="BUY",AO80-TbTradesBinance[[#This Row],[Qtt]]*TbTradesBinance[[#This Row],[Preço]],AO80+TbTradesBinance[[#This Row],[Qtt]]*TbTradesBinance[[#This Row],[Preço]])),AO80)-IF(TbTradesBinance[[#This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Row],[Tipo]]="DROP"),AO80+TbTradesBinance[[#This Row],[Qtt]],AO80-TbTradesBinance[[#This Row],[Qtt]]),IF(TbTradesBinance[[#This Row],[Tipo]]="BUY",AO80-TbTradesBinance[[#This Row],[Qtt]]*TbTradesBinance[[#This Row],[Preço]],AO80+TbTradesBinance[[#This Row],[Qtt]]*TbTradesBinance[[#This Row],[Preço]])),AO80)-IF(TbTradesBinance[[#This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Row],[Tipo]]="DROP"),AO80+TbTradesBinance[[#This Row],[Qtt]],AO80-TbTradesBinance[[#This Row],[Qtt]]),IF(TbTradesBinance[[#This Row],[Tipo]]="BUY",AO80-TbTradesBinance[[#This Row],[Qtt]]*TbTradesBinance[[#This Row],[Preço]],AO80+TbTradesBinance[[#This Row],[Qtt]]*TbTradesBinance[[#This Row],[Preço]])),AO80)-IF(TbTradesBinance[[#This Row],[Moeda da Taxa]]=MID(AO$1,9,5),TbTradesBinance[[#This Row],[Taxa]],0),8)))</f>
        <v>2.70054E-3</v>
      </c>
      <c r="AP81" s="145" cm="1">
        <f t="array" ref="AP81">IF(TbTradesBinance[[#This Row],[Tipo]]="EMPTY",0,AP80+IF(TbTradesBinance[[#This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Row],[Par]]))),$1:$1,0)),-(AO80-AO81)/AO80*AP80),0),0)+IF(TbTradesBinance[[#This Row],[Tipo]]="SELL",IF(ISNUMBER(FIND(MID(AP$1,10,5),TbTradesBinance[[#This Row],[Par]])),IF(FIND(MID(AP$1,10,5),TbTradesBinance[[#This Row],[Par]])=1, -(AO80-AO81)/AO80*AP80,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Row],[Par]])),(-(AO80-AO81)/AO80*AP80)+IF(TbTradesBinance[[#This Row],[Resultado]]&gt;0,0,TbTradesBinance[[#This Row],[Taxa]]),0),0))</f>
        <v>5.2490633588966693</v>
      </c>
      <c r="AQ81" s="145">
        <f t="shared" si="29"/>
        <v>1943.7087985723854</v>
      </c>
      <c r="AR8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Row],[Tipo]]="DROP"),AR80+TbTradesBinance[[#This Row],[Qtt]],AR80-TbTradesBinance[[#This Row],[Qtt]]),IF(TbTradesBinance[[#This Row],[Tipo]]="BUY",AR80-TbTradesBinance[[#This Row],[Qtt]]*TbTradesBinance[[#This Row],[Preço]],AR80+TbTradesBinance[[#This Row],[Qtt]]*TbTradesBinance[[#This Row],[Preço]])),AR80)-IF(TbTradesBinance[[#This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Row],[Tipo]]="DROP"),AR80+TbTradesBinance[[#This Row],[Qtt]],AR80-TbTradesBinance[[#This Row],[Qtt]]),IF(TbTradesBinance[[#This Row],[Tipo]]="BUY",AR80-TbTradesBinance[[#This Row],[Qtt]]*TbTradesBinance[[#This Row],[Preço]],AR80+TbTradesBinance[[#This Row],[Qtt]]*TbTradesBinance[[#This Row],[Preço]])),AR80)-IF(TbTradesBinance[[#This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Row],[Tipo]]="DROP"),AR80+TbTradesBinance[[#This Row],[Qtt]],AR80-TbTradesBinance[[#This Row],[Qtt]]),IF(TbTradesBinance[[#This Row],[Tipo]]="BUY",AR80-TbTradesBinance[[#This Row],[Qtt]]*TbTradesBinance[[#This Row],[Preço]],AR80+TbTradesBinance[[#This Row],[Qtt]]*TbTradesBinance[[#This Row],[Preço]])),AR80)-IF(TbTradesBinance[[#This Row],[Moeda da Taxa]]=MID(AR$1,9,5),TbTradesBinance[[#This Row],[Taxa]],0),8)))</f>
        <v>0</v>
      </c>
      <c r="AS81" s="145" cm="1">
        <f t="array" ref="AS81">IF(TbTradesBinance[[#This Row],[Tipo]]="EMPTY",0,AS80+IF(TbTradesBinance[[#This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Row],[Par]]))),$1:$1,0)),-(AR80-AR81)/AR80*AS80),0),0)+IF(TbTradesBinance[[#This Row],[Tipo]]="SELL",IF(ISNUMBER(FIND(MID(AS$1,10,5),TbTradesBinance[[#This Row],[Par]])),IF(FIND(MID(AS$1,10,5),TbTradesBinance[[#This Row],[Par]])=1, -(AR80-AR81)/AR80*AS80,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Row],[Par]])),(-(AR80-AR81)/AR80*AS80)+IF(TbTradesBinance[[#This Row],[Resultado]]&gt;0,0,TbTradesBinance[[#This Row],[Taxa]]),0),0))</f>
        <v>0</v>
      </c>
      <c r="AT81" s="145">
        <f t="shared" si="30"/>
        <v>0</v>
      </c>
      <c r="AU8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Row],[Tipo]]="DROP"),AU80+TbTradesBinance[[#This Row],[Qtt]],AU80-TbTradesBinance[[#This Row],[Qtt]]),IF(TbTradesBinance[[#This Row],[Tipo]]="BUY",AU80-TbTradesBinance[[#This Row],[Qtt]]*TbTradesBinance[[#This Row],[Preço]],AU80+TbTradesBinance[[#This Row],[Qtt]]*TbTradesBinance[[#This Row],[Preço]])),AU80)-IF(TbTradesBinance[[#This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Row],[Tipo]]="DROP"),AU80+TbTradesBinance[[#This Row],[Qtt]],AU80-TbTradesBinance[[#This Row],[Qtt]]),IF(TbTradesBinance[[#This Row],[Tipo]]="BUY",AU80-TbTradesBinance[[#This Row],[Qtt]]*TbTradesBinance[[#This Row],[Preço]],AU80+TbTradesBinance[[#This Row],[Qtt]]*TbTradesBinance[[#This Row],[Preço]])),AU80)-IF(TbTradesBinance[[#This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Row],[Tipo]]="DROP"),AU80+TbTradesBinance[[#This Row],[Qtt]],AU80-TbTradesBinance[[#This Row],[Qtt]]),IF(TbTradesBinance[[#This Row],[Tipo]]="BUY",AU80-TbTradesBinance[[#This Row],[Qtt]]*TbTradesBinance[[#This Row],[Preço]],AU80+TbTradesBinance[[#This Row],[Qtt]]*TbTradesBinance[[#This Row],[Preço]])),AU80)-IF(TbTradesBinance[[#This Row],[Moeda da Taxa]]=MID(AU$1,9,5),TbTradesBinance[[#This Row],[Taxa]],0),8)))</f>
        <v>0.26989999999999997</v>
      </c>
      <c r="AV81" s="145" cm="1">
        <f t="array" ref="AV81">IF(TbTradesBinance[[#This Row],[Tipo]]="EMPTY",0,AV80+IF(TbTradesBinance[[#This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Row],[Par]]))),$1:$1,0)),-(AU80-AU81)/AU80*AV80),0),0)+IF(TbTradesBinance[[#This Row],[Tipo]]="SELL",IF(ISNUMBER(FIND(MID(AV$1,10,5),TbTradesBinance[[#This Row],[Par]])),IF(FIND(MID(AV$1,10,5),TbTradesBinance[[#This Row],[Par]])=1, -(AU80-AU81)/AU80*AV80,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Row],[Par]])),(-(AU80-AU81)/AU80*AV80)+IF(TbTradesBinance[[#This Row],[Resultado]]&gt;0,0,TbTradesBinance[[#This Row],[Taxa]]),0),0))</f>
        <v>56.09788062740806</v>
      </c>
      <c r="AW81" s="145">
        <f t="shared" si="31"/>
        <v>207.8469085861729</v>
      </c>
      <c r="AX8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Row],[Tipo]]="DROP"),AX80+TbTradesBinance[[#This Row],[Qtt]],AX80-TbTradesBinance[[#This Row],[Qtt]]),IF(TbTradesBinance[[#This Row],[Tipo]]="BUY",AX80-TbTradesBinance[[#This Row],[Qtt]]*TbTradesBinance[[#This Row],[Preço]],AX80+TbTradesBinance[[#This Row],[Qtt]]*TbTradesBinance[[#This Row],[Preço]])),AX80)-IF(TbTradesBinance[[#This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Row],[Tipo]]="DROP"),AX80+TbTradesBinance[[#This Row],[Qtt]],AX80-TbTradesBinance[[#This Row],[Qtt]]),IF(TbTradesBinance[[#This Row],[Tipo]]="BUY",AX80-TbTradesBinance[[#This Row],[Qtt]]*TbTradesBinance[[#This Row],[Preço]],AX80+TbTradesBinance[[#This Row],[Qtt]]*TbTradesBinance[[#This Row],[Preço]])),AX80)-IF(TbTradesBinance[[#This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Row],[Tipo]]="DROP"),AX80+TbTradesBinance[[#This Row],[Qtt]],AX80-TbTradesBinance[[#This Row],[Qtt]]),IF(TbTradesBinance[[#This Row],[Tipo]]="BUY",AX80-TbTradesBinance[[#This Row],[Qtt]]*TbTradesBinance[[#This Row],[Preço]],AX80+TbTradesBinance[[#This Row],[Qtt]]*TbTradesBinance[[#This Row],[Preço]])),AX80)-IF(TbTradesBinance[[#This Row],[Moeda da Taxa]]=MID(AX$1,9,5),TbTradesBinance[[#This Row],[Taxa]],0),8)))</f>
        <v>0.22636999999999999</v>
      </c>
      <c r="AY81" s="145" cm="1">
        <f t="array" ref="AY81">IF(TbTradesBinance[[#This Row],[Tipo]]="EMPTY",0,AY80+IF(TbTradesBinance[[#This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Row],[Par]]))),$1:$1,0)),-(AX80-AX81)/AX80*AY80),0),0)+IF(TbTradesBinance[[#This Row],[Tipo]]="SELL",IF(ISNUMBER(FIND(MID(AY$1,10,5),TbTradesBinance[[#This Row],[Par]])),IF(FIND(MID(AY$1,10,5),TbTradesBinance[[#This Row],[Par]])=1, -(AX80-AX81)/AX80*AY80,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Row],[Par]])),(-(AX80-AX81)/AX80*AY80)+IF(TbTradesBinance[[#This Row],[Resultado]]&gt;0,0,TbTradesBinance[[#This Row],[Taxa]]),0),0))</f>
        <v>40.781337593356859</v>
      </c>
      <c r="AZ81" s="145">
        <f t="shared" si="32"/>
        <v>180.15345493376711</v>
      </c>
      <c r="BA8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Row],[Tipo]]="DROP"),BA80+TbTradesBinance[[#This Row],[Qtt]],BA80-TbTradesBinance[[#This Row],[Qtt]]),IF(TbTradesBinance[[#This Row],[Tipo]]="BUY",BA80-TbTradesBinance[[#This Row],[Qtt]]*TbTradesBinance[[#This Row],[Preço]],BA80+TbTradesBinance[[#This Row],[Qtt]]*TbTradesBinance[[#This Row],[Preço]])),BA80)-IF(TbTradesBinance[[#This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Row],[Tipo]]="DROP"),BA80+TbTradesBinance[[#This Row],[Qtt]],BA80-TbTradesBinance[[#This Row],[Qtt]]),IF(TbTradesBinance[[#This Row],[Tipo]]="BUY",BA80-TbTradesBinance[[#This Row],[Qtt]]*TbTradesBinance[[#This Row],[Preço]],BA80+TbTradesBinance[[#This Row],[Qtt]]*TbTradesBinance[[#This Row],[Preço]])),BA80)-IF(TbTradesBinance[[#This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Row],[Tipo]]="DROP"),BA80+TbTradesBinance[[#This Row],[Qtt]],BA80-TbTradesBinance[[#This Row],[Qtt]]),IF(TbTradesBinance[[#This Row],[Tipo]]="BUY",BA80-TbTradesBinance[[#This Row],[Qtt]]*TbTradesBinance[[#This Row],[Preço]],BA80+TbTradesBinance[[#This Row],[Qtt]]*TbTradesBinance[[#This Row],[Preço]])),BA80)-IF(TbTradesBinance[[#This Row],[Moeda da Taxa]]=MID(BA$1,9,5),TbTradesBinance[[#This Row],[Taxa]],0),8)))</f>
        <v>0</v>
      </c>
      <c r="BB81" s="145" cm="1">
        <f t="array" ref="BB81">IF(TbTradesBinance[[#This Row],[Tipo]]="EMPTY",0,BB80+IF(TbTradesBinance[[#This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Row],[Par]]))),$1:$1,0)),-(BA80-BA81)/BA80*BB80),0),0)+IF(TbTradesBinance[[#This Row],[Tipo]]="SELL",IF(ISNUMBER(FIND(MID(BB$1,10,5),TbTradesBinance[[#This Row],[Par]])),IF(FIND(MID(BB$1,10,5),TbTradesBinance[[#This Row],[Par]])=1, -(BA80-BA81)/BA80*BB80,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Row],[Par]])),(-(BA80-BA81)/BA80*BB80)+IF(TbTradesBinance[[#This Row],[Resultado]]&gt;0,0,TbTradesBinance[[#This Row],[Taxa]]),0),0))</f>
        <v>0</v>
      </c>
      <c r="BC81" s="145">
        <f t="shared" si="33"/>
        <v>0</v>
      </c>
      <c r="BD8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Row],[Tipo]]="DROP"),BD80+TbTradesBinance[[#This Row],[Qtt]],BD80-TbTradesBinance[[#This Row],[Qtt]]),IF(TbTradesBinance[[#This Row],[Tipo]]="BUY",BD80-TbTradesBinance[[#This Row],[Qtt]]*TbTradesBinance[[#This Row],[Preço]],BD80+TbTradesBinance[[#This Row],[Qtt]]*TbTradesBinance[[#This Row],[Preço]])),BD80)-IF(TbTradesBinance[[#This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Row],[Tipo]]="DROP"),BD80+TbTradesBinance[[#This Row],[Qtt]],BD80-TbTradesBinance[[#This Row],[Qtt]]),IF(TbTradesBinance[[#This Row],[Tipo]]="BUY",BD80-TbTradesBinance[[#This Row],[Qtt]]*TbTradesBinance[[#This Row],[Preço]],BD80+TbTradesBinance[[#This Row],[Qtt]]*TbTradesBinance[[#This Row],[Preço]])),BD80)-IF(TbTradesBinance[[#This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Row],[Tipo]]="DROP"),BD80+TbTradesBinance[[#This Row],[Qtt]],BD80-TbTradesBinance[[#This Row],[Qtt]]),IF(TbTradesBinance[[#This Row],[Tipo]]="BUY",BD80-TbTradesBinance[[#This Row],[Qtt]]*TbTradesBinance[[#This Row],[Preço]],BD80+TbTradesBinance[[#This Row],[Qtt]]*TbTradesBinance[[#This Row],[Preço]])),BD80)-IF(TbTradesBinance[[#This Row],[Moeda da Taxa]]=MID(BD$1,9,5),TbTradesBinance[[#This Row],[Taxa]],0),8)))</f>
        <v>0.37962000000000001</v>
      </c>
      <c r="BE81" s="145" cm="1">
        <f t="array" ref="BE81">IF(TbTradesBinance[[#This Row],[Tipo]]="EMPTY",0,BE80+IF(TbTradesBinance[[#This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Row],[Par]]))),$1:$1,0)),-(BD80-BD81)/BD80*BE80),0),0)+IF(TbTradesBinance[[#This Row],[Tipo]]="SELL",IF(ISNUMBER(FIND(MID(BE$1,10,5),TbTradesBinance[[#This Row],[Par]])),IF(FIND(MID(BE$1,10,5),TbTradesBinance[[#This Row],[Par]])=1, -(BD80-BD81)/BD80*BE80,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Row],[Par]])),(-(BD80-BD81)/BD80*BE80)+IF(TbTradesBinance[[#This Row],[Resultado]]&gt;0,0,TbTradesBinance[[#This Row],[Taxa]]),0),0))</f>
        <v>63.647297001537943</v>
      </c>
      <c r="BF81" s="145">
        <f t="shared" si="34"/>
        <v>167.66054739354601</v>
      </c>
      <c r="BG8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Row],[Tipo]]="DROP"),BG80+TbTradesBinance[[#This Row],[Qtt]],BG80-TbTradesBinance[[#This Row],[Qtt]]),IF(TbTradesBinance[[#This Row],[Tipo]]="BUY",BG80-TbTradesBinance[[#This Row],[Qtt]]*TbTradesBinance[[#This Row],[Preço]],BG80+TbTradesBinance[[#This Row],[Qtt]]*TbTradesBinance[[#This Row],[Preço]])),BG80)-IF(TbTradesBinance[[#This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Row],[Tipo]]="DROP"),BG80+TbTradesBinance[[#This Row],[Qtt]],BG80-TbTradesBinance[[#This Row],[Qtt]]),IF(TbTradesBinance[[#This Row],[Tipo]]="BUY",BG80-TbTradesBinance[[#This Row],[Qtt]]*TbTradesBinance[[#This Row],[Preço]],BG80+TbTradesBinance[[#This Row],[Qtt]]*TbTradesBinance[[#This Row],[Preço]])),BG80)-IF(TbTradesBinance[[#This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Row],[Tipo]]="DROP"),BG80+TbTradesBinance[[#This Row],[Qtt]],BG80-TbTradesBinance[[#This Row],[Qtt]]),IF(TbTradesBinance[[#This Row],[Tipo]]="BUY",BG80-TbTradesBinance[[#This Row],[Qtt]]*TbTradesBinance[[#This Row],[Preço]],BG80+TbTradesBinance[[#This Row],[Qtt]]*TbTradesBinance[[#This Row],[Preço]])),BG80)-IF(TbTradesBinance[[#This Row],[Moeda da Taxa]]=MID(BG$1,9,5),TbTradesBinance[[#This Row],[Taxa]],0),8)))</f>
        <v>111.71817</v>
      </c>
      <c r="BH81" s="145" cm="1">
        <f t="array" ref="BH81">IF(TbTradesBinance[[#This Row],[Tipo]]="EMPTY",0,BH80+IF(TbTradesBinance[[#This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Row],[Par]]))),$1:$1,0)),-(BG80-BG81)/BG80*BH80),0),0)+IF(TbTradesBinance[[#This Row],[Tipo]]="SELL",IF(ISNUMBER(FIND(MID(BH$1,10,5),TbTradesBinance[[#This Row],[Par]])),IF(FIND(MID(BH$1,10,5),TbTradesBinance[[#This Row],[Par]])=1, -(BG80-BG81)/BG80*BH80,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Row],[Par]])),(-(BG80-BG81)/BG80*BH80)+IF(TbTradesBinance[[#This Row],[Resultado]]&gt;0,0,TbTradesBinance[[#This Row],[Taxa]]),0),0))</f>
        <v>401.31269619490814</v>
      </c>
      <c r="BI81" s="145">
        <f t="shared" si="35"/>
        <v>3.5921882375526573</v>
      </c>
      <c r="BJ8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Row],[Tipo]]="DROP"),BJ80+TbTradesBinance[[#This Row],[Qtt]],BJ80-TbTradesBinance[[#This Row],[Qtt]]),IF(TbTradesBinance[[#This Row],[Tipo]]="BUY",BJ80-TbTradesBinance[[#This Row],[Qtt]]*TbTradesBinance[[#This Row],[Preço]],BJ80+TbTradesBinance[[#This Row],[Qtt]]*TbTradesBinance[[#This Row],[Preço]])),BJ80)-IF(TbTradesBinance[[#This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Row],[Tipo]]="DROP"),BJ80+TbTradesBinance[[#This Row],[Qtt]],BJ80-TbTradesBinance[[#This Row],[Qtt]]),IF(TbTradesBinance[[#This Row],[Tipo]]="BUY",BJ80-TbTradesBinance[[#This Row],[Qtt]]*TbTradesBinance[[#This Row],[Preço]],BJ80+TbTradesBinance[[#This Row],[Qtt]]*TbTradesBinance[[#This Row],[Preço]])),BJ80)-IF(TbTradesBinance[[#This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Row],[Tipo]]="DROP"),BJ80+TbTradesBinance[[#This Row],[Qtt]],BJ80-TbTradesBinance[[#This Row],[Qtt]]),IF(TbTradesBinance[[#This Row],[Tipo]]="BUY",BJ80-TbTradesBinance[[#This Row],[Qtt]]*TbTradesBinance[[#This Row],[Preço]],BJ80+TbTradesBinance[[#This Row],[Qtt]]*TbTradesBinance[[#This Row],[Preço]])),BJ80)-IF(TbTradesBinance[[#This Row],[Moeda da Taxa]]=MID(BJ$1,9,5),TbTradesBinance[[#This Row],[Taxa]],0),8)))</f>
        <v>0</v>
      </c>
      <c r="BK81" s="145" cm="1">
        <f t="array" ref="BK81">IF(TbTradesBinance[[#This Row],[Tipo]]="EMPTY",0,BK80+IF(TbTradesBinance[[#This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Row],[Par]]))),$1:$1,0)),-(BJ80-BJ81)/BJ80*BK80),0),0)+IF(TbTradesBinance[[#This Row],[Tipo]]="SELL",IF(ISNUMBER(FIND(MID(BK$1,10,5),TbTradesBinance[[#This Row],[Par]])),IF(FIND(MID(BK$1,10,5),TbTradesBinance[[#This Row],[Par]])=1, -(BJ80-BJ81)/BJ80*BK80,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Row],[Par]])),(-(BJ80-BJ81)/BJ80*BK80)+IF(TbTradesBinance[[#This Row],[Resultado]]&gt;0,0,TbTradesBinance[[#This Row],[Taxa]]),0),0))</f>
        <v>0</v>
      </c>
      <c r="BL81" s="145">
        <f t="shared" si="36"/>
        <v>0</v>
      </c>
      <c r="BM8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Row],[Tipo]]="DROP"),BM80+TbTradesBinance[[#This Row],[Qtt]],BM80-TbTradesBinance[[#This Row],[Qtt]]),IF(TbTradesBinance[[#This Row],[Tipo]]="BUY",BM80-TbTradesBinance[[#This Row],[Qtt]]*TbTradesBinance[[#This Row],[Preço]],BM80+TbTradesBinance[[#This Row],[Qtt]]*TbTradesBinance[[#This Row],[Preço]])),BM80)-IF(TbTradesBinance[[#This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Row],[Tipo]]="DROP"),BM80+TbTradesBinance[[#This Row],[Qtt]],BM80-TbTradesBinance[[#This Row],[Qtt]]),IF(TbTradesBinance[[#This Row],[Tipo]]="BUY",BM80-TbTradesBinance[[#This Row],[Qtt]]*TbTradesBinance[[#This Row],[Preço]],BM80+TbTradesBinance[[#This Row],[Qtt]]*TbTradesBinance[[#This Row],[Preço]])),BM80)-IF(TbTradesBinance[[#This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Row],[Tipo]]="DROP"),BM80+TbTradesBinance[[#This Row],[Qtt]],BM80-TbTradesBinance[[#This Row],[Qtt]]),IF(TbTradesBinance[[#This Row],[Tipo]]="BUY",BM80-TbTradesBinance[[#This Row],[Qtt]]*TbTradesBinance[[#This Row],[Preço]],BM80+TbTradesBinance[[#This Row],[Qtt]]*TbTradesBinance[[#This Row],[Preço]])),BM80)-IF(TbTradesBinance[[#This Row],[Moeda da Taxa]]=MID(BM$1,9,5),TbTradesBinance[[#This Row],[Taxa]],0),8)))</f>
        <v>0</v>
      </c>
      <c r="BN81" s="145" cm="1">
        <f t="array" ref="BN81">IF(TbTradesBinance[[#This Row],[Tipo]]="EMPTY",0,BN80+IF(TbTradesBinance[[#This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Row],[Par]]))),$1:$1,0)),-(BM80-BM81)/BM80*BN80),0),0)+IF(TbTradesBinance[[#This Row],[Tipo]]="SELL",IF(ISNUMBER(FIND(MID(BN$1,10,5),TbTradesBinance[[#This Row],[Par]])),IF(FIND(MID(BN$1,10,5),TbTradesBinance[[#This Row],[Par]])=1, -(BM80-BM81)/BM80*BN80,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Row],[Par]])),(-(BM80-BM81)/BM80*BN80)+IF(TbTradesBinance[[#This Row],[Resultado]]&gt;0,0,TbTradesBinance[[#This Row],[Taxa]]),0),0))</f>
        <v>0</v>
      </c>
      <c r="BO81" s="145">
        <f t="shared" si="37"/>
        <v>0</v>
      </c>
    </row>
    <row r="82" spans="2:67" x14ac:dyDescent="0.3">
      <c r="B82" s="51"/>
      <c r="C82" s="40">
        <f>TRUNC(IF(AND(TbTradesBinance[[#This Row],[Tipo]]="SEND",TbTradesBinance[[#This Row],[Par]]="BRL"),TbTradesBinance[[#This Row],[Qtt]]*(1-P80)-IF(TbTradesBinance[[#This Row],[Moeda da Taxa]]="BRL",TbTradesBinance[[#This Row],[Taxa]],0),0)+IF(AND(TbTradesBinance[[#This Row],[Tipo]]="BURN",TbTradesBinance[[#This Row],[Par]]="BRL"),-TbTradesBinance[[#This Row],[Qtt]]*P80,0),2)</f>
        <v>0</v>
      </c>
      <c r="D82" s="53">
        <v>44266.932268518518</v>
      </c>
      <c r="E82" s="37" t="s">
        <v>251</v>
      </c>
      <c r="F82" s="47" t="s">
        <v>140</v>
      </c>
      <c r="G82" s="38">
        <v>0.55100000000000005</v>
      </c>
      <c r="H82" s="38">
        <v>111.71</v>
      </c>
      <c r="I82" s="38">
        <v>6.1552210000000003E-2</v>
      </c>
      <c r="J82" s="37" t="s">
        <v>42</v>
      </c>
      <c r="K82" s="52">
        <v>5.56</v>
      </c>
      <c r="L82" s="40">
        <f t="shared" si="19"/>
        <v>3.06</v>
      </c>
      <c r="M82" s="40">
        <f>IF(OR(TbTradesBinance[[#This Row],[Tipo]]="BUY",TbTradesBinance[[#This Row],[Tipo]]="RECEIVE",TbTradesBinance[[#This Row],[Tipo]]="DROP"),L82*H82,-L82*H82)</f>
        <v>-341.83260000000001</v>
      </c>
      <c r="N8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Row],[Tipo]]="DROP"),N81+TbTradesBinance[[#This Row],[Qtt]],N81-TbTradesBinance[[#This Row],[Qtt]]),IF(TbTradesBinance[[#This Row],[Tipo]]="BUY",N81-TbTradesBinance[[#This Row],[Qtt]]*TbTradesBinance[[#This Row],[Preço]],N81+TbTradesBinance[[#This Row],[Qtt]]*TbTradesBinance[[#This Row],[Preço]])),N81)-IF(TbTradesBinance[[#This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Row],[Tipo]]="DROP"),N81+TbTradesBinance[[#This Row],[Qtt]],N81-TbTradesBinance[[#This Row],[Qtt]]),IF(TbTradesBinance[[#This Row],[Tipo]]="BUY",N81-TbTradesBinance[[#This Row],[Qtt]]*TbTradesBinance[[#This Row],[Preço]],N81+TbTradesBinance[[#This Row],[Qtt]]*TbTradesBinance[[#This Row],[Preço]])),N81)-IF(TbTradesBinance[[#This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Row],[Tipo]]="DROP"),N81+TbTradesBinance[[#This Row],[Qtt]],N81-TbTradesBinance[[#This Row],[Qtt]]),IF(TbTradesBinance[[#This Row],[Tipo]]="BUY",N81-TbTradesBinance[[#This Row],[Qtt]]*TbTradesBinance[[#This Row],[Preço]],N81+TbTradesBinance[[#This Row],[Qtt]]*TbTradesBinance[[#This Row],[Preço]])),N81)-IF(TbTradesBinance[[#This Row],[Moeda da Taxa]]=MID(N$1,9,5),TbTradesBinance[[#This Row],[Taxa]],0),8)))</f>
        <v>119745.69699999</v>
      </c>
      <c r="O82" s="145" cm="1">
        <f t="array" ref="O82">IF(TbTradesBinance[[#This Row],[Tipo]]="EMPTY",0,O81+IF(TbTradesBinance[[#This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Row],[Par]]))),$1:$1,0)),-(N81-N82)/N81*O81),0),0)+IF(TbTradesBinance[[#This Row],[Tipo]]="SELL",IF(ISNUMBER(FIND(MID(O$1,10,5),TbTradesBinance[[#This Row],[Par]])),IF(FIND(MID(O$1,10,5),TbTradesBinance[[#This Row],[Par]])=1, -(N81-N82)/N81*O81,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Row],[Par]])),(-(N81-N82)/N81*O81)+IF(TbTradesBinance[[#This Row],[Resultado]]&gt;0,0,TbTradesBinance[[#This Row],[Taxa]]),0),0))</f>
        <v>119641.00371151598</v>
      </c>
      <c r="P82" s="145">
        <f t="shared" si="20"/>
        <v>0.9991257031267351</v>
      </c>
      <c r="Q8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Row],[Tipo]]="DROP"),Q81+TbTradesBinance[[#This Row],[Qtt]],Q81-TbTradesBinance[[#This Row],[Qtt]]),IF(TbTradesBinance[[#This Row],[Tipo]]="BUY",Q81-TbTradesBinance[[#This Row],[Qtt]]*TbTradesBinance[[#This Row],[Preço]],Q81+TbTradesBinance[[#This Row],[Qtt]]*TbTradesBinance[[#This Row],[Preço]])),Q81)-IF(TbTradesBinance[[#This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Row],[Tipo]]="DROP"),Q81+TbTradesBinance[[#This Row],[Qtt]],Q81-TbTradesBinance[[#This Row],[Qtt]]),IF(TbTradesBinance[[#This Row],[Tipo]]="BUY",Q81-TbTradesBinance[[#This Row],[Qtt]]*TbTradesBinance[[#This Row],[Preço]],Q81+TbTradesBinance[[#This Row],[Qtt]]*TbTradesBinance[[#This Row],[Preço]])),Q81)-IF(TbTradesBinance[[#This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Row],[Tipo]]="DROP"),Q81+TbTradesBinance[[#This Row],[Qtt]],Q81-TbTradesBinance[[#This Row],[Qtt]]),IF(TbTradesBinance[[#This Row],[Tipo]]="BUY",Q81-TbTradesBinance[[#This Row],[Qtt]]*TbTradesBinance[[#This Row],[Preço]],Q81+TbTradesBinance[[#This Row],[Qtt]]*TbTradesBinance[[#This Row],[Preço]])),Q81)-IF(TbTradesBinance[[#This Row],[Moeda da Taxa]]=MID(Q$1,9,5),TbTradesBinance[[#This Row],[Taxa]],0),8)))</f>
        <v>61.573457779999998</v>
      </c>
      <c r="R82" s="145" cm="1">
        <f t="array" ref="R82">IF(TbTradesBinance[[#This Row],[Tipo]]="EMPTY",0,R81+IF(TbTradesBinance[[#This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Row],[Par]]))),$1:$1,0)),-(Q81-Q82)/Q81*R81),0),0)+IF(TbTradesBinance[[#This Row],[Tipo]]="SELL",IF(ISNUMBER(FIND(MID(R$1,10,5),TbTradesBinance[[#This Row],[Par]])),IF(FIND(MID(R$1,10,5),TbTradesBinance[[#This Row],[Par]])=1, -(Q81-Q82)/Q81*R81,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Row],[Par]])),(-(Q81-Q82)/Q81*R81)+IF(TbTradesBinance[[#This Row],[Resultado]]&gt;0,0,TbTradesBinance[[#This Row],[Taxa]]),0),0))</f>
        <v>401.74342892166726</v>
      </c>
      <c r="S82" s="145">
        <f t="shared" si="21"/>
        <v>6.5246202407063727</v>
      </c>
      <c r="T8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Row],[Tipo]]="DROP"),T81+TbTradesBinance[[#This Row],[Qtt]],T81-TbTradesBinance[[#This Row],[Qtt]]),IF(TbTradesBinance[[#This Row],[Tipo]]="BUY",T81-TbTradesBinance[[#This Row],[Qtt]]*TbTradesBinance[[#This Row],[Preço]],T81+TbTradesBinance[[#This Row],[Qtt]]*TbTradesBinance[[#This Row],[Preço]])),T81)-IF(TbTradesBinance[[#This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Row],[Tipo]]="DROP"),T81+TbTradesBinance[[#This Row],[Qtt]],T81-TbTradesBinance[[#This Row],[Qtt]]),IF(TbTradesBinance[[#This Row],[Tipo]]="BUY",T81-TbTradesBinance[[#This Row],[Qtt]]*TbTradesBinance[[#This Row],[Preço]],T81+TbTradesBinance[[#This Row],[Qtt]]*TbTradesBinance[[#This Row],[Preço]])),T81)-IF(TbTradesBinance[[#This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Row],[Tipo]]="DROP"),T81+TbTradesBinance[[#This Row],[Qtt]],T81-TbTradesBinance[[#This Row],[Qtt]]),IF(TbTradesBinance[[#This Row],[Tipo]]="BUY",T81-TbTradesBinance[[#This Row],[Qtt]]*TbTradesBinance[[#This Row],[Preço]],T81+TbTradesBinance[[#This Row],[Qtt]]*TbTradesBinance[[#This Row],[Preço]])),T81)-IF(TbTradesBinance[[#This Row],[Moeda da Taxa]]=MID(T$1,9,5),TbTradesBinance[[#This Row],[Taxa]],0),8)))</f>
        <v>199735.32000169999</v>
      </c>
      <c r="U82" s="145" cm="1">
        <f t="array" ref="U82">IF(TbTradesBinance[[#This Row],[Tipo]]="EMPTY",0,U81+IF(TbTradesBinance[[#This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Row],[Par]]))),$1:$1,0)),-(T81-T82)/T81*U81),0),0)+IF(TbTradesBinance[[#This Row],[Tipo]]="SELL",IF(ISNUMBER(FIND(MID(U$1,10,5),TbTradesBinance[[#This Row],[Par]])),IF(FIND(MID(U$1,10,5),TbTradesBinance[[#This Row],[Par]])=1, -(T81-T82)/T81*U81,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Row],[Par]])),(-(T81-T82)/T81*U81)+IF(TbTradesBinance[[#This Row],[Resultado]]&gt;0,0,TbTradesBinance[[#This Row],[Taxa]]),0),0))</f>
        <v>1328239.8809817513</v>
      </c>
      <c r="V82" s="145">
        <f t="shared" si="22"/>
        <v>6.6500000148719129</v>
      </c>
      <c r="W8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Row],[Tipo]]="DROP"),W81+TbTradesBinance[[#This Row],[Qtt]],W81-TbTradesBinance[[#This Row],[Qtt]]),IF(TbTradesBinance[[#This Row],[Tipo]]="BUY",W81-TbTradesBinance[[#This Row],[Qtt]]*TbTradesBinance[[#This Row],[Preço]],W81+TbTradesBinance[[#This Row],[Qtt]]*TbTradesBinance[[#This Row],[Preço]])),W81)-IF(TbTradesBinance[[#This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Row],[Tipo]]="DROP"),W81+TbTradesBinance[[#This Row],[Qtt]],W81-TbTradesBinance[[#This Row],[Qtt]]),IF(TbTradesBinance[[#This Row],[Tipo]]="BUY",W81-TbTradesBinance[[#This Row],[Qtt]]*TbTradesBinance[[#This Row],[Preço]],W81+TbTradesBinance[[#This Row],[Qtt]]*TbTradesBinance[[#This Row],[Preço]])),W81)-IF(TbTradesBinance[[#This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Row],[Tipo]]="DROP"),W81+TbTradesBinance[[#This Row],[Qtt]],W81-TbTradesBinance[[#This Row],[Qtt]]),IF(TbTradesBinance[[#This Row],[Tipo]]="BUY",W81-TbTradesBinance[[#This Row],[Qtt]]*TbTradesBinance[[#This Row],[Preço]],W81+TbTradesBinance[[#This Row],[Qtt]]*TbTradesBinance[[#This Row],[Preço]])),W81)-IF(TbTradesBinance[[#This Row],[Moeda da Taxa]]=MID(W$1,9,5),TbTradesBinance[[#This Row],[Taxa]],0),8)))</f>
        <v>3.21163E-3</v>
      </c>
      <c r="X82" s="145" cm="1">
        <f t="array" ref="X82">IF(TbTradesBinance[[#This Row],[Tipo]]="EMPTY",0,X81+IF(TbTradesBinance[[#This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Row],[Par]]))),$1:$1,0)),-(W81-W82)/W81*X81),0),0)+IF(TbTradesBinance[[#This Row],[Tipo]]="SELL",IF(ISNUMBER(FIND(MID(X$1,10,5),TbTradesBinance[[#This Row],[Par]])),IF(FIND(MID(X$1,10,5),TbTradesBinance[[#This Row],[Par]])=1, -(W81-W82)/W81*X81,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Row],[Par]])),(-(W81-W82)/W81*X81)+IF(TbTradesBinance[[#This Row],[Resultado]]&gt;0,0,TbTradesBinance[[#This Row],[Taxa]]),0),0))</f>
        <v>1030.0363886329337</v>
      </c>
      <c r="Y82" s="145">
        <f t="shared" si="23"/>
        <v>320720.75196486944</v>
      </c>
      <c r="Z8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Row],[Tipo]]="DROP"),Z81+TbTradesBinance[[#This Row],[Qtt]],Z81-TbTradesBinance[[#This Row],[Qtt]]),IF(TbTradesBinance[[#This Row],[Tipo]]="BUY",Z81-TbTradesBinance[[#This Row],[Qtt]]*TbTradesBinance[[#This Row],[Preço]],Z81+TbTradesBinance[[#This Row],[Qtt]]*TbTradesBinance[[#This Row],[Preço]])),Z81)-IF(TbTradesBinance[[#This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Row],[Tipo]]="DROP"),Z81+TbTradesBinance[[#This Row],[Qtt]],Z81-TbTradesBinance[[#This Row],[Qtt]]),IF(TbTradesBinance[[#This Row],[Tipo]]="BUY",Z81-TbTradesBinance[[#This Row],[Qtt]]*TbTradesBinance[[#This Row],[Preço]],Z81+TbTradesBinance[[#This Row],[Qtt]]*TbTradesBinance[[#This Row],[Preço]])),Z81)-IF(TbTradesBinance[[#This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Row],[Tipo]]="DROP"),Z81+TbTradesBinance[[#This Row],[Qtt]],Z81-TbTradesBinance[[#This Row],[Qtt]]),IF(TbTradesBinance[[#This Row],[Tipo]]="BUY",Z81-TbTradesBinance[[#This Row],[Qtt]]*TbTradesBinance[[#This Row],[Preço]],Z81+TbTradesBinance[[#This Row],[Qtt]]*TbTradesBinance[[#This Row],[Preço]])),Z81)-IF(TbTradesBinance[[#This Row],[Moeda da Taxa]]=MID(Z$1,9,5),TbTradesBinance[[#This Row],[Taxa]],0),8)))</f>
        <v>0</v>
      </c>
      <c r="AA82" s="145" cm="1">
        <f t="array" ref="AA82">IF(TbTradesBinance[[#This Row],[Tipo]]="EMPTY",0,AA81+IF(TbTradesBinance[[#This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Row],[Par]]))),$1:$1,0)),-(Z81-Z82)/Z81*AA81),0),0)+IF(TbTradesBinance[[#This Row],[Tipo]]="SELL",IF(ISNUMBER(FIND(MID(AA$1,10,5),TbTradesBinance[[#This Row],[Par]])),IF(FIND(MID(AA$1,10,5),TbTradesBinance[[#This Row],[Par]])=1, -(Z81-Z82)/Z81*AA81,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Row],[Par]])),(-(Z81-Z82)/Z81*AA81)+IF(TbTradesBinance[[#This Row],[Resultado]]&gt;0,0,TbTradesBinance[[#This Row],[Taxa]]),0),0))</f>
        <v>0</v>
      </c>
      <c r="AB82" s="145">
        <f t="shared" si="24"/>
        <v>0</v>
      </c>
      <c r="AC8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Row],[Tipo]]="DROP"),AC81+TbTradesBinance[[#This Row],[Qtt]],AC81-TbTradesBinance[[#This Row],[Qtt]]),IF(TbTradesBinance[[#This Row],[Tipo]]="BUY",AC81-TbTradesBinance[[#This Row],[Qtt]]*TbTradesBinance[[#This Row],[Preço]],AC81+TbTradesBinance[[#This Row],[Qtt]]*TbTradesBinance[[#This Row],[Preço]])),AC81)-IF(TbTradesBinance[[#This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Row],[Tipo]]="DROP"),AC81+TbTradesBinance[[#This Row],[Qtt]],AC81-TbTradesBinance[[#This Row],[Qtt]]),IF(TbTradesBinance[[#This Row],[Tipo]]="BUY",AC81-TbTradesBinance[[#This Row],[Qtt]]*TbTradesBinance[[#This Row],[Preço]],AC81+TbTradesBinance[[#This Row],[Qtt]]*TbTradesBinance[[#This Row],[Preço]])),AC81)-IF(TbTradesBinance[[#This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Row],[Tipo]]="DROP"),AC81+TbTradesBinance[[#This Row],[Qtt]],AC81-TbTradesBinance[[#This Row],[Qtt]]),IF(TbTradesBinance[[#This Row],[Tipo]]="BUY",AC81-TbTradesBinance[[#This Row],[Qtt]]*TbTradesBinance[[#This Row],[Preço]],AC81+TbTradesBinance[[#This Row],[Qtt]]*TbTradesBinance[[#This Row],[Preço]])),AC81)-IF(TbTradesBinance[[#This Row],[Moeda da Taxa]]=MID(AC$1,9,5),TbTradesBinance[[#This Row],[Taxa]],0),8)))</f>
        <v>0</v>
      </c>
      <c r="AD82" s="145" cm="1">
        <f t="array" ref="AD82">IF(TbTradesBinance[[#This Row],[Tipo]]="EMPTY",0,AD81+IF(TbTradesBinance[[#This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Row],[Par]]))),$1:$1,0)),-(AC81-AC82)/AC81*AD81),0),0)+IF(TbTradesBinance[[#This Row],[Tipo]]="SELL",IF(ISNUMBER(FIND(MID(AD$1,10,5),TbTradesBinance[[#This Row],[Par]])),IF(FIND(MID(AD$1,10,5),TbTradesBinance[[#This Row],[Par]])=1, -(AC81-AC82)/AC81*AD81,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Row],[Par]])),(-(AC81-AC82)/AC81*AD81)+IF(TbTradesBinance[[#This Row],[Resultado]]&gt;0,0,TbTradesBinance[[#This Row],[Taxa]]),0),0))</f>
        <v>0</v>
      </c>
      <c r="AE82" s="145">
        <f t="shared" si="25"/>
        <v>0</v>
      </c>
      <c r="AF8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Row],[Tipo]]="DROP"),AF81+TbTradesBinance[[#This Row],[Qtt]],AF81-TbTradesBinance[[#This Row],[Qtt]]),IF(TbTradesBinance[[#This Row],[Tipo]]="BUY",AF81-TbTradesBinance[[#This Row],[Qtt]]*TbTradesBinance[[#This Row],[Preço]],AF81+TbTradesBinance[[#This Row],[Qtt]]*TbTradesBinance[[#This Row],[Preço]])),AF81)-IF(TbTradesBinance[[#This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Row],[Tipo]]="DROP"),AF81+TbTradesBinance[[#This Row],[Qtt]],AF81-TbTradesBinance[[#This Row],[Qtt]]),IF(TbTradesBinance[[#This Row],[Tipo]]="BUY",AF81-TbTradesBinance[[#This Row],[Qtt]]*TbTradesBinance[[#This Row],[Preço]],AF81+TbTradesBinance[[#This Row],[Qtt]]*TbTradesBinance[[#This Row],[Preço]])),AF81)-IF(TbTradesBinance[[#This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Row],[Tipo]]="DROP"),AF81+TbTradesBinance[[#This Row],[Qtt]],AF81-TbTradesBinance[[#This Row],[Qtt]]),IF(TbTradesBinance[[#This Row],[Tipo]]="BUY",AF81-TbTradesBinance[[#This Row],[Qtt]]*TbTradesBinance[[#This Row],[Preço]],AF81+TbTradesBinance[[#This Row],[Qtt]]*TbTradesBinance[[#This Row],[Preço]])),AF81)-IF(TbTradesBinance[[#This Row],[Moeda da Taxa]]=MID(AF$1,9,5),TbTradesBinance[[#This Row],[Taxa]],0),8)))</f>
        <v>19.98</v>
      </c>
      <c r="AG82" s="145" cm="1">
        <f t="array" ref="AG82">IF(TbTradesBinance[[#This Row],[Tipo]]="EMPTY",0,AG81+IF(TbTradesBinance[[#This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Row],[Par]]))),$1:$1,0)),-(AF81-AF82)/AF81*AG81),0),0)+IF(TbTradesBinance[[#This Row],[Tipo]]="SELL",IF(ISNUMBER(FIND(MID(AG$1,10,5),TbTradesBinance[[#This Row],[Par]])),IF(FIND(MID(AG$1,10,5),TbTradesBinance[[#This Row],[Par]])=1, -(AF81-AF82)/AF81*AG81,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Row],[Par]])),(-(AF81-AF82)/AF81*AG81)+IF(TbTradesBinance[[#This Row],[Resultado]]&gt;0,0,TbTradesBinance[[#This Row],[Taxa]]),0),0))</f>
        <v>124.04182758073662</v>
      </c>
      <c r="AH82" s="145">
        <f t="shared" si="26"/>
        <v>6.2082996787155462</v>
      </c>
      <c r="AI8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Row],[Tipo]]="DROP"),AI81+TbTradesBinance[[#This Row],[Qtt]],AI81-TbTradesBinance[[#This Row],[Qtt]]),IF(TbTradesBinance[[#This Row],[Tipo]]="BUY",AI81-TbTradesBinance[[#This Row],[Qtt]]*TbTradesBinance[[#This Row],[Preço]],AI81+TbTradesBinance[[#This Row],[Qtt]]*TbTradesBinance[[#This Row],[Preço]])),AI81)-IF(TbTradesBinance[[#This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Row],[Tipo]]="DROP"),AI81+TbTradesBinance[[#This Row],[Qtt]],AI81-TbTradesBinance[[#This Row],[Qtt]]),IF(TbTradesBinance[[#This Row],[Tipo]]="BUY",AI81-TbTradesBinance[[#This Row],[Qtt]]*TbTradesBinance[[#This Row],[Preço]],AI81+TbTradesBinance[[#This Row],[Qtt]]*TbTradesBinance[[#This Row],[Preço]])),AI81)-IF(TbTradesBinance[[#This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Row],[Tipo]]="DROP"),AI81+TbTradesBinance[[#This Row],[Qtt]],AI81-TbTradesBinance[[#This Row],[Qtt]]),IF(TbTradesBinance[[#This Row],[Tipo]]="BUY",AI81-TbTradesBinance[[#This Row],[Qtt]]*TbTradesBinance[[#This Row],[Preço]],AI81+TbTradesBinance[[#This Row],[Qtt]]*TbTradesBinance[[#This Row],[Preço]])),AI81)-IF(TbTradesBinance[[#This Row],[Moeda da Taxa]]=MID(AI$1,9,5),TbTradesBinance[[#This Row],[Taxa]],0),8)))</f>
        <v>0</v>
      </c>
      <c r="AJ82" s="145" cm="1">
        <f t="array" ref="AJ82">IF(TbTradesBinance[[#This Row],[Tipo]]="EMPTY",0,AJ81+IF(TbTradesBinance[[#This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Row],[Par]]))),$1:$1,0)),-(AI81-AI82)/AI81*AJ81),0),0)+IF(TbTradesBinance[[#This Row],[Tipo]]="SELL",IF(ISNUMBER(FIND(MID(AJ$1,10,5),TbTradesBinance[[#This Row],[Par]])),IF(FIND(MID(AJ$1,10,5),TbTradesBinance[[#This Row],[Par]])=1, -(AI81-AI82)/AI81*AJ81,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Row],[Par]])),(-(AI81-AI82)/AI81*AJ81)+IF(TbTradesBinance[[#This Row],[Resultado]]&gt;0,0,TbTradesBinance[[#This Row],[Taxa]]),0),0))</f>
        <v>0</v>
      </c>
      <c r="AK82" s="145">
        <f t="shared" si="27"/>
        <v>0</v>
      </c>
      <c r="AL8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Row],[Tipo]]="DROP"),AL81+TbTradesBinance[[#This Row],[Qtt]],AL81-TbTradesBinance[[#This Row],[Qtt]]),IF(TbTradesBinance[[#This Row],[Tipo]]="BUY",AL81-TbTradesBinance[[#This Row],[Qtt]]*TbTradesBinance[[#This Row],[Preço]],AL81+TbTradesBinance[[#This Row],[Qtt]]*TbTradesBinance[[#This Row],[Preço]])),AL81)-IF(TbTradesBinance[[#This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Row],[Tipo]]="DROP"),AL81+TbTradesBinance[[#This Row],[Qtt]],AL81-TbTradesBinance[[#This Row],[Qtt]]),IF(TbTradesBinance[[#This Row],[Tipo]]="BUY",AL81-TbTradesBinance[[#This Row],[Qtt]]*TbTradesBinance[[#This Row],[Preço]],AL81+TbTradesBinance[[#This Row],[Qtt]]*TbTradesBinance[[#This Row],[Preço]])),AL81)-IF(TbTradesBinance[[#This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Row],[Tipo]]="DROP"),AL81+TbTradesBinance[[#This Row],[Qtt]],AL81-TbTradesBinance[[#This Row],[Qtt]]),IF(TbTradesBinance[[#This Row],[Tipo]]="BUY",AL81-TbTradesBinance[[#This Row],[Qtt]]*TbTradesBinance[[#This Row],[Preço]],AL81+TbTradesBinance[[#This Row],[Qtt]]*TbTradesBinance[[#This Row],[Preço]])),AL81)-IF(TbTradesBinance[[#This Row],[Moeda da Taxa]]=MID(AL$1,9,5),TbTradesBinance[[#This Row],[Taxa]],0),8)))</f>
        <v>1.75824</v>
      </c>
      <c r="AM82" s="145" cm="1">
        <f t="array" ref="AM82">IF(TbTradesBinance[[#This Row],[Tipo]]="EMPTY",0,AM81+IF(TbTradesBinance[[#This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Row],[Par]]))),$1:$1,0)),-(AL81-AL82)/AL81*AM81),0),0)+IF(TbTradesBinance[[#This Row],[Tipo]]="SELL",IF(ISNUMBER(FIND(MID(AM$1,10,5),TbTradesBinance[[#This Row],[Par]])),IF(FIND(MID(AM$1,10,5),TbTradesBinance[[#This Row],[Par]])=1, -(AL81-AL82)/AL81*AM81,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Row],[Par]])),(-(AL81-AL82)/AL81*AM81)+IF(TbTradesBinance[[#This Row],[Resultado]]&gt;0,0,TbTradesBinance[[#This Row],[Taxa]]),0),0))</f>
        <v>144.56635471393039</v>
      </c>
      <c r="AN82" s="145">
        <f t="shared" si="28"/>
        <v>82.222196465744375</v>
      </c>
      <c r="AO8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Row],[Tipo]]="DROP"),AO81+TbTradesBinance[[#This Row],[Qtt]],AO81-TbTradesBinance[[#This Row],[Qtt]]),IF(TbTradesBinance[[#This Row],[Tipo]]="BUY",AO81-TbTradesBinance[[#This Row],[Qtt]]*TbTradesBinance[[#This Row],[Preço]],AO81+TbTradesBinance[[#This Row],[Qtt]]*TbTradesBinance[[#This Row],[Preço]])),AO81)-IF(TbTradesBinance[[#This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Row],[Tipo]]="DROP"),AO81+TbTradesBinance[[#This Row],[Qtt]],AO81-TbTradesBinance[[#This Row],[Qtt]]),IF(TbTradesBinance[[#This Row],[Tipo]]="BUY",AO81-TbTradesBinance[[#This Row],[Qtt]]*TbTradesBinance[[#This Row],[Preço]],AO81+TbTradesBinance[[#This Row],[Qtt]]*TbTradesBinance[[#This Row],[Preço]])),AO81)-IF(TbTradesBinance[[#This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Row],[Tipo]]="DROP"),AO81+TbTradesBinance[[#This Row],[Qtt]],AO81-TbTradesBinance[[#This Row],[Qtt]]),IF(TbTradesBinance[[#This Row],[Tipo]]="BUY",AO81-TbTradesBinance[[#This Row],[Qtt]]*TbTradesBinance[[#This Row],[Preço]],AO81+TbTradesBinance[[#This Row],[Qtt]]*TbTradesBinance[[#This Row],[Preço]])),AO81)-IF(TbTradesBinance[[#This Row],[Moeda da Taxa]]=MID(AO$1,9,5),TbTradesBinance[[#This Row],[Taxa]],0),8)))</f>
        <v>2.70054E-3</v>
      </c>
      <c r="AP82" s="145" cm="1">
        <f t="array" ref="AP82">IF(TbTradesBinance[[#This Row],[Tipo]]="EMPTY",0,AP81+IF(TbTradesBinance[[#This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Row],[Par]]))),$1:$1,0)),-(AO81-AO82)/AO81*AP81),0),0)+IF(TbTradesBinance[[#This Row],[Tipo]]="SELL",IF(ISNUMBER(FIND(MID(AP$1,10,5),TbTradesBinance[[#This Row],[Par]])),IF(FIND(MID(AP$1,10,5),TbTradesBinance[[#This Row],[Par]])=1, -(AO81-AO82)/AO81*AP81,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Row],[Par]])),(-(AO81-AO82)/AO81*AP81)+IF(TbTradesBinance[[#This Row],[Resultado]]&gt;0,0,TbTradesBinance[[#This Row],[Taxa]]),0),0))</f>
        <v>5.2490633588966693</v>
      </c>
      <c r="AQ82" s="145">
        <f t="shared" si="29"/>
        <v>1943.7087985723854</v>
      </c>
      <c r="AR8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Row],[Tipo]]="DROP"),AR81+TbTradesBinance[[#This Row],[Qtt]],AR81-TbTradesBinance[[#This Row],[Qtt]]),IF(TbTradesBinance[[#This Row],[Tipo]]="BUY",AR81-TbTradesBinance[[#This Row],[Qtt]]*TbTradesBinance[[#This Row],[Preço]],AR81+TbTradesBinance[[#This Row],[Qtt]]*TbTradesBinance[[#This Row],[Preço]])),AR81)-IF(TbTradesBinance[[#This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Row],[Tipo]]="DROP"),AR81+TbTradesBinance[[#This Row],[Qtt]],AR81-TbTradesBinance[[#This Row],[Qtt]]),IF(TbTradesBinance[[#This Row],[Tipo]]="BUY",AR81-TbTradesBinance[[#This Row],[Qtt]]*TbTradesBinance[[#This Row],[Preço]],AR81+TbTradesBinance[[#This Row],[Qtt]]*TbTradesBinance[[#This Row],[Preço]])),AR81)-IF(TbTradesBinance[[#This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Row],[Tipo]]="DROP"),AR81+TbTradesBinance[[#This Row],[Qtt]],AR81-TbTradesBinance[[#This Row],[Qtt]]),IF(TbTradesBinance[[#This Row],[Tipo]]="BUY",AR81-TbTradesBinance[[#This Row],[Qtt]]*TbTradesBinance[[#This Row],[Preço]],AR81+TbTradesBinance[[#This Row],[Qtt]]*TbTradesBinance[[#This Row],[Preço]])),AR81)-IF(TbTradesBinance[[#This Row],[Moeda da Taxa]]=MID(AR$1,9,5),TbTradesBinance[[#This Row],[Taxa]],0),8)))</f>
        <v>0</v>
      </c>
      <c r="AS82" s="145" cm="1">
        <f t="array" ref="AS82">IF(TbTradesBinance[[#This Row],[Tipo]]="EMPTY",0,AS81+IF(TbTradesBinance[[#This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Row],[Par]]))),$1:$1,0)),-(AR81-AR82)/AR81*AS81),0),0)+IF(TbTradesBinance[[#This Row],[Tipo]]="SELL",IF(ISNUMBER(FIND(MID(AS$1,10,5),TbTradesBinance[[#This Row],[Par]])),IF(FIND(MID(AS$1,10,5),TbTradesBinance[[#This Row],[Par]])=1, -(AR81-AR82)/AR81*AS81,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Row],[Par]])),(-(AR81-AR82)/AR81*AS81)+IF(TbTradesBinance[[#This Row],[Resultado]]&gt;0,0,TbTradesBinance[[#This Row],[Taxa]]),0),0))</f>
        <v>0</v>
      </c>
      <c r="AT82" s="145">
        <f t="shared" si="30"/>
        <v>0</v>
      </c>
      <c r="AU8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Row],[Tipo]]="DROP"),AU81+TbTradesBinance[[#This Row],[Qtt]],AU81-TbTradesBinance[[#This Row],[Qtt]]),IF(TbTradesBinance[[#This Row],[Tipo]]="BUY",AU81-TbTradesBinance[[#This Row],[Qtt]]*TbTradesBinance[[#This Row],[Preço]],AU81+TbTradesBinance[[#This Row],[Qtt]]*TbTradesBinance[[#This Row],[Preço]])),AU81)-IF(TbTradesBinance[[#This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Row],[Tipo]]="DROP"),AU81+TbTradesBinance[[#This Row],[Qtt]],AU81-TbTradesBinance[[#This Row],[Qtt]]),IF(TbTradesBinance[[#This Row],[Tipo]]="BUY",AU81-TbTradesBinance[[#This Row],[Qtt]]*TbTradesBinance[[#This Row],[Preço]],AU81+TbTradesBinance[[#This Row],[Qtt]]*TbTradesBinance[[#This Row],[Preço]])),AU81)-IF(TbTradesBinance[[#This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Row],[Tipo]]="DROP"),AU81+TbTradesBinance[[#This Row],[Qtt]],AU81-TbTradesBinance[[#This Row],[Qtt]]),IF(TbTradesBinance[[#This Row],[Tipo]]="BUY",AU81-TbTradesBinance[[#This Row],[Qtt]]*TbTradesBinance[[#This Row],[Preço]],AU81+TbTradesBinance[[#This Row],[Qtt]]*TbTradesBinance[[#This Row],[Preço]])),AU81)-IF(TbTradesBinance[[#This Row],[Moeda da Taxa]]=MID(AU$1,9,5),TbTradesBinance[[#This Row],[Taxa]],0),8)))</f>
        <v>0.26989999999999997</v>
      </c>
      <c r="AV82" s="145" cm="1">
        <f t="array" ref="AV82">IF(TbTradesBinance[[#This Row],[Tipo]]="EMPTY",0,AV81+IF(TbTradesBinance[[#This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Row],[Par]]))),$1:$1,0)),-(AU81-AU82)/AU81*AV81),0),0)+IF(TbTradesBinance[[#This Row],[Tipo]]="SELL",IF(ISNUMBER(FIND(MID(AV$1,10,5),TbTradesBinance[[#This Row],[Par]])),IF(FIND(MID(AV$1,10,5),TbTradesBinance[[#This Row],[Par]])=1, -(AU81-AU82)/AU81*AV81,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Row],[Par]])),(-(AU81-AU82)/AU81*AV81)+IF(TbTradesBinance[[#This Row],[Resultado]]&gt;0,0,TbTradesBinance[[#This Row],[Taxa]]),0),0))</f>
        <v>56.09788062740806</v>
      </c>
      <c r="AW82" s="145">
        <f t="shared" si="31"/>
        <v>207.8469085861729</v>
      </c>
      <c r="AX8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Row],[Tipo]]="DROP"),AX81+TbTradesBinance[[#This Row],[Qtt]],AX81-TbTradesBinance[[#This Row],[Qtt]]),IF(TbTradesBinance[[#This Row],[Tipo]]="BUY",AX81-TbTradesBinance[[#This Row],[Qtt]]*TbTradesBinance[[#This Row],[Preço]],AX81+TbTradesBinance[[#This Row],[Qtt]]*TbTradesBinance[[#This Row],[Preço]])),AX81)-IF(TbTradesBinance[[#This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Row],[Tipo]]="DROP"),AX81+TbTradesBinance[[#This Row],[Qtt]],AX81-TbTradesBinance[[#This Row],[Qtt]]),IF(TbTradesBinance[[#This Row],[Tipo]]="BUY",AX81-TbTradesBinance[[#This Row],[Qtt]]*TbTradesBinance[[#This Row],[Preço]],AX81+TbTradesBinance[[#This Row],[Qtt]]*TbTradesBinance[[#This Row],[Preço]])),AX81)-IF(TbTradesBinance[[#This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Row],[Tipo]]="DROP"),AX81+TbTradesBinance[[#This Row],[Qtt]],AX81-TbTradesBinance[[#This Row],[Qtt]]),IF(TbTradesBinance[[#This Row],[Tipo]]="BUY",AX81-TbTradesBinance[[#This Row],[Qtt]]*TbTradesBinance[[#This Row],[Preço]],AX81+TbTradesBinance[[#This Row],[Qtt]]*TbTradesBinance[[#This Row],[Preço]])),AX81)-IF(TbTradesBinance[[#This Row],[Moeda da Taxa]]=MID(AX$1,9,5),TbTradesBinance[[#This Row],[Taxa]],0),8)))</f>
        <v>0.22636999999999999</v>
      </c>
      <c r="AY82" s="145" cm="1">
        <f t="array" ref="AY82">IF(TbTradesBinance[[#This Row],[Tipo]]="EMPTY",0,AY81+IF(TbTradesBinance[[#This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Row],[Par]]))),$1:$1,0)),-(AX81-AX82)/AX81*AY81),0),0)+IF(TbTradesBinance[[#This Row],[Tipo]]="SELL",IF(ISNUMBER(FIND(MID(AY$1,10,5),TbTradesBinance[[#This Row],[Par]])),IF(FIND(MID(AY$1,10,5),TbTradesBinance[[#This Row],[Par]])=1, -(AX81-AX82)/AX81*AY81,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Row],[Par]])),(-(AX81-AX82)/AX81*AY81)+IF(TbTradesBinance[[#This Row],[Resultado]]&gt;0,0,TbTradesBinance[[#This Row],[Taxa]]),0),0))</f>
        <v>40.781337593356859</v>
      </c>
      <c r="AZ82" s="145">
        <f t="shared" si="32"/>
        <v>180.15345493376711</v>
      </c>
      <c r="BA8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Row],[Tipo]]="DROP"),BA81+TbTradesBinance[[#This Row],[Qtt]],BA81-TbTradesBinance[[#This Row],[Qtt]]),IF(TbTradesBinance[[#This Row],[Tipo]]="BUY",BA81-TbTradesBinance[[#This Row],[Qtt]]*TbTradesBinance[[#This Row],[Preço]],BA81+TbTradesBinance[[#This Row],[Qtt]]*TbTradesBinance[[#This Row],[Preço]])),BA81)-IF(TbTradesBinance[[#This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Row],[Tipo]]="DROP"),BA81+TbTradesBinance[[#This Row],[Qtt]],BA81-TbTradesBinance[[#This Row],[Qtt]]),IF(TbTradesBinance[[#This Row],[Tipo]]="BUY",BA81-TbTradesBinance[[#This Row],[Qtt]]*TbTradesBinance[[#This Row],[Preço]],BA81+TbTradesBinance[[#This Row],[Qtt]]*TbTradesBinance[[#This Row],[Preço]])),BA81)-IF(TbTradesBinance[[#This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Row],[Tipo]]="DROP"),BA81+TbTradesBinance[[#This Row],[Qtt]],BA81-TbTradesBinance[[#This Row],[Qtt]]),IF(TbTradesBinance[[#This Row],[Tipo]]="BUY",BA81-TbTradesBinance[[#This Row],[Qtt]]*TbTradesBinance[[#This Row],[Preço]],BA81+TbTradesBinance[[#This Row],[Qtt]]*TbTradesBinance[[#This Row],[Preço]])),BA81)-IF(TbTradesBinance[[#This Row],[Moeda da Taxa]]=MID(BA$1,9,5),TbTradesBinance[[#This Row],[Taxa]],0),8)))</f>
        <v>0</v>
      </c>
      <c r="BB82" s="145" cm="1">
        <f t="array" ref="BB82">IF(TbTradesBinance[[#This Row],[Tipo]]="EMPTY",0,BB81+IF(TbTradesBinance[[#This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Row],[Par]]))),$1:$1,0)),-(BA81-BA82)/BA81*BB81),0),0)+IF(TbTradesBinance[[#This Row],[Tipo]]="SELL",IF(ISNUMBER(FIND(MID(BB$1,10,5),TbTradesBinance[[#This Row],[Par]])),IF(FIND(MID(BB$1,10,5),TbTradesBinance[[#This Row],[Par]])=1, -(BA81-BA82)/BA81*BB81,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Row],[Par]])),(-(BA81-BA82)/BA81*BB81)+IF(TbTradesBinance[[#This Row],[Resultado]]&gt;0,0,TbTradesBinance[[#This Row],[Taxa]]),0),0))</f>
        <v>0</v>
      </c>
      <c r="BC82" s="145">
        <f t="shared" si="33"/>
        <v>0</v>
      </c>
      <c r="BD8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Row],[Tipo]]="DROP"),BD81+TbTradesBinance[[#This Row],[Qtt]],BD81-TbTradesBinance[[#This Row],[Qtt]]),IF(TbTradesBinance[[#This Row],[Tipo]]="BUY",BD81-TbTradesBinance[[#This Row],[Qtt]]*TbTradesBinance[[#This Row],[Preço]],BD81+TbTradesBinance[[#This Row],[Qtt]]*TbTradesBinance[[#This Row],[Preço]])),BD81)-IF(TbTradesBinance[[#This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Row],[Tipo]]="DROP"),BD81+TbTradesBinance[[#This Row],[Qtt]],BD81-TbTradesBinance[[#This Row],[Qtt]]),IF(TbTradesBinance[[#This Row],[Tipo]]="BUY",BD81-TbTradesBinance[[#This Row],[Qtt]]*TbTradesBinance[[#This Row],[Preço]],BD81+TbTradesBinance[[#This Row],[Qtt]]*TbTradesBinance[[#This Row],[Preço]])),BD81)-IF(TbTradesBinance[[#This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Row],[Tipo]]="DROP"),BD81+TbTradesBinance[[#This Row],[Qtt]],BD81-TbTradesBinance[[#This Row],[Qtt]]),IF(TbTradesBinance[[#This Row],[Tipo]]="BUY",BD81-TbTradesBinance[[#This Row],[Qtt]]*TbTradesBinance[[#This Row],[Preço]],BD81+TbTradesBinance[[#This Row],[Qtt]]*TbTradesBinance[[#This Row],[Preço]])),BD81)-IF(TbTradesBinance[[#This Row],[Moeda da Taxa]]=MID(BD$1,9,5),TbTradesBinance[[#This Row],[Taxa]],0),8)))</f>
        <v>0.37962000000000001</v>
      </c>
      <c r="BE82" s="145" cm="1">
        <f t="array" ref="BE82">IF(TbTradesBinance[[#This Row],[Tipo]]="EMPTY",0,BE81+IF(TbTradesBinance[[#This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Row],[Par]]))),$1:$1,0)),-(BD81-BD82)/BD81*BE81),0),0)+IF(TbTradesBinance[[#This Row],[Tipo]]="SELL",IF(ISNUMBER(FIND(MID(BE$1,10,5),TbTradesBinance[[#This Row],[Par]])),IF(FIND(MID(BE$1,10,5),TbTradesBinance[[#This Row],[Par]])=1, -(BD81-BD82)/BD81*BE81,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Row],[Par]])),(-(BD81-BD82)/BD81*BE81)+IF(TbTradesBinance[[#This Row],[Resultado]]&gt;0,0,TbTradesBinance[[#This Row],[Taxa]]),0),0))</f>
        <v>63.647297001537943</v>
      </c>
      <c r="BF82" s="145">
        <f t="shared" si="34"/>
        <v>167.66054739354601</v>
      </c>
      <c r="BG8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Row],[Tipo]]="DROP"),BG81+TbTradesBinance[[#This Row],[Qtt]],BG81-TbTradesBinance[[#This Row],[Qtt]]),IF(TbTradesBinance[[#This Row],[Tipo]]="BUY",BG81-TbTradesBinance[[#This Row],[Qtt]]*TbTradesBinance[[#This Row],[Preço]],BG81+TbTradesBinance[[#This Row],[Qtt]]*TbTradesBinance[[#This Row],[Preço]])),BG81)-IF(TbTradesBinance[[#This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Row],[Tipo]]="DROP"),BG81+TbTradesBinance[[#This Row],[Qtt]],BG81-TbTradesBinance[[#This Row],[Qtt]]),IF(TbTradesBinance[[#This Row],[Tipo]]="BUY",BG81-TbTradesBinance[[#This Row],[Qtt]]*TbTradesBinance[[#This Row],[Preço]],BG81+TbTradesBinance[[#This Row],[Qtt]]*TbTradesBinance[[#This Row],[Preço]])),BG81)-IF(TbTradesBinance[[#This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Row],[Tipo]]="DROP"),BG81+TbTradesBinance[[#This Row],[Qtt]],BG81-TbTradesBinance[[#This Row],[Qtt]]),IF(TbTradesBinance[[#This Row],[Tipo]]="BUY",BG81-TbTradesBinance[[#This Row],[Qtt]]*TbTradesBinance[[#This Row],[Preço]],BG81+TbTradesBinance[[#This Row],[Qtt]]*TbTradesBinance[[#This Row],[Preço]])),BG81)-IF(TbTradesBinance[[#This Row],[Moeda da Taxa]]=MID(BG$1,9,5),TbTradesBinance[[#This Row],[Taxa]],0),8)))</f>
        <v>8.1700000000000002E-3</v>
      </c>
      <c r="BH82" s="145" cm="1">
        <f t="array" ref="BH82">IF(TbTradesBinance[[#This Row],[Tipo]]="EMPTY",0,BH81+IF(TbTradesBinance[[#This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Row],[Par]]))),$1:$1,0)),-(BG81-BG82)/BG81*BH81),0),0)+IF(TbTradesBinance[[#This Row],[Tipo]]="SELL",IF(ISNUMBER(FIND(MID(BH$1,10,5),TbTradesBinance[[#This Row],[Par]])),IF(FIND(MID(BH$1,10,5),TbTradesBinance[[#This Row],[Par]])=1, -(BG81-BG82)/BG81*BH81,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Row],[Par]])),(-(BG81-BG82)/BG81*BH81)+IF(TbTradesBinance[[#This Row],[Resultado]]&gt;0,0,TbTradesBinance[[#This Row],[Taxa]]),0),0))</f>
        <v>2.9348177900828887E-2</v>
      </c>
      <c r="BI82" s="145">
        <f t="shared" si="35"/>
        <v>3.5921882375555554</v>
      </c>
      <c r="BJ8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Row],[Tipo]]="DROP"),BJ81+TbTradesBinance[[#This Row],[Qtt]],BJ81-TbTradesBinance[[#This Row],[Qtt]]),IF(TbTradesBinance[[#This Row],[Tipo]]="BUY",BJ81-TbTradesBinance[[#This Row],[Qtt]]*TbTradesBinance[[#This Row],[Preço]],BJ81+TbTradesBinance[[#This Row],[Qtt]]*TbTradesBinance[[#This Row],[Preço]])),BJ81)-IF(TbTradesBinance[[#This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Row],[Tipo]]="DROP"),BJ81+TbTradesBinance[[#This Row],[Qtt]],BJ81-TbTradesBinance[[#This Row],[Qtt]]),IF(TbTradesBinance[[#This Row],[Tipo]]="BUY",BJ81-TbTradesBinance[[#This Row],[Qtt]]*TbTradesBinance[[#This Row],[Preço]],BJ81+TbTradesBinance[[#This Row],[Qtt]]*TbTradesBinance[[#This Row],[Preço]])),BJ81)-IF(TbTradesBinance[[#This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Row],[Tipo]]="DROP"),BJ81+TbTradesBinance[[#This Row],[Qtt]],BJ81-TbTradesBinance[[#This Row],[Qtt]]),IF(TbTradesBinance[[#This Row],[Tipo]]="BUY",BJ81-TbTradesBinance[[#This Row],[Qtt]]*TbTradesBinance[[#This Row],[Preço]],BJ81+TbTradesBinance[[#This Row],[Qtt]]*TbTradesBinance[[#This Row],[Preço]])),BJ81)-IF(TbTradesBinance[[#This Row],[Moeda da Taxa]]=MID(BJ$1,9,5),TbTradesBinance[[#This Row],[Taxa]],0),8)))</f>
        <v>0</v>
      </c>
      <c r="BK82" s="145" cm="1">
        <f t="array" ref="BK82">IF(TbTradesBinance[[#This Row],[Tipo]]="EMPTY",0,BK81+IF(TbTradesBinance[[#This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Row],[Par]]))),$1:$1,0)),-(BJ81-BJ82)/BJ81*BK81),0),0)+IF(TbTradesBinance[[#This Row],[Tipo]]="SELL",IF(ISNUMBER(FIND(MID(BK$1,10,5),TbTradesBinance[[#This Row],[Par]])),IF(FIND(MID(BK$1,10,5),TbTradesBinance[[#This Row],[Par]])=1, -(BJ81-BJ82)/BJ81*BK81,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Row],[Par]])),(-(BJ81-BJ82)/BJ81*BK81)+IF(TbTradesBinance[[#This Row],[Resultado]]&gt;0,0,TbTradesBinance[[#This Row],[Taxa]]),0),0))</f>
        <v>0</v>
      </c>
      <c r="BL82" s="145">
        <f t="shared" si="36"/>
        <v>0</v>
      </c>
      <c r="BM8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Row],[Tipo]]="DROP"),BM81+TbTradesBinance[[#This Row],[Qtt]],BM81-TbTradesBinance[[#This Row],[Qtt]]),IF(TbTradesBinance[[#This Row],[Tipo]]="BUY",BM81-TbTradesBinance[[#This Row],[Qtt]]*TbTradesBinance[[#This Row],[Preço]],BM81+TbTradesBinance[[#This Row],[Qtt]]*TbTradesBinance[[#This Row],[Preço]])),BM81)-IF(TbTradesBinance[[#This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Row],[Tipo]]="DROP"),BM81+TbTradesBinance[[#This Row],[Qtt]],BM81-TbTradesBinance[[#This Row],[Qtt]]),IF(TbTradesBinance[[#This Row],[Tipo]]="BUY",BM81-TbTradesBinance[[#This Row],[Qtt]]*TbTradesBinance[[#This Row],[Preço]],BM81+TbTradesBinance[[#This Row],[Qtt]]*TbTradesBinance[[#This Row],[Preço]])),BM81)-IF(TbTradesBinance[[#This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Row],[Tipo]]="DROP"),BM81+TbTradesBinance[[#This Row],[Qtt]],BM81-TbTradesBinance[[#This Row],[Qtt]]),IF(TbTradesBinance[[#This Row],[Tipo]]="BUY",BM81-TbTradesBinance[[#This Row],[Qtt]]*TbTradesBinance[[#This Row],[Preço]],BM81+TbTradesBinance[[#This Row],[Qtt]]*TbTradesBinance[[#This Row],[Preço]])),BM81)-IF(TbTradesBinance[[#This Row],[Moeda da Taxa]]=MID(BM$1,9,5),TbTradesBinance[[#This Row],[Taxa]],0),8)))</f>
        <v>0</v>
      </c>
      <c r="BN82" s="145" cm="1">
        <f t="array" ref="BN82">IF(TbTradesBinance[[#This Row],[Tipo]]="EMPTY",0,BN81+IF(TbTradesBinance[[#This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Row],[Par]]))),$1:$1,0)),-(BM81-BM82)/BM81*BN81),0),0)+IF(TbTradesBinance[[#This Row],[Tipo]]="SELL",IF(ISNUMBER(FIND(MID(BN$1,10,5),TbTradesBinance[[#This Row],[Par]])),IF(FIND(MID(BN$1,10,5),TbTradesBinance[[#This Row],[Par]])=1, -(BM81-BM82)/BM81*BN81,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Row],[Par]])),(-(BM81-BM82)/BM81*BN81)+IF(TbTradesBinance[[#This Row],[Resultado]]&gt;0,0,TbTradesBinance[[#This Row],[Taxa]]),0),0))</f>
        <v>0</v>
      </c>
      <c r="BO82" s="145">
        <f t="shared" si="37"/>
        <v>0</v>
      </c>
    </row>
    <row r="83" spans="2:67" x14ac:dyDescent="0.3">
      <c r="B83" s="51"/>
      <c r="C83" s="40">
        <f>TRUNC(IF(AND(TbTradesBinance[[#This Row],[Tipo]]="SEND",TbTradesBinance[[#This Row],[Par]]="BRL"),TbTradesBinance[[#This Row],[Qtt]]*(1-P81)-IF(TbTradesBinance[[#This Row],[Moeda da Taxa]]="BRL",TbTradesBinance[[#This Row],[Taxa]],0),0)+IF(AND(TbTradesBinance[[#This Row],[Tipo]]="BURN",TbTradesBinance[[#This Row],[Par]]="BRL"),-TbTradesBinance[[#This Row],[Qtt]]*P81,0),2)</f>
        <v>0</v>
      </c>
      <c r="D83" s="53">
        <v>44266.941319444442</v>
      </c>
      <c r="E83" s="37" t="s">
        <v>249</v>
      </c>
      <c r="F83" s="47" t="s">
        <v>139</v>
      </c>
      <c r="G83" s="38">
        <v>57054.16</v>
      </c>
      <c r="H83" s="38">
        <v>1.0790000000000001E-3</v>
      </c>
      <c r="I83" s="38">
        <v>1.08E-6</v>
      </c>
      <c r="J83" s="37" t="s">
        <v>6</v>
      </c>
      <c r="K83" s="52">
        <v>5.56</v>
      </c>
      <c r="L83" s="40">
        <f t="shared" si="19"/>
        <v>317221.12</v>
      </c>
      <c r="M83" s="40">
        <f>IF(OR(TbTradesBinance[[#This Row],[Tipo]]="BUY",TbTradesBinance[[#This Row],[Tipo]]="RECEIVE",TbTradesBinance[[#This Row],[Tipo]]="DROP"),L83*H83,-L83*H83)</f>
        <v>342.28158848000004</v>
      </c>
      <c r="N8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Row],[Tipo]]="DROP"),N82+TbTradesBinance[[#This Row],[Qtt]],N82-TbTradesBinance[[#This Row],[Qtt]]),IF(TbTradesBinance[[#This Row],[Tipo]]="BUY",N82-TbTradesBinance[[#This Row],[Qtt]]*TbTradesBinance[[#This Row],[Preço]],N82+TbTradesBinance[[#This Row],[Qtt]]*TbTradesBinance[[#This Row],[Preço]])),N82)-IF(TbTradesBinance[[#This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Row],[Tipo]]="DROP"),N82+TbTradesBinance[[#This Row],[Qtt]],N82-TbTradesBinance[[#This Row],[Qtt]]),IF(TbTradesBinance[[#This Row],[Tipo]]="BUY",N82-TbTradesBinance[[#This Row],[Qtt]]*TbTradesBinance[[#This Row],[Preço]],N82+TbTradesBinance[[#This Row],[Qtt]]*TbTradesBinance[[#This Row],[Preço]])),N82)-IF(TbTradesBinance[[#This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Row],[Tipo]]="DROP"),N82+TbTradesBinance[[#This Row],[Qtt]],N82-TbTradesBinance[[#This Row],[Qtt]]),IF(TbTradesBinance[[#This Row],[Tipo]]="BUY",N82-TbTradesBinance[[#This Row],[Qtt]]*TbTradesBinance[[#This Row],[Preço]],N82+TbTradesBinance[[#This Row],[Qtt]]*TbTradesBinance[[#This Row],[Preço]])),N82)-IF(TbTradesBinance[[#This Row],[Moeda da Taxa]]=MID(N$1,9,5),TbTradesBinance[[#This Row],[Taxa]],0),8)))</f>
        <v>119745.69699999</v>
      </c>
      <c r="O83" s="145" cm="1">
        <f t="array" ref="O83">IF(TbTradesBinance[[#This Row],[Tipo]]="EMPTY",0,O82+IF(TbTradesBinance[[#This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Row],[Par]]))),$1:$1,0)),-(N82-N83)/N82*O82),0),0)+IF(TbTradesBinance[[#This Row],[Tipo]]="SELL",IF(ISNUMBER(FIND(MID(O$1,10,5),TbTradesBinance[[#This Row],[Par]])),IF(FIND(MID(O$1,10,5),TbTradesBinance[[#This Row],[Par]])=1, -(N82-N83)/N82*O82,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Row],[Par]])),(-(N82-N83)/N82*O82)+IF(TbTradesBinance[[#This Row],[Resultado]]&gt;0,0,TbTradesBinance[[#This Row],[Taxa]]),0),0))</f>
        <v>119641.00371151598</v>
      </c>
      <c r="P83" s="145">
        <f t="shared" si="20"/>
        <v>0.9991257031267351</v>
      </c>
      <c r="Q8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Row],[Tipo]]="DROP"),Q82+TbTradesBinance[[#This Row],[Qtt]],Q82-TbTradesBinance[[#This Row],[Qtt]]),IF(TbTradesBinance[[#This Row],[Tipo]]="BUY",Q82-TbTradesBinance[[#This Row],[Qtt]]*TbTradesBinance[[#This Row],[Preço]],Q82+TbTradesBinance[[#This Row],[Qtt]]*TbTradesBinance[[#This Row],[Preço]])),Q82)-IF(TbTradesBinance[[#This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Row],[Tipo]]="DROP"),Q82+TbTradesBinance[[#This Row],[Qtt]],Q82-TbTradesBinance[[#This Row],[Qtt]]),IF(TbTradesBinance[[#This Row],[Tipo]]="BUY",Q82-TbTradesBinance[[#This Row],[Qtt]]*TbTradesBinance[[#This Row],[Preço]],Q82+TbTradesBinance[[#This Row],[Qtt]]*TbTradesBinance[[#This Row],[Preço]])),Q82)-IF(TbTradesBinance[[#This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Row],[Tipo]]="DROP"),Q82+TbTradesBinance[[#This Row],[Qtt]],Q82-TbTradesBinance[[#This Row],[Qtt]]),IF(TbTradesBinance[[#This Row],[Tipo]]="BUY",Q82-TbTradesBinance[[#This Row],[Qtt]]*TbTradesBinance[[#This Row],[Preço]],Q82+TbTradesBinance[[#This Row],[Qtt]]*TbTradesBinance[[#This Row],[Preço]])),Q82)-IF(TbTradesBinance[[#This Row],[Moeda da Taxa]]=MID(Q$1,9,5),TbTradesBinance[[#This Row],[Taxa]],0),8)))</f>
        <v>1.2019129999999999E-2</v>
      </c>
      <c r="R83" s="145" cm="1">
        <f t="array" ref="R83">IF(TbTradesBinance[[#This Row],[Tipo]]="EMPTY",0,R82+IF(TbTradesBinance[[#This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Row],[Par]]))),$1:$1,0)),-(Q82-Q83)/Q82*R82),0),0)+IF(TbTradesBinance[[#This Row],[Tipo]]="SELL",IF(ISNUMBER(FIND(MID(R$1,10,5),TbTradesBinance[[#This Row],[Par]])),IF(FIND(MID(R$1,10,5),TbTradesBinance[[#This Row],[Par]])=1, -(Q82-Q83)/Q82*R82,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Row],[Par]])),(-(Q82-Q83)/Q82*R82)+IF(TbTradesBinance[[#This Row],[Resultado]]&gt;0,0,TbTradesBinance[[#This Row],[Taxa]]),0),0))</f>
        <v>7.842025887367754E-2</v>
      </c>
      <c r="S83" s="145">
        <f t="shared" si="21"/>
        <v>6.5246202407060698</v>
      </c>
      <c r="T8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Row],[Tipo]]="DROP"),T82+TbTradesBinance[[#This Row],[Qtt]],T82-TbTradesBinance[[#This Row],[Qtt]]),IF(TbTradesBinance[[#This Row],[Tipo]]="BUY",T82-TbTradesBinance[[#This Row],[Qtt]]*TbTradesBinance[[#This Row],[Preço]],T82+TbTradesBinance[[#This Row],[Qtt]]*TbTradesBinance[[#This Row],[Preço]])),T82)-IF(TbTradesBinance[[#This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Row],[Tipo]]="DROP"),T82+TbTradesBinance[[#This Row],[Qtt]],T82-TbTradesBinance[[#This Row],[Qtt]]),IF(TbTradesBinance[[#This Row],[Tipo]]="BUY",T82-TbTradesBinance[[#This Row],[Qtt]]*TbTradesBinance[[#This Row],[Preço]],T82+TbTradesBinance[[#This Row],[Qtt]]*TbTradesBinance[[#This Row],[Preço]])),T82)-IF(TbTradesBinance[[#This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Row],[Tipo]]="DROP"),T82+TbTradesBinance[[#This Row],[Qtt]],T82-TbTradesBinance[[#This Row],[Qtt]]),IF(TbTradesBinance[[#This Row],[Tipo]]="BUY",T82-TbTradesBinance[[#This Row],[Qtt]]*TbTradesBinance[[#This Row],[Preço]],T82+TbTradesBinance[[#This Row],[Qtt]]*TbTradesBinance[[#This Row],[Preço]])),T82)-IF(TbTradesBinance[[#This Row],[Moeda da Taxa]]=MID(T$1,9,5),TbTradesBinance[[#This Row],[Taxa]],0),8)))</f>
        <v>199735.32000169999</v>
      </c>
      <c r="U83" s="145" cm="1">
        <f t="array" ref="U83">IF(TbTradesBinance[[#This Row],[Tipo]]="EMPTY",0,U82+IF(TbTradesBinance[[#This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Row],[Par]]))),$1:$1,0)),-(T82-T83)/T82*U82),0),0)+IF(TbTradesBinance[[#This Row],[Tipo]]="SELL",IF(ISNUMBER(FIND(MID(U$1,10,5),TbTradesBinance[[#This Row],[Par]])),IF(FIND(MID(U$1,10,5),TbTradesBinance[[#This Row],[Par]])=1, -(T82-T83)/T82*U82,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Row],[Par]])),(-(T82-T83)/T82*U82)+IF(TbTradesBinance[[#This Row],[Resultado]]&gt;0,0,TbTradesBinance[[#This Row],[Taxa]]),0),0))</f>
        <v>1328239.8809817513</v>
      </c>
      <c r="V83" s="145">
        <f t="shared" si="22"/>
        <v>6.6500000148719129</v>
      </c>
      <c r="W8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Row],[Tipo]]="DROP"),W82+TbTradesBinance[[#This Row],[Qtt]],W82-TbTradesBinance[[#This Row],[Qtt]]),IF(TbTradesBinance[[#This Row],[Tipo]]="BUY",W82-TbTradesBinance[[#This Row],[Qtt]]*TbTradesBinance[[#This Row],[Preço]],W82+TbTradesBinance[[#This Row],[Qtt]]*TbTradesBinance[[#This Row],[Preço]])),W82)-IF(TbTradesBinance[[#This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Row],[Tipo]]="DROP"),W82+TbTradesBinance[[#This Row],[Qtt]],W82-TbTradesBinance[[#This Row],[Qtt]]),IF(TbTradesBinance[[#This Row],[Tipo]]="BUY",W82-TbTradesBinance[[#This Row],[Qtt]]*TbTradesBinance[[#This Row],[Preço]],W82+TbTradesBinance[[#This Row],[Qtt]]*TbTradesBinance[[#This Row],[Preço]])),W82)-IF(TbTradesBinance[[#This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Row],[Tipo]]="DROP"),W82+TbTradesBinance[[#This Row],[Qtt]],W82-TbTradesBinance[[#This Row],[Qtt]]),IF(TbTradesBinance[[#This Row],[Tipo]]="BUY",W82-TbTradesBinance[[#This Row],[Qtt]]*TbTradesBinance[[#This Row],[Preço]],W82+TbTradesBinance[[#This Row],[Qtt]]*TbTradesBinance[[#This Row],[Preço]])),W82)-IF(TbTradesBinance[[#This Row],[Moeda da Taxa]]=MID(W$1,9,5),TbTradesBinance[[#This Row],[Taxa]],0),8)))</f>
        <v>4.2895499999999996E-3</v>
      </c>
      <c r="X83" s="145" cm="1">
        <f t="array" ref="X83">IF(TbTradesBinance[[#This Row],[Tipo]]="EMPTY",0,X82+IF(TbTradesBinance[[#This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Row],[Par]]))),$1:$1,0)),-(W82-W83)/W82*X82),0),0)+IF(TbTradesBinance[[#This Row],[Tipo]]="SELL",IF(ISNUMBER(FIND(MID(X$1,10,5),TbTradesBinance[[#This Row],[Par]])),IF(FIND(MID(X$1,10,5),TbTradesBinance[[#This Row],[Par]])=1, -(W82-W83)/W82*X82,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Row],[Par]])),(-(W82-W83)/W82*X82)+IF(TbTradesBinance[[#This Row],[Resultado]]&gt;0,0,TbTradesBinance[[#This Row],[Taxa]]),0),0))</f>
        <v>1431.7013972957272</v>
      </c>
      <c r="Y83" s="145">
        <f t="shared" si="23"/>
        <v>333764.93974792864</v>
      </c>
      <c r="Z8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Row],[Tipo]]="DROP"),Z82+TbTradesBinance[[#This Row],[Qtt]],Z82-TbTradesBinance[[#This Row],[Qtt]]),IF(TbTradesBinance[[#This Row],[Tipo]]="BUY",Z82-TbTradesBinance[[#This Row],[Qtt]]*TbTradesBinance[[#This Row],[Preço]],Z82+TbTradesBinance[[#This Row],[Qtt]]*TbTradesBinance[[#This Row],[Preço]])),Z82)-IF(TbTradesBinance[[#This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Row],[Tipo]]="DROP"),Z82+TbTradesBinance[[#This Row],[Qtt]],Z82-TbTradesBinance[[#This Row],[Qtt]]),IF(TbTradesBinance[[#This Row],[Tipo]]="BUY",Z82-TbTradesBinance[[#This Row],[Qtt]]*TbTradesBinance[[#This Row],[Preço]],Z82+TbTradesBinance[[#This Row],[Qtt]]*TbTradesBinance[[#This Row],[Preço]])),Z82)-IF(TbTradesBinance[[#This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Row],[Tipo]]="DROP"),Z82+TbTradesBinance[[#This Row],[Qtt]],Z82-TbTradesBinance[[#This Row],[Qtt]]),IF(TbTradesBinance[[#This Row],[Tipo]]="BUY",Z82-TbTradesBinance[[#This Row],[Qtt]]*TbTradesBinance[[#This Row],[Preço]],Z82+TbTradesBinance[[#This Row],[Qtt]]*TbTradesBinance[[#This Row],[Preço]])),Z82)-IF(TbTradesBinance[[#This Row],[Moeda da Taxa]]=MID(Z$1,9,5),TbTradesBinance[[#This Row],[Taxa]],0),8)))</f>
        <v>0</v>
      </c>
      <c r="AA83" s="145" cm="1">
        <f t="array" ref="AA83">IF(TbTradesBinance[[#This Row],[Tipo]]="EMPTY",0,AA82+IF(TbTradesBinance[[#This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Row],[Par]]))),$1:$1,0)),-(Z82-Z83)/Z82*AA82),0),0)+IF(TbTradesBinance[[#This Row],[Tipo]]="SELL",IF(ISNUMBER(FIND(MID(AA$1,10,5),TbTradesBinance[[#This Row],[Par]])),IF(FIND(MID(AA$1,10,5),TbTradesBinance[[#This Row],[Par]])=1, -(Z82-Z83)/Z82*AA82,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Row],[Par]])),(-(Z82-Z83)/Z82*AA82)+IF(TbTradesBinance[[#This Row],[Resultado]]&gt;0,0,TbTradesBinance[[#This Row],[Taxa]]),0),0))</f>
        <v>0</v>
      </c>
      <c r="AB83" s="145">
        <f t="shared" si="24"/>
        <v>0</v>
      </c>
      <c r="AC8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Row],[Tipo]]="DROP"),AC82+TbTradesBinance[[#This Row],[Qtt]],AC82-TbTradesBinance[[#This Row],[Qtt]]),IF(TbTradesBinance[[#This Row],[Tipo]]="BUY",AC82-TbTradesBinance[[#This Row],[Qtt]]*TbTradesBinance[[#This Row],[Preço]],AC82+TbTradesBinance[[#This Row],[Qtt]]*TbTradesBinance[[#This Row],[Preço]])),AC82)-IF(TbTradesBinance[[#This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Row],[Tipo]]="DROP"),AC82+TbTradesBinance[[#This Row],[Qtt]],AC82-TbTradesBinance[[#This Row],[Qtt]]),IF(TbTradesBinance[[#This Row],[Tipo]]="BUY",AC82-TbTradesBinance[[#This Row],[Qtt]]*TbTradesBinance[[#This Row],[Preço]],AC82+TbTradesBinance[[#This Row],[Qtt]]*TbTradesBinance[[#This Row],[Preço]])),AC82)-IF(TbTradesBinance[[#This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Row],[Tipo]]="DROP"),AC82+TbTradesBinance[[#This Row],[Qtt]],AC82-TbTradesBinance[[#This Row],[Qtt]]),IF(TbTradesBinance[[#This Row],[Tipo]]="BUY",AC82-TbTradesBinance[[#This Row],[Qtt]]*TbTradesBinance[[#This Row],[Preço]],AC82+TbTradesBinance[[#This Row],[Qtt]]*TbTradesBinance[[#This Row],[Preço]])),AC82)-IF(TbTradesBinance[[#This Row],[Moeda da Taxa]]=MID(AC$1,9,5),TbTradesBinance[[#This Row],[Taxa]],0),8)))</f>
        <v>0</v>
      </c>
      <c r="AD83" s="145" cm="1">
        <f t="array" ref="AD83">IF(TbTradesBinance[[#This Row],[Tipo]]="EMPTY",0,AD82+IF(TbTradesBinance[[#This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Row],[Par]]))),$1:$1,0)),-(AC82-AC83)/AC82*AD82),0),0)+IF(TbTradesBinance[[#This Row],[Tipo]]="SELL",IF(ISNUMBER(FIND(MID(AD$1,10,5),TbTradesBinance[[#This Row],[Par]])),IF(FIND(MID(AD$1,10,5),TbTradesBinance[[#This Row],[Par]])=1, -(AC82-AC83)/AC82*AD82,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Row],[Par]])),(-(AC82-AC83)/AC82*AD82)+IF(TbTradesBinance[[#This Row],[Resultado]]&gt;0,0,TbTradesBinance[[#This Row],[Taxa]]),0),0))</f>
        <v>0</v>
      </c>
      <c r="AE83" s="145">
        <f t="shared" si="25"/>
        <v>0</v>
      </c>
      <c r="AF8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Row],[Tipo]]="DROP"),AF82+TbTradesBinance[[#This Row],[Qtt]],AF82-TbTradesBinance[[#This Row],[Qtt]]),IF(TbTradesBinance[[#This Row],[Tipo]]="BUY",AF82-TbTradesBinance[[#This Row],[Qtt]]*TbTradesBinance[[#This Row],[Preço]],AF82+TbTradesBinance[[#This Row],[Qtt]]*TbTradesBinance[[#This Row],[Preço]])),AF82)-IF(TbTradesBinance[[#This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Row],[Tipo]]="DROP"),AF82+TbTradesBinance[[#This Row],[Qtt]],AF82-TbTradesBinance[[#This Row],[Qtt]]),IF(TbTradesBinance[[#This Row],[Tipo]]="BUY",AF82-TbTradesBinance[[#This Row],[Qtt]]*TbTradesBinance[[#This Row],[Preço]],AF82+TbTradesBinance[[#This Row],[Qtt]]*TbTradesBinance[[#This Row],[Preço]])),AF82)-IF(TbTradesBinance[[#This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Row],[Tipo]]="DROP"),AF82+TbTradesBinance[[#This Row],[Qtt]],AF82-TbTradesBinance[[#This Row],[Qtt]]),IF(TbTradesBinance[[#This Row],[Tipo]]="BUY",AF82-TbTradesBinance[[#This Row],[Qtt]]*TbTradesBinance[[#This Row],[Preço]],AF82+TbTradesBinance[[#This Row],[Qtt]]*TbTradesBinance[[#This Row],[Preço]])),AF82)-IF(TbTradesBinance[[#This Row],[Moeda da Taxa]]=MID(AF$1,9,5),TbTradesBinance[[#This Row],[Taxa]],0),8)))</f>
        <v>19.98</v>
      </c>
      <c r="AG83" s="145" cm="1">
        <f t="array" ref="AG83">IF(TbTradesBinance[[#This Row],[Tipo]]="EMPTY",0,AG82+IF(TbTradesBinance[[#This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Row],[Par]]))),$1:$1,0)),-(AF82-AF83)/AF82*AG82),0),0)+IF(TbTradesBinance[[#This Row],[Tipo]]="SELL",IF(ISNUMBER(FIND(MID(AG$1,10,5),TbTradesBinance[[#This Row],[Par]])),IF(FIND(MID(AG$1,10,5),TbTradesBinance[[#This Row],[Par]])=1, -(AF82-AF83)/AF82*AG82,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Row],[Par]])),(-(AF82-AF83)/AF82*AG82)+IF(TbTradesBinance[[#This Row],[Resultado]]&gt;0,0,TbTradesBinance[[#This Row],[Taxa]]),0),0))</f>
        <v>124.04182758073662</v>
      </c>
      <c r="AH83" s="145">
        <f t="shared" si="26"/>
        <v>6.2082996787155462</v>
      </c>
      <c r="AI8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Row],[Tipo]]="DROP"),AI82+TbTradesBinance[[#This Row],[Qtt]],AI82-TbTradesBinance[[#This Row],[Qtt]]),IF(TbTradesBinance[[#This Row],[Tipo]]="BUY",AI82-TbTradesBinance[[#This Row],[Qtt]]*TbTradesBinance[[#This Row],[Preço]],AI82+TbTradesBinance[[#This Row],[Qtt]]*TbTradesBinance[[#This Row],[Preço]])),AI82)-IF(TbTradesBinance[[#This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Row],[Tipo]]="DROP"),AI82+TbTradesBinance[[#This Row],[Qtt]],AI82-TbTradesBinance[[#This Row],[Qtt]]),IF(TbTradesBinance[[#This Row],[Tipo]]="BUY",AI82-TbTradesBinance[[#This Row],[Qtt]]*TbTradesBinance[[#This Row],[Preço]],AI82+TbTradesBinance[[#This Row],[Qtt]]*TbTradesBinance[[#This Row],[Preço]])),AI82)-IF(TbTradesBinance[[#This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Row],[Tipo]]="DROP"),AI82+TbTradesBinance[[#This Row],[Qtt]],AI82-TbTradesBinance[[#This Row],[Qtt]]),IF(TbTradesBinance[[#This Row],[Tipo]]="BUY",AI82-TbTradesBinance[[#This Row],[Qtt]]*TbTradesBinance[[#This Row],[Preço]],AI82+TbTradesBinance[[#This Row],[Qtt]]*TbTradesBinance[[#This Row],[Preço]])),AI82)-IF(TbTradesBinance[[#This Row],[Moeda da Taxa]]=MID(AI$1,9,5),TbTradesBinance[[#This Row],[Taxa]],0),8)))</f>
        <v>0</v>
      </c>
      <c r="AJ83" s="145" cm="1">
        <f t="array" ref="AJ83">IF(TbTradesBinance[[#This Row],[Tipo]]="EMPTY",0,AJ82+IF(TbTradesBinance[[#This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Row],[Par]]))),$1:$1,0)),-(AI82-AI83)/AI82*AJ82),0),0)+IF(TbTradesBinance[[#This Row],[Tipo]]="SELL",IF(ISNUMBER(FIND(MID(AJ$1,10,5),TbTradesBinance[[#This Row],[Par]])),IF(FIND(MID(AJ$1,10,5),TbTradesBinance[[#This Row],[Par]])=1, -(AI82-AI83)/AI82*AJ82,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Row],[Par]])),(-(AI82-AI83)/AI82*AJ82)+IF(TbTradesBinance[[#This Row],[Resultado]]&gt;0,0,TbTradesBinance[[#This Row],[Taxa]]),0),0))</f>
        <v>0</v>
      </c>
      <c r="AK83" s="145">
        <f t="shared" si="27"/>
        <v>0</v>
      </c>
      <c r="AL8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Row],[Tipo]]="DROP"),AL82+TbTradesBinance[[#This Row],[Qtt]],AL82-TbTradesBinance[[#This Row],[Qtt]]),IF(TbTradesBinance[[#This Row],[Tipo]]="BUY",AL82-TbTradesBinance[[#This Row],[Qtt]]*TbTradesBinance[[#This Row],[Preço]],AL82+TbTradesBinance[[#This Row],[Qtt]]*TbTradesBinance[[#This Row],[Preço]])),AL82)-IF(TbTradesBinance[[#This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Row],[Tipo]]="DROP"),AL82+TbTradesBinance[[#This Row],[Qtt]],AL82-TbTradesBinance[[#This Row],[Qtt]]),IF(TbTradesBinance[[#This Row],[Tipo]]="BUY",AL82-TbTradesBinance[[#This Row],[Qtt]]*TbTradesBinance[[#This Row],[Preço]],AL82+TbTradesBinance[[#This Row],[Qtt]]*TbTradesBinance[[#This Row],[Preço]])),AL82)-IF(TbTradesBinance[[#This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Row],[Tipo]]="DROP"),AL82+TbTradesBinance[[#This Row],[Qtt]],AL82-TbTradesBinance[[#This Row],[Qtt]]),IF(TbTradesBinance[[#This Row],[Tipo]]="BUY",AL82-TbTradesBinance[[#This Row],[Qtt]]*TbTradesBinance[[#This Row],[Preço]],AL82+TbTradesBinance[[#This Row],[Qtt]]*TbTradesBinance[[#This Row],[Preço]])),AL82)-IF(TbTradesBinance[[#This Row],[Moeda da Taxa]]=MID(AL$1,9,5),TbTradesBinance[[#This Row],[Taxa]],0),8)))</f>
        <v>1.75824</v>
      </c>
      <c r="AM83" s="145" cm="1">
        <f t="array" ref="AM83">IF(TbTradesBinance[[#This Row],[Tipo]]="EMPTY",0,AM82+IF(TbTradesBinance[[#This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Row],[Par]]))),$1:$1,0)),-(AL82-AL83)/AL82*AM82),0),0)+IF(TbTradesBinance[[#This Row],[Tipo]]="SELL",IF(ISNUMBER(FIND(MID(AM$1,10,5),TbTradesBinance[[#This Row],[Par]])),IF(FIND(MID(AM$1,10,5),TbTradesBinance[[#This Row],[Par]])=1, -(AL82-AL83)/AL82*AM82,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Row],[Par]])),(-(AL82-AL83)/AL82*AM82)+IF(TbTradesBinance[[#This Row],[Resultado]]&gt;0,0,TbTradesBinance[[#This Row],[Taxa]]),0),0))</f>
        <v>144.56635471393039</v>
      </c>
      <c r="AN83" s="145">
        <f t="shared" si="28"/>
        <v>82.222196465744375</v>
      </c>
      <c r="AO8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Row],[Tipo]]="DROP"),AO82+TbTradesBinance[[#This Row],[Qtt]],AO82-TbTradesBinance[[#This Row],[Qtt]]),IF(TbTradesBinance[[#This Row],[Tipo]]="BUY",AO82-TbTradesBinance[[#This Row],[Qtt]]*TbTradesBinance[[#This Row],[Preço]],AO82+TbTradesBinance[[#This Row],[Qtt]]*TbTradesBinance[[#This Row],[Preço]])),AO82)-IF(TbTradesBinance[[#This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Row],[Tipo]]="DROP"),AO82+TbTradesBinance[[#This Row],[Qtt]],AO82-TbTradesBinance[[#This Row],[Qtt]]),IF(TbTradesBinance[[#This Row],[Tipo]]="BUY",AO82-TbTradesBinance[[#This Row],[Qtt]]*TbTradesBinance[[#This Row],[Preço]],AO82+TbTradesBinance[[#This Row],[Qtt]]*TbTradesBinance[[#This Row],[Preço]])),AO82)-IF(TbTradesBinance[[#This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Row],[Tipo]]="DROP"),AO82+TbTradesBinance[[#This Row],[Qtt]],AO82-TbTradesBinance[[#This Row],[Qtt]]),IF(TbTradesBinance[[#This Row],[Tipo]]="BUY",AO82-TbTradesBinance[[#This Row],[Qtt]]*TbTradesBinance[[#This Row],[Preço]],AO82+TbTradesBinance[[#This Row],[Qtt]]*TbTradesBinance[[#This Row],[Preço]])),AO82)-IF(TbTradesBinance[[#This Row],[Moeda da Taxa]]=MID(AO$1,9,5),TbTradesBinance[[#This Row],[Taxa]],0),8)))</f>
        <v>2.70054E-3</v>
      </c>
      <c r="AP83" s="145" cm="1">
        <f t="array" ref="AP83">IF(TbTradesBinance[[#This Row],[Tipo]]="EMPTY",0,AP82+IF(TbTradesBinance[[#This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Row],[Par]]))),$1:$1,0)),-(AO82-AO83)/AO82*AP82),0),0)+IF(TbTradesBinance[[#This Row],[Tipo]]="SELL",IF(ISNUMBER(FIND(MID(AP$1,10,5),TbTradesBinance[[#This Row],[Par]])),IF(FIND(MID(AP$1,10,5),TbTradesBinance[[#This Row],[Par]])=1, -(AO82-AO83)/AO82*AP82,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Row],[Par]])),(-(AO82-AO83)/AO82*AP82)+IF(TbTradesBinance[[#This Row],[Resultado]]&gt;0,0,TbTradesBinance[[#This Row],[Taxa]]),0),0))</f>
        <v>5.2490633588966693</v>
      </c>
      <c r="AQ83" s="145">
        <f t="shared" si="29"/>
        <v>1943.7087985723854</v>
      </c>
      <c r="AR8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Row],[Tipo]]="DROP"),AR82+TbTradesBinance[[#This Row],[Qtt]],AR82-TbTradesBinance[[#This Row],[Qtt]]),IF(TbTradesBinance[[#This Row],[Tipo]]="BUY",AR82-TbTradesBinance[[#This Row],[Qtt]]*TbTradesBinance[[#This Row],[Preço]],AR82+TbTradesBinance[[#This Row],[Qtt]]*TbTradesBinance[[#This Row],[Preço]])),AR82)-IF(TbTradesBinance[[#This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Row],[Tipo]]="DROP"),AR82+TbTradesBinance[[#This Row],[Qtt]],AR82-TbTradesBinance[[#This Row],[Qtt]]),IF(TbTradesBinance[[#This Row],[Tipo]]="BUY",AR82-TbTradesBinance[[#This Row],[Qtt]]*TbTradesBinance[[#This Row],[Preço]],AR82+TbTradesBinance[[#This Row],[Qtt]]*TbTradesBinance[[#This Row],[Preço]])),AR82)-IF(TbTradesBinance[[#This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Row],[Tipo]]="DROP"),AR82+TbTradesBinance[[#This Row],[Qtt]],AR82-TbTradesBinance[[#This Row],[Qtt]]),IF(TbTradesBinance[[#This Row],[Tipo]]="BUY",AR82-TbTradesBinance[[#This Row],[Qtt]]*TbTradesBinance[[#This Row],[Preço]],AR82+TbTradesBinance[[#This Row],[Qtt]]*TbTradesBinance[[#This Row],[Preço]])),AR82)-IF(TbTradesBinance[[#This Row],[Moeda da Taxa]]=MID(AR$1,9,5),TbTradesBinance[[#This Row],[Taxa]],0),8)))</f>
        <v>0</v>
      </c>
      <c r="AS83" s="145" cm="1">
        <f t="array" ref="AS83">IF(TbTradesBinance[[#This Row],[Tipo]]="EMPTY",0,AS82+IF(TbTradesBinance[[#This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Row],[Par]]))),$1:$1,0)),-(AR82-AR83)/AR82*AS82),0),0)+IF(TbTradesBinance[[#This Row],[Tipo]]="SELL",IF(ISNUMBER(FIND(MID(AS$1,10,5),TbTradesBinance[[#This Row],[Par]])),IF(FIND(MID(AS$1,10,5),TbTradesBinance[[#This Row],[Par]])=1, -(AR82-AR83)/AR82*AS82,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Row],[Par]])),(-(AR82-AR83)/AR82*AS82)+IF(TbTradesBinance[[#This Row],[Resultado]]&gt;0,0,TbTradesBinance[[#This Row],[Taxa]]),0),0))</f>
        <v>0</v>
      </c>
      <c r="AT83" s="145">
        <f t="shared" si="30"/>
        <v>0</v>
      </c>
      <c r="AU8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Row],[Tipo]]="DROP"),AU82+TbTradesBinance[[#This Row],[Qtt]],AU82-TbTradesBinance[[#This Row],[Qtt]]),IF(TbTradesBinance[[#This Row],[Tipo]]="BUY",AU82-TbTradesBinance[[#This Row],[Qtt]]*TbTradesBinance[[#This Row],[Preço]],AU82+TbTradesBinance[[#This Row],[Qtt]]*TbTradesBinance[[#This Row],[Preço]])),AU82)-IF(TbTradesBinance[[#This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Row],[Tipo]]="DROP"),AU82+TbTradesBinance[[#This Row],[Qtt]],AU82-TbTradesBinance[[#This Row],[Qtt]]),IF(TbTradesBinance[[#This Row],[Tipo]]="BUY",AU82-TbTradesBinance[[#This Row],[Qtt]]*TbTradesBinance[[#This Row],[Preço]],AU82+TbTradesBinance[[#This Row],[Qtt]]*TbTradesBinance[[#This Row],[Preço]])),AU82)-IF(TbTradesBinance[[#This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Row],[Tipo]]="DROP"),AU82+TbTradesBinance[[#This Row],[Qtt]],AU82-TbTradesBinance[[#This Row],[Qtt]]),IF(TbTradesBinance[[#This Row],[Tipo]]="BUY",AU82-TbTradesBinance[[#This Row],[Qtt]]*TbTradesBinance[[#This Row],[Preço]],AU82+TbTradesBinance[[#This Row],[Qtt]]*TbTradesBinance[[#This Row],[Preço]])),AU82)-IF(TbTradesBinance[[#This Row],[Moeda da Taxa]]=MID(AU$1,9,5),TbTradesBinance[[#This Row],[Taxa]],0),8)))</f>
        <v>0.26989999999999997</v>
      </c>
      <c r="AV83" s="145" cm="1">
        <f t="array" ref="AV83">IF(TbTradesBinance[[#This Row],[Tipo]]="EMPTY",0,AV82+IF(TbTradesBinance[[#This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Row],[Par]]))),$1:$1,0)),-(AU82-AU83)/AU82*AV82),0),0)+IF(TbTradesBinance[[#This Row],[Tipo]]="SELL",IF(ISNUMBER(FIND(MID(AV$1,10,5),TbTradesBinance[[#This Row],[Par]])),IF(FIND(MID(AV$1,10,5),TbTradesBinance[[#This Row],[Par]])=1, -(AU82-AU83)/AU82*AV82,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Row],[Par]])),(-(AU82-AU83)/AU82*AV82)+IF(TbTradesBinance[[#This Row],[Resultado]]&gt;0,0,TbTradesBinance[[#This Row],[Taxa]]),0),0))</f>
        <v>56.09788062740806</v>
      </c>
      <c r="AW83" s="145">
        <f t="shared" si="31"/>
        <v>207.8469085861729</v>
      </c>
      <c r="AX8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Row],[Tipo]]="DROP"),AX82+TbTradesBinance[[#This Row],[Qtt]],AX82-TbTradesBinance[[#This Row],[Qtt]]),IF(TbTradesBinance[[#This Row],[Tipo]]="BUY",AX82-TbTradesBinance[[#This Row],[Qtt]]*TbTradesBinance[[#This Row],[Preço]],AX82+TbTradesBinance[[#This Row],[Qtt]]*TbTradesBinance[[#This Row],[Preço]])),AX82)-IF(TbTradesBinance[[#This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Row],[Tipo]]="DROP"),AX82+TbTradesBinance[[#This Row],[Qtt]],AX82-TbTradesBinance[[#This Row],[Qtt]]),IF(TbTradesBinance[[#This Row],[Tipo]]="BUY",AX82-TbTradesBinance[[#This Row],[Qtt]]*TbTradesBinance[[#This Row],[Preço]],AX82+TbTradesBinance[[#This Row],[Qtt]]*TbTradesBinance[[#This Row],[Preço]])),AX82)-IF(TbTradesBinance[[#This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Row],[Tipo]]="DROP"),AX82+TbTradesBinance[[#This Row],[Qtt]],AX82-TbTradesBinance[[#This Row],[Qtt]]),IF(TbTradesBinance[[#This Row],[Tipo]]="BUY",AX82-TbTradesBinance[[#This Row],[Qtt]]*TbTradesBinance[[#This Row],[Preço]],AX82+TbTradesBinance[[#This Row],[Qtt]]*TbTradesBinance[[#This Row],[Preço]])),AX82)-IF(TbTradesBinance[[#This Row],[Moeda da Taxa]]=MID(AX$1,9,5),TbTradesBinance[[#This Row],[Taxa]],0),8)))</f>
        <v>0.22636999999999999</v>
      </c>
      <c r="AY83" s="145" cm="1">
        <f t="array" ref="AY83">IF(TbTradesBinance[[#This Row],[Tipo]]="EMPTY",0,AY82+IF(TbTradesBinance[[#This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Row],[Par]]))),$1:$1,0)),-(AX82-AX83)/AX82*AY82),0),0)+IF(TbTradesBinance[[#This Row],[Tipo]]="SELL",IF(ISNUMBER(FIND(MID(AY$1,10,5),TbTradesBinance[[#This Row],[Par]])),IF(FIND(MID(AY$1,10,5),TbTradesBinance[[#This Row],[Par]])=1, -(AX82-AX83)/AX82*AY82,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Row],[Par]])),(-(AX82-AX83)/AX82*AY82)+IF(TbTradesBinance[[#This Row],[Resultado]]&gt;0,0,TbTradesBinance[[#This Row],[Taxa]]),0),0))</f>
        <v>40.781337593356859</v>
      </c>
      <c r="AZ83" s="145">
        <f t="shared" si="32"/>
        <v>180.15345493376711</v>
      </c>
      <c r="BA8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Row],[Tipo]]="DROP"),BA82+TbTradesBinance[[#This Row],[Qtt]],BA82-TbTradesBinance[[#This Row],[Qtt]]),IF(TbTradesBinance[[#This Row],[Tipo]]="BUY",BA82-TbTradesBinance[[#This Row],[Qtt]]*TbTradesBinance[[#This Row],[Preço]],BA82+TbTradesBinance[[#This Row],[Qtt]]*TbTradesBinance[[#This Row],[Preço]])),BA82)-IF(TbTradesBinance[[#This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Row],[Tipo]]="DROP"),BA82+TbTradesBinance[[#This Row],[Qtt]],BA82-TbTradesBinance[[#This Row],[Qtt]]),IF(TbTradesBinance[[#This Row],[Tipo]]="BUY",BA82-TbTradesBinance[[#This Row],[Qtt]]*TbTradesBinance[[#This Row],[Preço]],BA82+TbTradesBinance[[#This Row],[Qtt]]*TbTradesBinance[[#This Row],[Preço]])),BA82)-IF(TbTradesBinance[[#This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Row],[Tipo]]="DROP"),BA82+TbTradesBinance[[#This Row],[Qtt]],BA82-TbTradesBinance[[#This Row],[Qtt]]),IF(TbTradesBinance[[#This Row],[Tipo]]="BUY",BA82-TbTradesBinance[[#This Row],[Qtt]]*TbTradesBinance[[#This Row],[Preço]],BA82+TbTradesBinance[[#This Row],[Qtt]]*TbTradesBinance[[#This Row],[Preço]])),BA82)-IF(TbTradesBinance[[#This Row],[Moeda da Taxa]]=MID(BA$1,9,5),TbTradesBinance[[#This Row],[Taxa]],0),8)))</f>
        <v>0</v>
      </c>
      <c r="BB83" s="145" cm="1">
        <f t="array" ref="BB83">IF(TbTradesBinance[[#This Row],[Tipo]]="EMPTY",0,BB82+IF(TbTradesBinance[[#This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Row],[Par]]))),$1:$1,0)),-(BA82-BA83)/BA82*BB82),0),0)+IF(TbTradesBinance[[#This Row],[Tipo]]="SELL",IF(ISNUMBER(FIND(MID(BB$1,10,5),TbTradesBinance[[#This Row],[Par]])),IF(FIND(MID(BB$1,10,5),TbTradesBinance[[#This Row],[Par]])=1, -(BA82-BA83)/BA82*BB82,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Row],[Par]])),(-(BA82-BA83)/BA82*BB82)+IF(TbTradesBinance[[#This Row],[Resultado]]&gt;0,0,TbTradesBinance[[#This Row],[Taxa]]),0),0))</f>
        <v>0</v>
      </c>
      <c r="BC83" s="145">
        <f t="shared" si="33"/>
        <v>0</v>
      </c>
      <c r="BD8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Row],[Tipo]]="DROP"),BD82+TbTradesBinance[[#This Row],[Qtt]],BD82-TbTradesBinance[[#This Row],[Qtt]]),IF(TbTradesBinance[[#This Row],[Tipo]]="BUY",BD82-TbTradesBinance[[#This Row],[Qtt]]*TbTradesBinance[[#This Row],[Preço]],BD82+TbTradesBinance[[#This Row],[Qtt]]*TbTradesBinance[[#This Row],[Preço]])),BD82)-IF(TbTradesBinance[[#This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Row],[Tipo]]="DROP"),BD82+TbTradesBinance[[#This Row],[Qtt]],BD82-TbTradesBinance[[#This Row],[Qtt]]),IF(TbTradesBinance[[#This Row],[Tipo]]="BUY",BD82-TbTradesBinance[[#This Row],[Qtt]]*TbTradesBinance[[#This Row],[Preço]],BD82+TbTradesBinance[[#This Row],[Qtt]]*TbTradesBinance[[#This Row],[Preço]])),BD82)-IF(TbTradesBinance[[#This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Row],[Tipo]]="DROP"),BD82+TbTradesBinance[[#This Row],[Qtt]],BD82-TbTradesBinance[[#This Row],[Qtt]]),IF(TbTradesBinance[[#This Row],[Tipo]]="BUY",BD82-TbTradesBinance[[#This Row],[Qtt]]*TbTradesBinance[[#This Row],[Preço]],BD82+TbTradesBinance[[#This Row],[Qtt]]*TbTradesBinance[[#This Row],[Preço]])),BD82)-IF(TbTradesBinance[[#This Row],[Moeda da Taxa]]=MID(BD$1,9,5),TbTradesBinance[[#This Row],[Taxa]],0),8)))</f>
        <v>0.37962000000000001</v>
      </c>
      <c r="BE83" s="145" cm="1">
        <f t="array" ref="BE83">IF(TbTradesBinance[[#This Row],[Tipo]]="EMPTY",0,BE82+IF(TbTradesBinance[[#This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Row],[Par]]))),$1:$1,0)),-(BD82-BD83)/BD82*BE82),0),0)+IF(TbTradesBinance[[#This Row],[Tipo]]="SELL",IF(ISNUMBER(FIND(MID(BE$1,10,5),TbTradesBinance[[#This Row],[Par]])),IF(FIND(MID(BE$1,10,5),TbTradesBinance[[#This Row],[Par]])=1, -(BD82-BD83)/BD82*BE82,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Row],[Par]])),(-(BD82-BD83)/BD82*BE82)+IF(TbTradesBinance[[#This Row],[Resultado]]&gt;0,0,TbTradesBinance[[#This Row],[Taxa]]),0),0))</f>
        <v>63.647297001537943</v>
      </c>
      <c r="BF83" s="145">
        <f t="shared" si="34"/>
        <v>167.66054739354601</v>
      </c>
      <c r="BG8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Row],[Tipo]]="DROP"),BG82+TbTradesBinance[[#This Row],[Qtt]],BG82-TbTradesBinance[[#This Row],[Qtt]]),IF(TbTradesBinance[[#This Row],[Tipo]]="BUY",BG82-TbTradesBinance[[#This Row],[Qtt]]*TbTradesBinance[[#This Row],[Preço]],BG82+TbTradesBinance[[#This Row],[Qtt]]*TbTradesBinance[[#This Row],[Preço]])),BG82)-IF(TbTradesBinance[[#This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Row],[Tipo]]="DROP"),BG82+TbTradesBinance[[#This Row],[Qtt]],BG82-TbTradesBinance[[#This Row],[Qtt]]),IF(TbTradesBinance[[#This Row],[Tipo]]="BUY",BG82-TbTradesBinance[[#This Row],[Qtt]]*TbTradesBinance[[#This Row],[Preço]],BG82+TbTradesBinance[[#This Row],[Qtt]]*TbTradesBinance[[#This Row],[Preço]])),BG82)-IF(TbTradesBinance[[#This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Row],[Tipo]]="DROP"),BG82+TbTradesBinance[[#This Row],[Qtt]],BG82-TbTradesBinance[[#This Row],[Qtt]]),IF(TbTradesBinance[[#This Row],[Tipo]]="BUY",BG82-TbTradesBinance[[#This Row],[Qtt]]*TbTradesBinance[[#This Row],[Preço]],BG82+TbTradesBinance[[#This Row],[Qtt]]*TbTradesBinance[[#This Row],[Preço]])),BG82)-IF(TbTradesBinance[[#This Row],[Moeda da Taxa]]=MID(BG$1,9,5),TbTradesBinance[[#This Row],[Taxa]],0),8)))</f>
        <v>8.1700000000000002E-3</v>
      </c>
      <c r="BH83" s="145" cm="1">
        <f t="array" ref="BH83">IF(TbTradesBinance[[#This Row],[Tipo]]="EMPTY",0,BH82+IF(TbTradesBinance[[#This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Row],[Par]]))),$1:$1,0)),-(BG82-BG83)/BG82*BH82),0),0)+IF(TbTradesBinance[[#This Row],[Tipo]]="SELL",IF(ISNUMBER(FIND(MID(BH$1,10,5),TbTradesBinance[[#This Row],[Par]])),IF(FIND(MID(BH$1,10,5),TbTradesBinance[[#This Row],[Par]])=1, -(BG82-BG83)/BG82*BH82,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Row],[Par]])),(-(BG82-BG83)/BG82*BH82)+IF(TbTradesBinance[[#This Row],[Resultado]]&gt;0,0,TbTradesBinance[[#This Row],[Taxa]]),0),0))</f>
        <v>2.9348177900828887E-2</v>
      </c>
      <c r="BI83" s="145">
        <f t="shared" si="35"/>
        <v>3.5921882375555554</v>
      </c>
      <c r="BJ8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Row],[Tipo]]="DROP"),BJ82+TbTradesBinance[[#This Row],[Qtt]],BJ82-TbTradesBinance[[#This Row],[Qtt]]),IF(TbTradesBinance[[#This Row],[Tipo]]="BUY",BJ82-TbTradesBinance[[#This Row],[Qtt]]*TbTradesBinance[[#This Row],[Preço]],BJ82+TbTradesBinance[[#This Row],[Qtt]]*TbTradesBinance[[#This Row],[Preço]])),BJ82)-IF(TbTradesBinance[[#This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Row],[Tipo]]="DROP"),BJ82+TbTradesBinance[[#This Row],[Qtt]],BJ82-TbTradesBinance[[#This Row],[Qtt]]),IF(TbTradesBinance[[#This Row],[Tipo]]="BUY",BJ82-TbTradesBinance[[#This Row],[Qtt]]*TbTradesBinance[[#This Row],[Preço]],BJ82+TbTradesBinance[[#This Row],[Qtt]]*TbTradesBinance[[#This Row],[Preço]])),BJ82)-IF(TbTradesBinance[[#This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Row],[Tipo]]="DROP"),BJ82+TbTradesBinance[[#This Row],[Qtt]],BJ82-TbTradesBinance[[#This Row],[Qtt]]),IF(TbTradesBinance[[#This Row],[Tipo]]="BUY",BJ82-TbTradesBinance[[#This Row],[Qtt]]*TbTradesBinance[[#This Row],[Preço]],BJ82+TbTradesBinance[[#This Row],[Qtt]]*TbTradesBinance[[#This Row],[Preço]])),BJ82)-IF(TbTradesBinance[[#This Row],[Moeda da Taxa]]=MID(BJ$1,9,5),TbTradesBinance[[#This Row],[Taxa]],0),8)))</f>
        <v>0</v>
      </c>
      <c r="BK83" s="145" cm="1">
        <f t="array" ref="BK83">IF(TbTradesBinance[[#This Row],[Tipo]]="EMPTY",0,BK82+IF(TbTradesBinance[[#This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Row],[Par]]))),$1:$1,0)),-(BJ82-BJ83)/BJ82*BK82),0),0)+IF(TbTradesBinance[[#This Row],[Tipo]]="SELL",IF(ISNUMBER(FIND(MID(BK$1,10,5),TbTradesBinance[[#This Row],[Par]])),IF(FIND(MID(BK$1,10,5),TbTradesBinance[[#This Row],[Par]])=1, -(BJ82-BJ83)/BJ82*BK82,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Row],[Par]])),(-(BJ82-BJ83)/BJ82*BK82)+IF(TbTradesBinance[[#This Row],[Resultado]]&gt;0,0,TbTradesBinance[[#This Row],[Taxa]]),0),0))</f>
        <v>0</v>
      </c>
      <c r="BL83" s="145">
        <f t="shared" si="36"/>
        <v>0</v>
      </c>
      <c r="BM8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Row],[Tipo]]="DROP"),BM82+TbTradesBinance[[#This Row],[Qtt]],BM82-TbTradesBinance[[#This Row],[Qtt]]),IF(TbTradesBinance[[#This Row],[Tipo]]="BUY",BM82-TbTradesBinance[[#This Row],[Qtt]]*TbTradesBinance[[#This Row],[Preço]],BM82+TbTradesBinance[[#This Row],[Qtt]]*TbTradesBinance[[#This Row],[Preço]])),BM82)-IF(TbTradesBinance[[#This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Row],[Tipo]]="DROP"),BM82+TbTradesBinance[[#This Row],[Qtt]],BM82-TbTradesBinance[[#This Row],[Qtt]]),IF(TbTradesBinance[[#This Row],[Tipo]]="BUY",BM82-TbTradesBinance[[#This Row],[Qtt]]*TbTradesBinance[[#This Row],[Preço]],BM82+TbTradesBinance[[#This Row],[Qtt]]*TbTradesBinance[[#This Row],[Preço]])),BM82)-IF(TbTradesBinance[[#This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Row],[Tipo]]="DROP"),BM82+TbTradesBinance[[#This Row],[Qtt]],BM82-TbTradesBinance[[#This Row],[Qtt]]),IF(TbTradesBinance[[#This Row],[Tipo]]="BUY",BM82-TbTradesBinance[[#This Row],[Qtt]]*TbTradesBinance[[#This Row],[Preço]],BM82+TbTradesBinance[[#This Row],[Qtt]]*TbTradesBinance[[#This Row],[Preço]])),BM82)-IF(TbTradesBinance[[#This Row],[Moeda da Taxa]]=MID(BM$1,9,5),TbTradesBinance[[#This Row],[Taxa]],0),8)))</f>
        <v>0</v>
      </c>
      <c r="BN83" s="145" cm="1">
        <f t="array" ref="BN83">IF(TbTradesBinance[[#This Row],[Tipo]]="EMPTY",0,BN82+IF(TbTradesBinance[[#This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Row],[Par]]))),$1:$1,0)),-(BM82-BM83)/BM82*BN82),0),0)+IF(TbTradesBinance[[#This Row],[Tipo]]="SELL",IF(ISNUMBER(FIND(MID(BN$1,10,5),TbTradesBinance[[#This Row],[Par]])),IF(FIND(MID(BN$1,10,5),TbTradesBinance[[#This Row],[Par]])=1, -(BM82-BM83)/BM82*BN82,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Row],[Par]])),(-(BM82-BM83)/BM82*BN82)+IF(TbTradesBinance[[#This Row],[Resultado]]&gt;0,0,TbTradesBinance[[#This Row],[Taxa]]),0),0))</f>
        <v>0</v>
      </c>
      <c r="BO83" s="145">
        <f t="shared" si="37"/>
        <v>0</v>
      </c>
    </row>
    <row r="84" spans="2:67" x14ac:dyDescent="0.3">
      <c r="B84" s="51"/>
      <c r="C84" s="40">
        <f>TRUNC(IF(AND(TbTradesBinance[[#This Row],[Tipo]]="SEND",TbTradesBinance[[#This Row],[Par]]="BRL"),TbTradesBinance[[#This Row],[Qtt]]*(1-P82)-IF(TbTradesBinance[[#This Row],[Moeda da Taxa]]="BRL",TbTradesBinance[[#This Row],[Taxa]],0),0)+IF(AND(TbTradesBinance[[#This Row],[Tipo]]="BURN",TbTradesBinance[[#This Row],[Par]]="BRL"),-TbTradesBinance[[#This Row],[Qtt]]*P82,0),2)</f>
        <v>0</v>
      </c>
      <c r="D84" s="53">
        <v>44267.456377314818</v>
      </c>
      <c r="E84" s="37" t="s">
        <v>138</v>
      </c>
      <c r="F84" s="47" t="s">
        <v>140</v>
      </c>
      <c r="G84" s="38">
        <v>312926</v>
      </c>
      <c r="H84" s="38">
        <v>4.2849999999999997E-3</v>
      </c>
      <c r="I84" s="38">
        <v>1.34088791</v>
      </c>
      <c r="J84" s="37" t="s">
        <v>50</v>
      </c>
      <c r="K84" s="52">
        <v>1</v>
      </c>
      <c r="L84" s="40">
        <f t="shared" si="19"/>
        <v>312926</v>
      </c>
      <c r="M84" s="40">
        <f>IF(OR(TbTradesBinance[[#This Row],[Tipo]]="BUY",TbTradesBinance[[#This Row],[Tipo]]="RECEIVE",TbTradesBinance[[#This Row],[Tipo]]="DROP"),L84*H84,-L84*H84)</f>
        <v>-1340.8879099999999</v>
      </c>
      <c r="N8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Row],[Tipo]]="DROP"),N83+TbTradesBinance[[#This Row],[Qtt]],N83-TbTradesBinance[[#This Row],[Qtt]]),IF(TbTradesBinance[[#This Row],[Tipo]]="BUY",N83-TbTradesBinance[[#This Row],[Qtt]]*TbTradesBinance[[#This Row],[Preço]],N83+TbTradesBinance[[#This Row],[Qtt]]*TbTradesBinance[[#This Row],[Preço]])),N83)-IF(TbTradesBinance[[#This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Row],[Tipo]]="DROP"),N83+TbTradesBinance[[#This Row],[Qtt]],N83-TbTradesBinance[[#This Row],[Qtt]]),IF(TbTradesBinance[[#This Row],[Tipo]]="BUY",N83-TbTradesBinance[[#This Row],[Qtt]]*TbTradesBinance[[#This Row],[Preço]],N83+TbTradesBinance[[#This Row],[Qtt]]*TbTradesBinance[[#This Row],[Preço]])),N83)-IF(TbTradesBinance[[#This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Row],[Tipo]]="DROP"),N83+TbTradesBinance[[#This Row],[Qtt]],N83-TbTradesBinance[[#This Row],[Qtt]]),IF(TbTradesBinance[[#This Row],[Tipo]]="BUY",N83-TbTradesBinance[[#This Row],[Qtt]]*TbTradesBinance[[#This Row],[Preço]],N83+TbTradesBinance[[#This Row],[Qtt]]*TbTradesBinance[[#This Row],[Preço]])),N83)-IF(TbTradesBinance[[#This Row],[Moeda da Taxa]]=MID(N$1,9,5),TbTradesBinance[[#This Row],[Taxa]],0),8)))</f>
        <v>121085.24402208001</v>
      </c>
      <c r="O84" s="145" cm="1">
        <f t="array" ref="O84">IF(TbTradesBinance[[#This Row],[Tipo]]="EMPTY",0,O83+IF(TbTradesBinance[[#This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Row],[Par]]))),$1:$1,0)),-(N83-N84)/N83*O83),0),0)+IF(TbTradesBinance[[#This Row],[Tipo]]="SELL",IF(ISNUMBER(FIND(MID(O$1,10,5),TbTradesBinance[[#This Row],[Par]])),IF(FIND(MID(O$1,10,5),TbTradesBinance[[#This Row],[Par]])=1, -(N83-N84)/N83*O83,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Row],[Par]])),(-(N83-N84)/N83*O83)+IF(TbTradesBinance[[#This Row],[Resultado]]&gt;0,0,TbTradesBinance[[#This Row],[Taxa]]),0),0))</f>
        <v>121071.18981598526</v>
      </c>
      <c r="P84" s="145">
        <f t="shared" si="20"/>
        <v>0.99988393130634323</v>
      </c>
      <c r="Q8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Row],[Tipo]]="DROP"),Q83+TbTradesBinance[[#This Row],[Qtt]],Q83-TbTradesBinance[[#This Row],[Qtt]]),IF(TbTradesBinance[[#This Row],[Tipo]]="BUY",Q83-TbTradesBinance[[#This Row],[Qtt]]*TbTradesBinance[[#This Row],[Preço]],Q83+TbTradesBinance[[#This Row],[Qtt]]*TbTradesBinance[[#This Row],[Preço]])),Q83)-IF(TbTradesBinance[[#This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Row],[Tipo]]="DROP"),Q83+TbTradesBinance[[#This Row],[Qtt]],Q83-TbTradesBinance[[#This Row],[Qtt]]),IF(TbTradesBinance[[#This Row],[Tipo]]="BUY",Q83-TbTradesBinance[[#This Row],[Qtt]]*TbTradesBinance[[#This Row],[Preço]],Q83+TbTradesBinance[[#This Row],[Qtt]]*TbTradesBinance[[#This Row],[Preço]])),Q83)-IF(TbTradesBinance[[#This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Row],[Tipo]]="DROP"),Q83+TbTradesBinance[[#This Row],[Qtt]],Q83-TbTradesBinance[[#This Row],[Qtt]]),IF(TbTradesBinance[[#This Row],[Tipo]]="BUY",Q83-TbTradesBinance[[#This Row],[Qtt]]*TbTradesBinance[[#This Row],[Preço]],Q83+TbTradesBinance[[#This Row],[Qtt]]*TbTradesBinance[[#This Row],[Preço]])),Q83)-IF(TbTradesBinance[[#This Row],[Moeda da Taxa]]=MID(Q$1,9,5),TbTradesBinance[[#This Row],[Taxa]],0),8)))</f>
        <v>1.2019129999999999E-2</v>
      </c>
      <c r="R84" s="145" cm="1">
        <f t="array" ref="R84">IF(TbTradesBinance[[#This Row],[Tipo]]="EMPTY",0,R83+IF(TbTradesBinance[[#This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Row],[Par]]))),$1:$1,0)),-(Q83-Q84)/Q83*R83),0),0)+IF(TbTradesBinance[[#This Row],[Tipo]]="SELL",IF(ISNUMBER(FIND(MID(R$1,10,5),TbTradesBinance[[#This Row],[Par]])),IF(FIND(MID(R$1,10,5),TbTradesBinance[[#This Row],[Par]])=1, -(Q83-Q84)/Q83*R83,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Row],[Par]])),(-(Q83-Q84)/Q83*R83)+IF(TbTradesBinance[[#This Row],[Resultado]]&gt;0,0,TbTradesBinance[[#This Row],[Taxa]]),0),0))</f>
        <v>7.842025887367754E-2</v>
      </c>
      <c r="S84" s="145">
        <f t="shared" si="21"/>
        <v>6.5246202407060698</v>
      </c>
      <c r="T8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Row],[Tipo]]="DROP"),T83+TbTradesBinance[[#This Row],[Qtt]],T83-TbTradesBinance[[#This Row],[Qtt]]),IF(TbTradesBinance[[#This Row],[Tipo]]="BUY",T83-TbTradesBinance[[#This Row],[Qtt]]*TbTradesBinance[[#This Row],[Preço]],T83+TbTradesBinance[[#This Row],[Qtt]]*TbTradesBinance[[#This Row],[Preço]])),T83)-IF(TbTradesBinance[[#This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Row],[Tipo]]="DROP"),T83+TbTradesBinance[[#This Row],[Qtt]],T83-TbTradesBinance[[#This Row],[Qtt]]),IF(TbTradesBinance[[#This Row],[Tipo]]="BUY",T83-TbTradesBinance[[#This Row],[Qtt]]*TbTradesBinance[[#This Row],[Preço]],T83+TbTradesBinance[[#This Row],[Qtt]]*TbTradesBinance[[#This Row],[Preço]])),T83)-IF(TbTradesBinance[[#This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Row],[Tipo]]="DROP"),T83+TbTradesBinance[[#This Row],[Qtt]],T83-TbTradesBinance[[#This Row],[Qtt]]),IF(TbTradesBinance[[#This Row],[Tipo]]="BUY",T83-TbTradesBinance[[#This Row],[Qtt]]*TbTradesBinance[[#This Row],[Preço]],T83+TbTradesBinance[[#This Row],[Qtt]]*TbTradesBinance[[#This Row],[Preço]])),T83)-IF(TbTradesBinance[[#This Row],[Moeda da Taxa]]=MID(T$1,9,5),TbTradesBinance[[#This Row],[Taxa]],0),8)))</f>
        <v>199735.32000169999</v>
      </c>
      <c r="U84" s="145" cm="1">
        <f t="array" ref="U84">IF(TbTradesBinance[[#This Row],[Tipo]]="EMPTY",0,U83+IF(TbTradesBinance[[#This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Row],[Par]]))),$1:$1,0)),-(T83-T84)/T83*U83),0),0)+IF(TbTradesBinance[[#This Row],[Tipo]]="SELL",IF(ISNUMBER(FIND(MID(U$1,10,5),TbTradesBinance[[#This Row],[Par]])),IF(FIND(MID(U$1,10,5),TbTradesBinance[[#This Row],[Par]])=1, -(T83-T84)/T83*U83,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Row],[Par]])),(-(T83-T84)/T83*U83)+IF(TbTradesBinance[[#This Row],[Resultado]]&gt;0,0,TbTradesBinance[[#This Row],[Taxa]]),0),0))</f>
        <v>1328239.8809817513</v>
      </c>
      <c r="V84" s="145">
        <f t="shared" si="22"/>
        <v>6.6500000148719129</v>
      </c>
      <c r="W8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Row],[Tipo]]="DROP"),W83+TbTradesBinance[[#This Row],[Qtt]],W83-TbTradesBinance[[#This Row],[Qtt]]),IF(TbTradesBinance[[#This Row],[Tipo]]="BUY",W83-TbTradesBinance[[#This Row],[Qtt]]*TbTradesBinance[[#This Row],[Preço]],W83+TbTradesBinance[[#This Row],[Qtt]]*TbTradesBinance[[#This Row],[Preço]])),W83)-IF(TbTradesBinance[[#This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Row],[Tipo]]="DROP"),W83+TbTradesBinance[[#This Row],[Qtt]],W83-TbTradesBinance[[#This Row],[Qtt]]),IF(TbTradesBinance[[#This Row],[Tipo]]="BUY",W83-TbTradesBinance[[#This Row],[Qtt]]*TbTradesBinance[[#This Row],[Preço]],W83+TbTradesBinance[[#This Row],[Qtt]]*TbTradesBinance[[#This Row],[Preço]])),W83)-IF(TbTradesBinance[[#This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Row],[Tipo]]="DROP"),W83+TbTradesBinance[[#This Row],[Qtt]],W83-TbTradesBinance[[#This Row],[Qtt]]),IF(TbTradesBinance[[#This Row],[Tipo]]="BUY",W83-TbTradesBinance[[#This Row],[Qtt]]*TbTradesBinance[[#This Row],[Preço]],W83+TbTradesBinance[[#This Row],[Qtt]]*TbTradesBinance[[#This Row],[Preço]])),W83)-IF(TbTradesBinance[[#This Row],[Moeda da Taxa]]=MID(W$1,9,5),TbTradesBinance[[#This Row],[Taxa]],0),8)))</f>
        <v>4.5399999999999997E-6</v>
      </c>
      <c r="X84" s="145" cm="1">
        <f t="array" ref="X84">IF(TbTradesBinance[[#This Row],[Tipo]]="EMPTY",0,X83+IF(TbTradesBinance[[#This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Row],[Par]]))),$1:$1,0)),-(W83-W84)/W83*X83),0),0)+IF(TbTradesBinance[[#This Row],[Tipo]]="SELL",IF(ISNUMBER(FIND(MID(X$1,10,5),TbTradesBinance[[#This Row],[Par]])),IF(FIND(MID(X$1,10,5),TbTradesBinance[[#This Row],[Par]])=1, -(W83-W84)/W83*X83,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Row],[Par]])),(-(W83-W84)/W83*X83)+IF(TbTradesBinance[[#This Row],[Resultado]]&gt;0,0,TbTradesBinance[[#This Row],[Taxa]]),0),0))</f>
        <v>1.5152928264556067</v>
      </c>
      <c r="Y84" s="145">
        <f t="shared" si="23"/>
        <v>333764.93974793103</v>
      </c>
      <c r="Z8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Row],[Tipo]]="DROP"),Z83+TbTradesBinance[[#This Row],[Qtt]],Z83-TbTradesBinance[[#This Row],[Qtt]]),IF(TbTradesBinance[[#This Row],[Tipo]]="BUY",Z83-TbTradesBinance[[#This Row],[Qtt]]*TbTradesBinance[[#This Row],[Preço]],Z83+TbTradesBinance[[#This Row],[Qtt]]*TbTradesBinance[[#This Row],[Preço]])),Z83)-IF(TbTradesBinance[[#This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Row],[Tipo]]="DROP"),Z83+TbTradesBinance[[#This Row],[Qtt]],Z83-TbTradesBinance[[#This Row],[Qtt]]),IF(TbTradesBinance[[#This Row],[Tipo]]="BUY",Z83-TbTradesBinance[[#This Row],[Qtt]]*TbTradesBinance[[#This Row],[Preço]],Z83+TbTradesBinance[[#This Row],[Qtt]]*TbTradesBinance[[#This Row],[Preço]])),Z83)-IF(TbTradesBinance[[#This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Row],[Tipo]]="DROP"),Z83+TbTradesBinance[[#This Row],[Qtt]],Z83-TbTradesBinance[[#This Row],[Qtt]]),IF(TbTradesBinance[[#This Row],[Tipo]]="BUY",Z83-TbTradesBinance[[#This Row],[Qtt]]*TbTradesBinance[[#This Row],[Preço]],Z83+TbTradesBinance[[#This Row],[Qtt]]*TbTradesBinance[[#This Row],[Preço]])),Z83)-IF(TbTradesBinance[[#This Row],[Moeda da Taxa]]=MID(Z$1,9,5),TbTradesBinance[[#This Row],[Taxa]],0),8)))</f>
        <v>0</v>
      </c>
      <c r="AA84" s="145" cm="1">
        <f t="array" ref="AA84">IF(TbTradesBinance[[#This Row],[Tipo]]="EMPTY",0,AA83+IF(TbTradesBinance[[#This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Row],[Par]]))),$1:$1,0)),-(Z83-Z84)/Z83*AA83),0),0)+IF(TbTradesBinance[[#This Row],[Tipo]]="SELL",IF(ISNUMBER(FIND(MID(AA$1,10,5),TbTradesBinance[[#This Row],[Par]])),IF(FIND(MID(AA$1,10,5),TbTradesBinance[[#This Row],[Par]])=1, -(Z83-Z84)/Z83*AA83,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Row],[Par]])),(-(Z83-Z84)/Z83*AA83)+IF(TbTradesBinance[[#This Row],[Resultado]]&gt;0,0,TbTradesBinance[[#This Row],[Taxa]]),0),0))</f>
        <v>0</v>
      </c>
      <c r="AB84" s="145">
        <f t="shared" si="24"/>
        <v>0</v>
      </c>
      <c r="AC8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Row],[Tipo]]="DROP"),AC83+TbTradesBinance[[#This Row],[Qtt]],AC83-TbTradesBinance[[#This Row],[Qtt]]),IF(TbTradesBinance[[#This Row],[Tipo]]="BUY",AC83-TbTradesBinance[[#This Row],[Qtt]]*TbTradesBinance[[#This Row],[Preço]],AC83+TbTradesBinance[[#This Row],[Qtt]]*TbTradesBinance[[#This Row],[Preço]])),AC83)-IF(TbTradesBinance[[#This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Row],[Tipo]]="DROP"),AC83+TbTradesBinance[[#This Row],[Qtt]],AC83-TbTradesBinance[[#This Row],[Qtt]]),IF(TbTradesBinance[[#This Row],[Tipo]]="BUY",AC83-TbTradesBinance[[#This Row],[Qtt]]*TbTradesBinance[[#This Row],[Preço]],AC83+TbTradesBinance[[#This Row],[Qtt]]*TbTradesBinance[[#This Row],[Preço]])),AC83)-IF(TbTradesBinance[[#This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Row],[Tipo]]="DROP"),AC83+TbTradesBinance[[#This Row],[Qtt]],AC83-TbTradesBinance[[#This Row],[Qtt]]),IF(TbTradesBinance[[#This Row],[Tipo]]="BUY",AC83-TbTradesBinance[[#This Row],[Qtt]]*TbTradesBinance[[#This Row],[Preço]],AC83+TbTradesBinance[[#This Row],[Qtt]]*TbTradesBinance[[#This Row],[Preço]])),AC83)-IF(TbTradesBinance[[#This Row],[Moeda da Taxa]]=MID(AC$1,9,5),TbTradesBinance[[#This Row],[Taxa]],0),8)))</f>
        <v>0</v>
      </c>
      <c r="AD84" s="145" cm="1">
        <f t="array" ref="AD84">IF(TbTradesBinance[[#This Row],[Tipo]]="EMPTY",0,AD83+IF(TbTradesBinance[[#This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Row],[Par]]))),$1:$1,0)),-(AC83-AC84)/AC83*AD83),0),0)+IF(TbTradesBinance[[#This Row],[Tipo]]="SELL",IF(ISNUMBER(FIND(MID(AD$1,10,5),TbTradesBinance[[#This Row],[Par]])),IF(FIND(MID(AD$1,10,5),TbTradesBinance[[#This Row],[Par]])=1, -(AC83-AC84)/AC83*AD83,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Row],[Par]])),(-(AC83-AC84)/AC83*AD83)+IF(TbTradesBinance[[#This Row],[Resultado]]&gt;0,0,TbTradesBinance[[#This Row],[Taxa]]),0),0))</f>
        <v>0</v>
      </c>
      <c r="AE84" s="145">
        <f t="shared" si="25"/>
        <v>0</v>
      </c>
      <c r="AF8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Row],[Tipo]]="DROP"),AF83+TbTradesBinance[[#This Row],[Qtt]],AF83-TbTradesBinance[[#This Row],[Qtt]]),IF(TbTradesBinance[[#This Row],[Tipo]]="BUY",AF83-TbTradesBinance[[#This Row],[Qtt]]*TbTradesBinance[[#This Row],[Preço]],AF83+TbTradesBinance[[#This Row],[Qtt]]*TbTradesBinance[[#This Row],[Preço]])),AF83)-IF(TbTradesBinance[[#This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Row],[Tipo]]="DROP"),AF83+TbTradesBinance[[#This Row],[Qtt]],AF83-TbTradesBinance[[#This Row],[Qtt]]),IF(TbTradesBinance[[#This Row],[Tipo]]="BUY",AF83-TbTradesBinance[[#This Row],[Qtt]]*TbTradesBinance[[#This Row],[Preço]],AF83+TbTradesBinance[[#This Row],[Qtt]]*TbTradesBinance[[#This Row],[Preço]])),AF83)-IF(TbTradesBinance[[#This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Row],[Tipo]]="DROP"),AF83+TbTradesBinance[[#This Row],[Qtt]],AF83-TbTradesBinance[[#This Row],[Qtt]]),IF(TbTradesBinance[[#This Row],[Tipo]]="BUY",AF83-TbTradesBinance[[#This Row],[Qtt]]*TbTradesBinance[[#This Row],[Preço]],AF83+TbTradesBinance[[#This Row],[Qtt]]*TbTradesBinance[[#This Row],[Preço]])),AF83)-IF(TbTradesBinance[[#This Row],[Moeda da Taxa]]=MID(AF$1,9,5),TbTradesBinance[[#This Row],[Taxa]],0),8)))</f>
        <v>19.98</v>
      </c>
      <c r="AG84" s="145" cm="1">
        <f t="array" ref="AG84">IF(TbTradesBinance[[#This Row],[Tipo]]="EMPTY",0,AG83+IF(TbTradesBinance[[#This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Row],[Par]]))),$1:$1,0)),-(AF83-AF84)/AF83*AG83),0),0)+IF(TbTradesBinance[[#This Row],[Tipo]]="SELL",IF(ISNUMBER(FIND(MID(AG$1,10,5),TbTradesBinance[[#This Row],[Par]])),IF(FIND(MID(AG$1,10,5),TbTradesBinance[[#This Row],[Par]])=1, -(AF83-AF84)/AF83*AG83,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Row],[Par]])),(-(AF83-AF84)/AF83*AG83)+IF(TbTradesBinance[[#This Row],[Resultado]]&gt;0,0,TbTradesBinance[[#This Row],[Taxa]]),0),0))</f>
        <v>124.04182758073662</v>
      </c>
      <c r="AH84" s="145">
        <f t="shared" si="26"/>
        <v>6.2082996787155462</v>
      </c>
      <c r="AI8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Row],[Tipo]]="DROP"),AI83+TbTradesBinance[[#This Row],[Qtt]],AI83-TbTradesBinance[[#This Row],[Qtt]]),IF(TbTradesBinance[[#This Row],[Tipo]]="BUY",AI83-TbTradesBinance[[#This Row],[Qtt]]*TbTradesBinance[[#This Row],[Preço]],AI83+TbTradesBinance[[#This Row],[Qtt]]*TbTradesBinance[[#This Row],[Preço]])),AI83)-IF(TbTradesBinance[[#This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Row],[Tipo]]="DROP"),AI83+TbTradesBinance[[#This Row],[Qtt]],AI83-TbTradesBinance[[#This Row],[Qtt]]),IF(TbTradesBinance[[#This Row],[Tipo]]="BUY",AI83-TbTradesBinance[[#This Row],[Qtt]]*TbTradesBinance[[#This Row],[Preço]],AI83+TbTradesBinance[[#This Row],[Qtt]]*TbTradesBinance[[#This Row],[Preço]])),AI83)-IF(TbTradesBinance[[#This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Row],[Tipo]]="DROP"),AI83+TbTradesBinance[[#This Row],[Qtt]],AI83-TbTradesBinance[[#This Row],[Qtt]]),IF(TbTradesBinance[[#This Row],[Tipo]]="BUY",AI83-TbTradesBinance[[#This Row],[Qtt]]*TbTradesBinance[[#This Row],[Preço]],AI83+TbTradesBinance[[#This Row],[Qtt]]*TbTradesBinance[[#This Row],[Preço]])),AI83)-IF(TbTradesBinance[[#This Row],[Moeda da Taxa]]=MID(AI$1,9,5),TbTradesBinance[[#This Row],[Taxa]],0),8)))</f>
        <v>0</v>
      </c>
      <c r="AJ84" s="145" cm="1">
        <f t="array" ref="AJ84">IF(TbTradesBinance[[#This Row],[Tipo]]="EMPTY",0,AJ83+IF(TbTradesBinance[[#This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Row],[Par]]))),$1:$1,0)),-(AI83-AI84)/AI83*AJ83),0),0)+IF(TbTradesBinance[[#This Row],[Tipo]]="SELL",IF(ISNUMBER(FIND(MID(AJ$1,10,5),TbTradesBinance[[#This Row],[Par]])),IF(FIND(MID(AJ$1,10,5),TbTradesBinance[[#This Row],[Par]])=1, -(AI83-AI84)/AI83*AJ83,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Row],[Par]])),(-(AI83-AI84)/AI83*AJ83)+IF(TbTradesBinance[[#This Row],[Resultado]]&gt;0,0,TbTradesBinance[[#This Row],[Taxa]]),0),0))</f>
        <v>0</v>
      </c>
      <c r="AK84" s="145">
        <f t="shared" si="27"/>
        <v>0</v>
      </c>
      <c r="AL8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Row],[Tipo]]="DROP"),AL83+TbTradesBinance[[#This Row],[Qtt]],AL83-TbTradesBinance[[#This Row],[Qtt]]),IF(TbTradesBinance[[#This Row],[Tipo]]="BUY",AL83-TbTradesBinance[[#This Row],[Qtt]]*TbTradesBinance[[#This Row],[Preço]],AL83+TbTradesBinance[[#This Row],[Qtt]]*TbTradesBinance[[#This Row],[Preço]])),AL83)-IF(TbTradesBinance[[#This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Row],[Tipo]]="DROP"),AL83+TbTradesBinance[[#This Row],[Qtt]],AL83-TbTradesBinance[[#This Row],[Qtt]]),IF(TbTradesBinance[[#This Row],[Tipo]]="BUY",AL83-TbTradesBinance[[#This Row],[Qtt]]*TbTradesBinance[[#This Row],[Preço]],AL83+TbTradesBinance[[#This Row],[Qtt]]*TbTradesBinance[[#This Row],[Preço]])),AL83)-IF(TbTradesBinance[[#This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Row],[Tipo]]="DROP"),AL83+TbTradesBinance[[#This Row],[Qtt]],AL83-TbTradesBinance[[#This Row],[Qtt]]),IF(TbTradesBinance[[#This Row],[Tipo]]="BUY",AL83-TbTradesBinance[[#This Row],[Qtt]]*TbTradesBinance[[#This Row],[Preço]],AL83+TbTradesBinance[[#This Row],[Qtt]]*TbTradesBinance[[#This Row],[Preço]])),AL83)-IF(TbTradesBinance[[#This Row],[Moeda da Taxa]]=MID(AL$1,9,5),TbTradesBinance[[#This Row],[Taxa]],0),8)))</f>
        <v>1.75824</v>
      </c>
      <c r="AM84" s="145" cm="1">
        <f t="array" ref="AM84">IF(TbTradesBinance[[#This Row],[Tipo]]="EMPTY",0,AM83+IF(TbTradesBinance[[#This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Row],[Par]]))),$1:$1,0)),-(AL83-AL84)/AL83*AM83),0),0)+IF(TbTradesBinance[[#This Row],[Tipo]]="SELL",IF(ISNUMBER(FIND(MID(AM$1,10,5),TbTradesBinance[[#This Row],[Par]])),IF(FIND(MID(AM$1,10,5),TbTradesBinance[[#This Row],[Par]])=1, -(AL83-AL84)/AL83*AM83,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Row],[Par]])),(-(AL83-AL84)/AL83*AM83)+IF(TbTradesBinance[[#This Row],[Resultado]]&gt;0,0,TbTradesBinance[[#This Row],[Taxa]]),0),0))</f>
        <v>144.56635471393039</v>
      </c>
      <c r="AN84" s="145">
        <f t="shared" si="28"/>
        <v>82.222196465744375</v>
      </c>
      <c r="AO8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Row],[Tipo]]="DROP"),AO83+TbTradesBinance[[#This Row],[Qtt]],AO83-TbTradesBinance[[#This Row],[Qtt]]),IF(TbTradesBinance[[#This Row],[Tipo]]="BUY",AO83-TbTradesBinance[[#This Row],[Qtt]]*TbTradesBinance[[#This Row],[Preço]],AO83+TbTradesBinance[[#This Row],[Qtt]]*TbTradesBinance[[#This Row],[Preço]])),AO83)-IF(TbTradesBinance[[#This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Row],[Tipo]]="DROP"),AO83+TbTradesBinance[[#This Row],[Qtt]],AO83-TbTradesBinance[[#This Row],[Qtt]]),IF(TbTradesBinance[[#This Row],[Tipo]]="BUY",AO83-TbTradesBinance[[#This Row],[Qtt]]*TbTradesBinance[[#This Row],[Preço]],AO83+TbTradesBinance[[#This Row],[Qtt]]*TbTradesBinance[[#This Row],[Preço]])),AO83)-IF(TbTradesBinance[[#This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Row],[Tipo]]="DROP"),AO83+TbTradesBinance[[#This Row],[Qtt]],AO83-TbTradesBinance[[#This Row],[Qtt]]),IF(TbTradesBinance[[#This Row],[Tipo]]="BUY",AO83-TbTradesBinance[[#This Row],[Qtt]]*TbTradesBinance[[#This Row],[Preço]],AO83+TbTradesBinance[[#This Row],[Qtt]]*TbTradesBinance[[#This Row],[Preço]])),AO83)-IF(TbTradesBinance[[#This Row],[Moeda da Taxa]]=MID(AO$1,9,5),TbTradesBinance[[#This Row],[Taxa]],0),8)))</f>
        <v>2.70054E-3</v>
      </c>
      <c r="AP84" s="145" cm="1">
        <f t="array" ref="AP84">IF(TbTradesBinance[[#This Row],[Tipo]]="EMPTY",0,AP83+IF(TbTradesBinance[[#This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Row],[Par]]))),$1:$1,0)),-(AO83-AO84)/AO83*AP83),0),0)+IF(TbTradesBinance[[#This Row],[Tipo]]="SELL",IF(ISNUMBER(FIND(MID(AP$1,10,5),TbTradesBinance[[#This Row],[Par]])),IF(FIND(MID(AP$1,10,5),TbTradesBinance[[#This Row],[Par]])=1, -(AO83-AO84)/AO83*AP83,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Row],[Par]])),(-(AO83-AO84)/AO83*AP83)+IF(TbTradesBinance[[#This Row],[Resultado]]&gt;0,0,TbTradesBinance[[#This Row],[Taxa]]),0),0))</f>
        <v>5.2490633588966693</v>
      </c>
      <c r="AQ84" s="145">
        <f t="shared" si="29"/>
        <v>1943.7087985723854</v>
      </c>
      <c r="AR8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Row],[Tipo]]="DROP"),AR83+TbTradesBinance[[#This Row],[Qtt]],AR83-TbTradesBinance[[#This Row],[Qtt]]),IF(TbTradesBinance[[#This Row],[Tipo]]="BUY",AR83-TbTradesBinance[[#This Row],[Qtt]]*TbTradesBinance[[#This Row],[Preço]],AR83+TbTradesBinance[[#This Row],[Qtt]]*TbTradesBinance[[#This Row],[Preço]])),AR83)-IF(TbTradesBinance[[#This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Row],[Tipo]]="DROP"),AR83+TbTradesBinance[[#This Row],[Qtt]],AR83-TbTradesBinance[[#This Row],[Qtt]]),IF(TbTradesBinance[[#This Row],[Tipo]]="BUY",AR83-TbTradesBinance[[#This Row],[Qtt]]*TbTradesBinance[[#This Row],[Preço]],AR83+TbTradesBinance[[#This Row],[Qtt]]*TbTradesBinance[[#This Row],[Preço]])),AR83)-IF(TbTradesBinance[[#This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Row],[Tipo]]="DROP"),AR83+TbTradesBinance[[#This Row],[Qtt]],AR83-TbTradesBinance[[#This Row],[Qtt]]),IF(TbTradesBinance[[#This Row],[Tipo]]="BUY",AR83-TbTradesBinance[[#This Row],[Qtt]]*TbTradesBinance[[#This Row],[Preço]],AR83+TbTradesBinance[[#This Row],[Qtt]]*TbTradesBinance[[#This Row],[Preço]])),AR83)-IF(TbTradesBinance[[#This Row],[Moeda da Taxa]]=MID(AR$1,9,5),TbTradesBinance[[#This Row],[Taxa]],0),8)))</f>
        <v>0</v>
      </c>
      <c r="AS84" s="145" cm="1">
        <f t="array" ref="AS84">IF(TbTradesBinance[[#This Row],[Tipo]]="EMPTY",0,AS83+IF(TbTradesBinance[[#This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Row],[Par]]))),$1:$1,0)),-(AR83-AR84)/AR83*AS83),0),0)+IF(TbTradesBinance[[#This Row],[Tipo]]="SELL",IF(ISNUMBER(FIND(MID(AS$1,10,5),TbTradesBinance[[#This Row],[Par]])),IF(FIND(MID(AS$1,10,5),TbTradesBinance[[#This Row],[Par]])=1, -(AR83-AR84)/AR83*AS83,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Row],[Par]])),(-(AR83-AR84)/AR83*AS83)+IF(TbTradesBinance[[#This Row],[Resultado]]&gt;0,0,TbTradesBinance[[#This Row],[Taxa]]),0),0))</f>
        <v>0</v>
      </c>
      <c r="AT84" s="145">
        <f t="shared" si="30"/>
        <v>0</v>
      </c>
      <c r="AU8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Row],[Tipo]]="DROP"),AU83+TbTradesBinance[[#This Row],[Qtt]],AU83-TbTradesBinance[[#This Row],[Qtt]]),IF(TbTradesBinance[[#This Row],[Tipo]]="BUY",AU83-TbTradesBinance[[#This Row],[Qtt]]*TbTradesBinance[[#This Row],[Preço]],AU83+TbTradesBinance[[#This Row],[Qtt]]*TbTradesBinance[[#This Row],[Preço]])),AU83)-IF(TbTradesBinance[[#This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Row],[Tipo]]="DROP"),AU83+TbTradesBinance[[#This Row],[Qtt]],AU83-TbTradesBinance[[#This Row],[Qtt]]),IF(TbTradesBinance[[#This Row],[Tipo]]="BUY",AU83-TbTradesBinance[[#This Row],[Qtt]]*TbTradesBinance[[#This Row],[Preço]],AU83+TbTradesBinance[[#This Row],[Qtt]]*TbTradesBinance[[#This Row],[Preço]])),AU83)-IF(TbTradesBinance[[#This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Row],[Tipo]]="DROP"),AU83+TbTradesBinance[[#This Row],[Qtt]],AU83-TbTradesBinance[[#This Row],[Qtt]]),IF(TbTradesBinance[[#This Row],[Tipo]]="BUY",AU83-TbTradesBinance[[#This Row],[Qtt]]*TbTradesBinance[[#This Row],[Preço]],AU83+TbTradesBinance[[#This Row],[Qtt]]*TbTradesBinance[[#This Row],[Preço]])),AU83)-IF(TbTradesBinance[[#This Row],[Moeda da Taxa]]=MID(AU$1,9,5),TbTradesBinance[[#This Row],[Taxa]],0),8)))</f>
        <v>0.26989999999999997</v>
      </c>
      <c r="AV84" s="145" cm="1">
        <f t="array" ref="AV84">IF(TbTradesBinance[[#This Row],[Tipo]]="EMPTY",0,AV83+IF(TbTradesBinance[[#This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Row],[Par]]))),$1:$1,0)),-(AU83-AU84)/AU83*AV83),0),0)+IF(TbTradesBinance[[#This Row],[Tipo]]="SELL",IF(ISNUMBER(FIND(MID(AV$1,10,5),TbTradesBinance[[#This Row],[Par]])),IF(FIND(MID(AV$1,10,5),TbTradesBinance[[#This Row],[Par]])=1, -(AU83-AU84)/AU83*AV83,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Row],[Par]])),(-(AU83-AU84)/AU83*AV83)+IF(TbTradesBinance[[#This Row],[Resultado]]&gt;0,0,TbTradesBinance[[#This Row],[Taxa]]),0),0))</f>
        <v>56.09788062740806</v>
      </c>
      <c r="AW84" s="145">
        <f t="shared" si="31"/>
        <v>207.8469085861729</v>
      </c>
      <c r="AX8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Row],[Tipo]]="DROP"),AX83+TbTradesBinance[[#This Row],[Qtt]],AX83-TbTradesBinance[[#This Row],[Qtt]]),IF(TbTradesBinance[[#This Row],[Tipo]]="BUY",AX83-TbTradesBinance[[#This Row],[Qtt]]*TbTradesBinance[[#This Row],[Preço]],AX83+TbTradesBinance[[#This Row],[Qtt]]*TbTradesBinance[[#This Row],[Preço]])),AX83)-IF(TbTradesBinance[[#This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Row],[Tipo]]="DROP"),AX83+TbTradesBinance[[#This Row],[Qtt]],AX83-TbTradesBinance[[#This Row],[Qtt]]),IF(TbTradesBinance[[#This Row],[Tipo]]="BUY",AX83-TbTradesBinance[[#This Row],[Qtt]]*TbTradesBinance[[#This Row],[Preço]],AX83+TbTradesBinance[[#This Row],[Qtt]]*TbTradesBinance[[#This Row],[Preço]])),AX83)-IF(TbTradesBinance[[#This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Row],[Tipo]]="DROP"),AX83+TbTradesBinance[[#This Row],[Qtt]],AX83-TbTradesBinance[[#This Row],[Qtt]]),IF(TbTradesBinance[[#This Row],[Tipo]]="BUY",AX83-TbTradesBinance[[#This Row],[Qtt]]*TbTradesBinance[[#This Row],[Preço]],AX83+TbTradesBinance[[#This Row],[Qtt]]*TbTradesBinance[[#This Row],[Preço]])),AX83)-IF(TbTradesBinance[[#This Row],[Moeda da Taxa]]=MID(AX$1,9,5),TbTradesBinance[[#This Row],[Taxa]],0),8)))</f>
        <v>0.22636999999999999</v>
      </c>
      <c r="AY84" s="145" cm="1">
        <f t="array" ref="AY84">IF(TbTradesBinance[[#This Row],[Tipo]]="EMPTY",0,AY83+IF(TbTradesBinance[[#This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Row],[Par]]))),$1:$1,0)),-(AX83-AX84)/AX83*AY83),0),0)+IF(TbTradesBinance[[#This Row],[Tipo]]="SELL",IF(ISNUMBER(FIND(MID(AY$1,10,5),TbTradesBinance[[#This Row],[Par]])),IF(FIND(MID(AY$1,10,5),TbTradesBinance[[#This Row],[Par]])=1, -(AX83-AX84)/AX83*AY83,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Row],[Par]])),(-(AX83-AX84)/AX83*AY83)+IF(TbTradesBinance[[#This Row],[Resultado]]&gt;0,0,TbTradesBinance[[#This Row],[Taxa]]),0),0))</f>
        <v>40.781337593356859</v>
      </c>
      <c r="AZ84" s="145">
        <f t="shared" si="32"/>
        <v>180.15345493376711</v>
      </c>
      <c r="BA8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Row],[Tipo]]="DROP"),BA83+TbTradesBinance[[#This Row],[Qtt]],BA83-TbTradesBinance[[#This Row],[Qtt]]),IF(TbTradesBinance[[#This Row],[Tipo]]="BUY",BA83-TbTradesBinance[[#This Row],[Qtt]]*TbTradesBinance[[#This Row],[Preço]],BA83+TbTradesBinance[[#This Row],[Qtt]]*TbTradesBinance[[#This Row],[Preço]])),BA83)-IF(TbTradesBinance[[#This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Row],[Tipo]]="DROP"),BA83+TbTradesBinance[[#This Row],[Qtt]],BA83-TbTradesBinance[[#This Row],[Qtt]]),IF(TbTradesBinance[[#This Row],[Tipo]]="BUY",BA83-TbTradesBinance[[#This Row],[Qtt]]*TbTradesBinance[[#This Row],[Preço]],BA83+TbTradesBinance[[#This Row],[Qtt]]*TbTradesBinance[[#This Row],[Preço]])),BA83)-IF(TbTradesBinance[[#This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Row],[Tipo]]="DROP"),BA83+TbTradesBinance[[#This Row],[Qtt]],BA83-TbTradesBinance[[#This Row],[Qtt]]),IF(TbTradesBinance[[#This Row],[Tipo]]="BUY",BA83-TbTradesBinance[[#This Row],[Qtt]]*TbTradesBinance[[#This Row],[Preço]],BA83+TbTradesBinance[[#This Row],[Qtt]]*TbTradesBinance[[#This Row],[Preço]])),BA83)-IF(TbTradesBinance[[#This Row],[Moeda da Taxa]]=MID(BA$1,9,5),TbTradesBinance[[#This Row],[Taxa]],0),8)))</f>
        <v>0</v>
      </c>
      <c r="BB84" s="145" cm="1">
        <f t="array" ref="BB84">IF(TbTradesBinance[[#This Row],[Tipo]]="EMPTY",0,BB83+IF(TbTradesBinance[[#This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Row],[Par]]))),$1:$1,0)),-(BA83-BA84)/BA83*BB83),0),0)+IF(TbTradesBinance[[#This Row],[Tipo]]="SELL",IF(ISNUMBER(FIND(MID(BB$1,10,5),TbTradesBinance[[#This Row],[Par]])),IF(FIND(MID(BB$1,10,5),TbTradesBinance[[#This Row],[Par]])=1, -(BA83-BA84)/BA83*BB83,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Row],[Par]])),(-(BA83-BA84)/BA83*BB83)+IF(TbTradesBinance[[#This Row],[Resultado]]&gt;0,0,TbTradesBinance[[#This Row],[Taxa]]),0),0))</f>
        <v>0</v>
      </c>
      <c r="BC84" s="145">
        <f t="shared" si="33"/>
        <v>0</v>
      </c>
      <c r="BD8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Row],[Tipo]]="DROP"),BD83+TbTradesBinance[[#This Row],[Qtt]],BD83-TbTradesBinance[[#This Row],[Qtt]]),IF(TbTradesBinance[[#This Row],[Tipo]]="BUY",BD83-TbTradesBinance[[#This Row],[Qtt]]*TbTradesBinance[[#This Row],[Preço]],BD83+TbTradesBinance[[#This Row],[Qtt]]*TbTradesBinance[[#This Row],[Preço]])),BD83)-IF(TbTradesBinance[[#This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Row],[Tipo]]="DROP"),BD83+TbTradesBinance[[#This Row],[Qtt]],BD83-TbTradesBinance[[#This Row],[Qtt]]),IF(TbTradesBinance[[#This Row],[Tipo]]="BUY",BD83-TbTradesBinance[[#This Row],[Qtt]]*TbTradesBinance[[#This Row],[Preço]],BD83+TbTradesBinance[[#This Row],[Qtt]]*TbTradesBinance[[#This Row],[Preço]])),BD83)-IF(TbTradesBinance[[#This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Row],[Tipo]]="DROP"),BD83+TbTradesBinance[[#This Row],[Qtt]],BD83-TbTradesBinance[[#This Row],[Qtt]]),IF(TbTradesBinance[[#This Row],[Tipo]]="BUY",BD83-TbTradesBinance[[#This Row],[Qtt]]*TbTradesBinance[[#This Row],[Preço]],BD83+TbTradesBinance[[#This Row],[Qtt]]*TbTradesBinance[[#This Row],[Preço]])),BD83)-IF(TbTradesBinance[[#This Row],[Moeda da Taxa]]=MID(BD$1,9,5),TbTradesBinance[[#This Row],[Taxa]],0),8)))</f>
        <v>0.37962000000000001</v>
      </c>
      <c r="BE84" s="145" cm="1">
        <f t="array" ref="BE84">IF(TbTradesBinance[[#This Row],[Tipo]]="EMPTY",0,BE83+IF(TbTradesBinance[[#This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Row],[Par]]))),$1:$1,0)),-(BD83-BD84)/BD83*BE83),0),0)+IF(TbTradesBinance[[#This Row],[Tipo]]="SELL",IF(ISNUMBER(FIND(MID(BE$1,10,5),TbTradesBinance[[#This Row],[Par]])),IF(FIND(MID(BE$1,10,5),TbTradesBinance[[#This Row],[Par]])=1, -(BD83-BD84)/BD83*BE83,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Row],[Par]])),(-(BD83-BD84)/BD83*BE83)+IF(TbTradesBinance[[#This Row],[Resultado]]&gt;0,0,TbTradesBinance[[#This Row],[Taxa]]),0),0))</f>
        <v>63.647297001537943</v>
      </c>
      <c r="BF84" s="145">
        <f t="shared" si="34"/>
        <v>167.66054739354601</v>
      </c>
      <c r="BG8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Row],[Tipo]]="DROP"),BG83+TbTradesBinance[[#This Row],[Qtt]],BG83-TbTradesBinance[[#This Row],[Qtt]]),IF(TbTradesBinance[[#This Row],[Tipo]]="BUY",BG83-TbTradesBinance[[#This Row],[Qtt]]*TbTradesBinance[[#This Row],[Preço]],BG83+TbTradesBinance[[#This Row],[Qtt]]*TbTradesBinance[[#This Row],[Preço]])),BG83)-IF(TbTradesBinance[[#This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Row],[Tipo]]="DROP"),BG83+TbTradesBinance[[#This Row],[Qtt]],BG83-TbTradesBinance[[#This Row],[Qtt]]),IF(TbTradesBinance[[#This Row],[Tipo]]="BUY",BG83-TbTradesBinance[[#This Row],[Qtt]]*TbTradesBinance[[#This Row],[Preço]],BG83+TbTradesBinance[[#This Row],[Qtt]]*TbTradesBinance[[#This Row],[Preço]])),BG83)-IF(TbTradesBinance[[#This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Row],[Tipo]]="DROP"),BG83+TbTradesBinance[[#This Row],[Qtt]],BG83-TbTradesBinance[[#This Row],[Qtt]]),IF(TbTradesBinance[[#This Row],[Tipo]]="BUY",BG83-TbTradesBinance[[#This Row],[Qtt]]*TbTradesBinance[[#This Row],[Preço]],BG83+TbTradesBinance[[#This Row],[Qtt]]*TbTradesBinance[[#This Row],[Preço]])),BG83)-IF(TbTradesBinance[[#This Row],[Moeda da Taxa]]=MID(BG$1,9,5),TbTradesBinance[[#This Row],[Taxa]],0),8)))</f>
        <v>8.1700000000000002E-3</v>
      </c>
      <c r="BH84" s="145" cm="1">
        <f t="array" ref="BH84">IF(TbTradesBinance[[#This Row],[Tipo]]="EMPTY",0,BH83+IF(TbTradesBinance[[#This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Row],[Par]]))),$1:$1,0)),-(BG83-BG84)/BG83*BH83),0),0)+IF(TbTradesBinance[[#This Row],[Tipo]]="SELL",IF(ISNUMBER(FIND(MID(BH$1,10,5),TbTradesBinance[[#This Row],[Par]])),IF(FIND(MID(BH$1,10,5),TbTradesBinance[[#This Row],[Par]])=1, -(BG83-BG84)/BG83*BH83,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Row],[Par]])),(-(BG83-BG84)/BG83*BH83)+IF(TbTradesBinance[[#This Row],[Resultado]]&gt;0,0,TbTradesBinance[[#This Row],[Taxa]]),0),0))</f>
        <v>2.9348177900828887E-2</v>
      </c>
      <c r="BI84" s="145">
        <f t="shared" si="35"/>
        <v>3.5921882375555554</v>
      </c>
      <c r="BJ8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Row],[Tipo]]="DROP"),BJ83+TbTradesBinance[[#This Row],[Qtt]],BJ83-TbTradesBinance[[#This Row],[Qtt]]),IF(TbTradesBinance[[#This Row],[Tipo]]="BUY",BJ83-TbTradesBinance[[#This Row],[Qtt]]*TbTradesBinance[[#This Row],[Preço]],BJ83+TbTradesBinance[[#This Row],[Qtt]]*TbTradesBinance[[#This Row],[Preço]])),BJ83)-IF(TbTradesBinance[[#This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Row],[Tipo]]="DROP"),BJ83+TbTradesBinance[[#This Row],[Qtt]],BJ83-TbTradesBinance[[#This Row],[Qtt]]),IF(TbTradesBinance[[#This Row],[Tipo]]="BUY",BJ83-TbTradesBinance[[#This Row],[Qtt]]*TbTradesBinance[[#This Row],[Preço]],BJ83+TbTradesBinance[[#This Row],[Qtt]]*TbTradesBinance[[#This Row],[Preço]])),BJ83)-IF(TbTradesBinance[[#This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Row],[Tipo]]="DROP"),BJ83+TbTradesBinance[[#This Row],[Qtt]],BJ83-TbTradesBinance[[#This Row],[Qtt]]),IF(TbTradesBinance[[#This Row],[Tipo]]="BUY",BJ83-TbTradesBinance[[#This Row],[Qtt]]*TbTradesBinance[[#This Row],[Preço]],BJ83+TbTradesBinance[[#This Row],[Qtt]]*TbTradesBinance[[#This Row],[Preço]])),BJ83)-IF(TbTradesBinance[[#This Row],[Moeda da Taxa]]=MID(BJ$1,9,5),TbTradesBinance[[#This Row],[Taxa]],0),8)))</f>
        <v>0</v>
      </c>
      <c r="BK84" s="145" cm="1">
        <f t="array" ref="BK84">IF(TbTradesBinance[[#This Row],[Tipo]]="EMPTY",0,BK83+IF(TbTradesBinance[[#This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Row],[Par]]))),$1:$1,0)),-(BJ83-BJ84)/BJ83*BK83),0),0)+IF(TbTradesBinance[[#This Row],[Tipo]]="SELL",IF(ISNUMBER(FIND(MID(BK$1,10,5),TbTradesBinance[[#This Row],[Par]])),IF(FIND(MID(BK$1,10,5),TbTradesBinance[[#This Row],[Par]])=1, -(BJ83-BJ84)/BJ83*BK83,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Row],[Par]])),(-(BJ83-BJ84)/BJ83*BK83)+IF(TbTradesBinance[[#This Row],[Resultado]]&gt;0,0,TbTradesBinance[[#This Row],[Taxa]]),0),0))</f>
        <v>0</v>
      </c>
      <c r="BL84" s="145">
        <f t="shared" si="36"/>
        <v>0</v>
      </c>
      <c r="BM8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Row],[Tipo]]="DROP"),BM83+TbTradesBinance[[#This Row],[Qtt]],BM83-TbTradesBinance[[#This Row],[Qtt]]),IF(TbTradesBinance[[#This Row],[Tipo]]="BUY",BM83-TbTradesBinance[[#This Row],[Qtt]]*TbTradesBinance[[#This Row],[Preço]],BM83+TbTradesBinance[[#This Row],[Qtt]]*TbTradesBinance[[#This Row],[Preço]])),BM83)-IF(TbTradesBinance[[#This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Row],[Tipo]]="DROP"),BM83+TbTradesBinance[[#This Row],[Qtt]],BM83-TbTradesBinance[[#This Row],[Qtt]]),IF(TbTradesBinance[[#This Row],[Tipo]]="BUY",BM83-TbTradesBinance[[#This Row],[Qtt]]*TbTradesBinance[[#This Row],[Preço]],BM83+TbTradesBinance[[#This Row],[Qtt]]*TbTradesBinance[[#This Row],[Preço]])),BM83)-IF(TbTradesBinance[[#This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Row],[Tipo]]="DROP"),BM83+TbTradesBinance[[#This Row],[Qtt]],BM83-TbTradesBinance[[#This Row],[Qtt]]),IF(TbTradesBinance[[#This Row],[Tipo]]="BUY",BM83-TbTradesBinance[[#This Row],[Qtt]]*TbTradesBinance[[#This Row],[Preço]],BM83+TbTradesBinance[[#This Row],[Qtt]]*TbTradesBinance[[#This Row],[Preço]])),BM83)-IF(TbTradesBinance[[#This Row],[Moeda da Taxa]]=MID(BM$1,9,5),TbTradesBinance[[#This Row],[Taxa]],0),8)))</f>
        <v>0</v>
      </c>
      <c r="BN84" s="145" cm="1">
        <f t="array" ref="BN84">IF(TbTradesBinance[[#This Row],[Tipo]]="EMPTY",0,BN83+IF(TbTradesBinance[[#This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Row],[Par]]))),$1:$1,0)),-(BM83-BM84)/BM83*BN83),0),0)+IF(TbTradesBinance[[#This Row],[Tipo]]="SELL",IF(ISNUMBER(FIND(MID(BN$1,10,5),TbTradesBinance[[#This Row],[Par]])),IF(FIND(MID(BN$1,10,5),TbTradesBinance[[#This Row],[Par]])=1, -(BM83-BM84)/BM83*BN83,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Row],[Par]])),(-(BM83-BM84)/BM83*BN83)+IF(TbTradesBinance[[#This Row],[Resultado]]&gt;0,0,TbTradesBinance[[#This Row],[Taxa]]),0),0))</f>
        <v>0</v>
      </c>
      <c r="BO84" s="145">
        <f t="shared" si="37"/>
        <v>0</v>
      </c>
    </row>
    <row r="85" spans="2:67" x14ac:dyDescent="0.3">
      <c r="B85" s="51" t="s">
        <v>107</v>
      </c>
      <c r="C85" s="40">
        <f>TRUNC(IF(AND(TbTradesBinance[[#This Row],[Tipo]]="SEND",TbTradesBinance[[#This Row],[Par]]="BRL"),TbTradesBinance[[#This Row],[Qtt]]*(1-P83)-IF(TbTradesBinance[[#This Row],[Moeda da Taxa]]="BRL",TbTradesBinance[[#This Row],[Taxa]],0),0)+IF(AND(TbTradesBinance[[#This Row],[Tipo]]="BURN",TbTradesBinance[[#This Row],[Par]]="BRL"),-TbTradesBinance[[#This Row],[Qtt]]*P83,0),2)</f>
        <v>0</v>
      </c>
      <c r="D85" s="53">
        <v>44267.465590277781</v>
      </c>
      <c r="E85" s="37" t="s">
        <v>254</v>
      </c>
      <c r="F85" s="47" t="s">
        <v>140</v>
      </c>
      <c r="G85" s="38">
        <v>1.33782E-3</v>
      </c>
      <c r="H85" s="38">
        <v>8.1700000000000002E-3</v>
      </c>
      <c r="I85" s="38">
        <v>2.2000000000000001E-7</v>
      </c>
      <c r="J85" s="37" t="s">
        <v>45</v>
      </c>
      <c r="K85" s="52">
        <v>1490</v>
      </c>
      <c r="L85" s="40">
        <f t="shared" si="19"/>
        <v>1.99</v>
      </c>
      <c r="M85" s="40">
        <f>IF(OR(TbTradesBinance[[#This Row],[Tipo]]="BUY",TbTradesBinance[[#This Row],[Tipo]]="RECEIVE",TbTradesBinance[[#This Row],[Tipo]]="DROP"),L85*H85,-L85*H85)</f>
        <v>-1.62583E-2</v>
      </c>
      <c r="N8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Row],[Tipo]]="DROP"),N84+TbTradesBinance[[#This Row],[Qtt]],N84-TbTradesBinance[[#This Row],[Qtt]]),IF(TbTradesBinance[[#This Row],[Tipo]]="BUY",N84-TbTradesBinance[[#This Row],[Qtt]]*TbTradesBinance[[#This Row],[Preço]],N84+TbTradesBinance[[#This Row],[Qtt]]*TbTradesBinance[[#This Row],[Preço]])),N84)-IF(TbTradesBinance[[#This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Row],[Tipo]]="DROP"),N84+TbTradesBinance[[#This Row],[Qtt]],N84-TbTradesBinance[[#This Row],[Qtt]]),IF(TbTradesBinance[[#This Row],[Tipo]]="BUY",N84-TbTradesBinance[[#This Row],[Qtt]]*TbTradesBinance[[#This Row],[Preço]],N84+TbTradesBinance[[#This Row],[Qtt]]*TbTradesBinance[[#This Row],[Preço]])),N84)-IF(TbTradesBinance[[#This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Row],[Tipo]]="DROP"),N84+TbTradesBinance[[#This Row],[Qtt]],N84-TbTradesBinance[[#This Row],[Qtt]]),IF(TbTradesBinance[[#This Row],[Tipo]]="BUY",N84-TbTradesBinance[[#This Row],[Qtt]]*TbTradesBinance[[#This Row],[Preço]],N84+TbTradesBinance[[#This Row],[Qtt]]*TbTradesBinance[[#This Row],[Preço]])),N84)-IF(TbTradesBinance[[#This Row],[Moeda da Taxa]]=MID(N$1,9,5),TbTradesBinance[[#This Row],[Taxa]],0),8)))</f>
        <v>121085.24402208001</v>
      </c>
      <c r="O85" s="145" cm="1">
        <f t="array" ref="O85">IF(TbTradesBinance[[#This Row],[Tipo]]="EMPTY",0,O84+IF(TbTradesBinance[[#This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Row],[Par]]))),$1:$1,0)),-(N84-N85)/N84*O84),0),0)+IF(TbTradesBinance[[#This Row],[Tipo]]="SELL",IF(ISNUMBER(FIND(MID(O$1,10,5),TbTradesBinance[[#This Row],[Par]])),IF(FIND(MID(O$1,10,5),TbTradesBinance[[#This Row],[Par]])=1, -(N84-N85)/N84*O84,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Row],[Par]])),(-(N84-N85)/N84*O84)+IF(TbTradesBinance[[#This Row],[Resultado]]&gt;0,0,TbTradesBinance[[#This Row],[Taxa]]),0),0))</f>
        <v>121071.18981598526</v>
      </c>
      <c r="P85" s="145">
        <f t="shared" si="20"/>
        <v>0.99988393130634323</v>
      </c>
      <c r="Q8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Row],[Tipo]]="DROP"),Q84+TbTradesBinance[[#This Row],[Qtt]],Q84-TbTradesBinance[[#This Row],[Qtt]]),IF(TbTradesBinance[[#This Row],[Tipo]]="BUY",Q84-TbTradesBinance[[#This Row],[Qtt]]*TbTradesBinance[[#This Row],[Preço]],Q84+TbTradesBinance[[#This Row],[Qtt]]*TbTradesBinance[[#This Row],[Preço]])),Q84)-IF(TbTradesBinance[[#This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Row],[Tipo]]="DROP"),Q84+TbTradesBinance[[#This Row],[Qtt]],Q84-TbTradesBinance[[#This Row],[Qtt]]),IF(TbTradesBinance[[#This Row],[Tipo]]="BUY",Q84-TbTradesBinance[[#This Row],[Qtt]]*TbTradesBinance[[#This Row],[Preço]],Q84+TbTradesBinance[[#This Row],[Qtt]]*TbTradesBinance[[#This Row],[Preço]])),Q84)-IF(TbTradesBinance[[#This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Row],[Tipo]]="DROP"),Q84+TbTradesBinance[[#This Row],[Qtt]],Q84-TbTradesBinance[[#This Row],[Qtt]]),IF(TbTradesBinance[[#This Row],[Tipo]]="BUY",Q84-TbTradesBinance[[#This Row],[Qtt]]*TbTradesBinance[[#This Row],[Preço]],Q84+TbTradesBinance[[#This Row],[Qtt]]*TbTradesBinance[[#This Row],[Preço]])),Q84)-IF(TbTradesBinance[[#This Row],[Moeda da Taxa]]=MID(Q$1,9,5),TbTradesBinance[[#This Row],[Taxa]],0),8)))</f>
        <v>1.2019129999999999E-2</v>
      </c>
      <c r="R85" s="145" cm="1">
        <f t="array" ref="R85">IF(TbTradesBinance[[#This Row],[Tipo]]="EMPTY",0,R84+IF(TbTradesBinance[[#This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Row],[Par]]))),$1:$1,0)),-(Q84-Q85)/Q84*R84),0),0)+IF(TbTradesBinance[[#This Row],[Tipo]]="SELL",IF(ISNUMBER(FIND(MID(R$1,10,5),TbTradesBinance[[#This Row],[Par]])),IF(FIND(MID(R$1,10,5),TbTradesBinance[[#This Row],[Par]])=1, -(Q84-Q85)/Q84*R84,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Row],[Par]])),(-(Q84-Q85)/Q84*R84)+IF(TbTradesBinance[[#This Row],[Resultado]]&gt;0,0,TbTradesBinance[[#This Row],[Taxa]]),0),0))</f>
        <v>7.842025887367754E-2</v>
      </c>
      <c r="S85" s="145">
        <f t="shared" si="21"/>
        <v>6.5246202407060698</v>
      </c>
      <c r="T8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Row],[Tipo]]="DROP"),T84+TbTradesBinance[[#This Row],[Qtt]],T84-TbTradesBinance[[#This Row],[Qtt]]),IF(TbTradesBinance[[#This Row],[Tipo]]="BUY",T84-TbTradesBinance[[#This Row],[Qtt]]*TbTradesBinance[[#This Row],[Preço]],T84+TbTradesBinance[[#This Row],[Qtt]]*TbTradesBinance[[#This Row],[Preço]])),T84)-IF(TbTradesBinance[[#This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Row],[Tipo]]="DROP"),T84+TbTradesBinance[[#This Row],[Qtt]],T84-TbTradesBinance[[#This Row],[Qtt]]),IF(TbTradesBinance[[#This Row],[Tipo]]="BUY",T84-TbTradesBinance[[#This Row],[Qtt]]*TbTradesBinance[[#This Row],[Preço]],T84+TbTradesBinance[[#This Row],[Qtt]]*TbTradesBinance[[#This Row],[Preço]])),T84)-IF(TbTradesBinance[[#This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Row],[Tipo]]="DROP"),T84+TbTradesBinance[[#This Row],[Qtt]],T84-TbTradesBinance[[#This Row],[Qtt]]),IF(TbTradesBinance[[#This Row],[Tipo]]="BUY",T84-TbTradesBinance[[#This Row],[Qtt]]*TbTradesBinance[[#This Row],[Preço]],T84+TbTradesBinance[[#This Row],[Qtt]]*TbTradesBinance[[#This Row],[Preço]])),T84)-IF(TbTradesBinance[[#This Row],[Moeda da Taxa]]=MID(T$1,9,5),TbTradesBinance[[#This Row],[Taxa]],0),8)))</f>
        <v>199735.32000169999</v>
      </c>
      <c r="U85" s="145" cm="1">
        <f t="array" ref="U85">IF(TbTradesBinance[[#This Row],[Tipo]]="EMPTY",0,U84+IF(TbTradesBinance[[#This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Row],[Par]]))),$1:$1,0)),-(T84-T85)/T84*U84),0),0)+IF(TbTradesBinance[[#This Row],[Tipo]]="SELL",IF(ISNUMBER(FIND(MID(U$1,10,5),TbTradesBinance[[#This Row],[Par]])),IF(FIND(MID(U$1,10,5),TbTradesBinance[[#This Row],[Par]])=1, -(T84-T85)/T84*U84,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Row],[Par]])),(-(T84-T85)/T84*U84)+IF(TbTradesBinance[[#This Row],[Resultado]]&gt;0,0,TbTradesBinance[[#This Row],[Taxa]]),0),0))</f>
        <v>1328239.8809817513</v>
      </c>
      <c r="V85" s="145">
        <f t="shared" si="22"/>
        <v>6.6500000148719129</v>
      </c>
      <c r="W8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Row],[Tipo]]="DROP"),W84+TbTradesBinance[[#This Row],[Qtt]],W84-TbTradesBinance[[#This Row],[Qtt]]),IF(TbTradesBinance[[#This Row],[Tipo]]="BUY",W84-TbTradesBinance[[#This Row],[Qtt]]*TbTradesBinance[[#This Row],[Preço]],W84+TbTradesBinance[[#This Row],[Qtt]]*TbTradesBinance[[#This Row],[Preço]])),W84)-IF(TbTradesBinance[[#This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Row],[Tipo]]="DROP"),W84+TbTradesBinance[[#This Row],[Qtt]],W84-TbTradesBinance[[#This Row],[Qtt]]),IF(TbTradesBinance[[#This Row],[Tipo]]="BUY",W84-TbTradesBinance[[#This Row],[Qtt]]*TbTradesBinance[[#This Row],[Preço]],W84+TbTradesBinance[[#This Row],[Qtt]]*TbTradesBinance[[#This Row],[Preço]])),W84)-IF(TbTradesBinance[[#This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Row],[Tipo]]="DROP"),W84+TbTradesBinance[[#This Row],[Qtt]],W84-TbTradesBinance[[#This Row],[Qtt]]),IF(TbTradesBinance[[#This Row],[Tipo]]="BUY",W84-TbTradesBinance[[#This Row],[Qtt]]*TbTradesBinance[[#This Row],[Preço]],W84+TbTradesBinance[[#This Row],[Qtt]]*TbTradesBinance[[#This Row],[Preço]])),W84)-IF(TbTradesBinance[[#This Row],[Moeda da Taxa]]=MID(W$1,9,5),TbTradesBinance[[#This Row],[Taxa]],0),8)))</f>
        <v>4.5399999999999997E-6</v>
      </c>
      <c r="X85" s="145" cm="1">
        <f t="array" ref="X85">IF(TbTradesBinance[[#This Row],[Tipo]]="EMPTY",0,X84+IF(TbTradesBinance[[#This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Row],[Par]]))),$1:$1,0)),-(W84-W85)/W84*X84),0),0)+IF(TbTradesBinance[[#This Row],[Tipo]]="SELL",IF(ISNUMBER(FIND(MID(X$1,10,5),TbTradesBinance[[#This Row],[Par]])),IF(FIND(MID(X$1,10,5),TbTradesBinance[[#This Row],[Par]])=1, -(W84-W85)/W84*X84,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Row],[Par]])),(-(W84-W85)/W84*X84)+IF(TbTradesBinance[[#This Row],[Resultado]]&gt;0,0,TbTradesBinance[[#This Row],[Taxa]]),0),0))</f>
        <v>1.5152928264556067</v>
      </c>
      <c r="Y85" s="145">
        <f t="shared" si="23"/>
        <v>333764.93974793103</v>
      </c>
      <c r="Z8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Row],[Tipo]]="DROP"),Z84+TbTradesBinance[[#This Row],[Qtt]],Z84-TbTradesBinance[[#This Row],[Qtt]]),IF(TbTradesBinance[[#This Row],[Tipo]]="BUY",Z84-TbTradesBinance[[#This Row],[Qtt]]*TbTradesBinance[[#This Row],[Preço]],Z84+TbTradesBinance[[#This Row],[Qtt]]*TbTradesBinance[[#This Row],[Preço]])),Z84)-IF(TbTradesBinance[[#This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Row],[Tipo]]="DROP"),Z84+TbTradesBinance[[#This Row],[Qtt]],Z84-TbTradesBinance[[#This Row],[Qtt]]),IF(TbTradesBinance[[#This Row],[Tipo]]="BUY",Z84-TbTradesBinance[[#This Row],[Qtt]]*TbTradesBinance[[#This Row],[Preço]],Z84+TbTradesBinance[[#This Row],[Qtt]]*TbTradesBinance[[#This Row],[Preço]])),Z84)-IF(TbTradesBinance[[#This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Row],[Tipo]]="DROP"),Z84+TbTradesBinance[[#This Row],[Qtt]],Z84-TbTradesBinance[[#This Row],[Qtt]]),IF(TbTradesBinance[[#This Row],[Tipo]]="BUY",Z84-TbTradesBinance[[#This Row],[Qtt]]*TbTradesBinance[[#This Row],[Preço]],Z84+TbTradesBinance[[#This Row],[Qtt]]*TbTradesBinance[[#This Row],[Preço]])),Z84)-IF(TbTradesBinance[[#This Row],[Moeda da Taxa]]=MID(Z$1,9,5),TbTradesBinance[[#This Row],[Taxa]],0),8)))</f>
        <v>0</v>
      </c>
      <c r="AA85" s="145" cm="1">
        <f t="array" ref="AA85">IF(TbTradesBinance[[#This Row],[Tipo]]="EMPTY",0,AA84+IF(TbTradesBinance[[#This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Row],[Par]]))),$1:$1,0)),-(Z84-Z85)/Z84*AA84),0),0)+IF(TbTradesBinance[[#This Row],[Tipo]]="SELL",IF(ISNUMBER(FIND(MID(AA$1,10,5),TbTradesBinance[[#This Row],[Par]])),IF(FIND(MID(AA$1,10,5),TbTradesBinance[[#This Row],[Par]])=1, -(Z84-Z85)/Z84*AA84,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Row],[Par]])),(-(Z84-Z85)/Z84*AA84)+IF(TbTradesBinance[[#This Row],[Resultado]]&gt;0,0,TbTradesBinance[[#This Row],[Taxa]]),0),0))</f>
        <v>0</v>
      </c>
      <c r="AB85" s="145">
        <f t="shared" si="24"/>
        <v>0</v>
      </c>
      <c r="AC8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Row],[Tipo]]="DROP"),AC84+TbTradesBinance[[#This Row],[Qtt]],AC84-TbTradesBinance[[#This Row],[Qtt]]),IF(TbTradesBinance[[#This Row],[Tipo]]="BUY",AC84-TbTradesBinance[[#This Row],[Qtt]]*TbTradesBinance[[#This Row],[Preço]],AC84+TbTradesBinance[[#This Row],[Qtt]]*TbTradesBinance[[#This Row],[Preço]])),AC84)-IF(TbTradesBinance[[#This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Row],[Tipo]]="DROP"),AC84+TbTradesBinance[[#This Row],[Qtt]],AC84-TbTradesBinance[[#This Row],[Qtt]]),IF(TbTradesBinance[[#This Row],[Tipo]]="BUY",AC84-TbTradesBinance[[#This Row],[Qtt]]*TbTradesBinance[[#This Row],[Preço]],AC84+TbTradesBinance[[#This Row],[Qtt]]*TbTradesBinance[[#This Row],[Preço]])),AC84)-IF(TbTradesBinance[[#This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Row],[Tipo]]="DROP"),AC84+TbTradesBinance[[#This Row],[Qtt]],AC84-TbTradesBinance[[#This Row],[Qtt]]),IF(TbTradesBinance[[#This Row],[Tipo]]="BUY",AC84-TbTradesBinance[[#This Row],[Qtt]]*TbTradesBinance[[#This Row],[Preço]],AC84+TbTradesBinance[[#This Row],[Qtt]]*TbTradesBinance[[#This Row],[Preço]])),AC84)-IF(TbTradesBinance[[#This Row],[Moeda da Taxa]]=MID(AC$1,9,5),TbTradesBinance[[#This Row],[Taxa]],0),8)))</f>
        <v>0</v>
      </c>
      <c r="AD85" s="145" cm="1">
        <f t="array" ref="AD85">IF(TbTradesBinance[[#This Row],[Tipo]]="EMPTY",0,AD84+IF(TbTradesBinance[[#This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Row],[Par]]))),$1:$1,0)),-(AC84-AC85)/AC84*AD84),0),0)+IF(TbTradesBinance[[#This Row],[Tipo]]="SELL",IF(ISNUMBER(FIND(MID(AD$1,10,5),TbTradesBinance[[#This Row],[Par]])),IF(FIND(MID(AD$1,10,5),TbTradesBinance[[#This Row],[Par]])=1, -(AC84-AC85)/AC84*AD84,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Row],[Par]])),(-(AC84-AC85)/AC84*AD84)+IF(TbTradesBinance[[#This Row],[Resultado]]&gt;0,0,TbTradesBinance[[#This Row],[Taxa]]),0),0))</f>
        <v>0</v>
      </c>
      <c r="AE85" s="145">
        <f t="shared" si="25"/>
        <v>0</v>
      </c>
      <c r="AF8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Row],[Tipo]]="DROP"),AF84+TbTradesBinance[[#This Row],[Qtt]],AF84-TbTradesBinance[[#This Row],[Qtt]]),IF(TbTradesBinance[[#This Row],[Tipo]]="BUY",AF84-TbTradesBinance[[#This Row],[Qtt]]*TbTradesBinance[[#This Row],[Preço]],AF84+TbTradesBinance[[#This Row],[Qtt]]*TbTradesBinance[[#This Row],[Preço]])),AF84)-IF(TbTradesBinance[[#This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Row],[Tipo]]="DROP"),AF84+TbTradesBinance[[#This Row],[Qtt]],AF84-TbTradesBinance[[#This Row],[Qtt]]),IF(TbTradesBinance[[#This Row],[Tipo]]="BUY",AF84-TbTradesBinance[[#This Row],[Qtt]]*TbTradesBinance[[#This Row],[Preço]],AF84+TbTradesBinance[[#This Row],[Qtt]]*TbTradesBinance[[#This Row],[Preço]])),AF84)-IF(TbTradesBinance[[#This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Row],[Tipo]]="DROP"),AF84+TbTradesBinance[[#This Row],[Qtt]],AF84-TbTradesBinance[[#This Row],[Qtt]]),IF(TbTradesBinance[[#This Row],[Tipo]]="BUY",AF84-TbTradesBinance[[#This Row],[Qtt]]*TbTradesBinance[[#This Row],[Preço]],AF84+TbTradesBinance[[#This Row],[Qtt]]*TbTradesBinance[[#This Row],[Preço]])),AF84)-IF(TbTradesBinance[[#This Row],[Moeda da Taxa]]=MID(AF$1,9,5),TbTradesBinance[[#This Row],[Taxa]],0),8)))</f>
        <v>19.98</v>
      </c>
      <c r="AG85" s="145" cm="1">
        <f t="array" ref="AG85">IF(TbTradesBinance[[#This Row],[Tipo]]="EMPTY",0,AG84+IF(TbTradesBinance[[#This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Row],[Par]]))),$1:$1,0)),-(AF84-AF85)/AF84*AG84),0),0)+IF(TbTradesBinance[[#This Row],[Tipo]]="SELL",IF(ISNUMBER(FIND(MID(AG$1,10,5),TbTradesBinance[[#This Row],[Par]])),IF(FIND(MID(AG$1,10,5),TbTradesBinance[[#This Row],[Par]])=1, -(AF84-AF85)/AF84*AG84,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Row],[Par]])),(-(AF84-AF85)/AF84*AG84)+IF(TbTradesBinance[[#This Row],[Resultado]]&gt;0,0,TbTradesBinance[[#This Row],[Taxa]]),0),0))</f>
        <v>124.04182758073662</v>
      </c>
      <c r="AH85" s="145">
        <f t="shared" si="26"/>
        <v>6.2082996787155462</v>
      </c>
      <c r="AI8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Row],[Tipo]]="DROP"),AI84+TbTradesBinance[[#This Row],[Qtt]],AI84-TbTradesBinance[[#This Row],[Qtt]]),IF(TbTradesBinance[[#This Row],[Tipo]]="BUY",AI84-TbTradesBinance[[#This Row],[Qtt]]*TbTradesBinance[[#This Row],[Preço]],AI84+TbTradesBinance[[#This Row],[Qtt]]*TbTradesBinance[[#This Row],[Preço]])),AI84)-IF(TbTradesBinance[[#This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Row],[Tipo]]="DROP"),AI84+TbTradesBinance[[#This Row],[Qtt]],AI84-TbTradesBinance[[#This Row],[Qtt]]),IF(TbTradesBinance[[#This Row],[Tipo]]="BUY",AI84-TbTradesBinance[[#This Row],[Qtt]]*TbTradesBinance[[#This Row],[Preço]],AI84+TbTradesBinance[[#This Row],[Qtt]]*TbTradesBinance[[#This Row],[Preço]])),AI84)-IF(TbTradesBinance[[#This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Row],[Tipo]]="DROP"),AI84+TbTradesBinance[[#This Row],[Qtt]],AI84-TbTradesBinance[[#This Row],[Qtt]]),IF(TbTradesBinance[[#This Row],[Tipo]]="BUY",AI84-TbTradesBinance[[#This Row],[Qtt]]*TbTradesBinance[[#This Row],[Preço]],AI84+TbTradesBinance[[#This Row],[Qtt]]*TbTradesBinance[[#This Row],[Preço]])),AI84)-IF(TbTradesBinance[[#This Row],[Moeda da Taxa]]=MID(AI$1,9,5),TbTradesBinance[[#This Row],[Taxa]],0),8)))</f>
        <v>0</v>
      </c>
      <c r="AJ85" s="145" cm="1">
        <f t="array" ref="AJ85">IF(TbTradesBinance[[#This Row],[Tipo]]="EMPTY",0,AJ84+IF(TbTradesBinance[[#This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Row],[Par]]))),$1:$1,0)),-(AI84-AI85)/AI84*AJ84),0),0)+IF(TbTradesBinance[[#This Row],[Tipo]]="SELL",IF(ISNUMBER(FIND(MID(AJ$1,10,5),TbTradesBinance[[#This Row],[Par]])),IF(FIND(MID(AJ$1,10,5),TbTradesBinance[[#This Row],[Par]])=1, -(AI84-AI85)/AI84*AJ84,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Row],[Par]])),(-(AI84-AI85)/AI84*AJ84)+IF(TbTradesBinance[[#This Row],[Resultado]]&gt;0,0,TbTradesBinance[[#This Row],[Taxa]]),0),0))</f>
        <v>0</v>
      </c>
      <c r="AK85" s="145">
        <f t="shared" si="27"/>
        <v>0</v>
      </c>
      <c r="AL8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Row],[Tipo]]="DROP"),AL84+TbTradesBinance[[#This Row],[Qtt]],AL84-TbTradesBinance[[#This Row],[Qtt]]),IF(TbTradesBinance[[#This Row],[Tipo]]="BUY",AL84-TbTradesBinance[[#This Row],[Qtt]]*TbTradesBinance[[#This Row],[Preço]],AL84+TbTradesBinance[[#This Row],[Qtt]]*TbTradesBinance[[#This Row],[Preço]])),AL84)-IF(TbTradesBinance[[#This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Row],[Tipo]]="DROP"),AL84+TbTradesBinance[[#This Row],[Qtt]],AL84-TbTradesBinance[[#This Row],[Qtt]]),IF(TbTradesBinance[[#This Row],[Tipo]]="BUY",AL84-TbTradesBinance[[#This Row],[Qtt]]*TbTradesBinance[[#This Row],[Preço]],AL84+TbTradesBinance[[#This Row],[Qtt]]*TbTradesBinance[[#This Row],[Preço]])),AL84)-IF(TbTradesBinance[[#This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Row],[Tipo]]="DROP"),AL84+TbTradesBinance[[#This Row],[Qtt]],AL84-TbTradesBinance[[#This Row],[Qtt]]),IF(TbTradesBinance[[#This Row],[Tipo]]="BUY",AL84-TbTradesBinance[[#This Row],[Qtt]]*TbTradesBinance[[#This Row],[Preço]],AL84+TbTradesBinance[[#This Row],[Qtt]]*TbTradesBinance[[#This Row],[Preço]])),AL84)-IF(TbTradesBinance[[#This Row],[Moeda da Taxa]]=MID(AL$1,9,5),TbTradesBinance[[#This Row],[Taxa]],0),8)))</f>
        <v>1.75824</v>
      </c>
      <c r="AM85" s="145" cm="1">
        <f t="array" ref="AM85">IF(TbTradesBinance[[#This Row],[Tipo]]="EMPTY",0,AM84+IF(TbTradesBinance[[#This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Row],[Par]]))),$1:$1,0)),-(AL84-AL85)/AL84*AM84),0),0)+IF(TbTradesBinance[[#This Row],[Tipo]]="SELL",IF(ISNUMBER(FIND(MID(AM$1,10,5),TbTradesBinance[[#This Row],[Par]])),IF(FIND(MID(AM$1,10,5),TbTradesBinance[[#This Row],[Par]])=1, -(AL84-AL85)/AL84*AM84,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Row],[Par]])),(-(AL84-AL85)/AL84*AM84)+IF(TbTradesBinance[[#This Row],[Resultado]]&gt;0,0,TbTradesBinance[[#This Row],[Taxa]]),0),0))</f>
        <v>144.56635471393039</v>
      </c>
      <c r="AN85" s="145">
        <f t="shared" si="28"/>
        <v>82.222196465744375</v>
      </c>
      <c r="AO8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Row],[Tipo]]="DROP"),AO84+TbTradesBinance[[#This Row],[Qtt]],AO84-TbTradesBinance[[#This Row],[Qtt]]),IF(TbTradesBinance[[#This Row],[Tipo]]="BUY",AO84-TbTradesBinance[[#This Row],[Qtt]]*TbTradesBinance[[#This Row],[Preço]],AO84+TbTradesBinance[[#This Row],[Qtt]]*TbTradesBinance[[#This Row],[Preço]])),AO84)-IF(TbTradesBinance[[#This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Row],[Tipo]]="DROP"),AO84+TbTradesBinance[[#This Row],[Qtt]],AO84-TbTradesBinance[[#This Row],[Qtt]]),IF(TbTradesBinance[[#This Row],[Tipo]]="BUY",AO84-TbTradesBinance[[#This Row],[Qtt]]*TbTradesBinance[[#This Row],[Preço]],AO84+TbTradesBinance[[#This Row],[Qtt]]*TbTradesBinance[[#This Row],[Preço]])),AO84)-IF(TbTradesBinance[[#This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Row],[Tipo]]="DROP"),AO84+TbTradesBinance[[#This Row],[Qtt]],AO84-TbTradesBinance[[#This Row],[Qtt]]),IF(TbTradesBinance[[#This Row],[Tipo]]="BUY",AO84-TbTradesBinance[[#This Row],[Qtt]]*TbTradesBinance[[#This Row],[Preço]],AO84+TbTradesBinance[[#This Row],[Qtt]]*TbTradesBinance[[#This Row],[Preço]])),AO84)-IF(TbTradesBinance[[#This Row],[Moeda da Taxa]]=MID(AO$1,9,5),TbTradesBinance[[#This Row],[Taxa]],0),8)))</f>
        <v>2.7112400000000002E-3</v>
      </c>
      <c r="AP85" s="145" cm="1">
        <f t="array" ref="AP85">IF(TbTradesBinance[[#This Row],[Tipo]]="EMPTY",0,AP84+IF(TbTradesBinance[[#This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Row],[Par]]))),$1:$1,0)),-(AO84-AO85)/AO84*AP84),0),0)+IF(TbTradesBinance[[#This Row],[Tipo]]="SELL",IF(ISNUMBER(FIND(MID(AP$1,10,5),TbTradesBinance[[#This Row],[Par]])),IF(FIND(MID(AP$1,10,5),TbTradesBinance[[#This Row],[Par]])=1, -(AO84-AO85)/AO84*AP84,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Row],[Par]])),(-(AO84-AO85)/AO84*AP84)+IF(TbTradesBinance[[#This Row],[Resultado]]&gt;0,0,TbTradesBinance[[#This Row],[Taxa]]),0),0))</f>
        <v>5.2784115367974982</v>
      </c>
      <c r="AQ85" s="145">
        <f t="shared" si="29"/>
        <v>1946.8625192891436</v>
      </c>
      <c r="AR8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Row],[Tipo]]="DROP"),AR84+TbTradesBinance[[#This Row],[Qtt]],AR84-TbTradesBinance[[#This Row],[Qtt]]),IF(TbTradesBinance[[#This Row],[Tipo]]="BUY",AR84-TbTradesBinance[[#This Row],[Qtt]]*TbTradesBinance[[#This Row],[Preço]],AR84+TbTradesBinance[[#This Row],[Qtt]]*TbTradesBinance[[#This Row],[Preço]])),AR84)-IF(TbTradesBinance[[#This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Row],[Tipo]]="DROP"),AR84+TbTradesBinance[[#This Row],[Qtt]],AR84-TbTradesBinance[[#This Row],[Qtt]]),IF(TbTradesBinance[[#This Row],[Tipo]]="BUY",AR84-TbTradesBinance[[#This Row],[Qtt]]*TbTradesBinance[[#This Row],[Preço]],AR84+TbTradesBinance[[#This Row],[Qtt]]*TbTradesBinance[[#This Row],[Preço]])),AR84)-IF(TbTradesBinance[[#This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Row],[Tipo]]="DROP"),AR84+TbTradesBinance[[#This Row],[Qtt]],AR84-TbTradesBinance[[#This Row],[Qtt]]),IF(TbTradesBinance[[#This Row],[Tipo]]="BUY",AR84-TbTradesBinance[[#This Row],[Qtt]]*TbTradesBinance[[#This Row],[Preço]],AR84+TbTradesBinance[[#This Row],[Qtt]]*TbTradesBinance[[#This Row],[Preço]])),AR84)-IF(TbTradesBinance[[#This Row],[Moeda da Taxa]]=MID(AR$1,9,5),TbTradesBinance[[#This Row],[Taxa]],0),8)))</f>
        <v>0</v>
      </c>
      <c r="AS85" s="145" cm="1">
        <f t="array" ref="AS85">IF(TbTradesBinance[[#This Row],[Tipo]]="EMPTY",0,AS84+IF(TbTradesBinance[[#This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Row],[Par]]))),$1:$1,0)),-(AR84-AR85)/AR84*AS84),0),0)+IF(TbTradesBinance[[#This Row],[Tipo]]="SELL",IF(ISNUMBER(FIND(MID(AS$1,10,5),TbTradesBinance[[#This Row],[Par]])),IF(FIND(MID(AS$1,10,5),TbTradesBinance[[#This Row],[Par]])=1, -(AR84-AR85)/AR84*AS84,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Row],[Par]])),(-(AR84-AR85)/AR84*AS84)+IF(TbTradesBinance[[#This Row],[Resultado]]&gt;0,0,TbTradesBinance[[#This Row],[Taxa]]),0),0))</f>
        <v>0</v>
      </c>
      <c r="AT85" s="145">
        <f t="shared" si="30"/>
        <v>0</v>
      </c>
      <c r="AU8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Row],[Tipo]]="DROP"),AU84+TbTradesBinance[[#This Row],[Qtt]],AU84-TbTradesBinance[[#This Row],[Qtt]]),IF(TbTradesBinance[[#This Row],[Tipo]]="BUY",AU84-TbTradesBinance[[#This Row],[Qtt]]*TbTradesBinance[[#This Row],[Preço]],AU84+TbTradesBinance[[#This Row],[Qtt]]*TbTradesBinance[[#This Row],[Preço]])),AU84)-IF(TbTradesBinance[[#This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Row],[Tipo]]="DROP"),AU84+TbTradesBinance[[#This Row],[Qtt]],AU84-TbTradesBinance[[#This Row],[Qtt]]),IF(TbTradesBinance[[#This Row],[Tipo]]="BUY",AU84-TbTradesBinance[[#This Row],[Qtt]]*TbTradesBinance[[#This Row],[Preço]],AU84+TbTradesBinance[[#This Row],[Qtt]]*TbTradesBinance[[#This Row],[Preço]])),AU84)-IF(TbTradesBinance[[#This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Row],[Tipo]]="DROP"),AU84+TbTradesBinance[[#This Row],[Qtt]],AU84-TbTradesBinance[[#This Row],[Qtt]]),IF(TbTradesBinance[[#This Row],[Tipo]]="BUY",AU84-TbTradesBinance[[#This Row],[Qtt]]*TbTradesBinance[[#This Row],[Preço]],AU84+TbTradesBinance[[#This Row],[Qtt]]*TbTradesBinance[[#This Row],[Preço]])),AU84)-IF(TbTradesBinance[[#This Row],[Moeda da Taxa]]=MID(AU$1,9,5),TbTradesBinance[[#This Row],[Taxa]],0),8)))</f>
        <v>0.26989999999999997</v>
      </c>
      <c r="AV85" s="145" cm="1">
        <f t="array" ref="AV85">IF(TbTradesBinance[[#This Row],[Tipo]]="EMPTY",0,AV84+IF(TbTradesBinance[[#This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Row],[Par]]))),$1:$1,0)),-(AU84-AU85)/AU84*AV84),0),0)+IF(TbTradesBinance[[#This Row],[Tipo]]="SELL",IF(ISNUMBER(FIND(MID(AV$1,10,5),TbTradesBinance[[#This Row],[Par]])),IF(FIND(MID(AV$1,10,5),TbTradesBinance[[#This Row],[Par]])=1, -(AU84-AU85)/AU84*AV84,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Row],[Par]])),(-(AU84-AU85)/AU84*AV84)+IF(TbTradesBinance[[#This Row],[Resultado]]&gt;0,0,TbTradesBinance[[#This Row],[Taxa]]),0),0))</f>
        <v>56.09788062740806</v>
      </c>
      <c r="AW85" s="145">
        <f t="shared" si="31"/>
        <v>207.8469085861729</v>
      </c>
      <c r="AX8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Row],[Tipo]]="DROP"),AX84+TbTradesBinance[[#This Row],[Qtt]],AX84-TbTradesBinance[[#This Row],[Qtt]]),IF(TbTradesBinance[[#This Row],[Tipo]]="BUY",AX84-TbTradesBinance[[#This Row],[Qtt]]*TbTradesBinance[[#This Row],[Preço]],AX84+TbTradesBinance[[#This Row],[Qtt]]*TbTradesBinance[[#This Row],[Preço]])),AX84)-IF(TbTradesBinance[[#This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Row],[Tipo]]="DROP"),AX84+TbTradesBinance[[#This Row],[Qtt]],AX84-TbTradesBinance[[#This Row],[Qtt]]),IF(TbTradesBinance[[#This Row],[Tipo]]="BUY",AX84-TbTradesBinance[[#This Row],[Qtt]]*TbTradesBinance[[#This Row],[Preço]],AX84+TbTradesBinance[[#This Row],[Qtt]]*TbTradesBinance[[#This Row],[Preço]])),AX84)-IF(TbTradesBinance[[#This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Row],[Tipo]]="DROP"),AX84+TbTradesBinance[[#This Row],[Qtt]],AX84-TbTradesBinance[[#This Row],[Qtt]]),IF(TbTradesBinance[[#This Row],[Tipo]]="BUY",AX84-TbTradesBinance[[#This Row],[Qtt]]*TbTradesBinance[[#This Row],[Preço]],AX84+TbTradesBinance[[#This Row],[Qtt]]*TbTradesBinance[[#This Row],[Preço]])),AX84)-IF(TbTradesBinance[[#This Row],[Moeda da Taxa]]=MID(AX$1,9,5),TbTradesBinance[[#This Row],[Taxa]],0),8)))</f>
        <v>0.22636999999999999</v>
      </c>
      <c r="AY85" s="145" cm="1">
        <f t="array" ref="AY85">IF(TbTradesBinance[[#This Row],[Tipo]]="EMPTY",0,AY84+IF(TbTradesBinance[[#This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Row],[Par]]))),$1:$1,0)),-(AX84-AX85)/AX84*AY84),0),0)+IF(TbTradesBinance[[#This Row],[Tipo]]="SELL",IF(ISNUMBER(FIND(MID(AY$1,10,5),TbTradesBinance[[#This Row],[Par]])),IF(FIND(MID(AY$1,10,5),TbTradesBinance[[#This Row],[Par]])=1, -(AX84-AX85)/AX84*AY84,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Row],[Par]])),(-(AX84-AX85)/AX84*AY84)+IF(TbTradesBinance[[#This Row],[Resultado]]&gt;0,0,TbTradesBinance[[#This Row],[Taxa]]),0),0))</f>
        <v>40.781337593356859</v>
      </c>
      <c r="AZ85" s="145">
        <f t="shared" si="32"/>
        <v>180.15345493376711</v>
      </c>
      <c r="BA8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Row],[Tipo]]="DROP"),BA84+TbTradesBinance[[#This Row],[Qtt]],BA84-TbTradesBinance[[#This Row],[Qtt]]),IF(TbTradesBinance[[#This Row],[Tipo]]="BUY",BA84-TbTradesBinance[[#This Row],[Qtt]]*TbTradesBinance[[#This Row],[Preço]],BA84+TbTradesBinance[[#This Row],[Qtt]]*TbTradesBinance[[#This Row],[Preço]])),BA84)-IF(TbTradesBinance[[#This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Row],[Tipo]]="DROP"),BA84+TbTradesBinance[[#This Row],[Qtt]],BA84-TbTradesBinance[[#This Row],[Qtt]]),IF(TbTradesBinance[[#This Row],[Tipo]]="BUY",BA84-TbTradesBinance[[#This Row],[Qtt]]*TbTradesBinance[[#This Row],[Preço]],BA84+TbTradesBinance[[#This Row],[Qtt]]*TbTradesBinance[[#This Row],[Preço]])),BA84)-IF(TbTradesBinance[[#This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Row],[Tipo]]="DROP"),BA84+TbTradesBinance[[#This Row],[Qtt]],BA84-TbTradesBinance[[#This Row],[Qtt]]),IF(TbTradesBinance[[#This Row],[Tipo]]="BUY",BA84-TbTradesBinance[[#This Row],[Qtt]]*TbTradesBinance[[#This Row],[Preço]],BA84+TbTradesBinance[[#This Row],[Qtt]]*TbTradesBinance[[#This Row],[Preço]])),BA84)-IF(TbTradesBinance[[#This Row],[Moeda da Taxa]]=MID(BA$1,9,5),TbTradesBinance[[#This Row],[Taxa]],0),8)))</f>
        <v>0</v>
      </c>
      <c r="BB85" s="145" cm="1">
        <f t="array" ref="BB85">IF(TbTradesBinance[[#This Row],[Tipo]]="EMPTY",0,BB84+IF(TbTradesBinance[[#This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Row],[Par]]))),$1:$1,0)),-(BA84-BA85)/BA84*BB84),0),0)+IF(TbTradesBinance[[#This Row],[Tipo]]="SELL",IF(ISNUMBER(FIND(MID(BB$1,10,5),TbTradesBinance[[#This Row],[Par]])),IF(FIND(MID(BB$1,10,5),TbTradesBinance[[#This Row],[Par]])=1, -(BA84-BA85)/BA84*BB84,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Row],[Par]])),(-(BA84-BA85)/BA84*BB84)+IF(TbTradesBinance[[#This Row],[Resultado]]&gt;0,0,TbTradesBinance[[#This Row],[Taxa]]),0),0))</f>
        <v>0</v>
      </c>
      <c r="BC85" s="145">
        <f t="shared" si="33"/>
        <v>0</v>
      </c>
      <c r="BD8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Row],[Tipo]]="DROP"),BD84+TbTradesBinance[[#This Row],[Qtt]],BD84-TbTradesBinance[[#This Row],[Qtt]]),IF(TbTradesBinance[[#This Row],[Tipo]]="BUY",BD84-TbTradesBinance[[#This Row],[Qtt]]*TbTradesBinance[[#This Row],[Preço]],BD84+TbTradesBinance[[#This Row],[Qtt]]*TbTradesBinance[[#This Row],[Preço]])),BD84)-IF(TbTradesBinance[[#This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Row],[Tipo]]="DROP"),BD84+TbTradesBinance[[#This Row],[Qtt]],BD84-TbTradesBinance[[#This Row],[Qtt]]),IF(TbTradesBinance[[#This Row],[Tipo]]="BUY",BD84-TbTradesBinance[[#This Row],[Qtt]]*TbTradesBinance[[#This Row],[Preço]],BD84+TbTradesBinance[[#This Row],[Qtt]]*TbTradesBinance[[#This Row],[Preço]])),BD84)-IF(TbTradesBinance[[#This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Row],[Tipo]]="DROP"),BD84+TbTradesBinance[[#This Row],[Qtt]],BD84-TbTradesBinance[[#This Row],[Qtt]]),IF(TbTradesBinance[[#This Row],[Tipo]]="BUY",BD84-TbTradesBinance[[#This Row],[Qtt]]*TbTradesBinance[[#This Row],[Preço]],BD84+TbTradesBinance[[#This Row],[Qtt]]*TbTradesBinance[[#This Row],[Preço]])),BD84)-IF(TbTradesBinance[[#This Row],[Moeda da Taxa]]=MID(BD$1,9,5),TbTradesBinance[[#This Row],[Taxa]],0),8)))</f>
        <v>0.37962000000000001</v>
      </c>
      <c r="BE85" s="145" cm="1">
        <f t="array" ref="BE85">IF(TbTradesBinance[[#This Row],[Tipo]]="EMPTY",0,BE84+IF(TbTradesBinance[[#This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Row],[Par]]))),$1:$1,0)),-(BD84-BD85)/BD84*BE84),0),0)+IF(TbTradesBinance[[#This Row],[Tipo]]="SELL",IF(ISNUMBER(FIND(MID(BE$1,10,5),TbTradesBinance[[#This Row],[Par]])),IF(FIND(MID(BE$1,10,5),TbTradesBinance[[#This Row],[Par]])=1, -(BD84-BD85)/BD84*BE84,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Row],[Par]])),(-(BD84-BD85)/BD84*BE84)+IF(TbTradesBinance[[#This Row],[Resultado]]&gt;0,0,TbTradesBinance[[#This Row],[Taxa]]),0),0))</f>
        <v>63.647297001537943</v>
      </c>
      <c r="BF85" s="145">
        <f t="shared" si="34"/>
        <v>167.66054739354601</v>
      </c>
      <c r="BG8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Row],[Tipo]]="DROP"),BG84+TbTradesBinance[[#This Row],[Qtt]],BG84-TbTradesBinance[[#This Row],[Qtt]]),IF(TbTradesBinance[[#This Row],[Tipo]]="BUY",BG84-TbTradesBinance[[#This Row],[Qtt]]*TbTradesBinance[[#This Row],[Preço]],BG84+TbTradesBinance[[#This Row],[Qtt]]*TbTradesBinance[[#This Row],[Preço]])),BG84)-IF(TbTradesBinance[[#This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Row],[Tipo]]="DROP"),BG84+TbTradesBinance[[#This Row],[Qtt]],BG84-TbTradesBinance[[#This Row],[Qtt]]),IF(TbTradesBinance[[#This Row],[Tipo]]="BUY",BG84-TbTradesBinance[[#This Row],[Qtt]]*TbTradesBinance[[#This Row],[Preço]],BG84+TbTradesBinance[[#This Row],[Qtt]]*TbTradesBinance[[#This Row],[Preço]])),BG84)-IF(TbTradesBinance[[#This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Row],[Tipo]]="DROP"),BG84+TbTradesBinance[[#This Row],[Qtt]],BG84-TbTradesBinance[[#This Row],[Qtt]]),IF(TbTradesBinance[[#This Row],[Tipo]]="BUY",BG84-TbTradesBinance[[#This Row],[Qtt]]*TbTradesBinance[[#This Row],[Preço]],BG84+TbTradesBinance[[#This Row],[Qtt]]*TbTradesBinance[[#This Row],[Preço]])),BG84)-IF(TbTradesBinance[[#This Row],[Moeda da Taxa]]=MID(BG$1,9,5),TbTradesBinance[[#This Row],[Taxa]],0),8)))</f>
        <v>0</v>
      </c>
      <c r="BH85" s="145" cm="1">
        <f t="array" ref="BH85">IF(TbTradesBinance[[#This Row],[Tipo]]="EMPTY",0,BH84+IF(TbTradesBinance[[#This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Row],[Par]]))),$1:$1,0)),-(BG84-BG85)/BG84*BH84),0),0)+IF(TbTradesBinance[[#This Row],[Tipo]]="SELL",IF(ISNUMBER(FIND(MID(BH$1,10,5),TbTradesBinance[[#This Row],[Par]])),IF(FIND(MID(BH$1,10,5),TbTradesBinance[[#This Row],[Par]])=1, -(BG84-BG85)/BG84*BH84,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Row],[Par]])),(-(BG84-BG85)/BG84*BH84)+IF(TbTradesBinance[[#This Row],[Resultado]]&gt;0,0,TbTradesBinance[[#This Row],[Taxa]]),0),0))</f>
        <v>0</v>
      </c>
      <c r="BI85" s="145">
        <f t="shared" si="35"/>
        <v>0</v>
      </c>
      <c r="BJ8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Row],[Tipo]]="DROP"),BJ84+TbTradesBinance[[#This Row],[Qtt]],BJ84-TbTradesBinance[[#This Row],[Qtt]]),IF(TbTradesBinance[[#This Row],[Tipo]]="BUY",BJ84-TbTradesBinance[[#This Row],[Qtt]]*TbTradesBinance[[#This Row],[Preço]],BJ84+TbTradesBinance[[#This Row],[Qtt]]*TbTradesBinance[[#This Row],[Preço]])),BJ84)-IF(TbTradesBinance[[#This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Row],[Tipo]]="DROP"),BJ84+TbTradesBinance[[#This Row],[Qtt]],BJ84-TbTradesBinance[[#This Row],[Qtt]]),IF(TbTradesBinance[[#This Row],[Tipo]]="BUY",BJ84-TbTradesBinance[[#This Row],[Qtt]]*TbTradesBinance[[#This Row],[Preço]],BJ84+TbTradesBinance[[#This Row],[Qtt]]*TbTradesBinance[[#This Row],[Preço]])),BJ84)-IF(TbTradesBinance[[#This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Row],[Tipo]]="DROP"),BJ84+TbTradesBinance[[#This Row],[Qtt]],BJ84-TbTradesBinance[[#This Row],[Qtt]]),IF(TbTradesBinance[[#This Row],[Tipo]]="BUY",BJ84-TbTradesBinance[[#This Row],[Qtt]]*TbTradesBinance[[#This Row],[Preço]],BJ84+TbTradesBinance[[#This Row],[Qtt]]*TbTradesBinance[[#This Row],[Preço]])),BJ84)-IF(TbTradesBinance[[#This Row],[Moeda da Taxa]]=MID(BJ$1,9,5),TbTradesBinance[[#This Row],[Taxa]],0),8)))</f>
        <v>0</v>
      </c>
      <c r="BK85" s="145" cm="1">
        <f t="array" ref="BK85">IF(TbTradesBinance[[#This Row],[Tipo]]="EMPTY",0,BK84+IF(TbTradesBinance[[#This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Row],[Par]]))),$1:$1,0)),-(BJ84-BJ85)/BJ84*BK84),0),0)+IF(TbTradesBinance[[#This Row],[Tipo]]="SELL",IF(ISNUMBER(FIND(MID(BK$1,10,5),TbTradesBinance[[#This Row],[Par]])),IF(FIND(MID(BK$1,10,5),TbTradesBinance[[#This Row],[Par]])=1, -(BJ84-BJ85)/BJ84*BK84,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Row],[Par]])),(-(BJ84-BJ85)/BJ84*BK84)+IF(TbTradesBinance[[#This Row],[Resultado]]&gt;0,0,TbTradesBinance[[#This Row],[Taxa]]),0),0))</f>
        <v>0</v>
      </c>
      <c r="BL85" s="145">
        <f t="shared" si="36"/>
        <v>0</v>
      </c>
      <c r="BM8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Row],[Tipo]]="DROP"),BM84+TbTradesBinance[[#This Row],[Qtt]],BM84-TbTradesBinance[[#This Row],[Qtt]]),IF(TbTradesBinance[[#This Row],[Tipo]]="BUY",BM84-TbTradesBinance[[#This Row],[Qtt]]*TbTradesBinance[[#This Row],[Preço]],BM84+TbTradesBinance[[#This Row],[Qtt]]*TbTradesBinance[[#This Row],[Preço]])),BM84)-IF(TbTradesBinance[[#This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Row],[Tipo]]="DROP"),BM84+TbTradesBinance[[#This Row],[Qtt]],BM84-TbTradesBinance[[#This Row],[Qtt]]),IF(TbTradesBinance[[#This Row],[Tipo]]="BUY",BM84-TbTradesBinance[[#This Row],[Qtt]]*TbTradesBinance[[#This Row],[Preço]],BM84+TbTradesBinance[[#This Row],[Qtt]]*TbTradesBinance[[#This Row],[Preço]])),BM84)-IF(TbTradesBinance[[#This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Row],[Tipo]]="DROP"),BM84+TbTradesBinance[[#This Row],[Qtt]],BM84-TbTradesBinance[[#This Row],[Qtt]]),IF(TbTradesBinance[[#This Row],[Tipo]]="BUY",BM84-TbTradesBinance[[#This Row],[Qtt]]*TbTradesBinance[[#This Row],[Preço]],BM84+TbTradesBinance[[#This Row],[Qtt]]*TbTradesBinance[[#This Row],[Preço]])),BM84)-IF(TbTradesBinance[[#This Row],[Moeda da Taxa]]=MID(BM$1,9,5),TbTradesBinance[[#This Row],[Taxa]],0),8)))</f>
        <v>0</v>
      </c>
      <c r="BN85" s="145" cm="1">
        <f t="array" ref="BN85">IF(TbTradesBinance[[#This Row],[Tipo]]="EMPTY",0,BN84+IF(TbTradesBinance[[#This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Row],[Par]]))),$1:$1,0)),-(BM84-BM85)/BM84*BN84),0),0)+IF(TbTradesBinance[[#This Row],[Tipo]]="SELL",IF(ISNUMBER(FIND(MID(BN$1,10,5),TbTradesBinance[[#This Row],[Par]])),IF(FIND(MID(BN$1,10,5),TbTradesBinance[[#This Row],[Par]])=1, -(BM84-BM85)/BM84*BN84,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Row],[Par]])),(-(BM84-BM85)/BM84*BN84)+IF(TbTradesBinance[[#This Row],[Resultado]]&gt;0,0,TbTradesBinance[[#This Row],[Taxa]]),0),0))</f>
        <v>0</v>
      </c>
      <c r="BO85" s="145">
        <f t="shared" si="37"/>
        <v>0</v>
      </c>
    </row>
    <row r="86" spans="2:67" x14ac:dyDescent="0.3">
      <c r="B86" s="51" t="s">
        <v>107</v>
      </c>
      <c r="C86" s="40">
        <f>TRUNC(IF(AND(TbTradesBinance[[#This Row],[Tipo]]="SEND",TbTradesBinance[[#This Row],[Par]]="BRL"),TbTradesBinance[[#This Row],[Qtt]]*(1-P84)-IF(TbTradesBinance[[#This Row],[Moeda da Taxa]]="BRL",TbTradesBinance[[#This Row],[Taxa]],0),0)+IF(AND(TbTradesBinance[[#This Row],[Tipo]]="BURN",TbTradesBinance[[#This Row],[Par]]="BRL"),-TbTradesBinance[[#This Row],[Qtt]]*P84,0),2)</f>
        <v>0</v>
      </c>
      <c r="D86" s="53">
        <v>44267.465590277781</v>
      </c>
      <c r="E86" s="37" t="s">
        <v>255</v>
      </c>
      <c r="F86" s="47" t="s">
        <v>140</v>
      </c>
      <c r="G86" s="38">
        <v>0.13452020000000001</v>
      </c>
      <c r="H86" s="38">
        <v>9.9000000000000008E-3</v>
      </c>
      <c r="I86" s="38">
        <v>2.6630000000000001E-5</v>
      </c>
      <c r="J86" s="37" t="s">
        <v>45</v>
      </c>
      <c r="K86" s="52">
        <v>1490</v>
      </c>
      <c r="L86" s="40">
        <f t="shared" si="19"/>
        <v>200.43</v>
      </c>
      <c r="M86" s="40">
        <f>IF(OR(TbTradesBinance[[#This Row],[Tipo]]="BUY",TbTradesBinance[[#This Row],[Tipo]]="RECEIVE",TbTradesBinance[[#This Row],[Tipo]]="DROP"),L86*H86,-L86*H86)</f>
        <v>-1.9842570000000002</v>
      </c>
      <c r="N8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Row],[Tipo]]="DROP"),N85+TbTradesBinance[[#This Row],[Qtt]],N85-TbTradesBinance[[#This Row],[Qtt]]),IF(TbTradesBinance[[#This Row],[Tipo]]="BUY",N85-TbTradesBinance[[#This Row],[Qtt]]*TbTradesBinance[[#This Row],[Preço]],N85+TbTradesBinance[[#This Row],[Qtt]]*TbTradesBinance[[#This Row],[Preço]])),N85)-IF(TbTradesBinance[[#This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Row],[Tipo]]="DROP"),N85+TbTradesBinance[[#This Row],[Qtt]],N85-TbTradesBinance[[#This Row],[Qtt]]),IF(TbTradesBinance[[#This Row],[Tipo]]="BUY",N85-TbTradesBinance[[#This Row],[Qtt]]*TbTradesBinance[[#This Row],[Preço]],N85+TbTradesBinance[[#This Row],[Qtt]]*TbTradesBinance[[#This Row],[Preço]])),N85)-IF(TbTradesBinance[[#This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Row],[Tipo]]="DROP"),N85+TbTradesBinance[[#This Row],[Qtt]],N85-TbTradesBinance[[#This Row],[Qtt]]),IF(TbTradesBinance[[#This Row],[Tipo]]="BUY",N85-TbTradesBinance[[#This Row],[Qtt]]*TbTradesBinance[[#This Row],[Preço]],N85+TbTradesBinance[[#This Row],[Qtt]]*TbTradesBinance[[#This Row],[Preço]])),N85)-IF(TbTradesBinance[[#This Row],[Moeda da Taxa]]=MID(N$1,9,5),TbTradesBinance[[#This Row],[Taxa]],0),8)))</f>
        <v>121085.24402208001</v>
      </c>
      <c r="O86" s="145" cm="1">
        <f t="array" ref="O86">IF(TbTradesBinance[[#This Row],[Tipo]]="EMPTY",0,O85+IF(TbTradesBinance[[#This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Row],[Par]]))),$1:$1,0)),-(N85-N86)/N85*O85),0),0)+IF(TbTradesBinance[[#This Row],[Tipo]]="SELL",IF(ISNUMBER(FIND(MID(O$1,10,5),TbTradesBinance[[#This Row],[Par]])),IF(FIND(MID(O$1,10,5),TbTradesBinance[[#This Row],[Par]])=1, -(N85-N86)/N85*O85,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Row],[Par]])),(-(N85-N86)/N85*O85)+IF(TbTradesBinance[[#This Row],[Resultado]]&gt;0,0,TbTradesBinance[[#This Row],[Taxa]]),0),0))</f>
        <v>121071.18981598526</v>
      </c>
      <c r="P86" s="145">
        <f t="shared" si="20"/>
        <v>0.99988393130634323</v>
      </c>
      <c r="Q8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Row],[Tipo]]="DROP"),Q85+TbTradesBinance[[#This Row],[Qtt]],Q85-TbTradesBinance[[#This Row],[Qtt]]),IF(TbTradesBinance[[#This Row],[Tipo]]="BUY",Q85-TbTradesBinance[[#This Row],[Qtt]]*TbTradesBinance[[#This Row],[Preço]],Q85+TbTradesBinance[[#This Row],[Qtt]]*TbTradesBinance[[#This Row],[Preço]])),Q85)-IF(TbTradesBinance[[#This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Row],[Tipo]]="DROP"),Q85+TbTradesBinance[[#This Row],[Qtt]],Q85-TbTradesBinance[[#This Row],[Qtt]]),IF(TbTradesBinance[[#This Row],[Tipo]]="BUY",Q85-TbTradesBinance[[#This Row],[Qtt]]*TbTradesBinance[[#This Row],[Preço]],Q85+TbTradesBinance[[#This Row],[Qtt]]*TbTradesBinance[[#This Row],[Preço]])),Q85)-IF(TbTradesBinance[[#This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Row],[Tipo]]="DROP"),Q85+TbTradesBinance[[#This Row],[Qtt]],Q85-TbTradesBinance[[#This Row],[Qtt]]),IF(TbTradesBinance[[#This Row],[Tipo]]="BUY",Q85-TbTradesBinance[[#This Row],[Qtt]]*TbTradesBinance[[#This Row],[Preço]],Q85+TbTradesBinance[[#This Row],[Qtt]]*TbTradesBinance[[#This Row],[Preço]])),Q85)-IF(TbTradesBinance[[#This Row],[Moeda da Taxa]]=MID(Q$1,9,5),TbTradesBinance[[#This Row],[Taxa]],0),8)))</f>
        <v>1.2019129999999999E-2</v>
      </c>
      <c r="R86" s="145" cm="1">
        <f t="array" ref="R86">IF(TbTradesBinance[[#This Row],[Tipo]]="EMPTY",0,R85+IF(TbTradesBinance[[#This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Row],[Par]]))),$1:$1,0)),-(Q85-Q86)/Q85*R85),0),0)+IF(TbTradesBinance[[#This Row],[Tipo]]="SELL",IF(ISNUMBER(FIND(MID(R$1,10,5),TbTradesBinance[[#This Row],[Par]])),IF(FIND(MID(R$1,10,5),TbTradesBinance[[#This Row],[Par]])=1, -(Q85-Q86)/Q85*R85,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Row],[Par]])),(-(Q85-Q86)/Q85*R85)+IF(TbTradesBinance[[#This Row],[Resultado]]&gt;0,0,TbTradesBinance[[#This Row],[Taxa]]),0),0))</f>
        <v>7.842025887367754E-2</v>
      </c>
      <c r="S86" s="145">
        <f t="shared" si="21"/>
        <v>6.5246202407060698</v>
      </c>
      <c r="T8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Row],[Tipo]]="DROP"),T85+TbTradesBinance[[#This Row],[Qtt]],T85-TbTradesBinance[[#This Row],[Qtt]]),IF(TbTradesBinance[[#This Row],[Tipo]]="BUY",T85-TbTradesBinance[[#This Row],[Qtt]]*TbTradesBinance[[#This Row],[Preço]],T85+TbTradesBinance[[#This Row],[Qtt]]*TbTradesBinance[[#This Row],[Preço]])),T85)-IF(TbTradesBinance[[#This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Row],[Tipo]]="DROP"),T85+TbTradesBinance[[#This Row],[Qtt]],T85-TbTradesBinance[[#This Row],[Qtt]]),IF(TbTradesBinance[[#This Row],[Tipo]]="BUY",T85-TbTradesBinance[[#This Row],[Qtt]]*TbTradesBinance[[#This Row],[Preço]],T85+TbTradesBinance[[#This Row],[Qtt]]*TbTradesBinance[[#This Row],[Preço]])),T85)-IF(TbTradesBinance[[#This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Row],[Tipo]]="DROP"),T85+TbTradesBinance[[#This Row],[Qtt]],T85-TbTradesBinance[[#This Row],[Qtt]]),IF(TbTradesBinance[[#This Row],[Tipo]]="BUY",T85-TbTradesBinance[[#This Row],[Qtt]]*TbTradesBinance[[#This Row],[Preço]],T85+TbTradesBinance[[#This Row],[Qtt]]*TbTradesBinance[[#This Row],[Preço]])),T85)-IF(TbTradesBinance[[#This Row],[Moeda da Taxa]]=MID(T$1,9,5),TbTradesBinance[[#This Row],[Taxa]],0),8)))</f>
        <v>199735.32000169999</v>
      </c>
      <c r="U86" s="145" cm="1">
        <f t="array" ref="U86">IF(TbTradesBinance[[#This Row],[Tipo]]="EMPTY",0,U85+IF(TbTradesBinance[[#This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Row],[Par]]))),$1:$1,0)),-(T85-T86)/T85*U85),0),0)+IF(TbTradesBinance[[#This Row],[Tipo]]="SELL",IF(ISNUMBER(FIND(MID(U$1,10,5),TbTradesBinance[[#This Row],[Par]])),IF(FIND(MID(U$1,10,5),TbTradesBinance[[#This Row],[Par]])=1, -(T85-T86)/T85*U85,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Row],[Par]])),(-(T85-T86)/T85*U85)+IF(TbTradesBinance[[#This Row],[Resultado]]&gt;0,0,TbTradesBinance[[#This Row],[Taxa]]),0),0))</f>
        <v>1328239.8809817513</v>
      </c>
      <c r="V86" s="145">
        <f t="shared" si="22"/>
        <v>6.6500000148719129</v>
      </c>
      <c r="W8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Row],[Tipo]]="DROP"),W85+TbTradesBinance[[#This Row],[Qtt]],W85-TbTradesBinance[[#This Row],[Qtt]]),IF(TbTradesBinance[[#This Row],[Tipo]]="BUY",W85-TbTradesBinance[[#This Row],[Qtt]]*TbTradesBinance[[#This Row],[Preço]],W85+TbTradesBinance[[#This Row],[Qtt]]*TbTradesBinance[[#This Row],[Preço]])),W85)-IF(TbTradesBinance[[#This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Row],[Tipo]]="DROP"),W85+TbTradesBinance[[#This Row],[Qtt]],W85-TbTradesBinance[[#This Row],[Qtt]]),IF(TbTradesBinance[[#This Row],[Tipo]]="BUY",W85-TbTradesBinance[[#This Row],[Qtt]]*TbTradesBinance[[#This Row],[Preço]],W85+TbTradesBinance[[#This Row],[Qtt]]*TbTradesBinance[[#This Row],[Preço]])),W85)-IF(TbTradesBinance[[#This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Row],[Tipo]]="DROP"),W85+TbTradesBinance[[#This Row],[Qtt]],W85-TbTradesBinance[[#This Row],[Qtt]]),IF(TbTradesBinance[[#This Row],[Tipo]]="BUY",W85-TbTradesBinance[[#This Row],[Qtt]]*TbTradesBinance[[#This Row],[Preço]],W85+TbTradesBinance[[#This Row],[Qtt]]*TbTradesBinance[[#This Row],[Preço]])),W85)-IF(TbTradesBinance[[#This Row],[Moeda da Taxa]]=MID(W$1,9,5),TbTradesBinance[[#This Row],[Taxa]],0),8)))</f>
        <v>4.5399999999999997E-6</v>
      </c>
      <c r="X86" s="145" cm="1">
        <f t="array" ref="X86">IF(TbTradesBinance[[#This Row],[Tipo]]="EMPTY",0,X85+IF(TbTradesBinance[[#This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Row],[Par]]))),$1:$1,0)),-(W85-W86)/W85*X85),0),0)+IF(TbTradesBinance[[#This Row],[Tipo]]="SELL",IF(ISNUMBER(FIND(MID(X$1,10,5),TbTradesBinance[[#This Row],[Par]])),IF(FIND(MID(X$1,10,5),TbTradesBinance[[#This Row],[Par]])=1, -(W85-W86)/W85*X85,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Row],[Par]])),(-(W85-W86)/W85*X85)+IF(TbTradesBinance[[#This Row],[Resultado]]&gt;0,0,TbTradesBinance[[#This Row],[Taxa]]),0),0))</f>
        <v>1.5152928264556067</v>
      </c>
      <c r="Y86" s="145">
        <f t="shared" si="23"/>
        <v>333764.93974793103</v>
      </c>
      <c r="Z8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Row],[Tipo]]="DROP"),Z85+TbTradesBinance[[#This Row],[Qtt]],Z85-TbTradesBinance[[#This Row],[Qtt]]),IF(TbTradesBinance[[#This Row],[Tipo]]="BUY",Z85-TbTradesBinance[[#This Row],[Qtt]]*TbTradesBinance[[#This Row],[Preço]],Z85+TbTradesBinance[[#This Row],[Qtt]]*TbTradesBinance[[#This Row],[Preço]])),Z85)-IF(TbTradesBinance[[#This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Row],[Tipo]]="DROP"),Z85+TbTradesBinance[[#This Row],[Qtt]],Z85-TbTradesBinance[[#This Row],[Qtt]]),IF(TbTradesBinance[[#This Row],[Tipo]]="BUY",Z85-TbTradesBinance[[#This Row],[Qtt]]*TbTradesBinance[[#This Row],[Preço]],Z85+TbTradesBinance[[#This Row],[Qtt]]*TbTradesBinance[[#This Row],[Preço]])),Z85)-IF(TbTradesBinance[[#This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Row],[Tipo]]="DROP"),Z85+TbTradesBinance[[#This Row],[Qtt]],Z85-TbTradesBinance[[#This Row],[Qtt]]),IF(TbTradesBinance[[#This Row],[Tipo]]="BUY",Z85-TbTradesBinance[[#This Row],[Qtt]]*TbTradesBinance[[#This Row],[Preço]],Z85+TbTradesBinance[[#This Row],[Qtt]]*TbTradesBinance[[#This Row],[Preço]])),Z85)-IF(TbTradesBinance[[#This Row],[Moeda da Taxa]]=MID(Z$1,9,5),TbTradesBinance[[#This Row],[Taxa]],0),8)))</f>
        <v>0</v>
      </c>
      <c r="AA86" s="145" cm="1">
        <f t="array" ref="AA86">IF(TbTradesBinance[[#This Row],[Tipo]]="EMPTY",0,AA85+IF(TbTradesBinance[[#This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Row],[Par]]))),$1:$1,0)),-(Z85-Z86)/Z85*AA85),0),0)+IF(TbTradesBinance[[#This Row],[Tipo]]="SELL",IF(ISNUMBER(FIND(MID(AA$1,10,5),TbTradesBinance[[#This Row],[Par]])),IF(FIND(MID(AA$1,10,5),TbTradesBinance[[#This Row],[Par]])=1, -(Z85-Z86)/Z85*AA85,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Row],[Par]])),(-(Z85-Z86)/Z85*AA85)+IF(TbTradesBinance[[#This Row],[Resultado]]&gt;0,0,TbTradesBinance[[#This Row],[Taxa]]),0),0))</f>
        <v>0</v>
      </c>
      <c r="AB86" s="145">
        <f t="shared" si="24"/>
        <v>0</v>
      </c>
      <c r="AC8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Row],[Tipo]]="DROP"),AC85+TbTradesBinance[[#This Row],[Qtt]],AC85-TbTradesBinance[[#This Row],[Qtt]]),IF(TbTradesBinance[[#This Row],[Tipo]]="BUY",AC85-TbTradesBinance[[#This Row],[Qtt]]*TbTradesBinance[[#This Row],[Preço]],AC85+TbTradesBinance[[#This Row],[Qtt]]*TbTradesBinance[[#This Row],[Preço]])),AC85)-IF(TbTradesBinance[[#This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Row],[Tipo]]="DROP"),AC85+TbTradesBinance[[#This Row],[Qtt]],AC85-TbTradesBinance[[#This Row],[Qtt]]),IF(TbTradesBinance[[#This Row],[Tipo]]="BUY",AC85-TbTradesBinance[[#This Row],[Qtt]]*TbTradesBinance[[#This Row],[Preço]],AC85+TbTradesBinance[[#This Row],[Qtt]]*TbTradesBinance[[#This Row],[Preço]])),AC85)-IF(TbTradesBinance[[#This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Row],[Tipo]]="DROP"),AC85+TbTradesBinance[[#This Row],[Qtt]],AC85-TbTradesBinance[[#This Row],[Qtt]]),IF(TbTradesBinance[[#This Row],[Tipo]]="BUY",AC85-TbTradesBinance[[#This Row],[Qtt]]*TbTradesBinance[[#This Row],[Preço]],AC85+TbTradesBinance[[#This Row],[Qtt]]*TbTradesBinance[[#This Row],[Preço]])),AC85)-IF(TbTradesBinance[[#This Row],[Moeda da Taxa]]=MID(AC$1,9,5),TbTradesBinance[[#This Row],[Taxa]],0),8)))</f>
        <v>0</v>
      </c>
      <c r="AD86" s="145" cm="1">
        <f t="array" ref="AD86">IF(TbTradesBinance[[#This Row],[Tipo]]="EMPTY",0,AD85+IF(TbTradesBinance[[#This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Row],[Par]]))),$1:$1,0)),-(AC85-AC86)/AC85*AD85),0),0)+IF(TbTradesBinance[[#This Row],[Tipo]]="SELL",IF(ISNUMBER(FIND(MID(AD$1,10,5),TbTradesBinance[[#This Row],[Par]])),IF(FIND(MID(AD$1,10,5),TbTradesBinance[[#This Row],[Par]])=1, -(AC85-AC86)/AC85*AD85,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Row],[Par]])),(-(AC85-AC86)/AC85*AD85)+IF(TbTradesBinance[[#This Row],[Resultado]]&gt;0,0,TbTradesBinance[[#This Row],[Taxa]]),0),0))</f>
        <v>0</v>
      </c>
      <c r="AE86" s="145">
        <f t="shared" si="25"/>
        <v>0</v>
      </c>
      <c r="AF8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Row],[Tipo]]="DROP"),AF85+TbTradesBinance[[#This Row],[Qtt]],AF85-TbTradesBinance[[#This Row],[Qtt]]),IF(TbTradesBinance[[#This Row],[Tipo]]="BUY",AF85-TbTradesBinance[[#This Row],[Qtt]]*TbTradesBinance[[#This Row],[Preço]],AF85+TbTradesBinance[[#This Row],[Qtt]]*TbTradesBinance[[#This Row],[Preço]])),AF85)-IF(TbTradesBinance[[#This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Row],[Tipo]]="DROP"),AF85+TbTradesBinance[[#This Row],[Qtt]],AF85-TbTradesBinance[[#This Row],[Qtt]]),IF(TbTradesBinance[[#This Row],[Tipo]]="BUY",AF85-TbTradesBinance[[#This Row],[Qtt]]*TbTradesBinance[[#This Row],[Preço]],AF85+TbTradesBinance[[#This Row],[Qtt]]*TbTradesBinance[[#This Row],[Preço]])),AF85)-IF(TbTradesBinance[[#This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Row],[Tipo]]="DROP"),AF85+TbTradesBinance[[#This Row],[Qtt]],AF85-TbTradesBinance[[#This Row],[Qtt]]),IF(TbTradesBinance[[#This Row],[Tipo]]="BUY",AF85-TbTradesBinance[[#This Row],[Qtt]]*TbTradesBinance[[#This Row],[Preço]],AF85+TbTradesBinance[[#This Row],[Qtt]]*TbTradesBinance[[#This Row],[Preço]])),AF85)-IF(TbTradesBinance[[#This Row],[Moeda da Taxa]]=MID(AF$1,9,5),TbTradesBinance[[#This Row],[Taxa]],0),8)))</f>
        <v>19.98</v>
      </c>
      <c r="AG86" s="145" cm="1">
        <f t="array" ref="AG86">IF(TbTradesBinance[[#This Row],[Tipo]]="EMPTY",0,AG85+IF(TbTradesBinance[[#This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Row],[Par]]))),$1:$1,0)),-(AF85-AF86)/AF85*AG85),0),0)+IF(TbTradesBinance[[#This Row],[Tipo]]="SELL",IF(ISNUMBER(FIND(MID(AG$1,10,5),TbTradesBinance[[#This Row],[Par]])),IF(FIND(MID(AG$1,10,5),TbTradesBinance[[#This Row],[Par]])=1, -(AF85-AF86)/AF85*AG85,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Row],[Par]])),(-(AF85-AF86)/AF85*AG85)+IF(TbTradesBinance[[#This Row],[Resultado]]&gt;0,0,TbTradesBinance[[#This Row],[Taxa]]),0),0))</f>
        <v>124.04182758073662</v>
      </c>
      <c r="AH86" s="145">
        <f t="shared" si="26"/>
        <v>6.2082996787155462</v>
      </c>
      <c r="AI8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Row],[Tipo]]="DROP"),AI85+TbTradesBinance[[#This Row],[Qtt]],AI85-TbTradesBinance[[#This Row],[Qtt]]),IF(TbTradesBinance[[#This Row],[Tipo]]="BUY",AI85-TbTradesBinance[[#This Row],[Qtt]]*TbTradesBinance[[#This Row],[Preço]],AI85+TbTradesBinance[[#This Row],[Qtt]]*TbTradesBinance[[#This Row],[Preço]])),AI85)-IF(TbTradesBinance[[#This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Row],[Tipo]]="DROP"),AI85+TbTradesBinance[[#This Row],[Qtt]],AI85-TbTradesBinance[[#This Row],[Qtt]]),IF(TbTradesBinance[[#This Row],[Tipo]]="BUY",AI85-TbTradesBinance[[#This Row],[Qtt]]*TbTradesBinance[[#This Row],[Preço]],AI85+TbTradesBinance[[#This Row],[Qtt]]*TbTradesBinance[[#This Row],[Preço]])),AI85)-IF(TbTradesBinance[[#This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Row],[Tipo]]="DROP"),AI85+TbTradesBinance[[#This Row],[Qtt]],AI85-TbTradesBinance[[#This Row],[Qtt]]),IF(TbTradesBinance[[#This Row],[Tipo]]="BUY",AI85-TbTradesBinance[[#This Row],[Qtt]]*TbTradesBinance[[#This Row],[Preço]],AI85+TbTradesBinance[[#This Row],[Qtt]]*TbTradesBinance[[#This Row],[Preço]])),AI85)-IF(TbTradesBinance[[#This Row],[Moeda da Taxa]]=MID(AI$1,9,5),TbTradesBinance[[#This Row],[Taxa]],0),8)))</f>
        <v>0</v>
      </c>
      <c r="AJ86" s="145" cm="1">
        <f t="array" ref="AJ86">IF(TbTradesBinance[[#This Row],[Tipo]]="EMPTY",0,AJ85+IF(TbTradesBinance[[#This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Row],[Par]]))),$1:$1,0)),-(AI85-AI86)/AI85*AJ85),0),0)+IF(TbTradesBinance[[#This Row],[Tipo]]="SELL",IF(ISNUMBER(FIND(MID(AJ$1,10,5),TbTradesBinance[[#This Row],[Par]])),IF(FIND(MID(AJ$1,10,5),TbTradesBinance[[#This Row],[Par]])=1, -(AI85-AI86)/AI85*AJ85,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Row],[Par]])),(-(AI85-AI86)/AI85*AJ85)+IF(TbTradesBinance[[#This Row],[Resultado]]&gt;0,0,TbTradesBinance[[#This Row],[Taxa]]),0),0))</f>
        <v>0</v>
      </c>
      <c r="AK86" s="145">
        <f t="shared" si="27"/>
        <v>0</v>
      </c>
      <c r="AL8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Row],[Tipo]]="DROP"),AL85+TbTradesBinance[[#This Row],[Qtt]],AL85-TbTradesBinance[[#This Row],[Qtt]]),IF(TbTradesBinance[[#This Row],[Tipo]]="BUY",AL85-TbTradesBinance[[#This Row],[Qtt]]*TbTradesBinance[[#This Row],[Preço]],AL85+TbTradesBinance[[#This Row],[Qtt]]*TbTradesBinance[[#This Row],[Preço]])),AL85)-IF(TbTradesBinance[[#This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Row],[Tipo]]="DROP"),AL85+TbTradesBinance[[#This Row],[Qtt]],AL85-TbTradesBinance[[#This Row],[Qtt]]),IF(TbTradesBinance[[#This Row],[Tipo]]="BUY",AL85-TbTradesBinance[[#This Row],[Qtt]]*TbTradesBinance[[#This Row],[Preço]],AL85+TbTradesBinance[[#This Row],[Qtt]]*TbTradesBinance[[#This Row],[Preço]])),AL85)-IF(TbTradesBinance[[#This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Row],[Tipo]]="DROP"),AL85+TbTradesBinance[[#This Row],[Qtt]],AL85-TbTradesBinance[[#This Row],[Qtt]]),IF(TbTradesBinance[[#This Row],[Tipo]]="BUY",AL85-TbTradesBinance[[#This Row],[Qtt]]*TbTradesBinance[[#This Row],[Preço]],AL85+TbTradesBinance[[#This Row],[Qtt]]*TbTradesBinance[[#This Row],[Preço]])),AL85)-IF(TbTradesBinance[[#This Row],[Moeda da Taxa]]=MID(AL$1,9,5),TbTradesBinance[[#This Row],[Taxa]],0),8)))</f>
        <v>1.75824</v>
      </c>
      <c r="AM86" s="145" cm="1">
        <f t="array" ref="AM86">IF(TbTradesBinance[[#This Row],[Tipo]]="EMPTY",0,AM85+IF(TbTradesBinance[[#This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Row],[Par]]))),$1:$1,0)),-(AL85-AL86)/AL85*AM85),0),0)+IF(TbTradesBinance[[#This Row],[Tipo]]="SELL",IF(ISNUMBER(FIND(MID(AM$1,10,5),TbTradesBinance[[#This Row],[Par]])),IF(FIND(MID(AM$1,10,5),TbTradesBinance[[#This Row],[Par]])=1, -(AL85-AL86)/AL85*AM85,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Row],[Par]])),(-(AL85-AL86)/AL85*AM85)+IF(TbTradesBinance[[#This Row],[Resultado]]&gt;0,0,TbTradesBinance[[#This Row],[Taxa]]),0),0))</f>
        <v>144.56635471393039</v>
      </c>
      <c r="AN86" s="145">
        <f t="shared" si="28"/>
        <v>82.222196465744375</v>
      </c>
      <c r="AO8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Row],[Tipo]]="DROP"),AO85+TbTradesBinance[[#This Row],[Qtt]],AO85-TbTradesBinance[[#This Row],[Qtt]]),IF(TbTradesBinance[[#This Row],[Tipo]]="BUY",AO85-TbTradesBinance[[#This Row],[Qtt]]*TbTradesBinance[[#This Row],[Preço]],AO85+TbTradesBinance[[#This Row],[Qtt]]*TbTradesBinance[[#This Row],[Preço]])),AO85)-IF(TbTradesBinance[[#This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Row],[Tipo]]="DROP"),AO85+TbTradesBinance[[#This Row],[Qtt]],AO85-TbTradesBinance[[#This Row],[Qtt]]),IF(TbTradesBinance[[#This Row],[Tipo]]="BUY",AO85-TbTradesBinance[[#This Row],[Qtt]]*TbTradesBinance[[#This Row],[Preço]],AO85+TbTradesBinance[[#This Row],[Qtt]]*TbTradesBinance[[#This Row],[Preço]])),AO85)-IF(TbTradesBinance[[#This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Row],[Tipo]]="DROP"),AO85+TbTradesBinance[[#This Row],[Qtt]],AO85-TbTradesBinance[[#This Row],[Qtt]]),IF(TbTradesBinance[[#This Row],[Tipo]]="BUY",AO85-TbTradesBinance[[#This Row],[Qtt]]*TbTradesBinance[[#This Row],[Preço]],AO85+TbTradesBinance[[#This Row],[Qtt]]*TbTradesBinance[[#This Row],[Preço]])),AO85)-IF(TbTradesBinance[[#This Row],[Moeda da Taxa]]=MID(AO$1,9,5),TbTradesBinance[[#This Row],[Taxa]],0),8)))</f>
        <v>4.0163500000000001E-3</v>
      </c>
      <c r="AP86" s="145" cm="1">
        <f t="array" ref="AP86">IF(TbTradesBinance[[#This Row],[Tipo]]="EMPTY",0,AP85+IF(TbTradesBinance[[#This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Row],[Par]]))),$1:$1,0)),-(AO85-AO86)/AO85*AP85),0),0)+IF(TbTradesBinance[[#This Row],[Tipo]]="SELL",IF(ISNUMBER(FIND(MID(AP$1,10,5),TbTradesBinance[[#This Row],[Par]])),IF(FIND(MID(AP$1,10,5),TbTradesBinance[[#This Row],[Par]])=1, -(AO85-AO86)/AO85*AP85,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Row],[Par]])),(-(AO85-AO86)/AO85*AP85)+IF(TbTradesBinance[[#This Row],[Resultado]]&gt;0,0,TbTradesBinance[[#This Row],[Taxa]]),0),0))</f>
        <v>7.3360959318006032</v>
      </c>
      <c r="AQ86" s="145">
        <f t="shared" si="29"/>
        <v>1826.5579274218142</v>
      </c>
      <c r="AR8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Row],[Tipo]]="DROP"),AR85+TbTradesBinance[[#This Row],[Qtt]],AR85-TbTradesBinance[[#This Row],[Qtt]]),IF(TbTradesBinance[[#This Row],[Tipo]]="BUY",AR85-TbTradesBinance[[#This Row],[Qtt]]*TbTradesBinance[[#This Row],[Preço]],AR85+TbTradesBinance[[#This Row],[Qtt]]*TbTradesBinance[[#This Row],[Preço]])),AR85)-IF(TbTradesBinance[[#This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Row],[Tipo]]="DROP"),AR85+TbTradesBinance[[#This Row],[Qtt]],AR85-TbTradesBinance[[#This Row],[Qtt]]),IF(TbTradesBinance[[#This Row],[Tipo]]="BUY",AR85-TbTradesBinance[[#This Row],[Qtt]]*TbTradesBinance[[#This Row],[Preço]],AR85+TbTradesBinance[[#This Row],[Qtt]]*TbTradesBinance[[#This Row],[Preço]])),AR85)-IF(TbTradesBinance[[#This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Row],[Tipo]]="DROP"),AR85+TbTradesBinance[[#This Row],[Qtt]],AR85-TbTradesBinance[[#This Row],[Qtt]]),IF(TbTradesBinance[[#This Row],[Tipo]]="BUY",AR85-TbTradesBinance[[#This Row],[Qtt]]*TbTradesBinance[[#This Row],[Preço]],AR85+TbTradesBinance[[#This Row],[Qtt]]*TbTradesBinance[[#This Row],[Preço]])),AR85)-IF(TbTradesBinance[[#This Row],[Moeda da Taxa]]=MID(AR$1,9,5),TbTradesBinance[[#This Row],[Taxa]],0),8)))</f>
        <v>0</v>
      </c>
      <c r="AS86" s="145" cm="1">
        <f t="array" ref="AS86">IF(TbTradesBinance[[#This Row],[Tipo]]="EMPTY",0,AS85+IF(TbTradesBinance[[#This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Row],[Par]]))),$1:$1,0)),-(AR85-AR86)/AR85*AS85),0),0)+IF(TbTradesBinance[[#This Row],[Tipo]]="SELL",IF(ISNUMBER(FIND(MID(AS$1,10,5),TbTradesBinance[[#This Row],[Par]])),IF(FIND(MID(AS$1,10,5),TbTradesBinance[[#This Row],[Par]])=1, -(AR85-AR86)/AR85*AS85,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Row],[Par]])),(-(AR85-AR86)/AR85*AS85)+IF(TbTradesBinance[[#This Row],[Resultado]]&gt;0,0,TbTradesBinance[[#This Row],[Taxa]]),0),0))</f>
        <v>0</v>
      </c>
      <c r="AT86" s="145">
        <f t="shared" si="30"/>
        <v>0</v>
      </c>
      <c r="AU8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Row],[Tipo]]="DROP"),AU85+TbTradesBinance[[#This Row],[Qtt]],AU85-TbTradesBinance[[#This Row],[Qtt]]),IF(TbTradesBinance[[#This Row],[Tipo]]="BUY",AU85-TbTradesBinance[[#This Row],[Qtt]]*TbTradesBinance[[#This Row],[Preço]],AU85+TbTradesBinance[[#This Row],[Qtt]]*TbTradesBinance[[#This Row],[Preço]])),AU85)-IF(TbTradesBinance[[#This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Row],[Tipo]]="DROP"),AU85+TbTradesBinance[[#This Row],[Qtt]],AU85-TbTradesBinance[[#This Row],[Qtt]]),IF(TbTradesBinance[[#This Row],[Tipo]]="BUY",AU85-TbTradesBinance[[#This Row],[Qtt]]*TbTradesBinance[[#This Row],[Preço]],AU85+TbTradesBinance[[#This Row],[Qtt]]*TbTradesBinance[[#This Row],[Preço]])),AU85)-IF(TbTradesBinance[[#This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Row],[Tipo]]="DROP"),AU85+TbTradesBinance[[#This Row],[Qtt]],AU85-TbTradesBinance[[#This Row],[Qtt]]),IF(TbTradesBinance[[#This Row],[Tipo]]="BUY",AU85-TbTradesBinance[[#This Row],[Qtt]]*TbTradesBinance[[#This Row],[Preço]],AU85+TbTradesBinance[[#This Row],[Qtt]]*TbTradesBinance[[#This Row],[Preço]])),AU85)-IF(TbTradesBinance[[#This Row],[Moeda da Taxa]]=MID(AU$1,9,5),TbTradesBinance[[#This Row],[Taxa]],0),8)))</f>
        <v>0.26</v>
      </c>
      <c r="AV86" s="145" cm="1">
        <f t="array" ref="AV86">IF(TbTradesBinance[[#This Row],[Tipo]]="EMPTY",0,AV85+IF(TbTradesBinance[[#This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Row],[Par]]))),$1:$1,0)),-(AU85-AU86)/AU85*AV85),0),0)+IF(TbTradesBinance[[#This Row],[Tipo]]="SELL",IF(ISNUMBER(FIND(MID(AV$1,10,5),TbTradesBinance[[#This Row],[Par]])),IF(FIND(MID(AV$1,10,5),TbTradesBinance[[#This Row],[Par]])=1, -(AU85-AU86)/AU85*AV85,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Row],[Par]])),(-(AU85-AU86)/AU85*AV85)+IF(TbTradesBinance[[#This Row],[Resultado]]&gt;0,0,TbTradesBinance[[#This Row],[Taxa]]),0),0))</f>
        <v>54.040196232404952</v>
      </c>
      <c r="AW86" s="145">
        <f t="shared" si="31"/>
        <v>207.84690858617287</v>
      </c>
      <c r="AX8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Row],[Tipo]]="DROP"),AX85+TbTradesBinance[[#This Row],[Qtt]],AX85-TbTradesBinance[[#This Row],[Qtt]]),IF(TbTradesBinance[[#This Row],[Tipo]]="BUY",AX85-TbTradesBinance[[#This Row],[Qtt]]*TbTradesBinance[[#This Row],[Preço]],AX85+TbTradesBinance[[#This Row],[Qtt]]*TbTradesBinance[[#This Row],[Preço]])),AX85)-IF(TbTradesBinance[[#This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Row],[Tipo]]="DROP"),AX85+TbTradesBinance[[#This Row],[Qtt]],AX85-TbTradesBinance[[#This Row],[Qtt]]),IF(TbTradesBinance[[#This Row],[Tipo]]="BUY",AX85-TbTradesBinance[[#This Row],[Qtt]]*TbTradesBinance[[#This Row],[Preço]],AX85+TbTradesBinance[[#This Row],[Qtt]]*TbTradesBinance[[#This Row],[Preço]])),AX85)-IF(TbTradesBinance[[#This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Row],[Tipo]]="DROP"),AX85+TbTradesBinance[[#This Row],[Qtt]],AX85-TbTradesBinance[[#This Row],[Qtt]]),IF(TbTradesBinance[[#This Row],[Tipo]]="BUY",AX85-TbTradesBinance[[#This Row],[Qtt]]*TbTradesBinance[[#This Row],[Preço]],AX85+TbTradesBinance[[#This Row],[Qtt]]*TbTradesBinance[[#This Row],[Preço]])),AX85)-IF(TbTradesBinance[[#This Row],[Moeda da Taxa]]=MID(AX$1,9,5),TbTradesBinance[[#This Row],[Taxa]],0),8)))</f>
        <v>0.22636999999999999</v>
      </c>
      <c r="AY86" s="145" cm="1">
        <f t="array" ref="AY86">IF(TbTradesBinance[[#This Row],[Tipo]]="EMPTY",0,AY85+IF(TbTradesBinance[[#This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Row],[Par]]))),$1:$1,0)),-(AX85-AX86)/AX85*AY85),0),0)+IF(TbTradesBinance[[#This Row],[Tipo]]="SELL",IF(ISNUMBER(FIND(MID(AY$1,10,5),TbTradesBinance[[#This Row],[Par]])),IF(FIND(MID(AY$1,10,5),TbTradesBinance[[#This Row],[Par]])=1, -(AX85-AX86)/AX85*AY85,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Row],[Par]])),(-(AX85-AX86)/AX85*AY85)+IF(TbTradesBinance[[#This Row],[Resultado]]&gt;0,0,TbTradesBinance[[#This Row],[Taxa]]),0),0))</f>
        <v>40.781337593356859</v>
      </c>
      <c r="AZ86" s="145">
        <f t="shared" si="32"/>
        <v>180.15345493376711</v>
      </c>
      <c r="BA8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Row],[Tipo]]="DROP"),BA85+TbTradesBinance[[#This Row],[Qtt]],BA85-TbTradesBinance[[#This Row],[Qtt]]),IF(TbTradesBinance[[#This Row],[Tipo]]="BUY",BA85-TbTradesBinance[[#This Row],[Qtt]]*TbTradesBinance[[#This Row],[Preço]],BA85+TbTradesBinance[[#This Row],[Qtt]]*TbTradesBinance[[#This Row],[Preço]])),BA85)-IF(TbTradesBinance[[#This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Row],[Tipo]]="DROP"),BA85+TbTradesBinance[[#This Row],[Qtt]],BA85-TbTradesBinance[[#This Row],[Qtt]]),IF(TbTradesBinance[[#This Row],[Tipo]]="BUY",BA85-TbTradesBinance[[#This Row],[Qtt]]*TbTradesBinance[[#This Row],[Preço]],BA85+TbTradesBinance[[#This Row],[Qtt]]*TbTradesBinance[[#This Row],[Preço]])),BA85)-IF(TbTradesBinance[[#This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Row],[Tipo]]="DROP"),BA85+TbTradesBinance[[#This Row],[Qtt]],BA85-TbTradesBinance[[#This Row],[Qtt]]),IF(TbTradesBinance[[#This Row],[Tipo]]="BUY",BA85-TbTradesBinance[[#This Row],[Qtt]]*TbTradesBinance[[#This Row],[Preço]],BA85+TbTradesBinance[[#This Row],[Qtt]]*TbTradesBinance[[#This Row],[Preço]])),BA85)-IF(TbTradesBinance[[#This Row],[Moeda da Taxa]]=MID(BA$1,9,5),TbTradesBinance[[#This Row],[Taxa]],0),8)))</f>
        <v>0</v>
      </c>
      <c r="BB86" s="145" cm="1">
        <f t="array" ref="BB86">IF(TbTradesBinance[[#This Row],[Tipo]]="EMPTY",0,BB85+IF(TbTradesBinance[[#This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Row],[Par]]))),$1:$1,0)),-(BA85-BA86)/BA85*BB85),0),0)+IF(TbTradesBinance[[#This Row],[Tipo]]="SELL",IF(ISNUMBER(FIND(MID(BB$1,10,5),TbTradesBinance[[#This Row],[Par]])),IF(FIND(MID(BB$1,10,5),TbTradesBinance[[#This Row],[Par]])=1, -(BA85-BA86)/BA85*BB85,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Row],[Par]])),(-(BA85-BA86)/BA85*BB85)+IF(TbTradesBinance[[#This Row],[Resultado]]&gt;0,0,TbTradesBinance[[#This Row],[Taxa]]),0),0))</f>
        <v>0</v>
      </c>
      <c r="BC86" s="145">
        <f t="shared" si="33"/>
        <v>0</v>
      </c>
      <c r="BD8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Row],[Tipo]]="DROP"),BD85+TbTradesBinance[[#This Row],[Qtt]],BD85-TbTradesBinance[[#This Row],[Qtt]]),IF(TbTradesBinance[[#This Row],[Tipo]]="BUY",BD85-TbTradesBinance[[#This Row],[Qtt]]*TbTradesBinance[[#This Row],[Preço]],BD85+TbTradesBinance[[#This Row],[Qtt]]*TbTradesBinance[[#This Row],[Preço]])),BD85)-IF(TbTradesBinance[[#This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Row],[Tipo]]="DROP"),BD85+TbTradesBinance[[#This Row],[Qtt]],BD85-TbTradesBinance[[#This Row],[Qtt]]),IF(TbTradesBinance[[#This Row],[Tipo]]="BUY",BD85-TbTradesBinance[[#This Row],[Qtt]]*TbTradesBinance[[#This Row],[Preço]],BD85+TbTradesBinance[[#This Row],[Qtt]]*TbTradesBinance[[#This Row],[Preço]])),BD85)-IF(TbTradesBinance[[#This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Row],[Tipo]]="DROP"),BD85+TbTradesBinance[[#This Row],[Qtt]],BD85-TbTradesBinance[[#This Row],[Qtt]]),IF(TbTradesBinance[[#This Row],[Tipo]]="BUY",BD85-TbTradesBinance[[#This Row],[Qtt]]*TbTradesBinance[[#This Row],[Preço]],BD85+TbTradesBinance[[#This Row],[Qtt]]*TbTradesBinance[[#This Row],[Preço]])),BD85)-IF(TbTradesBinance[[#This Row],[Moeda da Taxa]]=MID(BD$1,9,5),TbTradesBinance[[#This Row],[Taxa]],0),8)))</f>
        <v>0.37962000000000001</v>
      </c>
      <c r="BE86" s="145" cm="1">
        <f t="array" ref="BE86">IF(TbTradesBinance[[#This Row],[Tipo]]="EMPTY",0,BE85+IF(TbTradesBinance[[#This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Row],[Par]]))),$1:$1,0)),-(BD85-BD86)/BD85*BE85),0),0)+IF(TbTradesBinance[[#This Row],[Tipo]]="SELL",IF(ISNUMBER(FIND(MID(BE$1,10,5),TbTradesBinance[[#This Row],[Par]])),IF(FIND(MID(BE$1,10,5),TbTradesBinance[[#This Row],[Par]])=1, -(BD85-BD86)/BD85*BE85,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Row],[Par]])),(-(BD85-BD86)/BD85*BE85)+IF(TbTradesBinance[[#This Row],[Resultado]]&gt;0,0,TbTradesBinance[[#This Row],[Taxa]]),0),0))</f>
        <v>63.647297001537943</v>
      </c>
      <c r="BF86" s="145">
        <f t="shared" si="34"/>
        <v>167.66054739354601</v>
      </c>
      <c r="BG8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Row],[Tipo]]="DROP"),BG85+TbTradesBinance[[#This Row],[Qtt]],BG85-TbTradesBinance[[#This Row],[Qtt]]),IF(TbTradesBinance[[#This Row],[Tipo]]="BUY",BG85-TbTradesBinance[[#This Row],[Qtt]]*TbTradesBinance[[#This Row],[Preço]],BG85+TbTradesBinance[[#This Row],[Qtt]]*TbTradesBinance[[#This Row],[Preço]])),BG85)-IF(TbTradesBinance[[#This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Row],[Tipo]]="DROP"),BG85+TbTradesBinance[[#This Row],[Qtt]],BG85-TbTradesBinance[[#This Row],[Qtt]]),IF(TbTradesBinance[[#This Row],[Tipo]]="BUY",BG85-TbTradesBinance[[#This Row],[Qtt]]*TbTradesBinance[[#This Row],[Preço]],BG85+TbTradesBinance[[#This Row],[Qtt]]*TbTradesBinance[[#This Row],[Preço]])),BG85)-IF(TbTradesBinance[[#This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Row],[Tipo]]="DROP"),BG85+TbTradesBinance[[#This Row],[Qtt]],BG85-TbTradesBinance[[#This Row],[Qtt]]),IF(TbTradesBinance[[#This Row],[Tipo]]="BUY",BG85-TbTradesBinance[[#This Row],[Qtt]]*TbTradesBinance[[#This Row],[Preço]],BG85+TbTradesBinance[[#This Row],[Qtt]]*TbTradesBinance[[#This Row],[Preço]])),BG85)-IF(TbTradesBinance[[#This Row],[Moeda da Taxa]]=MID(BG$1,9,5),TbTradesBinance[[#This Row],[Taxa]],0),8)))</f>
        <v>0</v>
      </c>
      <c r="BH86" s="145" cm="1">
        <f t="array" ref="BH86">IF(TbTradesBinance[[#This Row],[Tipo]]="EMPTY",0,BH85+IF(TbTradesBinance[[#This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Row],[Par]]))),$1:$1,0)),-(BG85-BG86)/BG85*BH85),0),0)+IF(TbTradesBinance[[#This Row],[Tipo]]="SELL",IF(ISNUMBER(FIND(MID(BH$1,10,5),TbTradesBinance[[#This Row],[Par]])),IF(FIND(MID(BH$1,10,5),TbTradesBinance[[#This Row],[Par]])=1, -(BG85-BG86)/BG85*BH85,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Row],[Par]])),(-(BG85-BG86)/BG85*BH85)+IF(TbTradesBinance[[#This Row],[Resultado]]&gt;0,0,TbTradesBinance[[#This Row],[Taxa]]),0),0))</f>
        <v>0</v>
      </c>
      <c r="BI86" s="145">
        <f t="shared" si="35"/>
        <v>0</v>
      </c>
      <c r="BJ8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Row],[Tipo]]="DROP"),BJ85+TbTradesBinance[[#This Row],[Qtt]],BJ85-TbTradesBinance[[#This Row],[Qtt]]),IF(TbTradesBinance[[#This Row],[Tipo]]="BUY",BJ85-TbTradesBinance[[#This Row],[Qtt]]*TbTradesBinance[[#This Row],[Preço]],BJ85+TbTradesBinance[[#This Row],[Qtt]]*TbTradesBinance[[#This Row],[Preço]])),BJ85)-IF(TbTradesBinance[[#This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Row],[Tipo]]="DROP"),BJ85+TbTradesBinance[[#This Row],[Qtt]],BJ85-TbTradesBinance[[#This Row],[Qtt]]),IF(TbTradesBinance[[#This Row],[Tipo]]="BUY",BJ85-TbTradesBinance[[#This Row],[Qtt]]*TbTradesBinance[[#This Row],[Preço]],BJ85+TbTradesBinance[[#This Row],[Qtt]]*TbTradesBinance[[#This Row],[Preço]])),BJ85)-IF(TbTradesBinance[[#This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Row],[Tipo]]="DROP"),BJ85+TbTradesBinance[[#This Row],[Qtt]],BJ85-TbTradesBinance[[#This Row],[Qtt]]),IF(TbTradesBinance[[#This Row],[Tipo]]="BUY",BJ85-TbTradesBinance[[#This Row],[Qtt]]*TbTradesBinance[[#This Row],[Preço]],BJ85+TbTradesBinance[[#This Row],[Qtt]]*TbTradesBinance[[#This Row],[Preço]])),BJ85)-IF(TbTradesBinance[[#This Row],[Moeda da Taxa]]=MID(BJ$1,9,5),TbTradesBinance[[#This Row],[Taxa]],0),8)))</f>
        <v>0</v>
      </c>
      <c r="BK86" s="145" cm="1">
        <f t="array" ref="BK86">IF(TbTradesBinance[[#This Row],[Tipo]]="EMPTY",0,BK85+IF(TbTradesBinance[[#This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Row],[Par]]))),$1:$1,0)),-(BJ85-BJ86)/BJ85*BK85),0),0)+IF(TbTradesBinance[[#This Row],[Tipo]]="SELL",IF(ISNUMBER(FIND(MID(BK$1,10,5),TbTradesBinance[[#This Row],[Par]])),IF(FIND(MID(BK$1,10,5),TbTradesBinance[[#This Row],[Par]])=1, -(BJ85-BJ86)/BJ85*BK85,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Row],[Par]])),(-(BJ85-BJ86)/BJ85*BK85)+IF(TbTradesBinance[[#This Row],[Resultado]]&gt;0,0,TbTradesBinance[[#This Row],[Taxa]]),0),0))</f>
        <v>0</v>
      </c>
      <c r="BL86" s="145">
        <f t="shared" si="36"/>
        <v>0</v>
      </c>
      <c r="BM8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Row],[Tipo]]="DROP"),BM85+TbTradesBinance[[#This Row],[Qtt]],BM85-TbTradesBinance[[#This Row],[Qtt]]),IF(TbTradesBinance[[#This Row],[Tipo]]="BUY",BM85-TbTradesBinance[[#This Row],[Qtt]]*TbTradesBinance[[#This Row],[Preço]],BM85+TbTradesBinance[[#This Row],[Qtt]]*TbTradesBinance[[#This Row],[Preço]])),BM85)-IF(TbTradesBinance[[#This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Row],[Tipo]]="DROP"),BM85+TbTradesBinance[[#This Row],[Qtt]],BM85-TbTradesBinance[[#This Row],[Qtt]]),IF(TbTradesBinance[[#This Row],[Tipo]]="BUY",BM85-TbTradesBinance[[#This Row],[Qtt]]*TbTradesBinance[[#This Row],[Preço]],BM85+TbTradesBinance[[#This Row],[Qtt]]*TbTradesBinance[[#This Row],[Preço]])),BM85)-IF(TbTradesBinance[[#This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Row],[Tipo]]="DROP"),BM85+TbTradesBinance[[#This Row],[Qtt]],BM85-TbTradesBinance[[#This Row],[Qtt]]),IF(TbTradesBinance[[#This Row],[Tipo]]="BUY",BM85-TbTradesBinance[[#This Row],[Qtt]]*TbTradesBinance[[#This Row],[Preço]],BM85+TbTradesBinance[[#This Row],[Qtt]]*TbTradesBinance[[#This Row],[Preço]])),BM85)-IF(TbTradesBinance[[#This Row],[Moeda da Taxa]]=MID(BM$1,9,5),TbTradesBinance[[#This Row],[Taxa]],0),8)))</f>
        <v>0</v>
      </c>
      <c r="BN86" s="145" cm="1">
        <f t="array" ref="BN86">IF(TbTradesBinance[[#This Row],[Tipo]]="EMPTY",0,BN85+IF(TbTradesBinance[[#This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Row],[Par]]))),$1:$1,0)),-(BM85-BM86)/BM85*BN85),0),0)+IF(TbTradesBinance[[#This Row],[Tipo]]="SELL",IF(ISNUMBER(FIND(MID(BN$1,10,5),TbTradesBinance[[#This Row],[Par]])),IF(FIND(MID(BN$1,10,5),TbTradesBinance[[#This Row],[Par]])=1, -(BM85-BM86)/BM85*BN85,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Row],[Par]])),(-(BM85-BM86)/BM85*BN85)+IF(TbTradesBinance[[#This Row],[Resultado]]&gt;0,0,TbTradesBinance[[#This Row],[Taxa]]),0),0))</f>
        <v>0</v>
      </c>
      <c r="BO86" s="145">
        <f t="shared" si="37"/>
        <v>0</v>
      </c>
    </row>
    <row r="87" spans="2:67" x14ac:dyDescent="0.3">
      <c r="B87" s="51"/>
      <c r="C87" s="40">
        <f>TRUNC(IF(AND(TbTradesBinance[[#This Row],[Tipo]]="SEND",TbTradesBinance[[#This Row],[Par]]="BRL"),TbTradesBinance[[#This Row],[Qtt]]*(1-P85)-IF(TbTradesBinance[[#This Row],[Moeda da Taxa]]="BRL",TbTradesBinance[[#This Row],[Taxa]],0),0)+IF(AND(TbTradesBinance[[#This Row],[Tipo]]="BURN",TbTradesBinance[[#This Row],[Par]]="BRL"),-TbTradesBinance[[#This Row],[Qtt]]*P85,0),2)</f>
        <v>0</v>
      </c>
      <c r="D87" s="53">
        <v>44267.500740740739</v>
      </c>
      <c r="E87" s="37" t="s">
        <v>238</v>
      </c>
      <c r="F87" s="47" t="s">
        <v>140</v>
      </c>
      <c r="G87" s="38">
        <v>32.97</v>
      </c>
      <c r="H87" s="38">
        <v>0.37</v>
      </c>
      <c r="I87" s="38">
        <v>1.21989E-2</v>
      </c>
      <c r="J87" s="37" t="s">
        <v>42</v>
      </c>
      <c r="K87" s="52">
        <v>5.56</v>
      </c>
      <c r="L87" s="40">
        <f t="shared" si="19"/>
        <v>183.31</v>
      </c>
      <c r="M87" s="40">
        <f>IF(OR(TbTradesBinance[[#This Row],[Tipo]]="BUY",TbTradesBinance[[#This Row],[Tipo]]="RECEIVE",TbTradesBinance[[#This Row],[Tipo]]="DROP"),L87*H87,-L87*H87)</f>
        <v>-67.824700000000007</v>
      </c>
      <c r="N8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Row],[Tipo]]="DROP"),N86+TbTradesBinance[[#This Row],[Qtt]],N86-TbTradesBinance[[#This Row],[Qtt]]),IF(TbTradesBinance[[#This Row],[Tipo]]="BUY",N86-TbTradesBinance[[#This Row],[Qtt]]*TbTradesBinance[[#This Row],[Preço]],N86+TbTradesBinance[[#This Row],[Qtt]]*TbTradesBinance[[#This Row],[Preço]])),N86)-IF(TbTradesBinance[[#This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Row],[Tipo]]="DROP"),N86+TbTradesBinance[[#This Row],[Qtt]],N86-TbTradesBinance[[#This Row],[Qtt]]),IF(TbTradesBinance[[#This Row],[Tipo]]="BUY",N86-TbTradesBinance[[#This Row],[Qtt]]*TbTradesBinance[[#This Row],[Preço]],N86+TbTradesBinance[[#This Row],[Qtt]]*TbTradesBinance[[#This Row],[Preço]])),N86)-IF(TbTradesBinance[[#This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Row],[Tipo]]="DROP"),N86+TbTradesBinance[[#This Row],[Qtt]],N86-TbTradesBinance[[#This Row],[Qtt]]),IF(TbTradesBinance[[#This Row],[Tipo]]="BUY",N86-TbTradesBinance[[#This Row],[Qtt]]*TbTradesBinance[[#This Row],[Preço]],N86+TbTradesBinance[[#This Row],[Qtt]]*TbTradesBinance[[#This Row],[Preço]])),N86)-IF(TbTradesBinance[[#This Row],[Moeda da Taxa]]=MID(N$1,9,5),TbTradesBinance[[#This Row],[Taxa]],0),8)))</f>
        <v>121085.24402208001</v>
      </c>
      <c r="O87" s="145" cm="1">
        <f t="array" ref="O87">IF(TbTradesBinance[[#This Row],[Tipo]]="EMPTY",0,O86+IF(TbTradesBinance[[#This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Row],[Par]]))),$1:$1,0)),-(N86-N87)/N86*O86),0),0)+IF(TbTradesBinance[[#This Row],[Tipo]]="SELL",IF(ISNUMBER(FIND(MID(O$1,10,5),TbTradesBinance[[#This Row],[Par]])),IF(FIND(MID(O$1,10,5),TbTradesBinance[[#This Row],[Par]])=1, -(N86-N87)/N86*O86,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Row],[Par]])),(-(N86-N87)/N86*O86)+IF(TbTradesBinance[[#This Row],[Resultado]]&gt;0,0,TbTradesBinance[[#This Row],[Taxa]]),0),0))</f>
        <v>121071.18981598526</v>
      </c>
      <c r="P87" s="145">
        <f t="shared" si="20"/>
        <v>0.99988393130634323</v>
      </c>
      <c r="Q8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Row],[Tipo]]="DROP"),Q86+TbTradesBinance[[#This Row],[Qtt]],Q86-TbTradesBinance[[#This Row],[Qtt]]),IF(TbTradesBinance[[#This Row],[Tipo]]="BUY",Q86-TbTradesBinance[[#This Row],[Qtt]]*TbTradesBinance[[#This Row],[Preço]],Q86+TbTradesBinance[[#This Row],[Qtt]]*TbTradesBinance[[#This Row],[Preço]])),Q86)-IF(TbTradesBinance[[#This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Row],[Tipo]]="DROP"),Q86+TbTradesBinance[[#This Row],[Qtt]],Q86-TbTradesBinance[[#This Row],[Qtt]]),IF(TbTradesBinance[[#This Row],[Tipo]]="BUY",Q86-TbTradesBinance[[#This Row],[Qtt]]*TbTradesBinance[[#This Row],[Preço]],Q86+TbTradesBinance[[#This Row],[Qtt]]*TbTradesBinance[[#This Row],[Preço]])),Q86)-IF(TbTradesBinance[[#This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Row],[Tipo]]="DROP"),Q86+TbTradesBinance[[#This Row],[Qtt]],Q86-TbTradesBinance[[#This Row],[Qtt]]),IF(TbTradesBinance[[#This Row],[Tipo]]="BUY",Q86-TbTradesBinance[[#This Row],[Qtt]]*TbTradesBinance[[#This Row],[Preço]],Q86+TbTradesBinance[[#This Row],[Qtt]]*TbTradesBinance[[#This Row],[Preço]])),Q86)-IF(TbTradesBinance[[#This Row],[Moeda da Taxa]]=MID(Q$1,9,5),TbTradesBinance[[#This Row],[Taxa]],0),8)))</f>
        <v>12.198720229999999</v>
      </c>
      <c r="R87" s="145" cm="1">
        <f t="array" ref="R87">IF(TbTradesBinance[[#This Row],[Tipo]]="EMPTY",0,R86+IF(TbTradesBinance[[#This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Row],[Par]]))),$1:$1,0)),-(Q86-Q87)/Q86*R86),0),0)+IF(TbTradesBinance[[#This Row],[Tipo]]="SELL",IF(ISNUMBER(FIND(MID(R$1,10,5),TbTradesBinance[[#This Row],[Par]])),IF(FIND(MID(R$1,10,5),TbTradesBinance[[#This Row],[Par]])=1, -(Q86-Q87)/Q86*R86,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Row],[Par]])),(-(Q86-Q87)/Q86*R86)+IF(TbTradesBinance[[#This Row],[Resultado]]&gt;0,0,TbTradesBinance[[#This Row],[Taxa]]),0),0))</f>
        <v>62.112822794485702</v>
      </c>
      <c r="S87" s="145">
        <f t="shared" si="21"/>
        <v>5.0917491034619546</v>
      </c>
      <c r="T8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Row],[Tipo]]="DROP"),T86+TbTradesBinance[[#This Row],[Qtt]],T86-TbTradesBinance[[#This Row],[Qtt]]),IF(TbTradesBinance[[#This Row],[Tipo]]="BUY",T86-TbTradesBinance[[#This Row],[Qtt]]*TbTradesBinance[[#This Row],[Preço]],T86+TbTradesBinance[[#This Row],[Qtt]]*TbTradesBinance[[#This Row],[Preço]])),T86)-IF(TbTradesBinance[[#This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Row],[Tipo]]="DROP"),T86+TbTradesBinance[[#This Row],[Qtt]],T86-TbTradesBinance[[#This Row],[Qtt]]),IF(TbTradesBinance[[#This Row],[Tipo]]="BUY",T86-TbTradesBinance[[#This Row],[Qtt]]*TbTradesBinance[[#This Row],[Preço]],T86+TbTradesBinance[[#This Row],[Qtt]]*TbTradesBinance[[#This Row],[Preço]])),T86)-IF(TbTradesBinance[[#This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Row],[Tipo]]="DROP"),T86+TbTradesBinance[[#This Row],[Qtt]],T86-TbTradesBinance[[#This Row],[Qtt]]),IF(TbTradesBinance[[#This Row],[Tipo]]="BUY",T86-TbTradesBinance[[#This Row],[Qtt]]*TbTradesBinance[[#This Row],[Preço]],T86+TbTradesBinance[[#This Row],[Qtt]]*TbTradesBinance[[#This Row],[Preço]])),T86)-IF(TbTradesBinance[[#This Row],[Moeda da Taxa]]=MID(T$1,9,5),TbTradesBinance[[#This Row],[Taxa]],0),8)))</f>
        <v>199735.32000169999</v>
      </c>
      <c r="U87" s="145" cm="1">
        <f t="array" ref="U87">IF(TbTradesBinance[[#This Row],[Tipo]]="EMPTY",0,U86+IF(TbTradesBinance[[#This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Row],[Par]]))),$1:$1,0)),-(T86-T87)/T86*U86),0),0)+IF(TbTradesBinance[[#This Row],[Tipo]]="SELL",IF(ISNUMBER(FIND(MID(U$1,10,5),TbTradesBinance[[#This Row],[Par]])),IF(FIND(MID(U$1,10,5),TbTradesBinance[[#This Row],[Par]])=1, -(T86-T87)/T86*U86,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Row],[Par]])),(-(T86-T87)/T86*U86)+IF(TbTradesBinance[[#This Row],[Resultado]]&gt;0,0,TbTradesBinance[[#This Row],[Taxa]]),0),0))</f>
        <v>1328239.8809817513</v>
      </c>
      <c r="V87" s="145">
        <f t="shared" si="22"/>
        <v>6.6500000148719129</v>
      </c>
      <c r="W8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Row],[Tipo]]="DROP"),W86+TbTradesBinance[[#This Row],[Qtt]],W86-TbTradesBinance[[#This Row],[Qtt]]),IF(TbTradesBinance[[#This Row],[Tipo]]="BUY",W86-TbTradesBinance[[#This Row],[Qtt]]*TbTradesBinance[[#This Row],[Preço]],W86+TbTradesBinance[[#This Row],[Qtt]]*TbTradesBinance[[#This Row],[Preço]])),W86)-IF(TbTradesBinance[[#This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Row],[Tipo]]="DROP"),W86+TbTradesBinance[[#This Row],[Qtt]],W86-TbTradesBinance[[#This Row],[Qtt]]),IF(TbTradesBinance[[#This Row],[Tipo]]="BUY",W86-TbTradesBinance[[#This Row],[Qtt]]*TbTradesBinance[[#This Row],[Preço]],W86+TbTradesBinance[[#This Row],[Qtt]]*TbTradesBinance[[#This Row],[Preço]])),W86)-IF(TbTradesBinance[[#This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Row],[Tipo]]="DROP"),W86+TbTradesBinance[[#This Row],[Qtt]],W86-TbTradesBinance[[#This Row],[Qtt]]),IF(TbTradesBinance[[#This Row],[Tipo]]="BUY",W86-TbTradesBinance[[#This Row],[Qtt]]*TbTradesBinance[[#This Row],[Preço]],W86+TbTradesBinance[[#This Row],[Qtt]]*TbTradesBinance[[#This Row],[Preço]])),W86)-IF(TbTradesBinance[[#This Row],[Moeda da Taxa]]=MID(W$1,9,5),TbTradesBinance[[#This Row],[Taxa]],0),8)))</f>
        <v>4.5399999999999997E-6</v>
      </c>
      <c r="X87" s="145" cm="1">
        <f t="array" ref="X87">IF(TbTradesBinance[[#This Row],[Tipo]]="EMPTY",0,X86+IF(TbTradesBinance[[#This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Row],[Par]]))),$1:$1,0)),-(W86-W87)/W86*X86),0),0)+IF(TbTradesBinance[[#This Row],[Tipo]]="SELL",IF(ISNUMBER(FIND(MID(X$1,10,5),TbTradesBinance[[#This Row],[Par]])),IF(FIND(MID(X$1,10,5),TbTradesBinance[[#This Row],[Par]])=1, -(W86-W87)/W86*X86,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Row],[Par]])),(-(W86-W87)/W86*X86)+IF(TbTradesBinance[[#This Row],[Resultado]]&gt;0,0,TbTradesBinance[[#This Row],[Taxa]]),0),0))</f>
        <v>1.5152928264556067</v>
      </c>
      <c r="Y87" s="145">
        <f t="shared" si="23"/>
        <v>333764.93974793103</v>
      </c>
      <c r="Z8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Row],[Tipo]]="DROP"),Z86+TbTradesBinance[[#This Row],[Qtt]],Z86-TbTradesBinance[[#This Row],[Qtt]]),IF(TbTradesBinance[[#This Row],[Tipo]]="BUY",Z86-TbTradesBinance[[#This Row],[Qtt]]*TbTradesBinance[[#This Row],[Preço]],Z86+TbTradesBinance[[#This Row],[Qtt]]*TbTradesBinance[[#This Row],[Preço]])),Z86)-IF(TbTradesBinance[[#This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Row],[Tipo]]="DROP"),Z86+TbTradesBinance[[#This Row],[Qtt]],Z86-TbTradesBinance[[#This Row],[Qtt]]),IF(TbTradesBinance[[#This Row],[Tipo]]="BUY",Z86-TbTradesBinance[[#This Row],[Qtt]]*TbTradesBinance[[#This Row],[Preço]],Z86+TbTradesBinance[[#This Row],[Qtt]]*TbTradesBinance[[#This Row],[Preço]])),Z86)-IF(TbTradesBinance[[#This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Row],[Tipo]]="DROP"),Z86+TbTradesBinance[[#This Row],[Qtt]],Z86-TbTradesBinance[[#This Row],[Qtt]]),IF(TbTradesBinance[[#This Row],[Tipo]]="BUY",Z86-TbTradesBinance[[#This Row],[Qtt]]*TbTradesBinance[[#This Row],[Preço]],Z86+TbTradesBinance[[#This Row],[Qtt]]*TbTradesBinance[[#This Row],[Preço]])),Z86)-IF(TbTradesBinance[[#This Row],[Moeda da Taxa]]=MID(Z$1,9,5),TbTradesBinance[[#This Row],[Taxa]],0),8)))</f>
        <v>0</v>
      </c>
      <c r="AA87" s="145" cm="1">
        <f t="array" ref="AA87">IF(TbTradesBinance[[#This Row],[Tipo]]="EMPTY",0,AA86+IF(TbTradesBinance[[#This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Row],[Par]]))),$1:$1,0)),-(Z86-Z87)/Z86*AA86),0),0)+IF(TbTradesBinance[[#This Row],[Tipo]]="SELL",IF(ISNUMBER(FIND(MID(AA$1,10,5),TbTradesBinance[[#This Row],[Par]])),IF(FIND(MID(AA$1,10,5),TbTradesBinance[[#This Row],[Par]])=1, -(Z86-Z87)/Z86*AA86,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Row],[Par]])),(-(Z86-Z87)/Z86*AA86)+IF(TbTradesBinance[[#This Row],[Resultado]]&gt;0,0,TbTradesBinance[[#This Row],[Taxa]]),0),0))</f>
        <v>0</v>
      </c>
      <c r="AB87" s="145">
        <f t="shared" si="24"/>
        <v>0</v>
      </c>
      <c r="AC8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Row],[Tipo]]="DROP"),AC86+TbTradesBinance[[#This Row],[Qtt]],AC86-TbTradesBinance[[#This Row],[Qtt]]),IF(TbTradesBinance[[#This Row],[Tipo]]="BUY",AC86-TbTradesBinance[[#This Row],[Qtt]]*TbTradesBinance[[#This Row],[Preço]],AC86+TbTradesBinance[[#This Row],[Qtt]]*TbTradesBinance[[#This Row],[Preço]])),AC86)-IF(TbTradesBinance[[#This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Row],[Tipo]]="DROP"),AC86+TbTradesBinance[[#This Row],[Qtt]],AC86-TbTradesBinance[[#This Row],[Qtt]]),IF(TbTradesBinance[[#This Row],[Tipo]]="BUY",AC86-TbTradesBinance[[#This Row],[Qtt]]*TbTradesBinance[[#This Row],[Preço]],AC86+TbTradesBinance[[#This Row],[Qtt]]*TbTradesBinance[[#This Row],[Preço]])),AC86)-IF(TbTradesBinance[[#This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Row],[Tipo]]="DROP"),AC86+TbTradesBinance[[#This Row],[Qtt]],AC86-TbTradesBinance[[#This Row],[Qtt]]),IF(TbTradesBinance[[#This Row],[Tipo]]="BUY",AC86-TbTradesBinance[[#This Row],[Qtt]]*TbTradesBinance[[#This Row],[Preço]],AC86+TbTradesBinance[[#This Row],[Qtt]]*TbTradesBinance[[#This Row],[Preço]])),AC86)-IF(TbTradesBinance[[#This Row],[Moeda da Taxa]]=MID(AC$1,9,5),TbTradesBinance[[#This Row],[Taxa]],0),8)))</f>
        <v>0</v>
      </c>
      <c r="AD87" s="145" cm="1">
        <f t="array" ref="AD87">IF(TbTradesBinance[[#This Row],[Tipo]]="EMPTY",0,AD86+IF(TbTradesBinance[[#This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Row],[Par]]))),$1:$1,0)),-(AC86-AC87)/AC86*AD86),0),0)+IF(TbTradesBinance[[#This Row],[Tipo]]="SELL",IF(ISNUMBER(FIND(MID(AD$1,10,5),TbTradesBinance[[#This Row],[Par]])),IF(FIND(MID(AD$1,10,5),TbTradesBinance[[#This Row],[Par]])=1, -(AC86-AC87)/AC86*AD86,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Row],[Par]])),(-(AC86-AC87)/AC86*AD86)+IF(TbTradesBinance[[#This Row],[Resultado]]&gt;0,0,TbTradesBinance[[#This Row],[Taxa]]),0),0))</f>
        <v>0</v>
      </c>
      <c r="AE87" s="145">
        <f t="shared" si="25"/>
        <v>0</v>
      </c>
      <c r="AF8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Row],[Tipo]]="DROP"),AF86+TbTradesBinance[[#This Row],[Qtt]],AF86-TbTradesBinance[[#This Row],[Qtt]]),IF(TbTradesBinance[[#This Row],[Tipo]]="BUY",AF86-TbTradesBinance[[#This Row],[Qtt]]*TbTradesBinance[[#This Row],[Preço]],AF86+TbTradesBinance[[#This Row],[Qtt]]*TbTradesBinance[[#This Row],[Preço]])),AF86)-IF(TbTradesBinance[[#This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Row],[Tipo]]="DROP"),AF86+TbTradesBinance[[#This Row],[Qtt]],AF86-TbTradesBinance[[#This Row],[Qtt]]),IF(TbTradesBinance[[#This Row],[Tipo]]="BUY",AF86-TbTradesBinance[[#This Row],[Qtt]]*TbTradesBinance[[#This Row],[Preço]],AF86+TbTradesBinance[[#This Row],[Qtt]]*TbTradesBinance[[#This Row],[Preço]])),AF86)-IF(TbTradesBinance[[#This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Row],[Tipo]]="DROP"),AF86+TbTradesBinance[[#This Row],[Qtt]],AF86-TbTradesBinance[[#This Row],[Qtt]]),IF(TbTradesBinance[[#This Row],[Tipo]]="BUY",AF86-TbTradesBinance[[#This Row],[Qtt]]*TbTradesBinance[[#This Row],[Preço]],AF86+TbTradesBinance[[#This Row],[Qtt]]*TbTradesBinance[[#This Row],[Preço]])),AF86)-IF(TbTradesBinance[[#This Row],[Moeda da Taxa]]=MID(AF$1,9,5),TbTradesBinance[[#This Row],[Taxa]],0),8)))</f>
        <v>19.98</v>
      </c>
      <c r="AG87" s="145" cm="1">
        <f t="array" ref="AG87">IF(TbTradesBinance[[#This Row],[Tipo]]="EMPTY",0,AG86+IF(TbTradesBinance[[#This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Row],[Par]]))),$1:$1,0)),-(AF86-AF87)/AF86*AG86),0),0)+IF(TbTradesBinance[[#This Row],[Tipo]]="SELL",IF(ISNUMBER(FIND(MID(AG$1,10,5),TbTradesBinance[[#This Row],[Par]])),IF(FIND(MID(AG$1,10,5),TbTradesBinance[[#This Row],[Par]])=1, -(AF86-AF87)/AF86*AG86,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Row],[Par]])),(-(AF86-AF87)/AF86*AG86)+IF(TbTradesBinance[[#This Row],[Resultado]]&gt;0,0,TbTradesBinance[[#This Row],[Taxa]]),0),0))</f>
        <v>124.04182758073662</v>
      </c>
      <c r="AH87" s="145">
        <f t="shared" si="26"/>
        <v>6.2082996787155462</v>
      </c>
      <c r="AI8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Row],[Tipo]]="DROP"),AI86+TbTradesBinance[[#This Row],[Qtt]],AI86-TbTradesBinance[[#This Row],[Qtt]]),IF(TbTradesBinance[[#This Row],[Tipo]]="BUY",AI86-TbTradesBinance[[#This Row],[Qtt]]*TbTradesBinance[[#This Row],[Preço]],AI86+TbTradesBinance[[#This Row],[Qtt]]*TbTradesBinance[[#This Row],[Preço]])),AI86)-IF(TbTradesBinance[[#This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Row],[Tipo]]="DROP"),AI86+TbTradesBinance[[#This Row],[Qtt]],AI86-TbTradesBinance[[#This Row],[Qtt]]),IF(TbTradesBinance[[#This Row],[Tipo]]="BUY",AI86-TbTradesBinance[[#This Row],[Qtt]]*TbTradesBinance[[#This Row],[Preço]],AI86+TbTradesBinance[[#This Row],[Qtt]]*TbTradesBinance[[#This Row],[Preço]])),AI86)-IF(TbTradesBinance[[#This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Row],[Tipo]]="DROP"),AI86+TbTradesBinance[[#This Row],[Qtt]],AI86-TbTradesBinance[[#This Row],[Qtt]]),IF(TbTradesBinance[[#This Row],[Tipo]]="BUY",AI86-TbTradesBinance[[#This Row],[Qtt]]*TbTradesBinance[[#This Row],[Preço]],AI86+TbTradesBinance[[#This Row],[Qtt]]*TbTradesBinance[[#This Row],[Preço]])),AI86)-IF(TbTradesBinance[[#This Row],[Moeda da Taxa]]=MID(AI$1,9,5),TbTradesBinance[[#This Row],[Taxa]],0),8)))</f>
        <v>0</v>
      </c>
      <c r="AJ87" s="145" cm="1">
        <f t="array" ref="AJ87">IF(TbTradesBinance[[#This Row],[Tipo]]="EMPTY",0,AJ86+IF(TbTradesBinance[[#This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Row],[Par]]))),$1:$1,0)),-(AI86-AI87)/AI86*AJ86),0),0)+IF(TbTradesBinance[[#This Row],[Tipo]]="SELL",IF(ISNUMBER(FIND(MID(AJ$1,10,5),TbTradesBinance[[#This Row],[Par]])),IF(FIND(MID(AJ$1,10,5),TbTradesBinance[[#This Row],[Par]])=1, -(AI86-AI87)/AI86*AJ86,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Row],[Par]])),(-(AI86-AI87)/AI86*AJ86)+IF(TbTradesBinance[[#This Row],[Resultado]]&gt;0,0,TbTradesBinance[[#This Row],[Taxa]]),0),0))</f>
        <v>0</v>
      </c>
      <c r="AK87" s="145">
        <f t="shared" si="27"/>
        <v>0</v>
      </c>
      <c r="AL8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Row],[Tipo]]="DROP"),AL86+TbTradesBinance[[#This Row],[Qtt]],AL86-TbTradesBinance[[#This Row],[Qtt]]),IF(TbTradesBinance[[#This Row],[Tipo]]="BUY",AL86-TbTradesBinance[[#This Row],[Qtt]]*TbTradesBinance[[#This Row],[Preço]],AL86+TbTradesBinance[[#This Row],[Qtt]]*TbTradesBinance[[#This Row],[Preço]])),AL86)-IF(TbTradesBinance[[#This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Row],[Tipo]]="DROP"),AL86+TbTradesBinance[[#This Row],[Qtt]],AL86-TbTradesBinance[[#This Row],[Qtt]]),IF(TbTradesBinance[[#This Row],[Tipo]]="BUY",AL86-TbTradesBinance[[#This Row],[Qtt]]*TbTradesBinance[[#This Row],[Preço]],AL86+TbTradesBinance[[#This Row],[Qtt]]*TbTradesBinance[[#This Row],[Preço]])),AL86)-IF(TbTradesBinance[[#This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Row],[Tipo]]="DROP"),AL86+TbTradesBinance[[#This Row],[Qtt]],AL86-TbTradesBinance[[#This Row],[Qtt]]),IF(TbTradesBinance[[#This Row],[Tipo]]="BUY",AL86-TbTradesBinance[[#This Row],[Qtt]]*TbTradesBinance[[#This Row],[Preço]],AL86+TbTradesBinance[[#This Row],[Qtt]]*TbTradesBinance[[#This Row],[Preço]])),AL86)-IF(TbTradesBinance[[#This Row],[Moeda da Taxa]]=MID(AL$1,9,5),TbTradesBinance[[#This Row],[Taxa]],0),8)))</f>
        <v>1.75824</v>
      </c>
      <c r="AM87" s="145" cm="1">
        <f t="array" ref="AM87">IF(TbTradesBinance[[#This Row],[Tipo]]="EMPTY",0,AM86+IF(TbTradesBinance[[#This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Row],[Par]]))),$1:$1,0)),-(AL86-AL87)/AL86*AM86),0),0)+IF(TbTradesBinance[[#This Row],[Tipo]]="SELL",IF(ISNUMBER(FIND(MID(AM$1,10,5),TbTradesBinance[[#This Row],[Par]])),IF(FIND(MID(AM$1,10,5),TbTradesBinance[[#This Row],[Par]])=1, -(AL86-AL87)/AL86*AM86,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Row],[Par]])),(-(AL86-AL87)/AL86*AM86)+IF(TbTradesBinance[[#This Row],[Resultado]]&gt;0,0,TbTradesBinance[[#This Row],[Taxa]]),0),0))</f>
        <v>144.56635471393039</v>
      </c>
      <c r="AN87" s="145">
        <f t="shared" si="28"/>
        <v>82.222196465744375</v>
      </c>
      <c r="AO8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Row],[Tipo]]="DROP"),AO86+TbTradesBinance[[#This Row],[Qtt]],AO86-TbTradesBinance[[#This Row],[Qtt]]),IF(TbTradesBinance[[#This Row],[Tipo]]="BUY",AO86-TbTradesBinance[[#This Row],[Qtt]]*TbTradesBinance[[#This Row],[Preço]],AO86+TbTradesBinance[[#This Row],[Qtt]]*TbTradesBinance[[#This Row],[Preço]])),AO86)-IF(TbTradesBinance[[#This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Row],[Tipo]]="DROP"),AO86+TbTradesBinance[[#This Row],[Qtt]],AO86-TbTradesBinance[[#This Row],[Qtt]]),IF(TbTradesBinance[[#This Row],[Tipo]]="BUY",AO86-TbTradesBinance[[#This Row],[Qtt]]*TbTradesBinance[[#This Row],[Preço]],AO86+TbTradesBinance[[#This Row],[Qtt]]*TbTradesBinance[[#This Row],[Preço]])),AO86)-IF(TbTradesBinance[[#This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Row],[Tipo]]="DROP"),AO86+TbTradesBinance[[#This Row],[Qtt]],AO86-TbTradesBinance[[#This Row],[Qtt]]),IF(TbTradesBinance[[#This Row],[Tipo]]="BUY",AO86-TbTradesBinance[[#This Row],[Qtt]]*TbTradesBinance[[#This Row],[Preço]],AO86+TbTradesBinance[[#This Row],[Qtt]]*TbTradesBinance[[#This Row],[Preço]])),AO86)-IF(TbTradesBinance[[#This Row],[Moeda da Taxa]]=MID(AO$1,9,5),TbTradesBinance[[#This Row],[Taxa]],0),8)))</f>
        <v>4.0163500000000001E-3</v>
      </c>
      <c r="AP87" s="145" cm="1">
        <f t="array" ref="AP87">IF(TbTradesBinance[[#This Row],[Tipo]]="EMPTY",0,AP86+IF(TbTradesBinance[[#This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Row],[Par]]))),$1:$1,0)),-(AO86-AO87)/AO86*AP86),0),0)+IF(TbTradesBinance[[#This Row],[Tipo]]="SELL",IF(ISNUMBER(FIND(MID(AP$1,10,5),TbTradesBinance[[#This Row],[Par]])),IF(FIND(MID(AP$1,10,5),TbTradesBinance[[#This Row],[Par]])=1, -(AO86-AO87)/AO86*AP86,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Row],[Par]])),(-(AO86-AO87)/AO86*AP86)+IF(TbTradesBinance[[#This Row],[Resultado]]&gt;0,0,TbTradesBinance[[#This Row],[Taxa]]),0),0))</f>
        <v>7.3360959318006032</v>
      </c>
      <c r="AQ87" s="145">
        <f t="shared" si="29"/>
        <v>1826.5579274218142</v>
      </c>
      <c r="AR8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Row],[Tipo]]="DROP"),AR86+TbTradesBinance[[#This Row],[Qtt]],AR86-TbTradesBinance[[#This Row],[Qtt]]),IF(TbTradesBinance[[#This Row],[Tipo]]="BUY",AR86-TbTradesBinance[[#This Row],[Qtt]]*TbTradesBinance[[#This Row],[Preço]],AR86+TbTradesBinance[[#This Row],[Qtt]]*TbTradesBinance[[#This Row],[Preço]])),AR86)-IF(TbTradesBinance[[#This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Row],[Tipo]]="DROP"),AR86+TbTradesBinance[[#This Row],[Qtt]],AR86-TbTradesBinance[[#This Row],[Qtt]]),IF(TbTradesBinance[[#This Row],[Tipo]]="BUY",AR86-TbTradesBinance[[#This Row],[Qtt]]*TbTradesBinance[[#This Row],[Preço]],AR86+TbTradesBinance[[#This Row],[Qtt]]*TbTradesBinance[[#This Row],[Preço]])),AR86)-IF(TbTradesBinance[[#This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Row],[Tipo]]="DROP"),AR86+TbTradesBinance[[#This Row],[Qtt]],AR86-TbTradesBinance[[#This Row],[Qtt]]),IF(TbTradesBinance[[#This Row],[Tipo]]="BUY",AR86-TbTradesBinance[[#This Row],[Qtt]]*TbTradesBinance[[#This Row],[Preço]],AR86+TbTradesBinance[[#This Row],[Qtt]]*TbTradesBinance[[#This Row],[Preço]])),AR86)-IF(TbTradesBinance[[#This Row],[Moeda da Taxa]]=MID(AR$1,9,5),TbTradesBinance[[#This Row],[Taxa]],0),8)))</f>
        <v>0</v>
      </c>
      <c r="AS87" s="145" cm="1">
        <f t="array" ref="AS87">IF(TbTradesBinance[[#This Row],[Tipo]]="EMPTY",0,AS86+IF(TbTradesBinance[[#This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Row],[Par]]))),$1:$1,0)),-(AR86-AR87)/AR86*AS86),0),0)+IF(TbTradesBinance[[#This Row],[Tipo]]="SELL",IF(ISNUMBER(FIND(MID(AS$1,10,5),TbTradesBinance[[#This Row],[Par]])),IF(FIND(MID(AS$1,10,5),TbTradesBinance[[#This Row],[Par]])=1, -(AR86-AR87)/AR86*AS86,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Row],[Par]])),(-(AR86-AR87)/AR86*AS86)+IF(TbTradesBinance[[#This Row],[Resultado]]&gt;0,0,TbTradesBinance[[#This Row],[Taxa]]),0),0))</f>
        <v>0</v>
      </c>
      <c r="AT87" s="145">
        <f t="shared" si="30"/>
        <v>0</v>
      </c>
      <c r="AU8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Row],[Tipo]]="DROP"),AU86+TbTradesBinance[[#This Row],[Qtt]],AU86-TbTradesBinance[[#This Row],[Qtt]]),IF(TbTradesBinance[[#This Row],[Tipo]]="BUY",AU86-TbTradesBinance[[#This Row],[Qtt]]*TbTradesBinance[[#This Row],[Preço]],AU86+TbTradesBinance[[#This Row],[Qtt]]*TbTradesBinance[[#This Row],[Preço]])),AU86)-IF(TbTradesBinance[[#This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Row],[Tipo]]="DROP"),AU86+TbTradesBinance[[#This Row],[Qtt]],AU86-TbTradesBinance[[#This Row],[Qtt]]),IF(TbTradesBinance[[#This Row],[Tipo]]="BUY",AU86-TbTradesBinance[[#This Row],[Qtt]]*TbTradesBinance[[#This Row],[Preço]],AU86+TbTradesBinance[[#This Row],[Qtt]]*TbTradesBinance[[#This Row],[Preço]])),AU86)-IF(TbTradesBinance[[#This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Row],[Tipo]]="DROP"),AU86+TbTradesBinance[[#This Row],[Qtt]],AU86-TbTradesBinance[[#This Row],[Qtt]]),IF(TbTradesBinance[[#This Row],[Tipo]]="BUY",AU86-TbTradesBinance[[#This Row],[Qtt]]*TbTradesBinance[[#This Row],[Preço]],AU86+TbTradesBinance[[#This Row],[Qtt]]*TbTradesBinance[[#This Row],[Preço]])),AU86)-IF(TbTradesBinance[[#This Row],[Moeda da Taxa]]=MID(AU$1,9,5),TbTradesBinance[[#This Row],[Taxa]],0),8)))</f>
        <v>0.26</v>
      </c>
      <c r="AV87" s="145" cm="1">
        <f t="array" ref="AV87">IF(TbTradesBinance[[#This Row],[Tipo]]="EMPTY",0,AV86+IF(TbTradesBinance[[#This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Row],[Par]]))),$1:$1,0)),-(AU86-AU87)/AU86*AV86),0),0)+IF(TbTradesBinance[[#This Row],[Tipo]]="SELL",IF(ISNUMBER(FIND(MID(AV$1,10,5),TbTradesBinance[[#This Row],[Par]])),IF(FIND(MID(AV$1,10,5),TbTradesBinance[[#This Row],[Par]])=1, -(AU86-AU87)/AU86*AV86,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Row],[Par]])),(-(AU86-AU87)/AU86*AV86)+IF(TbTradesBinance[[#This Row],[Resultado]]&gt;0,0,TbTradesBinance[[#This Row],[Taxa]]),0),0))</f>
        <v>54.040196232404952</v>
      </c>
      <c r="AW87" s="145">
        <f t="shared" si="31"/>
        <v>207.84690858617287</v>
      </c>
      <c r="AX8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Row],[Tipo]]="DROP"),AX86+TbTradesBinance[[#This Row],[Qtt]],AX86-TbTradesBinance[[#This Row],[Qtt]]),IF(TbTradesBinance[[#This Row],[Tipo]]="BUY",AX86-TbTradesBinance[[#This Row],[Qtt]]*TbTradesBinance[[#This Row],[Preço]],AX86+TbTradesBinance[[#This Row],[Qtt]]*TbTradesBinance[[#This Row],[Preço]])),AX86)-IF(TbTradesBinance[[#This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Row],[Tipo]]="DROP"),AX86+TbTradesBinance[[#This Row],[Qtt]],AX86-TbTradesBinance[[#This Row],[Qtt]]),IF(TbTradesBinance[[#This Row],[Tipo]]="BUY",AX86-TbTradesBinance[[#This Row],[Qtt]]*TbTradesBinance[[#This Row],[Preço]],AX86+TbTradesBinance[[#This Row],[Qtt]]*TbTradesBinance[[#This Row],[Preço]])),AX86)-IF(TbTradesBinance[[#This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Row],[Tipo]]="DROP"),AX86+TbTradesBinance[[#This Row],[Qtt]],AX86-TbTradesBinance[[#This Row],[Qtt]]),IF(TbTradesBinance[[#This Row],[Tipo]]="BUY",AX86-TbTradesBinance[[#This Row],[Qtt]]*TbTradesBinance[[#This Row],[Preço]],AX86+TbTradesBinance[[#This Row],[Qtt]]*TbTradesBinance[[#This Row],[Preço]])),AX86)-IF(TbTradesBinance[[#This Row],[Moeda da Taxa]]=MID(AX$1,9,5),TbTradesBinance[[#This Row],[Taxa]],0),8)))</f>
        <v>0.22636999999999999</v>
      </c>
      <c r="AY87" s="145" cm="1">
        <f t="array" ref="AY87">IF(TbTradesBinance[[#This Row],[Tipo]]="EMPTY",0,AY86+IF(TbTradesBinance[[#This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Row],[Par]]))),$1:$1,0)),-(AX86-AX87)/AX86*AY86),0),0)+IF(TbTradesBinance[[#This Row],[Tipo]]="SELL",IF(ISNUMBER(FIND(MID(AY$1,10,5),TbTradesBinance[[#This Row],[Par]])),IF(FIND(MID(AY$1,10,5),TbTradesBinance[[#This Row],[Par]])=1, -(AX86-AX87)/AX86*AY86,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Row],[Par]])),(-(AX86-AX87)/AX86*AY86)+IF(TbTradesBinance[[#This Row],[Resultado]]&gt;0,0,TbTradesBinance[[#This Row],[Taxa]]),0),0))</f>
        <v>40.781337593356859</v>
      </c>
      <c r="AZ87" s="145">
        <f t="shared" si="32"/>
        <v>180.15345493376711</v>
      </c>
      <c r="BA8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Row],[Tipo]]="DROP"),BA86+TbTradesBinance[[#This Row],[Qtt]],BA86-TbTradesBinance[[#This Row],[Qtt]]),IF(TbTradesBinance[[#This Row],[Tipo]]="BUY",BA86-TbTradesBinance[[#This Row],[Qtt]]*TbTradesBinance[[#This Row],[Preço]],BA86+TbTradesBinance[[#This Row],[Qtt]]*TbTradesBinance[[#This Row],[Preço]])),BA86)-IF(TbTradesBinance[[#This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Row],[Tipo]]="DROP"),BA86+TbTradesBinance[[#This Row],[Qtt]],BA86-TbTradesBinance[[#This Row],[Qtt]]),IF(TbTradesBinance[[#This Row],[Tipo]]="BUY",BA86-TbTradesBinance[[#This Row],[Qtt]]*TbTradesBinance[[#This Row],[Preço]],BA86+TbTradesBinance[[#This Row],[Qtt]]*TbTradesBinance[[#This Row],[Preço]])),BA86)-IF(TbTradesBinance[[#This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Row],[Tipo]]="DROP"),BA86+TbTradesBinance[[#This Row],[Qtt]],BA86-TbTradesBinance[[#This Row],[Qtt]]),IF(TbTradesBinance[[#This Row],[Tipo]]="BUY",BA86-TbTradesBinance[[#This Row],[Qtt]]*TbTradesBinance[[#This Row],[Preço]],BA86+TbTradesBinance[[#This Row],[Qtt]]*TbTradesBinance[[#This Row],[Preço]])),BA86)-IF(TbTradesBinance[[#This Row],[Moeda da Taxa]]=MID(BA$1,9,5),TbTradesBinance[[#This Row],[Taxa]],0),8)))</f>
        <v>0</v>
      </c>
      <c r="BB87" s="145" cm="1">
        <f t="array" ref="BB87">IF(TbTradesBinance[[#This Row],[Tipo]]="EMPTY",0,BB86+IF(TbTradesBinance[[#This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Row],[Par]]))),$1:$1,0)),-(BA86-BA87)/BA86*BB86),0),0)+IF(TbTradesBinance[[#This Row],[Tipo]]="SELL",IF(ISNUMBER(FIND(MID(BB$1,10,5),TbTradesBinance[[#This Row],[Par]])),IF(FIND(MID(BB$1,10,5),TbTradesBinance[[#This Row],[Par]])=1, -(BA86-BA87)/BA86*BB86,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Row],[Par]])),(-(BA86-BA87)/BA86*BB86)+IF(TbTradesBinance[[#This Row],[Resultado]]&gt;0,0,TbTradesBinance[[#This Row],[Taxa]]),0),0))</f>
        <v>0</v>
      </c>
      <c r="BC87" s="145">
        <f t="shared" si="33"/>
        <v>0</v>
      </c>
      <c r="BD8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Row],[Tipo]]="DROP"),BD86+TbTradesBinance[[#This Row],[Qtt]],BD86-TbTradesBinance[[#This Row],[Qtt]]),IF(TbTradesBinance[[#This Row],[Tipo]]="BUY",BD86-TbTradesBinance[[#This Row],[Qtt]]*TbTradesBinance[[#This Row],[Preço]],BD86+TbTradesBinance[[#This Row],[Qtt]]*TbTradesBinance[[#This Row],[Preço]])),BD86)-IF(TbTradesBinance[[#This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Row],[Tipo]]="DROP"),BD86+TbTradesBinance[[#This Row],[Qtt]],BD86-TbTradesBinance[[#This Row],[Qtt]]),IF(TbTradesBinance[[#This Row],[Tipo]]="BUY",BD86-TbTradesBinance[[#This Row],[Qtt]]*TbTradesBinance[[#This Row],[Preço]],BD86+TbTradesBinance[[#This Row],[Qtt]]*TbTradesBinance[[#This Row],[Preço]])),BD86)-IF(TbTradesBinance[[#This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Row],[Tipo]]="DROP"),BD86+TbTradesBinance[[#This Row],[Qtt]],BD86-TbTradesBinance[[#This Row],[Qtt]]),IF(TbTradesBinance[[#This Row],[Tipo]]="BUY",BD86-TbTradesBinance[[#This Row],[Qtt]]*TbTradesBinance[[#This Row],[Preço]],BD86+TbTradesBinance[[#This Row],[Qtt]]*TbTradesBinance[[#This Row],[Preço]])),BD86)-IF(TbTradesBinance[[#This Row],[Moeda da Taxa]]=MID(BD$1,9,5),TbTradesBinance[[#This Row],[Taxa]],0),8)))</f>
        <v>9.6200000000000001E-3</v>
      </c>
      <c r="BE87" s="145" cm="1">
        <f t="array" ref="BE87">IF(TbTradesBinance[[#This Row],[Tipo]]="EMPTY",0,BE86+IF(TbTradesBinance[[#This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Row],[Par]]))),$1:$1,0)),-(BD86-BD87)/BD86*BE86),0),0)+IF(TbTradesBinance[[#This Row],[Tipo]]="SELL",IF(ISNUMBER(FIND(MID(BE$1,10,5),TbTradesBinance[[#This Row],[Par]])),IF(FIND(MID(BE$1,10,5),TbTradesBinance[[#This Row],[Par]])=1, -(BD86-BD87)/BD86*BE86,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Row],[Par]])),(-(BD86-BD87)/BD86*BE86)+IF(TbTradesBinance[[#This Row],[Resultado]]&gt;0,0,TbTradesBinance[[#This Row],[Taxa]]),0),0))</f>
        <v>1.612894465925919</v>
      </c>
      <c r="BF87" s="145">
        <f t="shared" si="34"/>
        <v>167.66054739354666</v>
      </c>
      <c r="BG8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Row],[Tipo]]="DROP"),BG86+TbTradesBinance[[#This Row],[Qtt]],BG86-TbTradesBinance[[#This Row],[Qtt]]),IF(TbTradesBinance[[#This Row],[Tipo]]="BUY",BG86-TbTradesBinance[[#This Row],[Qtt]]*TbTradesBinance[[#This Row],[Preço]],BG86+TbTradesBinance[[#This Row],[Qtt]]*TbTradesBinance[[#This Row],[Preço]])),BG86)-IF(TbTradesBinance[[#This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Row],[Tipo]]="DROP"),BG86+TbTradesBinance[[#This Row],[Qtt]],BG86-TbTradesBinance[[#This Row],[Qtt]]),IF(TbTradesBinance[[#This Row],[Tipo]]="BUY",BG86-TbTradesBinance[[#This Row],[Qtt]]*TbTradesBinance[[#This Row],[Preço]],BG86+TbTradesBinance[[#This Row],[Qtt]]*TbTradesBinance[[#This Row],[Preço]])),BG86)-IF(TbTradesBinance[[#This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Row],[Tipo]]="DROP"),BG86+TbTradesBinance[[#This Row],[Qtt]],BG86-TbTradesBinance[[#This Row],[Qtt]]),IF(TbTradesBinance[[#This Row],[Tipo]]="BUY",BG86-TbTradesBinance[[#This Row],[Qtt]]*TbTradesBinance[[#This Row],[Preço]],BG86+TbTradesBinance[[#This Row],[Qtt]]*TbTradesBinance[[#This Row],[Preço]])),BG86)-IF(TbTradesBinance[[#This Row],[Moeda da Taxa]]=MID(BG$1,9,5),TbTradesBinance[[#This Row],[Taxa]],0),8)))</f>
        <v>0</v>
      </c>
      <c r="BH87" s="145" cm="1">
        <f t="array" ref="BH87">IF(TbTradesBinance[[#This Row],[Tipo]]="EMPTY",0,BH86+IF(TbTradesBinance[[#This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Row],[Par]]))),$1:$1,0)),-(BG86-BG87)/BG86*BH86),0),0)+IF(TbTradesBinance[[#This Row],[Tipo]]="SELL",IF(ISNUMBER(FIND(MID(BH$1,10,5),TbTradesBinance[[#This Row],[Par]])),IF(FIND(MID(BH$1,10,5),TbTradesBinance[[#This Row],[Par]])=1, -(BG86-BG87)/BG86*BH86,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Row],[Par]])),(-(BG86-BG87)/BG86*BH86)+IF(TbTradesBinance[[#This Row],[Resultado]]&gt;0,0,TbTradesBinance[[#This Row],[Taxa]]),0),0))</f>
        <v>0</v>
      </c>
      <c r="BI87" s="145">
        <f t="shared" si="35"/>
        <v>0</v>
      </c>
      <c r="BJ8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Row],[Tipo]]="DROP"),BJ86+TbTradesBinance[[#This Row],[Qtt]],BJ86-TbTradesBinance[[#This Row],[Qtt]]),IF(TbTradesBinance[[#This Row],[Tipo]]="BUY",BJ86-TbTradesBinance[[#This Row],[Qtt]]*TbTradesBinance[[#This Row],[Preço]],BJ86+TbTradesBinance[[#This Row],[Qtt]]*TbTradesBinance[[#This Row],[Preço]])),BJ86)-IF(TbTradesBinance[[#This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Row],[Tipo]]="DROP"),BJ86+TbTradesBinance[[#This Row],[Qtt]],BJ86-TbTradesBinance[[#This Row],[Qtt]]),IF(TbTradesBinance[[#This Row],[Tipo]]="BUY",BJ86-TbTradesBinance[[#This Row],[Qtt]]*TbTradesBinance[[#This Row],[Preço]],BJ86+TbTradesBinance[[#This Row],[Qtt]]*TbTradesBinance[[#This Row],[Preço]])),BJ86)-IF(TbTradesBinance[[#This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Row],[Tipo]]="DROP"),BJ86+TbTradesBinance[[#This Row],[Qtt]],BJ86-TbTradesBinance[[#This Row],[Qtt]]),IF(TbTradesBinance[[#This Row],[Tipo]]="BUY",BJ86-TbTradesBinance[[#This Row],[Qtt]]*TbTradesBinance[[#This Row],[Preço]],BJ86+TbTradesBinance[[#This Row],[Qtt]]*TbTradesBinance[[#This Row],[Preço]])),BJ86)-IF(TbTradesBinance[[#This Row],[Moeda da Taxa]]=MID(BJ$1,9,5),TbTradesBinance[[#This Row],[Taxa]],0),8)))</f>
        <v>0</v>
      </c>
      <c r="BK87" s="145" cm="1">
        <f t="array" ref="BK87">IF(TbTradesBinance[[#This Row],[Tipo]]="EMPTY",0,BK86+IF(TbTradesBinance[[#This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Row],[Par]]))),$1:$1,0)),-(BJ86-BJ87)/BJ86*BK86),0),0)+IF(TbTradesBinance[[#This Row],[Tipo]]="SELL",IF(ISNUMBER(FIND(MID(BK$1,10,5),TbTradesBinance[[#This Row],[Par]])),IF(FIND(MID(BK$1,10,5),TbTradesBinance[[#This Row],[Par]])=1, -(BJ86-BJ87)/BJ86*BK86,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Row],[Par]])),(-(BJ86-BJ87)/BJ86*BK86)+IF(TbTradesBinance[[#This Row],[Resultado]]&gt;0,0,TbTradesBinance[[#This Row],[Taxa]]),0),0))</f>
        <v>0</v>
      </c>
      <c r="BL87" s="145">
        <f t="shared" si="36"/>
        <v>0</v>
      </c>
      <c r="BM8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Row],[Tipo]]="DROP"),BM86+TbTradesBinance[[#This Row],[Qtt]],BM86-TbTradesBinance[[#This Row],[Qtt]]),IF(TbTradesBinance[[#This Row],[Tipo]]="BUY",BM86-TbTradesBinance[[#This Row],[Qtt]]*TbTradesBinance[[#This Row],[Preço]],BM86+TbTradesBinance[[#This Row],[Qtt]]*TbTradesBinance[[#This Row],[Preço]])),BM86)-IF(TbTradesBinance[[#This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Row],[Tipo]]="DROP"),BM86+TbTradesBinance[[#This Row],[Qtt]],BM86-TbTradesBinance[[#This Row],[Qtt]]),IF(TbTradesBinance[[#This Row],[Tipo]]="BUY",BM86-TbTradesBinance[[#This Row],[Qtt]]*TbTradesBinance[[#This Row],[Preço]],BM86+TbTradesBinance[[#This Row],[Qtt]]*TbTradesBinance[[#This Row],[Preço]])),BM86)-IF(TbTradesBinance[[#This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Row],[Tipo]]="DROP"),BM86+TbTradesBinance[[#This Row],[Qtt]],BM86-TbTradesBinance[[#This Row],[Qtt]]),IF(TbTradesBinance[[#This Row],[Tipo]]="BUY",BM86-TbTradesBinance[[#This Row],[Qtt]]*TbTradesBinance[[#This Row],[Preço]],BM86+TbTradesBinance[[#This Row],[Qtt]]*TbTradesBinance[[#This Row],[Preço]])),BM86)-IF(TbTradesBinance[[#This Row],[Moeda da Taxa]]=MID(BM$1,9,5),TbTradesBinance[[#This Row],[Taxa]],0),8)))</f>
        <v>0</v>
      </c>
      <c r="BN87" s="145" cm="1">
        <f t="array" ref="BN87">IF(TbTradesBinance[[#This Row],[Tipo]]="EMPTY",0,BN86+IF(TbTradesBinance[[#This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Row],[Par]]))),$1:$1,0)),-(BM86-BM87)/BM86*BN86),0),0)+IF(TbTradesBinance[[#This Row],[Tipo]]="SELL",IF(ISNUMBER(FIND(MID(BN$1,10,5),TbTradesBinance[[#This Row],[Par]])),IF(FIND(MID(BN$1,10,5),TbTradesBinance[[#This Row],[Par]])=1, -(BM86-BM87)/BM86*BN86,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Row],[Par]])),(-(BM86-BM87)/BM86*BN86)+IF(TbTradesBinance[[#This Row],[Resultado]]&gt;0,0,TbTradesBinance[[#This Row],[Taxa]]),0),0))</f>
        <v>0</v>
      </c>
      <c r="BO87" s="145">
        <f t="shared" si="37"/>
        <v>0</v>
      </c>
    </row>
    <row r="88" spans="2:67" x14ac:dyDescent="0.3">
      <c r="B88" s="51"/>
      <c r="C88" s="40">
        <f>TRUNC(IF(AND(TbTradesBinance[[#This Row],[Tipo]]="SEND",TbTradesBinance[[#This Row],[Par]]="BRL"),TbTradesBinance[[#This Row],[Qtt]]*(1-P86)-IF(TbTradesBinance[[#This Row],[Moeda da Taxa]]="BRL",TbTradesBinance[[#This Row],[Taxa]],0),0)+IF(AND(TbTradesBinance[[#This Row],[Tipo]]="BURN",TbTradesBinance[[#This Row],[Par]]="BRL"),-TbTradesBinance[[#This Row],[Qtt]]*P86,0),2)</f>
        <v>0</v>
      </c>
      <c r="D88" s="53">
        <v>44267.537141203706</v>
      </c>
      <c r="E88" s="37" t="s">
        <v>144</v>
      </c>
      <c r="F88" s="47" t="s">
        <v>140</v>
      </c>
      <c r="G88" s="38">
        <v>200</v>
      </c>
      <c r="H88" s="38">
        <v>0.26</v>
      </c>
      <c r="I88" s="38">
        <v>2.5619999999999999E-5</v>
      </c>
      <c r="J88" s="37" t="s">
        <v>45</v>
      </c>
      <c r="K88" s="52">
        <v>1</v>
      </c>
      <c r="L88" s="40">
        <f t="shared" si="19"/>
        <v>200</v>
      </c>
      <c r="M88" s="40">
        <f>IF(OR(TbTradesBinance[[#This Row],[Tipo]]="BUY",TbTradesBinance[[#This Row],[Tipo]]="RECEIVE",TbTradesBinance[[#This Row],[Tipo]]="DROP"),L88*H88,-L88*H88)</f>
        <v>-52</v>
      </c>
      <c r="N8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Row],[Tipo]]="DROP"),N87+TbTradesBinance[[#This Row],[Qtt]],N87-TbTradesBinance[[#This Row],[Qtt]]),IF(TbTradesBinance[[#This Row],[Tipo]]="BUY",N87-TbTradesBinance[[#This Row],[Qtt]]*TbTradesBinance[[#This Row],[Preço]],N87+TbTradesBinance[[#This Row],[Qtt]]*TbTradesBinance[[#This Row],[Preço]])),N87)-IF(TbTradesBinance[[#This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Row],[Tipo]]="DROP"),N87+TbTradesBinance[[#This Row],[Qtt]],N87-TbTradesBinance[[#This Row],[Qtt]]),IF(TbTradesBinance[[#This Row],[Tipo]]="BUY",N87-TbTradesBinance[[#This Row],[Qtt]]*TbTradesBinance[[#This Row],[Preço]],N87+TbTradesBinance[[#This Row],[Qtt]]*TbTradesBinance[[#This Row],[Preço]])),N87)-IF(TbTradesBinance[[#This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Row],[Tipo]]="DROP"),N87+TbTradesBinance[[#This Row],[Qtt]],N87-TbTradesBinance[[#This Row],[Qtt]]),IF(TbTradesBinance[[#This Row],[Tipo]]="BUY",N87-TbTradesBinance[[#This Row],[Qtt]]*TbTradesBinance[[#This Row],[Preço]],N87+TbTradesBinance[[#This Row],[Qtt]]*TbTradesBinance[[#This Row],[Preço]])),N87)-IF(TbTradesBinance[[#This Row],[Moeda da Taxa]]=MID(N$1,9,5),TbTradesBinance[[#This Row],[Taxa]],0),8)))</f>
        <v>121137.24402208001</v>
      </c>
      <c r="O88" s="145" cm="1">
        <f t="array" ref="O88">IF(TbTradesBinance[[#This Row],[Tipo]]="EMPTY",0,O87+IF(TbTradesBinance[[#This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Row],[Par]]))),$1:$1,0)),-(N87-N88)/N87*O87),0),0)+IF(TbTradesBinance[[#This Row],[Tipo]]="SELL",IF(ISNUMBER(FIND(MID(O$1,10,5),TbTradesBinance[[#This Row],[Par]])),IF(FIND(MID(O$1,10,5),TbTradesBinance[[#This Row],[Par]])=1, -(N87-N88)/N87*O87,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Row],[Par]])),(-(N87-N88)/N87*O87)+IF(TbTradesBinance[[#This Row],[Resultado]]&gt;0,0,TbTradesBinance[[#This Row],[Taxa]]),0),0))</f>
        <v>121125.23001221767</v>
      </c>
      <c r="P88" s="145">
        <f t="shared" si="20"/>
        <v>0.99990082315344608</v>
      </c>
      <c r="Q8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Row],[Tipo]]="DROP"),Q87+TbTradesBinance[[#This Row],[Qtt]],Q87-TbTradesBinance[[#This Row],[Qtt]]),IF(TbTradesBinance[[#This Row],[Tipo]]="BUY",Q87-TbTradesBinance[[#This Row],[Qtt]]*TbTradesBinance[[#This Row],[Preço]],Q87+TbTradesBinance[[#This Row],[Qtt]]*TbTradesBinance[[#This Row],[Preço]])),Q87)-IF(TbTradesBinance[[#This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Row],[Tipo]]="DROP"),Q87+TbTradesBinance[[#This Row],[Qtt]],Q87-TbTradesBinance[[#This Row],[Qtt]]),IF(TbTradesBinance[[#This Row],[Tipo]]="BUY",Q87-TbTradesBinance[[#This Row],[Qtt]]*TbTradesBinance[[#This Row],[Preço]],Q87+TbTradesBinance[[#This Row],[Qtt]]*TbTradesBinance[[#This Row],[Preço]])),Q87)-IF(TbTradesBinance[[#This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Row],[Tipo]]="DROP"),Q87+TbTradesBinance[[#This Row],[Qtt]],Q87-TbTradesBinance[[#This Row],[Qtt]]),IF(TbTradesBinance[[#This Row],[Tipo]]="BUY",Q87-TbTradesBinance[[#This Row],[Qtt]]*TbTradesBinance[[#This Row],[Preço]],Q87+TbTradesBinance[[#This Row],[Qtt]]*TbTradesBinance[[#This Row],[Preço]])),Q87)-IF(TbTradesBinance[[#This Row],[Moeda da Taxa]]=MID(Q$1,9,5),TbTradesBinance[[#This Row],[Taxa]],0),8)))</f>
        <v>12.198720229999999</v>
      </c>
      <c r="R88" s="145" cm="1">
        <f t="array" ref="R88">IF(TbTradesBinance[[#This Row],[Tipo]]="EMPTY",0,R87+IF(TbTradesBinance[[#This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Row],[Par]]))),$1:$1,0)),-(Q87-Q88)/Q87*R87),0),0)+IF(TbTradesBinance[[#This Row],[Tipo]]="SELL",IF(ISNUMBER(FIND(MID(R$1,10,5),TbTradesBinance[[#This Row],[Par]])),IF(FIND(MID(R$1,10,5),TbTradesBinance[[#This Row],[Par]])=1, -(Q87-Q88)/Q87*R87,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Row],[Par]])),(-(Q87-Q88)/Q87*R87)+IF(TbTradesBinance[[#This Row],[Resultado]]&gt;0,0,TbTradesBinance[[#This Row],[Taxa]]),0),0))</f>
        <v>62.112822794485702</v>
      </c>
      <c r="S88" s="145">
        <f t="shared" si="21"/>
        <v>5.0917491034619546</v>
      </c>
      <c r="T8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Row],[Tipo]]="DROP"),T87+TbTradesBinance[[#This Row],[Qtt]],T87-TbTradesBinance[[#This Row],[Qtt]]),IF(TbTradesBinance[[#This Row],[Tipo]]="BUY",T87-TbTradesBinance[[#This Row],[Qtt]]*TbTradesBinance[[#This Row],[Preço]],T87+TbTradesBinance[[#This Row],[Qtt]]*TbTradesBinance[[#This Row],[Preço]])),T87)-IF(TbTradesBinance[[#This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Row],[Tipo]]="DROP"),T87+TbTradesBinance[[#This Row],[Qtt]],T87-TbTradesBinance[[#This Row],[Qtt]]),IF(TbTradesBinance[[#This Row],[Tipo]]="BUY",T87-TbTradesBinance[[#This Row],[Qtt]]*TbTradesBinance[[#This Row],[Preço]],T87+TbTradesBinance[[#This Row],[Qtt]]*TbTradesBinance[[#This Row],[Preço]])),T87)-IF(TbTradesBinance[[#This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Row],[Tipo]]="DROP"),T87+TbTradesBinance[[#This Row],[Qtt]],T87-TbTradesBinance[[#This Row],[Qtt]]),IF(TbTradesBinance[[#This Row],[Tipo]]="BUY",T87-TbTradesBinance[[#This Row],[Qtt]]*TbTradesBinance[[#This Row],[Preço]],T87+TbTradesBinance[[#This Row],[Qtt]]*TbTradesBinance[[#This Row],[Preço]])),T87)-IF(TbTradesBinance[[#This Row],[Moeda da Taxa]]=MID(T$1,9,5),TbTradesBinance[[#This Row],[Taxa]],0),8)))</f>
        <v>199735.32000169999</v>
      </c>
      <c r="U88" s="145" cm="1">
        <f t="array" ref="U88">IF(TbTradesBinance[[#This Row],[Tipo]]="EMPTY",0,U87+IF(TbTradesBinance[[#This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Row],[Par]]))),$1:$1,0)),-(T87-T88)/T87*U87),0),0)+IF(TbTradesBinance[[#This Row],[Tipo]]="SELL",IF(ISNUMBER(FIND(MID(U$1,10,5),TbTradesBinance[[#This Row],[Par]])),IF(FIND(MID(U$1,10,5),TbTradesBinance[[#This Row],[Par]])=1, -(T87-T88)/T87*U87,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Row],[Par]])),(-(T87-T88)/T87*U87)+IF(TbTradesBinance[[#This Row],[Resultado]]&gt;0,0,TbTradesBinance[[#This Row],[Taxa]]),0),0))</f>
        <v>1328239.8809817513</v>
      </c>
      <c r="V88" s="145">
        <f t="shared" si="22"/>
        <v>6.6500000148719129</v>
      </c>
      <c r="W8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Row],[Tipo]]="DROP"),W87+TbTradesBinance[[#This Row],[Qtt]],W87-TbTradesBinance[[#This Row],[Qtt]]),IF(TbTradesBinance[[#This Row],[Tipo]]="BUY",W87-TbTradesBinance[[#This Row],[Qtt]]*TbTradesBinance[[#This Row],[Preço]],W87+TbTradesBinance[[#This Row],[Qtt]]*TbTradesBinance[[#This Row],[Preço]])),W87)-IF(TbTradesBinance[[#This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Row],[Tipo]]="DROP"),W87+TbTradesBinance[[#This Row],[Qtt]],W87-TbTradesBinance[[#This Row],[Qtt]]),IF(TbTradesBinance[[#This Row],[Tipo]]="BUY",W87-TbTradesBinance[[#This Row],[Qtt]]*TbTradesBinance[[#This Row],[Preço]],W87+TbTradesBinance[[#This Row],[Qtt]]*TbTradesBinance[[#This Row],[Preço]])),W87)-IF(TbTradesBinance[[#This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Row],[Tipo]]="DROP"),W87+TbTradesBinance[[#This Row],[Qtt]],W87-TbTradesBinance[[#This Row],[Qtt]]),IF(TbTradesBinance[[#This Row],[Tipo]]="BUY",W87-TbTradesBinance[[#This Row],[Qtt]]*TbTradesBinance[[#This Row],[Preço]],W87+TbTradesBinance[[#This Row],[Qtt]]*TbTradesBinance[[#This Row],[Preço]])),W87)-IF(TbTradesBinance[[#This Row],[Moeda da Taxa]]=MID(W$1,9,5),TbTradesBinance[[#This Row],[Taxa]],0),8)))</f>
        <v>4.5399999999999997E-6</v>
      </c>
      <c r="X88" s="145" cm="1">
        <f t="array" ref="X88">IF(TbTradesBinance[[#This Row],[Tipo]]="EMPTY",0,X87+IF(TbTradesBinance[[#This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Row],[Par]]))),$1:$1,0)),-(W87-W88)/W87*X87),0),0)+IF(TbTradesBinance[[#This Row],[Tipo]]="SELL",IF(ISNUMBER(FIND(MID(X$1,10,5),TbTradesBinance[[#This Row],[Par]])),IF(FIND(MID(X$1,10,5),TbTradesBinance[[#This Row],[Par]])=1, -(W87-W88)/W87*X87,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Row],[Par]])),(-(W87-W88)/W87*X87)+IF(TbTradesBinance[[#This Row],[Resultado]]&gt;0,0,TbTradesBinance[[#This Row],[Taxa]]),0),0))</f>
        <v>1.5152928264556067</v>
      </c>
      <c r="Y88" s="145">
        <f t="shared" si="23"/>
        <v>333764.93974793103</v>
      </c>
      <c r="Z8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Row],[Tipo]]="DROP"),Z87+TbTradesBinance[[#This Row],[Qtt]],Z87-TbTradesBinance[[#This Row],[Qtt]]),IF(TbTradesBinance[[#This Row],[Tipo]]="BUY",Z87-TbTradesBinance[[#This Row],[Qtt]]*TbTradesBinance[[#This Row],[Preço]],Z87+TbTradesBinance[[#This Row],[Qtt]]*TbTradesBinance[[#This Row],[Preço]])),Z87)-IF(TbTradesBinance[[#This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Row],[Tipo]]="DROP"),Z87+TbTradesBinance[[#This Row],[Qtt]],Z87-TbTradesBinance[[#This Row],[Qtt]]),IF(TbTradesBinance[[#This Row],[Tipo]]="BUY",Z87-TbTradesBinance[[#This Row],[Qtt]]*TbTradesBinance[[#This Row],[Preço]],Z87+TbTradesBinance[[#This Row],[Qtt]]*TbTradesBinance[[#This Row],[Preço]])),Z87)-IF(TbTradesBinance[[#This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Row],[Tipo]]="DROP"),Z87+TbTradesBinance[[#This Row],[Qtt]],Z87-TbTradesBinance[[#This Row],[Qtt]]),IF(TbTradesBinance[[#This Row],[Tipo]]="BUY",Z87-TbTradesBinance[[#This Row],[Qtt]]*TbTradesBinance[[#This Row],[Preço]],Z87+TbTradesBinance[[#This Row],[Qtt]]*TbTradesBinance[[#This Row],[Preço]])),Z87)-IF(TbTradesBinance[[#This Row],[Moeda da Taxa]]=MID(Z$1,9,5),TbTradesBinance[[#This Row],[Taxa]],0),8)))</f>
        <v>0</v>
      </c>
      <c r="AA88" s="145" cm="1">
        <f t="array" ref="AA88">IF(TbTradesBinance[[#This Row],[Tipo]]="EMPTY",0,AA87+IF(TbTradesBinance[[#This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Row],[Par]]))),$1:$1,0)),-(Z87-Z88)/Z87*AA87),0),0)+IF(TbTradesBinance[[#This Row],[Tipo]]="SELL",IF(ISNUMBER(FIND(MID(AA$1,10,5),TbTradesBinance[[#This Row],[Par]])),IF(FIND(MID(AA$1,10,5),TbTradesBinance[[#This Row],[Par]])=1, -(Z87-Z88)/Z87*AA87,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Row],[Par]])),(-(Z87-Z88)/Z87*AA87)+IF(TbTradesBinance[[#This Row],[Resultado]]&gt;0,0,TbTradesBinance[[#This Row],[Taxa]]),0),0))</f>
        <v>0</v>
      </c>
      <c r="AB88" s="145">
        <f t="shared" si="24"/>
        <v>0</v>
      </c>
      <c r="AC8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Row],[Tipo]]="DROP"),AC87+TbTradesBinance[[#This Row],[Qtt]],AC87-TbTradesBinance[[#This Row],[Qtt]]),IF(TbTradesBinance[[#This Row],[Tipo]]="BUY",AC87-TbTradesBinance[[#This Row],[Qtt]]*TbTradesBinance[[#This Row],[Preço]],AC87+TbTradesBinance[[#This Row],[Qtt]]*TbTradesBinance[[#This Row],[Preço]])),AC87)-IF(TbTradesBinance[[#This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Row],[Tipo]]="DROP"),AC87+TbTradesBinance[[#This Row],[Qtt]],AC87-TbTradesBinance[[#This Row],[Qtt]]),IF(TbTradesBinance[[#This Row],[Tipo]]="BUY",AC87-TbTradesBinance[[#This Row],[Qtt]]*TbTradesBinance[[#This Row],[Preço]],AC87+TbTradesBinance[[#This Row],[Qtt]]*TbTradesBinance[[#This Row],[Preço]])),AC87)-IF(TbTradesBinance[[#This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Row],[Tipo]]="DROP"),AC87+TbTradesBinance[[#This Row],[Qtt]],AC87-TbTradesBinance[[#This Row],[Qtt]]),IF(TbTradesBinance[[#This Row],[Tipo]]="BUY",AC87-TbTradesBinance[[#This Row],[Qtt]]*TbTradesBinance[[#This Row],[Preço]],AC87+TbTradesBinance[[#This Row],[Qtt]]*TbTradesBinance[[#This Row],[Preço]])),AC87)-IF(TbTradesBinance[[#This Row],[Moeda da Taxa]]=MID(AC$1,9,5),TbTradesBinance[[#This Row],[Taxa]],0),8)))</f>
        <v>0</v>
      </c>
      <c r="AD88" s="145" cm="1">
        <f t="array" ref="AD88">IF(TbTradesBinance[[#This Row],[Tipo]]="EMPTY",0,AD87+IF(TbTradesBinance[[#This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Row],[Par]]))),$1:$1,0)),-(AC87-AC88)/AC87*AD87),0),0)+IF(TbTradesBinance[[#This Row],[Tipo]]="SELL",IF(ISNUMBER(FIND(MID(AD$1,10,5),TbTradesBinance[[#This Row],[Par]])),IF(FIND(MID(AD$1,10,5),TbTradesBinance[[#This Row],[Par]])=1, -(AC87-AC88)/AC87*AD87,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Row],[Par]])),(-(AC87-AC88)/AC87*AD87)+IF(TbTradesBinance[[#This Row],[Resultado]]&gt;0,0,TbTradesBinance[[#This Row],[Taxa]]),0),0))</f>
        <v>0</v>
      </c>
      <c r="AE88" s="145">
        <f t="shared" si="25"/>
        <v>0</v>
      </c>
      <c r="AF8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Row],[Tipo]]="DROP"),AF87+TbTradesBinance[[#This Row],[Qtt]],AF87-TbTradesBinance[[#This Row],[Qtt]]),IF(TbTradesBinance[[#This Row],[Tipo]]="BUY",AF87-TbTradesBinance[[#This Row],[Qtt]]*TbTradesBinance[[#This Row],[Preço]],AF87+TbTradesBinance[[#This Row],[Qtt]]*TbTradesBinance[[#This Row],[Preço]])),AF87)-IF(TbTradesBinance[[#This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Row],[Tipo]]="DROP"),AF87+TbTradesBinance[[#This Row],[Qtt]],AF87-TbTradesBinance[[#This Row],[Qtt]]),IF(TbTradesBinance[[#This Row],[Tipo]]="BUY",AF87-TbTradesBinance[[#This Row],[Qtt]]*TbTradesBinance[[#This Row],[Preço]],AF87+TbTradesBinance[[#This Row],[Qtt]]*TbTradesBinance[[#This Row],[Preço]])),AF87)-IF(TbTradesBinance[[#This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Row],[Tipo]]="DROP"),AF87+TbTradesBinance[[#This Row],[Qtt]],AF87-TbTradesBinance[[#This Row],[Qtt]]),IF(TbTradesBinance[[#This Row],[Tipo]]="BUY",AF87-TbTradesBinance[[#This Row],[Qtt]]*TbTradesBinance[[#This Row],[Preço]],AF87+TbTradesBinance[[#This Row],[Qtt]]*TbTradesBinance[[#This Row],[Preço]])),AF87)-IF(TbTradesBinance[[#This Row],[Moeda da Taxa]]=MID(AF$1,9,5),TbTradesBinance[[#This Row],[Taxa]],0),8)))</f>
        <v>19.98</v>
      </c>
      <c r="AG88" s="145" cm="1">
        <f t="array" ref="AG88">IF(TbTradesBinance[[#This Row],[Tipo]]="EMPTY",0,AG87+IF(TbTradesBinance[[#This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Row],[Par]]))),$1:$1,0)),-(AF87-AF88)/AF87*AG87),0),0)+IF(TbTradesBinance[[#This Row],[Tipo]]="SELL",IF(ISNUMBER(FIND(MID(AG$1,10,5),TbTradesBinance[[#This Row],[Par]])),IF(FIND(MID(AG$1,10,5),TbTradesBinance[[#This Row],[Par]])=1, -(AF87-AF88)/AF87*AG87,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Row],[Par]])),(-(AF87-AF88)/AF87*AG87)+IF(TbTradesBinance[[#This Row],[Resultado]]&gt;0,0,TbTradesBinance[[#This Row],[Taxa]]),0),0))</f>
        <v>124.04182758073662</v>
      </c>
      <c r="AH88" s="145">
        <f t="shared" si="26"/>
        <v>6.2082996787155462</v>
      </c>
      <c r="AI8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Row],[Tipo]]="DROP"),AI87+TbTradesBinance[[#This Row],[Qtt]],AI87-TbTradesBinance[[#This Row],[Qtt]]),IF(TbTradesBinance[[#This Row],[Tipo]]="BUY",AI87-TbTradesBinance[[#This Row],[Qtt]]*TbTradesBinance[[#This Row],[Preço]],AI87+TbTradesBinance[[#This Row],[Qtt]]*TbTradesBinance[[#This Row],[Preço]])),AI87)-IF(TbTradesBinance[[#This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Row],[Tipo]]="DROP"),AI87+TbTradesBinance[[#This Row],[Qtt]],AI87-TbTradesBinance[[#This Row],[Qtt]]),IF(TbTradesBinance[[#This Row],[Tipo]]="BUY",AI87-TbTradesBinance[[#This Row],[Qtt]]*TbTradesBinance[[#This Row],[Preço]],AI87+TbTradesBinance[[#This Row],[Qtt]]*TbTradesBinance[[#This Row],[Preço]])),AI87)-IF(TbTradesBinance[[#This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Row],[Tipo]]="DROP"),AI87+TbTradesBinance[[#This Row],[Qtt]],AI87-TbTradesBinance[[#This Row],[Qtt]]),IF(TbTradesBinance[[#This Row],[Tipo]]="BUY",AI87-TbTradesBinance[[#This Row],[Qtt]]*TbTradesBinance[[#This Row],[Preço]],AI87+TbTradesBinance[[#This Row],[Qtt]]*TbTradesBinance[[#This Row],[Preço]])),AI87)-IF(TbTradesBinance[[#This Row],[Moeda da Taxa]]=MID(AI$1,9,5),TbTradesBinance[[#This Row],[Taxa]],0),8)))</f>
        <v>0</v>
      </c>
      <c r="AJ88" s="145" cm="1">
        <f t="array" ref="AJ88">IF(TbTradesBinance[[#This Row],[Tipo]]="EMPTY",0,AJ87+IF(TbTradesBinance[[#This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Row],[Par]]))),$1:$1,0)),-(AI87-AI88)/AI87*AJ87),0),0)+IF(TbTradesBinance[[#This Row],[Tipo]]="SELL",IF(ISNUMBER(FIND(MID(AJ$1,10,5),TbTradesBinance[[#This Row],[Par]])),IF(FIND(MID(AJ$1,10,5),TbTradesBinance[[#This Row],[Par]])=1, -(AI87-AI88)/AI87*AJ87,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Row],[Par]])),(-(AI87-AI88)/AI87*AJ87)+IF(TbTradesBinance[[#This Row],[Resultado]]&gt;0,0,TbTradesBinance[[#This Row],[Taxa]]),0),0))</f>
        <v>0</v>
      </c>
      <c r="AK88" s="145">
        <f t="shared" si="27"/>
        <v>0</v>
      </c>
      <c r="AL8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Row],[Tipo]]="DROP"),AL87+TbTradesBinance[[#This Row],[Qtt]],AL87-TbTradesBinance[[#This Row],[Qtt]]),IF(TbTradesBinance[[#This Row],[Tipo]]="BUY",AL87-TbTradesBinance[[#This Row],[Qtt]]*TbTradesBinance[[#This Row],[Preço]],AL87+TbTradesBinance[[#This Row],[Qtt]]*TbTradesBinance[[#This Row],[Preço]])),AL87)-IF(TbTradesBinance[[#This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Row],[Tipo]]="DROP"),AL87+TbTradesBinance[[#This Row],[Qtt]],AL87-TbTradesBinance[[#This Row],[Qtt]]),IF(TbTradesBinance[[#This Row],[Tipo]]="BUY",AL87-TbTradesBinance[[#This Row],[Qtt]]*TbTradesBinance[[#This Row],[Preço]],AL87+TbTradesBinance[[#This Row],[Qtt]]*TbTradesBinance[[#This Row],[Preço]])),AL87)-IF(TbTradesBinance[[#This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Row],[Tipo]]="DROP"),AL87+TbTradesBinance[[#This Row],[Qtt]],AL87-TbTradesBinance[[#This Row],[Qtt]]),IF(TbTradesBinance[[#This Row],[Tipo]]="BUY",AL87-TbTradesBinance[[#This Row],[Qtt]]*TbTradesBinance[[#This Row],[Preço]],AL87+TbTradesBinance[[#This Row],[Qtt]]*TbTradesBinance[[#This Row],[Preço]])),AL87)-IF(TbTradesBinance[[#This Row],[Moeda da Taxa]]=MID(AL$1,9,5),TbTradesBinance[[#This Row],[Taxa]],0),8)))</f>
        <v>1.75824</v>
      </c>
      <c r="AM88" s="145" cm="1">
        <f t="array" ref="AM88">IF(TbTradesBinance[[#This Row],[Tipo]]="EMPTY",0,AM87+IF(TbTradesBinance[[#This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Row],[Par]]))),$1:$1,0)),-(AL87-AL88)/AL87*AM87),0),0)+IF(TbTradesBinance[[#This Row],[Tipo]]="SELL",IF(ISNUMBER(FIND(MID(AM$1,10,5),TbTradesBinance[[#This Row],[Par]])),IF(FIND(MID(AM$1,10,5),TbTradesBinance[[#This Row],[Par]])=1, -(AL87-AL88)/AL87*AM87,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Row],[Par]])),(-(AL87-AL88)/AL87*AM87)+IF(TbTradesBinance[[#This Row],[Resultado]]&gt;0,0,TbTradesBinance[[#This Row],[Taxa]]),0),0))</f>
        <v>144.56635471393039</v>
      </c>
      <c r="AN88" s="145">
        <f t="shared" si="28"/>
        <v>82.222196465744375</v>
      </c>
      <c r="AO8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Row],[Tipo]]="DROP"),AO87+TbTradesBinance[[#This Row],[Qtt]],AO87-TbTradesBinance[[#This Row],[Qtt]]),IF(TbTradesBinance[[#This Row],[Tipo]]="BUY",AO87-TbTradesBinance[[#This Row],[Qtt]]*TbTradesBinance[[#This Row],[Preço]],AO87+TbTradesBinance[[#This Row],[Qtt]]*TbTradesBinance[[#This Row],[Preço]])),AO87)-IF(TbTradesBinance[[#This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Row],[Tipo]]="DROP"),AO87+TbTradesBinance[[#This Row],[Qtt]],AO87-TbTradesBinance[[#This Row],[Qtt]]),IF(TbTradesBinance[[#This Row],[Tipo]]="BUY",AO87-TbTradesBinance[[#This Row],[Qtt]]*TbTradesBinance[[#This Row],[Preço]],AO87+TbTradesBinance[[#This Row],[Qtt]]*TbTradesBinance[[#This Row],[Preço]])),AO87)-IF(TbTradesBinance[[#This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Row],[Tipo]]="DROP"),AO87+TbTradesBinance[[#This Row],[Qtt]],AO87-TbTradesBinance[[#This Row],[Qtt]]),IF(TbTradesBinance[[#This Row],[Tipo]]="BUY",AO87-TbTradesBinance[[#This Row],[Qtt]]*TbTradesBinance[[#This Row],[Preço]],AO87+TbTradesBinance[[#This Row],[Qtt]]*TbTradesBinance[[#This Row],[Preço]])),AO87)-IF(TbTradesBinance[[#This Row],[Moeda da Taxa]]=MID(AO$1,9,5),TbTradesBinance[[#This Row],[Taxa]],0),8)))</f>
        <v>3.9907299999999996E-3</v>
      </c>
      <c r="AP88" s="145" cm="1">
        <f t="array" ref="AP88">IF(TbTradesBinance[[#This Row],[Tipo]]="EMPTY",0,AP87+IF(TbTradesBinance[[#This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Row],[Par]]))),$1:$1,0)),-(AO87-AO88)/AO87*AP87),0),0)+IF(TbTradesBinance[[#This Row],[Tipo]]="SELL",IF(ISNUMBER(FIND(MID(AP$1,10,5),TbTradesBinance[[#This Row],[Par]])),IF(FIND(MID(AP$1,10,5),TbTradesBinance[[#This Row],[Par]])=1, -(AO87-AO88)/AO87*AP87,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Row],[Par]])),(-(AO87-AO88)/AO87*AP87)+IF(TbTradesBinance[[#This Row],[Resultado]]&gt;0,0,TbTradesBinance[[#This Row],[Taxa]]),0),0))</f>
        <v>7.3360959318006032</v>
      </c>
      <c r="AQ88" s="145">
        <f t="shared" si="29"/>
        <v>1838.2842065989439</v>
      </c>
      <c r="AR8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Row],[Tipo]]="DROP"),AR87+TbTradesBinance[[#This Row],[Qtt]],AR87-TbTradesBinance[[#This Row],[Qtt]]),IF(TbTradesBinance[[#This Row],[Tipo]]="BUY",AR87-TbTradesBinance[[#This Row],[Qtt]]*TbTradesBinance[[#This Row],[Preço]],AR87+TbTradesBinance[[#This Row],[Qtt]]*TbTradesBinance[[#This Row],[Preço]])),AR87)-IF(TbTradesBinance[[#This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Row],[Tipo]]="DROP"),AR87+TbTradesBinance[[#This Row],[Qtt]],AR87-TbTradesBinance[[#This Row],[Qtt]]),IF(TbTradesBinance[[#This Row],[Tipo]]="BUY",AR87-TbTradesBinance[[#This Row],[Qtt]]*TbTradesBinance[[#This Row],[Preço]],AR87+TbTradesBinance[[#This Row],[Qtt]]*TbTradesBinance[[#This Row],[Preço]])),AR87)-IF(TbTradesBinance[[#This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Row],[Tipo]]="DROP"),AR87+TbTradesBinance[[#This Row],[Qtt]],AR87-TbTradesBinance[[#This Row],[Qtt]]),IF(TbTradesBinance[[#This Row],[Tipo]]="BUY",AR87-TbTradesBinance[[#This Row],[Qtt]]*TbTradesBinance[[#This Row],[Preço]],AR87+TbTradesBinance[[#This Row],[Qtt]]*TbTradesBinance[[#This Row],[Preço]])),AR87)-IF(TbTradesBinance[[#This Row],[Moeda da Taxa]]=MID(AR$1,9,5),TbTradesBinance[[#This Row],[Taxa]],0),8)))</f>
        <v>0</v>
      </c>
      <c r="AS88" s="145" cm="1">
        <f t="array" ref="AS88">IF(TbTradesBinance[[#This Row],[Tipo]]="EMPTY",0,AS87+IF(TbTradesBinance[[#This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Row],[Par]]))),$1:$1,0)),-(AR87-AR88)/AR87*AS87),0),0)+IF(TbTradesBinance[[#This Row],[Tipo]]="SELL",IF(ISNUMBER(FIND(MID(AS$1,10,5),TbTradesBinance[[#This Row],[Par]])),IF(FIND(MID(AS$1,10,5),TbTradesBinance[[#This Row],[Par]])=1, -(AR87-AR88)/AR87*AS87,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Row],[Par]])),(-(AR87-AR88)/AR87*AS87)+IF(TbTradesBinance[[#This Row],[Resultado]]&gt;0,0,TbTradesBinance[[#This Row],[Taxa]]),0),0))</f>
        <v>0</v>
      </c>
      <c r="AT88" s="145">
        <f t="shared" si="30"/>
        <v>0</v>
      </c>
      <c r="AU8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Row],[Tipo]]="DROP"),AU87+TbTradesBinance[[#This Row],[Qtt]],AU87-TbTradesBinance[[#This Row],[Qtt]]),IF(TbTradesBinance[[#This Row],[Tipo]]="BUY",AU87-TbTradesBinance[[#This Row],[Qtt]]*TbTradesBinance[[#This Row],[Preço]],AU87+TbTradesBinance[[#This Row],[Qtt]]*TbTradesBinance[[#This Row],[Preço]])),AU87)-IF(TbTradesBinance[[#This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Row],[Tipo]]="DROP"),AU87+TbTradesBinance[[#This Row],[Qtt]],AU87-TbTradesBinance[[#This Row],[Qtt]]),IF(TbTradesBinance[[#This Row],[Tipo]]="BUY",AU87-TbTradesBinance[[#This Row],[Qtt]]*TbTradesBinance[[#This Row],[Preço]],AU87+TbTradesBinance[[#This Row],[Qtt]]*TbTradesBinance[[#This Row],[Preço]])),AU87)-IF(TbTradesBinance[[#This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Row],[Tipo]]="DROP"),AU87+TbTradesBinance[[#This Row],[Qtt]],AU87-TbTradesBinance[[#This Row],[Qtt]]),IF(TbTradesBinance[[#This Row],[Tipo]]="BUY",AU87-TbTradesBinance[[#This Row],[Qtt]]*TbTradesBinance[[#This Row],[Preço]],AU87+TbTradesBinance[[#This Row],[Qtt]]*TbTradesBinance[[#This Row],[Preço]])),AU87)-IF(TbTradesBinance[[#This Row],[Moeda da Taxa]]=MID(AU$1,9,5),TbTradesBinance[[#This Row],[Taxa]],0),8)))</f>
        <v>0</v>
      </c>
      <c r="AV88" s="145" cm="1">
        <f t="array" ref="AV88">IF(TbTradesBinance[[#This Row],[Tipo]]="EMPTY",0,AV87+IF(TbTradesBinance[[#This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Row],[Par]]))),$1:$1,0)),-(AU87-AU88)/AU87*AV87),0),0)+IF(TbTradesBinance[[#This Row],[Tipo]]="SELL",IF(ISNUMBER(FIND(MID(AV$1,10,5),TbTradesBinance[[#This Row],[Par]])),IF(FIND(MID(AV$1,10,5),TbTradesBinance[[#This Row],[Par]])=1, -(AU87-AU88)/AU87*AV87,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Row],[Par]])),(-(AU87-AU88)/AU87*AV87)+IF(TbTradesBinance[[#This Row],[Resultado]]&gt;0,0,TbTradesBinance[[#This Row],[Taxa]]),0),0))</f>
        <v>0</v>
      </c>
      <c r="AW88" s="145">
        <f t="shared" si="31"/>
        <v>0</v>
      </c>
      <c r="AX8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Row],[Tipo]]="DROP"),AX87+TbTradesBinance[[#This Row],[Qtt]],AX87-TbTradesBinance[[#This Row],[Qtt]]),IF(TbTradesBinance[[#This Row],[Tipo]]="BUY",AX87-TbTradesBinance[[#This Row],[Qtt]]*TbTradesBinance[[#This Row],[Preço]],AX87+TbTradesBinance[[#This Row],[Qtt]]*TbTradesBinance[[#This Row],[Preço]])),AX87)-IF(TbTradesBinance[[#This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Row],[Tipo]]="DROP"),AX87+TbTradesBinance[[#This Row],[Qtt]],AX87-TbTradesBinance[[#This Row],[Qtt]]),IF(TbTradesBinance[[#This Row],[Tipo]]="BUY",AX87-TbTradesBinance[[#This Row],[Qtt]]*TbTradesBinance[[#This Row],[Preço]],AX87+TbTradesBinance[[#This Row],[Qtt]]*TbTradesBinance[[#This Row],[Preço]])),AX87)-IF(TbTradesBinance[[#This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Row],[Tipo]]="DROP"),AX87+TbTradesBinance[[#This Row],[Qtt]],AX87-TbTradesBinance[[#This Row],[Qtt]]),IF(TbTradesBinance[[#This Row],[Tipo]]="BUY",AX87-TbTradesBinance[[#This Row],[Qtt]]*TbTradesBinance[[#This Row],[Preço]],AX87+TbTradesBinance[[#This Row],[Qtt]]*TbTradesBinance[[#This Row],[Preço]])),AX87)-IF(TbTradesBinance[[#This Row],[Moeda da Taxa]]=MID(AX$1,9,5),TbTradesBinance[[#This Row],[Taxa]],0),8)))</f>
        <v>0.22636999999999999</v>
      </c>
      <c r="AY88" s="145" cm="1">
        <f t="array" ref="AY88">IF(TbTradesBinance[[#This Row],[Tipo]]="EMPTY",0,AY87+IF(TbTradesBinance[[#This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Row],[Par]]))),$1:$1,0)),-(AX87-AX88)/AX87*AY87),0),0)+IF(TbTradesBinance[[#This Row],[Tipo]]="SELL",IF(ISNUMBER(FIND(MID(AY$1,10,5),TbTradesBinance[[#This Row],[Par]])),IF(FIND(MID(AY$1,10,5),TbTradesBinance[[#This Row],[Par]])=1, -(AX87-AX88)/AX87*AY87,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Row],[Par]])),(-(AX87-AX88)/AX87*AY87)+IF(TbTradesBinance[[#This Row],[Resultado]]&gt;0,0,TbTradesBinance[[#This Row],[Taxa]]),0),0))</f>
        <v>40.781337593356859</v>
      </c>
      <c r="AZ88" s="145">
        <f t="shared" si="32"/>
        <v>180.15345493376711</v>
      </c>
      <c r="BA8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Row],[Tipo]]="DROP"),BA87+TbTradesBinance[[#This Row],[Qtt]],BA87-TbTradesBinance[[#This Row],[Qtt]]),IF(TbTradesBinance[[#This Row],[Tipo]]="BUY",BA87-TbTradesBinance[[#This Row],[Qtt]]*TbTradesBinance[[#This Row],[Preço]],BA87+TbTradesBinance[[#This Row],[Qtt]]*TbTradesBinance[[#This Row],[Preço]])),BA87)-IF(TbTradesBinance[[#This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Row],[Tipo]]="DROP"),BA87+TbTradesBinance[[#This Row],[Qtt]],BA87-TbTradesBinance[[#This Row],[Qtt]]),IF(TbTradesBinance[[#This Row],[Tipo]]="BUY",BA87-TbTradesBinance[[#This Row],[Qtt]]*TbTradesBinance[[#This Row],[Preço]],BA87+TbTradesBinance[[#This Row],[Qtt]]*TbTradesBinance[[#This Row],[Preço]])),BA87)-IF(TbTradesBinance[[#This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Row],[Tipo]]="DROP"),BA87+TbTradesBinance[[#This Row],[Qtt]],BA87-TbTradesBinance[[#This Row],[Qtt]]),IF(TbTradesBinance[[#This Row],[Tipo]]="BUY",BA87-TbTradesBinance[[#This Row],[Qtt]]*TbTradesBinance[[#This Row],[Preço]],BA87+TbTradesBinance[[#This Row],[Qtt]]*TbTradesBinance[[#This Row],[Preço]])),BA87)-IF(TbTradesBinance[[#This Row],[Moeda da Taxa]]=MID(BA$1,9,5),TbTradesBinance[[#This Row],[Taxa]],0),8)))</f>
        <v>0</v>
      </c>
      <c r="BB88" s="145" cm="1">
        <f t="array" ref="BB88">IF(TbTradesBinance[[#This Row],[Tipo]]="EMPTY",0,BB87+IF(TbTradesBinance[[#This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Row],[Par]]))),$1:$1,0)),-(BA87-BA88)/BA87*BB87),0),0)+IF(TbTradesBinance[[#This Row],[Tipo]]="SELL",IF(ISNUMBER(FIND(MID(BB$1,10,5),TbTradesBinance[[#This Row],[Par]])),IF(FIND(MID(BB$1,10,5),TbTradesBinance[[#This Row],[Par]])=1, -(BA87-BA88)/BA87*BB87,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Row],[Par]])),(-(BA87-BA88)/BA87*BB87)+IF(TbTradesBinance[[#This Row],[Resultado]]&gt;0,0,TbTradesBinance[[#This Row],[Taxa]]),0),0))</f>
        <v>0</v>
      </c>
      <c r="BC88" s="145">
        <f t="shared" si="33"/>
        <v>0</v>
      </c>
      <c r="BD8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Row],[Tipo]]="DROP"),BD87+TbTradesBinance[[#This Row],[Qtt]],BD87-TbTradesBinance[[#This Row],[Qtt]]),IF(TbTradesBinance[[#This Row],[Tipo]]="BUY",BD87-TbTradesBinance[[#This Row],[Qtt]]*TbTradesBinance[[#This Row],[Preço]],BD87+TbTradesBinance[[#This Row],[Qtt]]*TbTradesBinance[[#This Row],[Preço]])),BD87)-IF(TbTradesBinance[[#This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Row],[Tipo]]="DROP"),BD87+TbTradesBinance[[#This Row],[Qtt]],BD87-TbTradesBinance[[#This Row],[Qtt]]),IF(TbTradesBinance[[#This Row],[Tipo]]="BUY",BD87-TbTradesBinance[[#This Row],[Qtt]]*TbTradesBinance[[#This Row],[Preço]],BD87+TbTradesBinance[[#This Row],[Qtt]]*TbTradesBinance[[#This Row],[Preço]])),BD87)-IF(TbTradesBinance[[#This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Row],[Tipo]]="DROP"),BD87+TbTradesBinance[[#This Row],[Qtt]],BD87-TbTradesBinance[[#This Row],[Qtt]]),IF(TbTradesBinance[[#This Row],[Tipo]]="BUY",BD87-TbTradesBinance[[#This Row],[Qtt]]*TbTradesBinance[[#This Row],[Preço]],BD87+TbTradesBinance[[#This Row],[Qtt]]*TbTradesBinance[[#This Row],[Preço]])),BD87)-IF(TbTradesBinance[[#This Row],[Moeda da Taxa]]=MID(BD$1,9,5),TbTradesBinance[[#This Row],[Taxa]],0),8)))</f>
        <v>9.6200000000000001E-3</v>
      </c>
      <c r="BE88" s="145" cm="1">
        <f t="array" ref="BE88">IF(TbTradesBinance[[#This Row],[Tipo]]="EMPTY",0,BE87+IF(TbTradesBinance[[#This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Row],[Par]]))),$1:$1,0)),-(BD87-BD88)/BD87*BE87),0),0)+IF(TbTradesBinance[[#This Row],[Tipo]]="SELL",IF(ISNUMBER(FIND(MID(BE$1,10,5),TbTradesBinance[[#This Row],[Par]])),IF(FIND(MID(BE$1,10,5),TbTradesBinance[[#This Row],[Par]])=1, -(BD87-BD88)/BD87*BE87,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Row],[Par]])),(-(BD87-BD88)/BD87*BE87)+IF(TbTradesBinance[[#This Row],[Resultado]]&gt;0,0,TbTradesBinance[[#This Row],[Taxa]]),0),0))</f>
        <v>1.612894465925919</v>
      </c>
      <c r="BF88" s="145">
        <f t="shared" si="34"/>
        <v>167.66054739354666</v>
      </c>
      <c r="BG8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Row],[Tipo]]="DROP"),BG87+TbTradesBinance[[#This Row],[Qtt]],BG87-TbTradesBinance[[#This Row],[Qtt]]),IF(TbTradesBinance[[#This Row],[Tipo]]="BUY",BG87-TbTradesBinance[[#This Row],[Qtt]]*TbTradesBinance[[#This Row],[Preço]],BG87+TbTradesBinance[[#This Row],[Qtt]]*TbTradesBinance[[#This Row],[Preço]])),BG87)-IF(TbTradesBinance[[#This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Row],[Tipo]]="DROP"),BG87+TbTradesBinance[[#This Row],[Qtt]],BG87-TbTradesBinance[[#This Row],[Qtt]]),IF(TbTradesBinance[[#This Row],[Tipo]]="BUY",BG87-TbTradesBinance[[#This Row],[Qtt]]*TbTradesBinance[[#This Row],[Preço]],BG87+TbTradesBinance[[#This Row],[Qtt]]*TbTradesBinance[[#This Row],[Preço]])),BG87)-IF(TbTradesBinance[[#This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Row],[Tipo]]="DROP"),BG87+TbTradesBinance[[#This Row],[Qtt]],BG87-TbTradesBinance[[#This Row],[Qtt]]),IF(TbTradesBinance[[#This Row],[Tipo]]="BUY",BG87-TbTradesBinance[[#This Row],[Qtt]]*TbTradesBinance[[#This Row],[Preço]],BG87+TbTradesBinance[[#This Row],[Qtt]]*TbTradesBinance[[#This Row],[Preço]])),BG87)-IF(TbTradesBinance[[#This Row],[Moeda da Taxa]]=MID(BG$1,9,5),TbTradesBinance[[#This Row],[Taxa]],0),8)))</f>
        <v>0</v>
      </c>
      <c r="BH88" s="145" cm="1">
        <f t="array" ref="BH88">IF(TbTradesBinance[[#This Row],[Tipo]]="EMPTY",0,BH87+IF(TbTradesBinance[[#This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Row],[Par]]))),$1:$1,0)),-(BG87-BG88)/BG87*BH87),0),0)+IF(TbTradesBinance[[#This Row],[Tipo]]="SELL",IF(ISNUMBER(FIND(MID(BH$1,10,5),TbTradesBinance[[#This Row],[Par]])),IF(FIND(MID(BH$1,10,5),TbTradesBinance[[#This Row],[Par]])=1, -(BG87-BG88)/BG87*BH87,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Row],[Par]])),(-(BG87-BG88)/BG87*BH87)+IF(TbTradesBinance[[#This Row],[Resultado]]&gt;0,0,TbTradesBinance[[#This Row],[Taxa]]),0),0))</f>
        <v>0</v>
      </c>
      <c r="BI88" s="145">
        <f t="shared" si="35"/>
        <v>0</v>
      </c>
      <c r="BJ8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Row],[Tipo]]="DROP"),BJ87+TbTradesBinance[[#This Row],[Qtt]],BJ87-TbTradesBinance[[#This Row],[Qtt]]),IF(TbTradesBinance[[#This Row],[Tipo]]="BUY",BJ87-TbTradesBinance[[#This Row],[Qtt]]*TbTradesBinance[[#This Row],[Preço]],BJ87+TbTradesBinance[[#This Row],[Qtt]]*TbTradesBinance[[#This Row],[Preço]])),BJ87)-IF(TbTradesBinance[[#This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Row],[Tipo]]="DROP"),BJ87+TbTradesBinance[[#This Row],[Qtt]],BJ87-TbTradesBinance[[#This Row],[Qtt]]),IF(TbTradesBinance[[#This Row],[Tipo]]="BUY",BJ87-TbTradesBinance[[#This Row],[Qtt]]*TbTradesBinance[[#This Row],[Preço]],BJ87+TbTradesBinance[[#This Row],[Qtt]]*TbTradesBinance[[#This Row],[Preço]])),BJ87)-IF(TbTradesBinance[[#This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Row],[Tipo]]="DROP"),BJ87+TbTradesBinance[[#This Row],[Qtt]],BJ87-TbTradesBinance[[#This Row],[Qtt]]),IF(TbTradesBinance[[#This Row],[Tipo]]="BUY",BJ87-TbTradesBinance[[#This Row],[Qtt]]*TbTradesBinance[[#This Row],[Preço]],BJ87+TbTradesBinance[[#This Row],[Qtt]]*TbTradesBinance[[#This Row],[Preço]])),BJ87)-IF(TbTradesBinance[[#This Row],[Moeda da Taxa]]=MID(BJ$1,9,5),TbTradesBinance[[#This Row],[Taxa]],0),8)))</f>
        <v>0</v>
      </c>
      <c r="BK88" s="145" cm="1">
        <f t="array" ref="BK88">IF(TbTradesBinance[[#This Row],[Tipo]]="EMPTY",0,BK87+IF(TbTradesBinance[[#This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Row],[Par]]))),$1:$1,0)),-(BJ87-BJ88)/BJ87*BK87),0),0)+IF(TbTradesBinance[[#This Row],[Tipo]]="SELL",IF(ISNUMBER(FIND(MID(BK$1,10,5),TbTradesBinance[[#This Row],[Par]])),IF(FIND(MID(BK$1,10,5),TbTradesBinance[[#This Row],[Par]])=1, -(BJ87-BJ88)/BJ87*BK87,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Row],[Par]])),(-(BJ87-BJ88)/BJ87*BK87)+IF(TbTradesBinance[[#This Row],[Resultado]]&gt;0,0,TbTradesBinance[[#This Row],[Taxa]]),0),0))</f>
        <v>0</v>
      </c>
      <c r="BL88" s="145">
        <f t="shared" si="36"/>
        <v>0</v>
      </c>
      <c r="BM8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Row],[Tipo]]="DROP"),BM87+TbTradesBinance[[#This Row],[Qtt]],BM87-TbTradesBinance[[#This Row],[Qtt]]),IF(TbTradesBinance[[#This Row],[Tipo]]="BUY",BM87-TbTradesBinance[[#This Row],[Qtt]]*TbTradesBinance[[#This Row],[Preço]],BM87+TbTradesBinance[[#This Row],[Qtt]]*TbTradesBinance[[#This Row],[Preço]])),BM87)-IF(TbTradesBinance[[#This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Row],[Tipo]]="DROP"),BM87+TbTradesBinance[[#This Row],[Qtt]],BM87-TbTradesBinance[[#This Row],[Qtt]]),IF(TbTradesBinance[[#This Row],[Tipo]]="BUY",BM87-TbTradesBinance[[#This Row],[Qtt]]*TbTradesBinance[[#This Row],[Preço]],BM87+TbTradesBinance[[#This Row],[Qtt]]*TbTradesBinance[[#This Row],[Preço]])),BM87)-IF(TbTradesBinance[[#This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Row],[Tipo]]="DROP"),BM87+TbTradesBinance[[#This Row],[Qtt]],BM87-TbTradesBinance[[#This Row],[Qtt]]),IF(TbTradesBinance[[#This Row],[Tipo]]="BUY",BM87-TbTradesBinance[[#This Row],[Qtt]]*TbTradesBinance[[#This Row],[Preço]],BM87+TbTradesBinance[[#This Row],[Qtt]]*TbTradesBinance[[#This Row],[Preço]])),BM87)-IF(TbTradesBinance[[#This Row],[Moeda da Taxa]]=MID(BM$1,9,5),TbTradesBinance[[#This Row],[Taxa]],0),8)))</f>
        <v>0</v>
      </c>
      <c r="BN88" s="145" cm="1">
        <f t="array" ref="BN88">IF(TbTradesBinance[[#This Row],[Tipo]]="EMPTY",0,BN87+IF(TbTradesBinance[[#This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Row],[Par]]))),$1:$1,0)),-(BM87-BM88)/BM87*BN87),0),0)+IF(TbTradesBinance[[#This Row],[Tipo]]="SELL",IF(ISNUMBER(FIND(MID(BN$1,10,5),TbTradesBinance[[#This Row],[Par]])),IF(FIND(MID(BN$1,10,5),TbTradesBinance[[#This Row],[Par]])=1, -(BM87-BM88)/BM87*BN87,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Row],[Par]])),(-(BM87-BM88)/BM87*BN87)+IF(TbTradesBinance[[#This Row],[Resultado]]&gt;0,0,TbTradesBinance[[#This Row],[Taxa]]),0),0))</f>
        <v>0</v>
      </c>
      <c r="BO88" s="145">
        <f t="shared" si="37"/>
        <v>0</v>
      </c>
    </row>
    <row r="89" spans="2:67" x14ac:dyDescent="0.3">
      <c r="B89" s="51"/>
      <c r="C89" s="40">
        <f>TRUNC(IF(AND(TbTradesBinance[[#This Row],[Tipo]]="SEND",TbTradesBinance[[#This Row],[Par]]="BRL"),TbTradesBinance[[#This Row],[Qtt]]*(1-P87)-IF(TbTradesBinance[[#This Row],[Moeda da Taxa]]="BRL",TbTradesBinance[[#This Row],[Taxa]],0),0)+IF(AND(TbTradesBinance[[#This Row],[Tipo]]="BURN",TbTradesBinance[[#This Row],[Par]]="BRL"),-TbTradesBinance[[#This Row],[Qtt]]*P87,0),2)</f>
        <v>0</v>
      </c>
      <c r="D89" s="53">
        <v>44268.410312499997</v>
      </c>
      <c r="E89" s="37" t="s">
        <v>256</v>
      </c>
      <c r="F89" s="47" t="s">
        <v>139</v>
      </c>
      <c r="G89" s="38">
        <v>394.1</v>
      </c>
      <c r="H89" s="38">
        <v>0.03</v>
      </c>
      <c r="I89" s="38">
        <v>3.0000000000000001E-5</v>
      </c>
      <c r="J89" s="37" t="s">
        <v>58</v>
      </c>
      <c r="K89" s="52">
        <v>5.6</v>
      </c>
      <c r="L89" s="40">
        <f t="shared" si="19"/>
        <v>2206.96</v>
      </c>
      <c r="M89" s="40">
        <f>IF(OR(TbTradesBinance[[#This Row],[Tipo]]="BUY",TbTradesBinance[[#This Row],[Tipo]]="RECEIVE",TbTradesBinance[[#This Row],[Tipo]]="DROP"),L89*H89,-L89*H89)</f>
        <v>66.208799999999997</v>
      </c>
      <c r="N8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Row],[Tipo]]="DROP"),N88+TbTradesBinance[[#This Row],[Qtt]],N88-TbTradesBinance[[#This Row],[Qtt]]),IF(TbTradesBinance[[#This Row],[Tipo]]="BUY",N88-TbTradesBinance[[#This Row],[Qtt]]*TbTradesBinance[[#This Row],[Preço]],N88+TbTradesBinance[[#This Row],[Qtt]]*TbTradesBinance[[#This Row],[Preço]])),N88)-IF(TbTradesBinance[[#This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Row],[Tipo]]="DROP"),N88+TbTradesBinance[[#This Row],[Qtt]],N88-TbTradesBinance[[#This Row],[Qtt]]),IF(TbTradesBinance[[#This Row],[Tipo]]="BUY",N88-TbTradesBinance[[#This Row],[Qtt]]*TbTradesBinance[[#This Row],[Preço]],N88+TbTradesBinance[[#This Row],[Qtt]]*TbTradesBinance[[#This Row],[Preço]])),N88)-IF(TbTradesBinance[[#This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Row],[Tipo]]="DROP"),N88+TbTradesBinance[[#This Row],[Qtt]],N88-TbTradesBinance[[#This Row],[Qtt]]),IF(TbTradesBinance[[#This Row],[Tipo]]="BUY",N88-TbTradesBinance[[#This Row],[Qtt]]*TbTradesBinance[[#This Row],[Preço]],N88+TbTradesBinance[[#This Row],[Qtt]]*TbTradesBinance[[#This Row],[Preço]])),N88)-IF(TbTradesBinance[[#This Row],[Moeda da Taxa]]=MID(N$1,9,5),TbTradesBinance[[#This Row],[Taxa]],0),8)))</f>
        <v>121137.24402208001</v>
      </c>
      <c r="O89" s="145" cm="1">
        <f t="array" ref="O89">IF(TbTradesBinance[[#This Row],[Tipo]]="EMPTY",0,O88+IF(TbTradesBinance[[#This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Row],[Par]]))),$1:$1,0)),-(N88-N89)/N88*O88),0),0)+IF(TbTradesBinance[[#This Row],[Tipo]]="SELL",IF(ISNUMBER(FIND(MID(O$1,10,5),TbTradesBinance[[#This Row],[Par]])),IF(FIND(MID(O$1,10,5),TbTradesBinance[[#This Row],[Par]])=1, -(N88-N89)/N88*O88,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Row],[Par]])),(-(N88-N89)/N88*O88)+IF(TbTradesBinance[[#This Row],[Resultado]]&gt;0,0,TbTradesBinance[[#This Row],[Taxa]]),0),0))</f>
        <v>121125.23001221767</v>
      </c>
      <c r="P89" s="145">
        <f t="shared" si="20"/>
        <v>0.99990082315344608</v>
      </c>
      <c r="Q8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Row],[Tipo]]="DROP"),Q88+TbTradesBinance[[#This Row],[Qtt]],Q88-TbTradesBinance[[#This Row],[Qtt]]),IF(TbTradesBinance[[#This Row],[Tipo]]="BUY",Q88-TbTradesBinance[[#This Row],[Qtt]]*TbTradesBinance[[#This Row],[Preço]],Q88+TbTradesBinance[[#This Row],[Qtt]]*TbTradesBinance[[#This Row],[Preço]])),Q88)-IF(TbTradesBinance[[#This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Row],[Tipo]]="DROP"),Q88+TbTradesBinance[[#This Row],[Qtt]],Q88-TbTradesBinance[[#This Row],[Qtt]]),IF(TbTradesBinance[[#This Row],[Tipo]]="BUY",Q88-TbTradesBinance[[#This Row],[Qtt]]*TbTradesBinance[[#This Row],[Preço]],Q88+TbTradesBinance[[#This Row],[Qtt]]*TbTradesBinance[[#This Row],[Preço]])),Q88)-IF(TbTradesBinance[[#This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Row],[Tipo]]="DROP"),Q88+TbTradesBinance[[#This Row],[Qtt]],Q88-TbTradesBinance[[#This Row],[Qtt]]),IF(TbTradesBinance[[#This Row],[Tipo]]="BUY",Q88-TbTradesBinance[[#This Row],[Qtt]]*TbTradesBinance[[#This Row],[Preço]],Q88+TbTradesBinance[[#This Row],[Qtt]]*TbTradesBinance[[#This Row],[Preço]])),Q88)-IF(TbTradesBinance[[#This Row],[Moeda da Taxa]]=MID(Q$1,9,5),TbTradesBinance[[#This Row],[Taxa]],0),8)))</f>
        <v>0.37572021999999999</v>
      </c>
      <c r="R89" s="145" cm="1">
        <f t="array" ref="R89">IF(TbTradesBinance[[#This Row],[Tipo]]="EMPTY",0,R88+IF(TbTradesBinance[[#This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Row],[Par]]))),$1:$1,0)),-(Q88-Q89)/Q88*R88),0),0)+IF(TbTradesBinance[[#This Row],[Tipo]]="SELL",IF(ISNUMBER(FIND(MID(R$1,10,5),TbTradesBinance[[#This Row],[Par]])),IF(FIND(MID(R$1,10,5),TbTradesBinance[[#This Row],[Par]])=1, -(Q88-Q89)/Q88*R88,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Row],[Par]])),(-(Q88-Q89)/Q88*R88)+IF(TbTradesBinance[[#This Row],[Resultado]]&gt;0,0,TbTradesBinance[[#This Row],[Taxa]]),0),0))</f>
        <v>1.9130730933375304</v>
      </c>
      <c r="S89" s="145">
        <f t="shared" si="21"/>
        <v>5.09174910346196</v>
      </c>
      <c r="T8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Row],[Tipo]]="DROP"),T88+TbTradesBinance[[#This Row],[Qtt]],T88-TbTradesBinance[[#This Row],[Qtt]]),IF(TbTradesBinance[[#This Row],[Tipo]]="BUY",T88-TbTradesBinance[[#This Row],[Qtt]]*TbTradesBinance[[#This Row],[Preço]],T88+TbTradesBinance[[#This Row],[Qtt]]*TbTradesBinance[[#This Row],[Preço]])),T88)-IF(TbTradesBinance[[#This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Row],[Tipo]]="DROP"),T88+TbTradesBinance[[#This Row],[Qtt]],T88-TbTradesBinance[[#This Row],[Qtt]]),IF(TbTradesBinance[[#This Row],[Tipo]]="BUY",T88-TbTradesBinance[[#This Row],[Qtt]]*TbTradesBinance[[#This Row],[Preço]],T88+TbTradesBinance[[#This Row],[Qtt]]*TbTradesBinance[[#This Row],[Preço]])),T88)-IF(TbTradesBinance[[#This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Row],[Tipo]]="DROP"),T88+TbTradesBinance[[#This Row],[Qtt]],T88-TbTradesBinance[[#This Row],[Qtt]]),IF(TbTradesBinance[[#This Row],[Tipo]]="BUY",T88-TbTradesBinance[[#This Row],[Qtt]]*TbTradesBinance[[#This Row],[Preço]],T88+TbTradesBinance[[#This Row],[Qtt]]*TbTradesBinance[[#This Row],[Preço]])),T88)-IF(TbTradesBinance[[#This Row],[Moeda da Taxa]]=MID(T$1,9,5),TbTradesBinance[[#This Row],[Taxa]],0),8)))</f>
        <v>199735.32000169999</v>
      </c>
      <c r="U89" s="145" cm="1">
        <f t="array" ref="U89">IF(TbTradesBinance[[#This Row],[Tipo]]="EMPTY",0,U88+IF(TbTradesBinance[[#This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Row],[Par]]))),$1:$1,0)),-(T88-T89)/T88*U88),0),0)+IF(TbTradesBinance[[#This Row],[Tipo]]="SELL",IF(ISNUMBER(FIND(MID(U$1,10,5),TbTradesBinance[[#This Row],[Par]])),IF(FIND(MID(U$1,10,5),TbTradesBinance[[#This Row],[Par]])=1, -(T88-T89)/T88*U88,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Row],[Par]])),(-(T88-T89)/T88*U88)+IF(TbTradesBinance[[#This Row],[Resultado]]&gt;0,0,TbTradesBinance[[#This Row],[Taxa]]),0),0))</f>
        <v>1328239.8809817513</v>
      </c>
      <c r="V89" s="145">
        <f t="shared" si="22"/>
        <v>6.6500000148719129</v>
      </c>
      <c r="W8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Row],[Tipo]]="DROP"),W88+TbTradesBinance[[#This Row],[Qtt]],W88-TbTradesBinance[[#This Row],[Qtt]]),IF(TbTradesBinance[[#This Row],[Tipo]]="BUY",W88-TbTradesBinance[[#This Row],[Qtt]]*TbTradesBinance[[#This Row],[Preço]],W88+TbTradesBinance[[#This Row],[Qtt]]*TbTradesBinance[[#This Row],[Preço]])),W88)-IF(TbTradesBinance[[#This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Row],[Tipo]]="DROP"),W88+TbTradesBinance[[#This Row],[Qtt]],W88-TbTradesBinance[[#This Row],[Qtt]]),IF(TbTradesBinance[[#This Row],[Tipo]]="BUY",W88-TbTradesBinance[[#This Row],[Qtt]]*TbTradesBinance[[#This Row],[Preço]],W88+TbTradesBinance[[#This Row],[Qtt]]*TbTradesBinance[[#This Row],[Preço]])),W88)-IF(TbTradesBinance[[#This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Row],[Tipo]]="DROP"),W88+TbTradesBinance[[#This Row],[Qtt]],W88-TbTradesBinance[[#This Row],[Qtt]]),IF(TbTradesBinance[[#This Row],[Tipo]]="BUY",W88-TbTradesBinance[[#This Row],[Qtt]]*TbTradesBinance[[#This Row],[Preço]],W88+TbTradesBinance[[#This Row],[Qtt]]*TbTradesBinance[[#This Row],[Preço]])),W88)-IF(TbTradesBinance[[#This Row],[Moeda da Taxa]]=MID(W$1,9,5),TbTradesBinance[[#This Row],[Taxa]],0),8)))</f>
        <v>4.5399999999999997E-6</v>
      </c>
      <c r="X89" s="145" cm="1">
        <f t="array" ref="X89">IF(TbTradesBinance[[#This Row],[Tipo]]="EMPTY",0,X88+IF(TbTradesBinance[[#This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Row],[Par]]))),$1:$1,0)),-(W88-W89)/W88*X88),0),0)+IF(TbTradesBinance[[#This Row],[Tipo]]="SELL",IF(ISNUMBER(FIND(MID(X$1,10,5),TbTradesBinance[[#This Row],[Par]])),IF(FIND(MID(X$1,10,5),TbTradesBinance[[#This Row],[Par]])=1, -(W88-W89)/W88*X88,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Row],[Par]])),(-(W88-W89)/W88*X88)+IF(TbTradesBinance[[#This Row],[Resultado]]&gt;0,0,TbTradesBinance[[#This Row],[Taxa]]),0),0))</f>
        <v>1.5152928264556067</v>
      </c>
      <c r="Y89" s="145">
        <f t="shared" si="23"/>
        <v>333764.93974793103</v>
      </c>
      <c r="Z8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Row],[Tipo]]="DROP"),Z88+TbTradesBinance[[#This Row],[Qtt]],Z88-TbTradesBinance[[#This Row],[Qtt]]),IF(TbTradesBinance[[#This Row],[Tipo]]="BUY",Z88-TbTradesBinance[[#This Row],[Qtt]]*TbTradesBinance[[#This Row],[Preço]],Z88+TbTradesBinance[[#This Row],[Qtt]]*TbTradesBinance[[#This Row],[Preço]])),Z88)-IF(TbTradesBinance[[#This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Row],[Tipo]]="DROP"),Z88+TbTradesBinance[[#This Row],[Qtt]],Z88-TbTradesBinance[[#This Row],[Qtt]]),IF(TbTradesBinance[[#This Row],[Tipo]]="BUY",Z88-TbTradesBinance[[#This Row],[Qtt]]*TbTradesBinance[[#This Row],[Preço]],Z88+TbTradesBinance[[#This Row],[Qtt]]*TbTradesBinance[[#This Row],[Preço]])),Z88)-IF(TbTradesBinance[[#This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Row],[Tipo]]="DROP"),Z88+TbTradesBinance[[#This Row],[Qtt]],Z88-TbTradesBinance[[#This Row],[Qtt]]),IF(TbTradesBinance[[#This Row],[Tipo]]="BUY",Z88-TbTradesBinance[[#This Row],[Qtt]]*TbTradesBinance[[#This Row],[Preço]],Z88+TbTradesBinance[[#This Row],[Qtt]]*TbTradesBinance[[#This Row],[Preço]])),Z88)-IF(TbTradesBinance[[#This Row],[Moeda da Taxa]]=MID(Z$1,9,5),TbTradesBinance[[#This Row],[Taxa]],0),8)))</f>
        <v>0</v>
      </c>
      <c r="AA89" s="145" cm="1">
        <f t="array" ref="AA89">IF(TbTradesBinance[[#This Row],[Tipo]]="EMPTY",0,AA88+IF(TbTradesBinance[[#This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Row],[Par]]))),$1:$1,0)),-(Z88-Z89)/Z88*AA88),0),0)+IF(TbTradesBinance[[#This Row],[Tipo]]="SELL",IF(ISNUMBER(FIND(MID(AA$1,10,5),TbTradesBinance[[#This Row],[Par]])),IF(FIND(MID(AA$1,10,5),TbTradesBinance[[#This Row],[Par]])=1, -(Z88-Z89)/Z88*AA88,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Row],[Par]])),(-(Z88-Z89)/Z88*AA88)+IF(TbTradesBinance[[#This Row],[Resultado]]&gt;0,0,TbTradesBinance[[#This Row],[Taxa]]),0),0))</f>
        <v>0</v>
      </c>
      <c r="AB89" s="145">
        <f t="shared" si="24"/>
        <v>0</v>
      </c>
      <c r="AC8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Row],[Tipo]]="DROP"),AC88+TbTradesBinance[[#This Row],[Qtt]],AC88-TbTradesBinance[[#This Row],[Qtt]]),IF(TbTradesBinance[[#This Row],[Tipo]]="BUY",AC88-TbTradesBinance[[#This Row],[Qtt]]*TbTradesBinance[[#This Row],[Preço]],AC88+TbTradesBinance[[#This Row],[Qtt]]*TbTradesBinance[[#This Row],[Preço]])),AC88)-IF(TbTradesBinance[[#This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Row],[Tipo]]="DROP"),AC88+TbTradesBinance[[#This Row],[Qtt]],AC88-TbTradesBinance[[#This Row],[Qtt]]),IF(TbTradesBinance[[#This Row],[Tipo]]="BUY",AC88-TbTradesBinance[[#This Row],[Qtt]]*TbTradesBinance[[#This Row],[Preço]],AC88+TbTradesBinance[[#This Row],[Qtt]]*TbTradesBinance[[#This Row],[Preço]])),AC88)-IF(TbTradesBinance[[#This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Row],[Tipo]]="DROP"),AC88+TbTradesBinance[[#This Row],[Qtt]],AC88-TbTradesBinance[[#This Row],[Qtt]]),IF(TbTradesBinance[[#This Row],[Tipo]]="BUY",AC88-TbTradesBinance[[#This Row],[Qtt]]*TbTradesBinance[[#This Row],[Preço]],AC88+TbTradesBinance[[#This Row],[Qtt]]*TbTradesBinance[[#This Row],[Preço]])),AC88)-IF(TbTradesBinance[[#This Row],[Moeda da Taxa]]=MID(AC$1,9,5),TbTradesBinance[[#This Row],[Taxa]],0),8)))</f>
        <v>2.997E-2</v>
      </c>
      <c r="AD89" s="145" cm="1">
        <f t="array" ref="AD89">IF(TbTradesBinance[[#This Row],[Tipo]]="EMPTY",0,AD88+IF(TbTradesBinance[[#This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Row],[Par]]))),$1:$1,0)),-(AC88-AC89)/AC88*AD88),0),0)+IF(TbTradesBinance[[#This Row],[Tipo]]="SELL",IF(ISNUMBER(FIND(MID(AD$1,10,5),TbTradesBinance[[#This Row],[Par]])),IF(FIND(MID(AD$1,10,5),TbTradesBinance[[#This Row],[Par]])=1, -(AC88-AC89)/AC88*AD88,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Row],[Par]])),(-(AC88-AC89)/AC88*AD88)+IF(TbTradesBinance[[#This Row],[Resultado]]&gt;0,0,TbTradesBinance[[#This Row],[Taxa]]),0),0))</f>
        <v>60.199749701148171</v>
      </c>
      <c r="AE89" s="145">
        <f t="shared" si="25"/>
        <v>2008.6669903619677</v>
      </c>
      <c r="AF8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Row],[Tipo]]="DROP"),AF88+TbTradesBinance[[#This Row],[Qtt]],AF88-TbTradesBinance[[#This Row],[Qtt]]),IF(TbTradesBinance[[#This Row],[Tipo]]="BUY",AF88-TbTradesBinance[[#This Row],[Qtt]]*TbTradesBinance[[#This Row],[Preço]],AF88+TbTradesBinance[[#This Row],[Qtt]]*TbTradesBinance[[#This Row],[Preço]])),AF88)-IF(TbTradesBinance[[#This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Row],[Tipo]]="DROP"),AF88+TbTradesBinance[[#This Row],[Qtt]],AF88-TbTradesBinance[[#This Row],[Qtt]]),IF(TbTradesBinance[[#This Row],[Tipo]]="BUY",AF88-TbTradesBinance[[#This Row],[Qtt]]*TbTradesBinance[[#This Row],[Preço]],AF88+TbTradesBinance[[#This Row],[Qtt]]*TbTradesBinance[[#This Row],[Preço]])),AF88)-IF(TbTradesBinance[[#This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Row],[Tipo]]="DROP"),AF88+TbTradesBinance[[#This Row],[Qtt]],AF88-TbTradesBinance[[#This Row],[Qtt]]),IF(TbTradesBinance[[#This Row],[Tipo]]="BUY",AF88-TbTradesBinance[[#This Row],[Qtt]]*TbTradesBinance[[#This Row],[Preço]],AF88+TbTradesBinance[[#This Row],[Qtt]]*TbTradesBinance[[#This Row],[Preço]])),AF88)-IF(TbTradesBinance[[#This Row],[Moeda da Taxa]]=MID(AF$1,9,5),TbTradesBinance[[#This Row],[Taxa]],0),8)))</f>
        <v>19.98</v>
      </c>
      <c r="AG89" s="145" cm="1">
        <f t="array" ref="AG89">IF(TbTradesBinance[[#This Row],[Tipo]]="EMPTY",0,AG88+IF(TbTradesBinance[[#This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Row],[Par]]))),$1:$1,0)),-(AF88-AF89)/AF88*AG88),0),0)+IF(TbTradesBinance[[#This Row],[Tipo]]="SELL",IF(ISNUMBER(FIND(MID(AG$1,10,5),TbTradesBinance[[#This Row],[Par]])),IF(FIND(MID(AG$1,10,5),TbTradesBinance[[#This Row],[Par]])=1, -(AF88-AF89)/AF88*AG88,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Row],[Par]])),(-(AF88-AF89)/AF88*AG88)+IF(TbTradesBinance[[#This Row],[Resultado]]&gt;0,0,TbTradesBinance[[#This Row],[Taxa]]),0),0))</f>
        <v>124.04182758073662</v>
      </c>
      <c r="AH89" s="145">
        <f t="shared" si="26"/>
        <v>6.2082996787155462</v>
      </c>
      <c r="AI8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Row],[Tipo]]="DROP"),AI88+TbTradesBinance[[#This Row],[Qtt]],AI88-TbTradesBinance[[#This Row],[Qtt]]),IF(TbTradesBinance[[#This Row],[Tipo]]="BUY",AI88-TbTradesBinance[[#This Row],[Qtt]]*TbTradesBinance[[#This Row],[Preço]],AI88+TbTradesBinance[[#This Row],[Qtt]]*TbTradesBinance[[#This Row],[Preço]])),AI88)-IF(TbTradesBinance[[#This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Row],[Tipo]]="DROP"),AI88+TbTradesBinance[[#This Row],[Qtt]],AI88-TbTradesBinance[[#This Row],[Qtt]]),IF(TbTradesBinance[[#This Row],[Tipo]]="BUY",AI88-TbTradesBinance[[#This Row],[Qtt]]*TbTradesBinance[[#This Row],[Preço]],AI88+TbTradesBinance[[#This Row],[Qtt]]*TbTradesBinance[[#This Row],[Preço]])),AI88)-IF(TbTradesBinance[[#This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Row],[Tipo]]="DROP"),AI88+TbTradesBinance[[#This Row],[Qtt]],AI88-TbTradesBinance[[#This Row],[Qtt]]),IF(TbTradesBinance[[#This Row],[Tipo]]="BUY",AI88-TbTradesBinance[[#This Row],[Qtt]]*TbTradesBinance[[#This Row],[Preço]],AI88+TbTradesBinance[[#This Row],[Qtt]]*TbTradesBinance[[#This Row],[Preço]])),AI88)-IF(TbTradesBinance[[#This Row],[Moeda da Taxa]]=MID(AI$1,9,5),TbTradesBinance[[#This Row],[Taxa]],0),8)))</f>
        <v>0</v>
      </c>
      <c r="AJ89" s="145" cm="1">
        <f t="array" ref="AJ89">IF(TbTradesBinance[[#This Row],[Tipo]]="EMPTY",0,AJ88+IF(TbTradesBinance[[#This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Row],[Par]]))),$1:$1,0)),-(AI88-AI89)/AI88*AJ88),0),0)+IF(TbTradesBinance[[#This Row],[Tipo]]="SELL",IF(ISNUMBER(FIND(MID(AJ$1,10,5),TbTradesBinance[[#This Row],[Par]])),IF(FIND(MID(AJ$1,10,5),TbTradesBinance[[#This Row],[Par]])=1, -(AI88-AI89)/AI88*AJ88,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Row],[Par]])),(-(AI88-AI89)/AI88*AJ88)+IF(TbTradesBinance[[#This Row],[Resultado]]&gt;0,0,TbTradesBinance[[#This Row],[Taxa]]),0),0))</f>
        <v>0</v>
      </c>
      <c r="AK89" s="145">
        <f t="shared" si="27"/>
        <v>0</v>
      </c>
      <c r="AL8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Row],[Tipo]]="DROP"),AL88+TbTradesBinance[[#This Row],[Qtt]],AL88-TbTradesBinance[[#This Row],[Qtt]]),IF(TbTradesBinance[[#This Row],[Tipo]]="BUY",AL88-TbTradesBinance[[#This Row],[Qtt]]*TbTradesBinance[[#This Row],[Preço]],AL88+TbTradesBinance[[#This Row],[Qtt]]*TbTradesBinance[[#This Row],[Preço]])),AL88)-IF(TbTradesBinance[[#This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Row],[Tipo]]="DROP"),AL88+TbTradesBinance[[#This Row],[Qtt]],AL88-TbTradesBinance[[#This Row],[Qtt]]),IF(TbTradesBinance[[#This Row],[Tipo]]="BUY",AL88-TbTradesBinance[[#This Row],[Qtt]]*TbTradesBinance[[#This Row],[Preço]],AL88+TbTradesBinance[[#This Row],[Qtt]]*TbTradesBinance[[#This Row],[Preço]])),AL88)-IF(TbTradesBinance[[#This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Row],[Tipo]]="DROP"),AL88+TbTradesBinance[[#This Row],[Qtt]],AL88-TbTradesBinance[[#This Row],[Qtt]]),IF(TbTradesBinance[[#This Row],[Tipo]]="BUY",AL88-TbTradesBinance[[#This Row],[Qtt]]*TbTradesBinance[[#This Row],[Preço]],AL88+TbTradesBinance[[#This Row],[Qtt]]*TbTradesBinance[[#This Row],[Preço]])),AL88)-IF(TbTradesBinance[[#This Row],[Moeda da Taxa]]=MID(AL$1,9,5),TbTradesBinance[[#This Row],[Taxa]],0),8)))</f>
        <v>1.75824</v>
      </c>
      <c r="AM89" s="145" cm="1">
        <f t="array" ref="AM89">IF(TbTradesBinance[[#This Row],[Tipo]]="EMPTY",0,AM88+IF(TbTradesBinance[[#This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Row],[Par]]))),$1:$1,0)),-(AL88-AL89)/AL88*AM88),0),0)+IF(TbTradesBinance[[#This Row],[Tipo]]="SELL",IF(ISNUMBER(FIND(MID(AM$1,10,5),TbTradesBinance[[#This Row],[Par]])),IF(FIND(MID(AM$1,10,5),TbTradesBinance[[#This Row],[Par]])=1, -(AL88-AL89)/AL88*AM88,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Row],[Par]])),(-(AL88-AL89)/AL88*AM88)+IF(TbTradesBinance[[#This Row],[Resultado]]&gt;0,0,TbTradesBinance[[#This Row],[Taxa]]),0),0))</f>
        <v>144.56635471393039</v>
      </c>
      <c r="AN89" s="145">
        <f t="shared" si="28"/>
        <v>82.222196465744375</v>
      </c>
      <c r="AO8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Row],[Tipo]]="DROP"),AO88+TbTradesBinance[[#This Row],[Qtt]],AO88-TbTradesBinance[[#This Row],[Qtt]]),IF(TbTradesBinance[[#This Row],[Tipo]]="BUY",AO88-TbTradesBinance[[#This Row],[Qtt]]*TbTradesBinance[[#This Row],[Preço]],AO88+TbTradesBinance[[#This Row],[Qtt]]*TbTradesBinance[[#This Row],[Preço]])),AO88)-IF(TbTradesBinance[[#This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Row],[Tipo]]="DROP"),AO88+TbTradesBinance[[#This Row],[Qtt]],AO88-TbTradesBinance[[#This Row],[Qtt]]),IF(TbTradesBinance[[#This Row],[Tipo]]="BUY",AO88-TbTradesBinance[[#This Row],[Qtt]]*TbTradesBinance[[#This Row],[Preço]],AO88+TbTradesBinance[[#This Row],[Qtt]]*TbTradesBinance[[#This Row],[Preço]])),AO88)-IF(TbTradesBinance[[#This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Row],[Tipo]]="DROP"),AO88+TbTradesBinance[[#This Row],[Qtt]],AO88-TbTradesBinance[[#This Row],[Qtt]]),IF(TbTradesBinance[[#This Row],[Tipo]]="BUY",AO88-TbTradesBinance[[#This Row],[Qtt]]*TbTradesBinance[[#This Row],[Preço]],AO88+TbTradesBinance[[#This Row],[Qtt]]*TbTradesBinance[[#This Row],[Preço]])),AO88)-IF(TbTradesBinance[[#This Row],[Moeda da Taxa]]=MID(AO$1,9,5),TbTradesBinance[[#This Row],[Taxa]],0),8)))</f>
        <v>3.9907299999999996E-3</v>
      </c>
      <c r="AP89" s="145" cm="1">
        <f t="array" ref="AP89">IF(TbTradesBinance[[#This Row],[Tipo]]="EMPTY",0,AP88+IF(TbTradesBinance[[#This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Row],[Par]]))),$1:$1,0)),-(AO88-AO89)/AO88*AP88),0),0)+IF(TbTradesBinance[[#This Row],[Tipo]]="SELL",IF(ISNUMBER(FIND(MID(AP$1,10,5),TbTradesBinance[[#This Row],[Par]])),IF(FIND(MID(AP$1,10,5),TbTradesBinance[[#This Row],[Par]])=1, -(AO88-AO89)/AO88*AP88,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Row],[Par]])),(-(AO88-AO89)/AO88*AP88)+IF(TbTradesBinance[[#This Row],[Resultado]]&gt;0,0,TbTradesBinance[[#This Row],[Taxa]]),0),0))</f>
        <v>7.3360959318006032</v>
      </c>
      <c r="AQ89" s="145">
        <f t="shared" si="29"/>
        <v>1838.2842065989439</v>
      </c>
      <c r="AR8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Row],[Tipo]]="DROP"),AR88+TbTradesBinance[[#This Row],[Qtt]],AR88-TbTradesBinance[[#This Row],[Qtt]]),IF(TbTradesBinance[[#This Row],[Tipo]]="BUY",AR88-TbTradesBinance[[#This Row],[Qtt]]*TbTradesBinance[[#This Row],[Preço]],AR88+TbTradesBinance[[#This Row],[Qtt]]*TbTradesBinance[[#This Row],[Preço]])),AR88)-IF(TbTradesBinance[[#This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Row],[Tipo]]="DROP"),AR88+TbTradesBinance[[#This Row],[Qtt]],AR88-TbTradesBinance[[#This Row],[Qtt]]),IF(TbTradesBinance[[#This Row],[Tipo]]="BUY",AR88-TbTradesBinance[[#This Row],[Qtt]]*TbTradesBinance[[#This Row],[Preço]],AR88+TbTradesBinance[[#This Row],[Qtt]]*TbTradesBinance[[#This Row],[Preço]])),AR88)-IF(TbTradesBinance[[#This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Row],[Tipo]]="DROP"),AR88+TbTradesBinance[[#This Row],[Qtt]],AR88-TbTradesBinance[[#This Row],[Qtt]]),IF(TbTradesBinance[[#This Row],[Tipo]]="BUY",AR88-TbTradesBinance[[#This Row],[Qtt]]*TbTradesBinance[[#This Row],[Preço]],AR88+TbTradesBinance[[#This Row],[Qtt]]*TbTradesBinance[[#This Row],[Preço]])),AR88)-IF(TbTradesBinance[[#This Row],[Moeda da Taxa]]=MID(AR$1,9,5),TbTradesBinance[[#This Row],[Taxa]],0),8)))</f>
        <v>0</v>
      </c>
      <c r="AS89" s="145" cm="1">
        <f t="array" ref="AS89">IF(TbTradesBinance[[#This Row],[Tipo]]="EMPTY",0,AS88+IF(TbTradesBinance[[#This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Row],[Par]]))),$1:$1,0)),-(AR88-AR89)/AR88*AS88),0),0)+IF(TbTradesBinance[[#This Row],[Tipo]]="SELL",IF(ISNUMBER(FIND(MID(AS$1,10,5),TbTradesBinance[[#This Row],[Par]])),IF(FIND(MID(AS$1,10,5),TbTradesBinance[[#This Row],[Par]])=1, -(AR88-AR89)/AR88*AS88,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Row],[Par]])),(-(AR88-AR89)/AR88*AS88)+IF(TbTradesBinance[[#This Row],[Resultado]]&gt;0,0,TbTradesBinance[[#This Row],[Taxa]]),0),0))</f>
        <v>0</v>
      </c>
      <c r="AT89" s="145">
        <f t="shared" si="30"/>
        <v>0</v>
      </c>
      <c r="AU8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Row],[Tipo]]="DROP"),AU88+TbTradesBinance[[#This Row],[Qtt]],AU88-TbTradesBinance[[#This Row],[Qtt]]),IF(TbTradesBinance[[#This Row],[Tipo]]="BUY",AU88-TbTradesBinance[[#This Row],[Qtt]]*TbTradesBinance[[#This Row],[Preço]],AU88+TbTradesBinance[[#This Row],[Qtt]]*TbTradesBinance[[#This Row],[Preço]])),AU88)-IF(TbTradesBinance[[#This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Row],[Tipo]]="DROP"),AU88+TbTradesBinance[[#This Row],[Qtt]],AU88-TbTradesBinance[[#This Row],[Qtt]]),IF(TbTradesBinance[[#This Row],[Tipo]]="BUY",AU88-TbTradesBinance[[#This Row],[Qtt]]*TbTradesBinance[[#This Row],[Preço]],AU88+TbTradesBinance[[#This Row],[Qtt]]*TbTradesBinance[[#This Row],[Preço]])),AU88)-IF(TbTradesBinance[[#This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Row],[Tipo]]="DROP"),AU88+TbTradesBinance[[#This Row],[Qtt]],AU88-TbTradesBinance[[#This Row],[Qtt]]),IF(TbTradesBinance[[#This Row],[Tipo]]="BUY",AU88-TbTradesBinance[[#This Row],[Qtt]]*TbTradesBinance[[#This Row],[Preço]],AU88+TbTradesBinance[[#This Row],[Qtt]]*TbTradesBinance[[#This Row],[Preço]])),AU88)-IF(TbTradesBinance[[#This Row],[Moeda da Taxa]]=MID(AU$1,9,5),TbTradesBinance[[#This Row],[Taxa]],0),8)))</f>
        <v>0</v>
      </c>
      <c r="AV89" s="145" cm="1">
        <f t="array" ref="AV89">IF(TbTradesBinance[[#This Row],[Tipo]]="EMPTY",0,AV88+IF(TbTradesBinance[[#This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Row],[Par]]))),$1:$1,0)),-(AU88-AU89)/AU88*AV88),0),0)+IF(TbTradesBinance[[#This Row],[Tipo]]="SELL",IF(ISNUMBER(FIND(MID(AV$1,10,5),TbTradesBinance[[#This Row],[Par]])),IF(FIND(MID(AV$1,10,5),TbTradesBinance[[#This Row],[Par]])=1, -(AU88-AU89)/AU88*AV88,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Row],[Par]])),(-(AU88-AU89)/AU88*AV88)+IF(TbTradesBinance[[#This Row],[Resultado]]&gt;0,0,TbTradesBinance[[#This Row],[Taxa]]),0),0))</f>
        <v>0</v>
      </c>
      <c r="AW89" s="145">
        <f t="shared" si="31"/>
        <v>0</v>
      </c>
      <c r="AX8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Row],[Tipo]]="DROP"),AX88+TbTradesBinance[[#This Row],[Qtt]],AX88-TbTradesBinance[[#This Row],[Qtt]]),IF(TbTradesBinance[[#This Row],[Tipo]]="BUY",AX88-TbTradesBinance[[#This Row],[Qtt]]*TbTradesBinance[[#This Row],[Preço]],AX88+TbTradesBinance[[#This Row],[Qtt]]*TbTradesBinance[[#This Row],[Preço]])),AX88)-IF(TbTradesBinance[[#This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Row],[Tipo]]="DROP"),AX88+TbTradesBinance[[#This Row],[Qtt]],AX88-TbTradesBinance[[#This Row],[Qtt]]),IF(TbTradesBinance[[#This Row],[Tipo]]="BUY",AX88-TbTradesBinance[[#This Row],[Qtt]]*TbTradesBinance[[#This Row],[Preço]],AX88+TbTradesBinance[[#This Row],[Qtt]]*TbTradesBinance[[#This Row],[Preço]])),AX88)-IF(TbTradesBinance[[#This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Row],[Tipo]]="DROP"),AX88+TbTradesBinance[[#This Row],[Qtt]],AX88-TbTradesBinance[[#This Row],[Qtt]]),IF(TbTradesBinance[[#This Row],[Tipo]]="BUY",AX88-TbTradesBinance[[#This Row],[Qtt]]*TbTradesBinance[[#This Row],[Preço]],AX88+TbTradesBinance[[#This Row],[Qtt]]*TbTradesBinance[[#This Row],[Preço]])),AX88)-IF(TbTradesBinance[[#This Row],[Moeda da Taxa]]=MID(AX$1,9,5),TbTradesBinance[[#This Row],[Taxa]],0),8)))</f>
        <v>0.22636999999999999</v>
      </c>
      <c r="AY89" s="145" cm="1">
        <f t="array" ref="AY89">IF(TbTradesBinance[[#This Row],[Tipo]]="EMPTY",0,AY88+IF(TbTradesBinance[[#This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Row],[Par]]))),$1:$1,0)),-(AX88-AX89)/AX88*AY88),0),0)+IF(TbTradesBinance[[#This Row],[Tipo]]="SELL",IF(ISNUMBER(FIND(MID(AY$1,10,5),TbTradesBinance[[#This Row],[Par]])),IF(FIND(MID(AY$1,10,5),TbTradesBinance[[#This Row],[Par]])=1, -(AX88-AX89)/AX88*AY88,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Row],[Par]])),(-(AX88-AX89)/AX88*AY88)+IF(TbTradesBinance[[#This Row],[Resultado]]&gt;0,0,TbTradesBinance[[#This Row],[Taxa]]),0),0))</f>
        <v>40.781337593356859</v>
      </c>
      <c r="AZ89" s="145">
        <f t="shared" si="32"/>
        <v>180.15345493376711</v>
      </c>
      <c r="BA8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Row],[Tipo]]="DROP"),BA88+TbTradesBinance[[#This Row],[Qtt]],BA88-TbTradesBinance[[#This Row],[Qtt]]),IF(TbTradesBinance[[#This Row],[Tipo]]="BUY",BA88-TbTradesBinance[[#This Row],[Qtt]]*TbTradesBinance[[#This Row],[Preço]],BA88+TbTradesBinance[[#This Row],[Qtt]]*TbTradesBinance[[#This Row],[Preço]])),BA88)-IF(TbTradesBinance[[#This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Row],[Tipo]]="DROP"),BA88+TbTradesBinance[[#This Row],[Qtt]],BA88-TbTradesBinance[[#This Row],[Qtt]]),IF(TbTradesBinance[[#This Row],[Tipo]]="BUY",BA88-TbTradesBinance[[#This Row],[Qtt]]*TbTradesBinance[[#This Row],[Preço]],BA88+TbTradesBinance[[#This Row],[Qtt]]*TbTradesBinance[[#This Row],[Preço]])),BA88)-IF(TbTradesBinance[[#This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Row],[Tipo]]="DROP"),BA88+TbTradesBinance[[#This Row],[Qtt]],BA88-TbTradesBinance[[#This Row],[Qtt]]),IF(TbTradesBinance[[#This Row],[Tipo]]="BUY",BA88-TbTradesBinance[[#This Row],[Qtt]]*TbTradesBinance[[#This Row],[Preço]],BA88+TbTradesBinance[[#This Row],[Qtt]]*TbTradesBinance[[#This Row],[Preço]])),BA88)-IF(TbTradesBinance[[#This Row],[Moeda da Taxa]]=MID(BA$1,9,5),TbTradesBinance[[#This Row],[Taxa]],0),8)))</f>
        <v>0</v>
      </c>
      <c r="BB89" s="145" cm="1">
        <f t="array" ref="BB89">IF(TbTradesBinance[[#This Row],[Tipo]]="EMPTY",0,BB88+IF(TbTradesBinance[[#This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Row],[Par]]))),$1:$1,0)),-(BA88-BA89)/BA88*BB88),0),0)+IF(TbTradesBinance[[#This Row],[Tipo]]="SELL",IF(ISNUMBER(FIND(MID(BB$1,10,5),TbTradesBinance[[#This Row],[Par]])),IF(FIND(MID(BB$1,10,5),TbTradesBinance[[#This Row],[Par]])=1, -(BA88-BA89)/BA88*BB88,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Row],[Par]])),(-(BA88-BA89)/BA88*BB88)+IF(TbTradesBinance[[#This Row],[Resultado]]&gt;0,0,TbTradesBinance[[#This Row],[Taxa]]),0),0))</f>
        <v>0</v>
      </c>
      <c r="BC89" s="145">
        <f t="shared" si="33"/>
        <v>0</v>
      </c>
      <c r="BD8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Row],[Tipo]]="DROP"),BD88+TbTradesBinance[[#This Row],[Qtt]],BD88-TbTradesBinance[[#This Row],[Qtt]]),IF(TbTradesBinance[[#This Row],[Tipo]]="BUY",BD88-TbTradesBinance[[#This Row],[Qtt]]*TbTradesBinance[[#This Row],[Preço]],BD88+TbTradesBinance[[#This Row],[Qtt]]*TbTradesBinance[[#This Row],[Preço]])),BD88)-IF(TbTradesBinance[[#This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Row],[Tipo]]="DROP"),BD88+TbTradesBinance[[#This Row],[Qtt]],BD88-TbTradesBinance[[#This Row],[Qtt]]),IF(TbTradesBinance[[#This Row],[Tipo]]="BUY",BD88-TbTradesBinance[[#This Row],[Qtt]]*TbTradesBinance[[#This Row],[Preço]],BD88+TbTradesBinance[[#This Row],[Qtt]]*TbTradesBinance[[#This Row],[Preço]])),BD88)-IF(TbTradesBinance[[#This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Row],[Tipo]]="DROP"),BD88+TbTradesBinance[[#This Row],[Qtt]],BD88-TbTradesBinance[[#This Row],[Qtt]]),IF(TbTradesBinance[[#This Row],[Tipo]]="BUY",BD88-TbTradesBinance[[#This Row],[Qtt]]*TbTradesBinance[[#This Row],[Preço]],BD88+TbTradesBinance[[#This Row],[Qtt]]*TbTradesBinance[[#This Row],[Preço]])),BD88)-IF(TbTradesBinance[[#This Row],[Moeda da Taxa]]=MID(BD$1,9,5),TbTradesBinance[[#This Row],[Taxa]],0),8)))</f>
        <v>9.6200000000000001E-3</v>
      </c>
      <c r="BE89" s="145" cm="1">
        <f t="array" ref="BE89">IF(TbTradesBinance[[#This Row],[Tipo]]="EMPTY",0,BE88+IF(TbTradesBinance[[#This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Row],[Par]]))),$1:$1,0)),-(BD88-BD89)/BD88*BE88),0),0)+IF(TbTradesBinance[[#This Row],[Tipo]]="SELL",IF(ISNUMBER(FIND(MID(BE$1,10,5),TbTradesBinance[[#This Row],[Par]])),IF(FIND(MID(BE$1,10,5),TbTradesBinance[[#This Row],[Par]])=1, -(BD88-BD89)/BD88*BE88,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Row],[Par]])),(-(BD88-BD89)/BD88*BE88)+IF(TbTradesBinance[[#This Row],[Resultado]]&gt;0,0,TbTradesBinance[[#This Row],[Taxa]]),0),0))</f>
        <v>1.612894465925919</v>
      </c>
      <c r="BF89" s="145">
        <f t="shared" si="34"/>
        <v>167.66054739354666</v>
      </c>
      <c r="BG8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Row],[Tipo]]="DROP"),BG88+TbTradesBinance[[#This Row],[Qtt]],BG88-TbTradesBinance[[#This Row],[Qtt]]),IF(TbTradesBinance[[#This Row],[Tipo]]="BUY",BG88-TbTradesBinance[[#This Row],[Qtt]]*TbTradesBinance[[#This Row],[Preço]],BG88+TbTradesBinance[[#This Row],[Qtt]]*TbTradesBinance[[#This Row],[Preço]])),BG88)-IF(TbTradesBinance[[#This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Row],[Tipo]]="DROP"),BG88+TbTradesBinance[[#This Row],[Qtt]],BG88-TbTradesBinance[[#This Row],[Qtt]]),IF(TbTradesBinance[[#This Row],[Tipo]]="BUY",BG88-TbTradesBinance[[#This Row],[Qtt]]*TbTradesBinance[[#This Row],[Preço]],BG88+TbTradesBinance[[#This Row],[Qtt]]*TbTradesBinance[[#This Row],[Preço]])),BG88)-IF(TbTradesBinance[[#This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Row],[Tipo]]="DROP"),BG88+TbTradesBinance[[#This Row],[Qtt]],BG88-TbTradesBinance[[#This Row],[Qtt]]),IF(TbTradesBinance[[#This Row],[Tipo]]="BUY",BG88-TbTradesBinance[[#This Row],[Qtt]]*TbTradesBinance[[#This Row],[Preço]],BG88+TbTradesBinance[[#This Row],[Qtt]]*TbTradesBinance[[#This Row],[Preço]])),BG88)-IF(TbTradesBinance[[#This Row],[Moeda da Taxa]]=MID(BG$1,9,5),TbTradesBinance[[#This Row],[Taxa]],0),8)))</f>
        <v>0</v>
      </c>
      <c r="BH89" s="145" cm="1">
        <f t="array" ref="BH89">IF(TbTradesBinance[[#This Row],[Tipo]]="EMPTY",0,BH88+IF(TbTradesBinance[[#This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Row],[Par]]))),$1:$1,0)),-(BG88-BG89)/BG88*BH88),0),0)+IF(TbTradesBinance[[#This Row],[Tipo]]="SELL",IF(ISNUMBER(FIND(MID(BH$1,10,5),TbTradesBinance[[#This Row],[Par]])),IF(FIND(MID(BH$1,10,5),TbTradesBinance[[#This Row],[Par]])=1, -(BG88-BG89)/BG88*BH88,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Row],[Par]])),(-(BG88-BG89)/BG88*BH88)+IF(TbTradesBinance[[#This Row],[Resultado]]&gt;0,0,TbTradesBinance[[#This Row],[Taxa]]),0),0))</f>
        <v>0</v>
      </c>
      <c r="BI89" s="145">
        <f t="shared" si="35"/>
        <v>0</v>
      </c>
      <c r="BJ8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Row],[Tipo]]="DROP"),BJ88+TbTradesBinance[[#This Row],[Qtt]],BJ88-TbTradesBinance[[#This Row],[Qtt]]),IF(TbTradesBinance[[#This Row],[Tipo]]="BUY",BJ88-TbTradesBinance[[#This Row],[Qtt]]*TbTradesBinance[[#This Row],[Preço]],BJ88+TbTradesBinance[[#This Row],[Qtt]]*TbTradesBinance[[#This Row],[Preço]])),BJ88)-IF(TbTradesBinance[[#This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Row],[Tipo]]="DROP"),BJ88+TbTradesBinance[[#This Row],[Qtt]],BJ88-TbTradesBinance[[#This Row],[Qtt]]),IF(TbTradesBinance[[#This Row],[Tipo]]="BUY",BJ88-TbTradesBinance[[#This Row],[Qtt]]*TbTradesBinance[[#This Row],[Preço]],BJ88+TbTradesBinance[[#This Row],[Qtt]]*TbTradesBinance[[#This Row],[Preço]])),BJ88)-IF(TbTradesBinance[[#This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Row],[Tipo]]="DROP"),BJ88+TbTradesBinance[[#This Row],[Qtt]],BJ88-TbTradesBinance[[#This Row],[Qtt]]),IF(TbTradesBinance[[#This Row],[Tipo]]="BUY",BJ88-TbTradesBinance[[#This Row],[Qtt]]*TbTradesBinance[[#This Row],[Preço]],BJ88+TbTradesBinance[[#This Row],[Qtt]]*TbTradesBinance[[#This Row],[Preço]])),BJ88)-IF(TbTradesBinance[[#This Row],[Moeda da Taxa]]=MID(BJ$1,9,5),TbTradesBinance[[#This Row],[Taxa]],0),8)))</f>
        <v>0</v>
      </c>
      <c r="BK89" s="145" cm="1">
        <f t="array" ref="BK89">IF(TbTradesBinance[[#This Row],[Tipo]]="EMPTY",0,BK88+IF(TbTradesBinance[[#This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Row],[Par]]))),$1:$1,0)),-(BJ88-BJ89)/BJ88*BK88),0),0)+IF(TbTradesBinance[[#This Row],[Tipo]]="SELL",IF(ISNUMBER(FIND(MID(BK$1,10,5),TbTradesBinance[[#This Row],[Par]])),IF(FIND(MID(BK$1,10,5),TbTradesBinance[[#This Row],[Par]])=1, -(BJ88-BJ89)/BJ88*BK88,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Row],[Par]])),(-(BJ88-BJ89)/BJ88*BK88)+IF(TbTradesBinance[[#This Row],[Resultado]]&gt;0,0,TbTradesBinance[[#This Row],[Taxa]]),0),0))</f>
        <v>0</v>
      </c>
      <c r="BL89" s="145">
        <f t="shared" si="36"/>
        <v>0</v>
      </c>
      <c r="BM8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Row],[Tipo]]="DROP"),BM88+TbTradesBinance[[#This Row],[Qtt]],BM88-TbTradesBinance[[#This Row],[Qtt]]),IF(TbTradesBinance[[#This Row],[Tipo]]="BUY",BM88-TbTradesBinance[[#This Row],[Qtt]]*TbTradesBinance[[#This Row],[Preço]],BM88+TbTradesBinance[[#This Row],[Qtt]]*TbTradesBinance[[#This Row],[Preço]])),BM88)-IF(TbTradesBinance[[#This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Row],[Tipo]]="DROP"),BM88+TbTradesBinance[[#This Row],[Qtt]],BM88-TbTradesBinance[[#This Row],[Qtt]]),IF(TbTradesBinance[[#This Row],[Tipo]]="BUY",BM88-TbTradesBinance[[#This Row],[Qtt]]*TbTradesBinance[[#This Row],[Preço]],BM88+TbTradesBinance[[#This Row],[Qtt]]*TbTradesBinance[[#This Row],[Preço]])),BM88)-IF(TbTradesBinance[[#This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Row],[Tipo]]="DROP"),BM88+TbTradesBinance[[#This Row],[Qtt]],BM88-TbTradesBinance[[#This Row],[Qtt]]),IF(TbTradesBinance[[#This Row],[Tipo]]="BUY",BM88-TbTradesBinance[[#This Row],[Qtt]]*TbTradesBinance[[#This Row],[Preço]],BM88+TbTradesBinance[[#This Row],[Qtt]]*TbTradesBinance[[#This Row],[Preço]])),BM88)-IF(TbTradesBinance[[#This Row],[Moeda da Taxa]]=MID(BM$1,9,5),TbTradesBinance[[#This Row],[Taxa]],0),8)))</f>
        <v>0</v>
      </c>
      <c r="BN89" s="145" cm="1">
        <f t="array" ref="BN89">IF(TbTradesBinance[[#This Row],[Tipo]]="EMPTY",0,BN88+IF(TbTradesBinance[[#This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Row],[Par]]))),$1:$1,0)),-(BM88-BM89)/BM88*BN88),0),0)+IF(TbTradesBinance[[#This Row],[Tipo]]="SELL",IF(ISNUMBER(FIND(MID(BN$1,10,5),TbTradesBinance[[#This Row],[Par]])),IF(FIND(MID(BN$1,10,5),TbTradesBinance[[#This Row],[Par]])=1, -(BM88-BM89)/BM88*BN88,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Row],[Par]])),(-(BM88-BM89)/BM88*BN88)+IF(TbTradesBinance[[#This Row],[Resultado]]&gt;0,0,TbTradesBinance[[#This Row],[Taxa]]),0),0))</f>
        <v>0</v>
      </c>
      <c r="BO89" s="145">
        <f t="shared" si="37"/>
        <v>0</v>
      </c>
    </row>
    <row r="90" spans="2:67" x14ac:dyDescent="0.3">
      <c r="B90" s="51"/>
      <c r="C90" s="40">
        <f>TRUNC(IF(AND(TbTradesBinance[[#This Row],[Tipo]]="SEND",TbTradesBinance[[#This Row],[Par]]="BRL"),TbTradesBinance[[#This Row],[Qtt]]*(1-P88)-IF(TbTradesBinance[[#This Row],[Moeda da Taxa]]="BRL",TbTradesBinance[[#This Row],[Taxa]],0),0)+IF(AND(TbTradesBinance[[#This Row],[Tipo]]="BURN",TbTradesBinance[[#This Row],[Par]]="BRL"),-TbTradesBinance[[#This Row],[Qtt]]*P88,0),2)</f>
        <v>0</v>
      </c>
      <c r="D90" s="53">
        <v>44268.447025462963</v>
      </c>
      <c r="E90" s="37" t="s">
        <v>237</v>
      </c>
      <c r="F90" s="47" t="s">
        <v>139</v>
      </c>
      <c r="G90" s="38">
        <v>5.593</v>
      </c>
      <c r="H90" s="38">
        <v>18.41</v>
      </c>
      <c r="I90" s="38">
        <v>1.8409999999999999E-2</v>
      </c>
      <c r="J90" s="37" t="s">
        <v>42</v>
      </c>
      <c r="K90" s="52">
        <v>1</v>
      </c>
      <c r="L90" s="40">
        <f t="shared" si="19"/>
        <v>5.59</v>
      </c>
      <c r="M90" s="40">
        <f>IF(OR(TbTradesBinance[[#This Row],[Tipo]]="BUY",TbTradesBinance[[#This Row],[Tipo]]="RECEIVE",TbTradesBinance[[#This Row],[Tipo]]="DROP"),L90*H90,-L90*H90)</f>
        <v>102.9119</v>
      </c>
      <c r="N9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Row],[Tipo]]="DROP"),N89+TbTradesBinance[[#This Row],[Qtt]],N89-TbTradesBinance[[#This Row],[Qtt]]),IF(TbTradesBinance[[#This Row],[Tipo]]="BUY",N89-TbTradesBinance[[#This Row],[Qtt]]*TbTradesBinance[[#This Row],[Preço]],N89+TbTradesBinance[[#This Row],[Qtt]]*TbTradesBinance[[#This Row],[Preço]])),N89)-IF(TbTradesBinance[[#This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Row],[Tipo]]="DROP"),N89+TbTradesBinance[[#This Row],[Qtt]],N89-TbTradesBinance[[#This Row],[Qtt]]),IF(TbTradesBinance[[#This Row],[Tipo]]="BUY",N89-TbTradesBinance[[#This Row],[Qtt]]*TbTradesBinance[[#This Row],[Preço]],N89+TbTradesBinance[[#This Row],[Qtt]]*TbTradesBinance[[#This Row],[Preço]])),N89)-IF(TbTradesBinance[[#This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Row],[Tipo]]="DROP"),N89+TbTradesBinance[[#This Row],[Qtt]],N89-TbTradesBinance[[#This Row],[Qtt]]),IF(TbTradesBinance[[#This Row],[Tipo]]="BUY",N89-TbTradesBinance[[#This Row],[Qtt]]*TbTradesBinance[[#This Row],[Preço]],N89+TbTradesBinance[[#This Row],[Qtt]]*TbTradesBinance[[#This Row],[Preço]])),N89)-IF(TbTradesBinance[[#This Row],[Moeda da Taxa]]=MID(N$1,9,5),TbTradesBinance[[#This Row],[Taxa]],0),8)))</f>
        <v>121034.27689208</v>
      </c>
      <c r="O90" s="145" cm="1">
        <f t="array" ref="O90">IF(TbTradesBinance[[#This Row],[Tipo]]="EMPTY",0,O89+IF(TbTradesBinance[[#This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Row],[Par]]))),$1:$1,0)),-(N89-N90)/N89*O89),0),0)+IF(TbTradesBinance[[#This Row],[Tipo]]="SELL",IF(ISNUMBER(FIND(MID(O$1,10,5),TbTradesBinance[[#This Row],[Par]])),IF(FIND(MID(O$1,10,5),TbTradesBinance[[#This Row],[Par]])=1, -(N89-N90)/N89*O89,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Row],[Par]])),(-(N89-N90)/N89*O89)+IF(TbTradesBinance[[#This Row],[Resultado]]&gt;0,0,TbTradesBinance[[#This Row],[Taxa]]),0),0))</f>
        <v>121022.27309417291</v>
      </c>
      <c r="P90" s="145">
        <f t="shared" si="20"/>
        <v>0.99990082315344608</v>
      </c>
      <c r="Q9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Row],[Tipo]]="DROP"),Q89+TbTradesBinance[[#This Row],[Qtt]],Q89-TbTradesBinance[[#This Row],[Qtt]]),IF(TbTradesBinance[[#This Row],[Tipo]]="BUY",Q89-TbTradesBinance[[#This Row],[Qtt]]*TbTradesBinance[[#This Row],[Preço]],Q89+TbTradesBinance[[#This Row],[Qtt]]*TbTradesBinance[[#This Row],[Preço]])),Q89)-IF(TbTradesBinance[[#This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Row],[Tipo]]="DROP"),Q89+TbTradesBinance[[#This Row],[Qtt]],Q89-TbTradesBinance[[#This Row],[Qtt]]),IF(TbTradesBinance[[#This Row],[Tipo]]="BUY",Q89-TbTradesBinance[[#This Row],[Qtt]]*TbTradesBinance[[#This Row],[Preço]],Q89+TbTradesBinance[[#This Row],[Qtt]]*TbTradesBinance[[#This Row],[Preço]])),Q89)-IF(TbTradesBinance[[#This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Row],[Tipo]]="DROP"),Q89+TbTradesBinance[[#This Row],[Qtt]],Q89-TbTradesBinance[[#This Row],[Qtt]]),IF(TbTradesBinance[[#This Row],[Tipo]]="BUY",Q89-TbTradesBinance[[#This Row],[Qtt]]*TbTradesBinance[[#This Row],[Preço]],Q89+TbTradesBinance[[#This Row],[Qtt]]*TbTradesBinance[[#This Row],[Preço]])),Q89)-IF(TbTradesBinance[[#This Row],[Moeda da Taxa]]=MID(Q$1,9,5),TbTradesBinance[[#This Row],[Taxa]],0),8)))</f>
        <v>18.767310219999999</v>
      </c>
      <c r="R90" s="145" cm="1">
        <f t="array" ref="R90">IF(TbTradesBinance[[#This Row],[Tipo]]="EMPTY",0,R89+IF(TbTradesBinance[[#This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Row],[Par]]))),$1:$1,0)),-(Q89-Q90)/Q89*R89),0),0)+IF(TbTradesBinance[[#This Row],[Tipo]]="SELL",IF(ISNUMBER(FIND(MID(R$1,10,5),TbTradesBinance[[#This Row],[Par]])),IF(FIND(MID(R$1,10,5),TbTradesBinance[[#This Row],[Par]])=1, -(Q89-Q90)/Q89*R89,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Row],[Par]])),(-(Q89-Q90)/Q89*R89)+IF(TbTradesBinance[[#This Row],[Resultado]]&gt;0,0,TbTradesBinance[[#This Row],[Taxa]]),0),0))</f>
        <v>104.86999113808997</v>
      </c>
      <c r="S90" s="145">
        <f t="shared" si="21"/>
        <v>5.5879073723805037</v>
      </c>
      <c r="T9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Row],[Tipo]]="DROP"),T89+TbTradesBinance[[#This Row],[Qtt]],T89-TbTradesBinance[[#This Row],[Qtt]]),IF(TbTradesBinance[[#This Row],[Tipo]]="BUY",T89-TbTradesBinance[[#This Row],[Qtt]]*TbTradesBinance[[#This Row],[Preço]],T89+TbTradesBinance[[#This Row],[Qtt]]*TbTradesBinance[[#This Row],[Preço]])),T89)-IF(TbTradesBinance[[#This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Row],[Tipo]]="DROP"),T89+TbTradesBinance[[#This Row],[Qtt]],T89-TbTradesBinance[[#This Row],[Qtt]]),IF(TbTradesBinance[[#This Row],[Tipo]]="BUY",T89-TbTradesBinance[[#This Row],[Qtt]]*TbTradesBinance[[#This Row],[Preço]],T89+TbTradesBinance[[#This Row],[Qtt]]*TbTradesBinance[[#This Row],[Preço]])),T89)-IF(TbTradesBinance[[#This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Row],[Tipo]]="DROP"),T89+TbTradesBinance[[#This Row],[Qtt]],T89-TbTradesBinance[[#This Row],[Qtt]]),IF(TbTradesBinance[[#This Row],[Tipo]]="BUY",T89-TbTradesBinance[[#This Row],[Qtt]]*TbTradesBinance[[#This Row],[Preço]],T89+TbTradesBinance[[#This Row],[Qtt]]*TbTradesBinance[[#This Row],[Preço]])),T89)-IF(TbTradesBinance[[#This Row],[Moeda da Taxa]]=MID(T$1,9,5),TbTradesBinance[[#This Row],[Taxa]],0),8)))</f>
        <v>199735.32000169999</v>
      </c>
      <c r="U90" s="145" cm="1">
        <f t="array" ref="U90">IF(TbTradesBinance[[#This Row],[Tipo]]="EMPTY",0,U89+IF(TbTradesBinance[[#This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Row],[Par]]))),$1:$1,0)),-(T89-T90)/T89*U89),0),0)+IF(TbTradesBinance[[#This Row],[Tipo]]="SELL",IF(ISNUMBER(FIND(MID(U$1,10,5),TbTradesBinance[[#This Row],[Par]])),IF(FIND(MID(U$1,10,5),TbTradesBinance[[#This Row],[Par]])=1, -(T89-T90)/T89*U89,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Row],[Par]])),(-(T89-T90)/T89*U89)+IF(TbTradesBinance[[#This Row],[Resultado]]&gt;0,0,TbTradesBinance[[#This Row],[Taxa]]),0),0))</f>
        <v>1328239.8809817513</v>
      </c>
      <c r="V90" s="145">
        <f t="shared" si="22"/>
        <v>6.6500000148719129</v>
      </c>
      <c r="W9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Row],[Tipo]]="DROP"),W89+TbTradesBinance[[#This Row],[Qtt]],W89-TbTradesBinance[[#This Row],[Qtt]]),IF(TbTradesBinance[[#This Row],[Tipo]]="BUY",W89-TbTradesBinance[[#This Row],[Qtt]]*TbTradesBinance[[#This Row],[Preço]],W89+TbTradesBinance[[#This Row],[Qtt]]*TbTradesBinance[[#This Row],[Preço]])),W89)-IF(TbTradesBinance[[#This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Row],[Tipo]]="DROP"),W89+TbTradesBinance[[#This Row],[Qtt]],W89-TbTradesBinance[[#This Row],[Qtt]]),IF(TbTradesBinance[[#This Row],[Tipo]]="BUY",W89-TbTradesBinance[[#This Row],[Qtt]]*TbTradesBinance[[#This Row],[Preço]],W89+TbTradesBinance[[#This Row],[Qtt]]*TbTradesBinance[[#This Row],[Preço]])),W89)-IF(TbTradesBinance[[#This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Row],[Tipo]]="DROP"),W89+TbTradesBinance[[#This Row],[Qtt]],W89-TbTradesBinance[[#This Row],[Qtt]]),IF(TbTradesBinance[[#This Row],[Tipo]]="BUY",W89-TbTradesBinance[[#This Row],[Qtt]]*TbTradesBinance[[#This Row],[Preço]],W89+TbTradesBinance[[#This Row],[Qtt]]*TbTradesBinance[[#This Row],[Preço]])),W89)-IF(TbTradesBinance[[#This Row],[Moeda da Taxa]]=MID(W$1,9,5),TbTradesBinance[[#This Row],[Taxa]],0),8)))</f>
        <v>4.5399999999999997E-6</v>
      </c>
      <c r="X90" s="145" cm="1">
        <f t="array" ref="X90">IF(TbTradesBinance[[#This Row],[Tipo]]="EMPTY",0,X89+IF(TbTradesBinance[[#This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Row],[Par]]))),$1:$1,0)),-(W89-W90)/W89*X89),0),0)+IF(TbTradesBinance[[#This Row],[Tipo]]="SELL",IF(ISNUMBER(FIND(MID(X$1,10,5),TbTradesBinance[[#This Row],[Par]])),IF(FIND(MID(X$1,10,5),TbTradesBinance[[#This Row],[Par]])=1, -(W89-W90)/W89*X89,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Row],[Par]])),(-(W89-W90)/W89*X89)+IF(TbTradesBinance[[#This Row],[Resultado]]&gt;0,0,TbTradesBinance[[#This Row],[Taxa]]),0),0))</f>
        <v>1.5152928264556067</v>
      </c>
      <c r="Y90" s="145">
        <f t="shared" si="23"/>
        <v>333764.93974793103</v>
      </c>
      <c r="Z9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Row],[Tipo]]="DROP"),Z89+TbTradesBinance[[#This Row],[Qtt]],Z89-TbTradesBinance[[#This Row],[Qtt]]),IF(TbTradesBinance[[#This Row],[Tipo]]="BUY",Z89-TbTradesBinance[[#This Row],[Qtt]]*TbTradesBinance[[#This Row],[Preço]],Z89+TbTradesBinance[[#This Row],[Qtt]]*TbTradesBinance[[#This Row],[Preço]])),Z89)-IF(TbTradesBinance[[#This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Row],[Tipo]]="DROP"),Z89+TbTradesBinance[[#This Row],[Qtt]],Z89-TbTradesBinance[[#This Row],[Qtt]]),IF(TbTradesBinance[[#This Row],[Tipo]]="BUY",Z89-TbTradesBinance[[#This Row],[Qtt]]*TbTradesBinance[[#This Row],[Preço]],Z89+TbTradesBinance[[#This Row],[Qtt]]*TbTradesBinance[[#This Row],[Preço]])),Z89)-IF(TbTradesBinance[[#This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Row],[Tipo]]="DROP"),Z89+TbTradesBinance[[#This Row],[Qtt]],Z89-TbTradesBinance[[#This Row],[Qtt]]),IF(TbTradesBinance[[#This Row],[Tipo]]="BUY",Z89-TbTradesBinance[[#This Row],[Qtt]]*TbTradesBinance[[#This Row],[Preço]],Z89+TbTradesBinance[[#This Row],[Qtt]]*TbTradesBinance[[#This Row],[Preço]])),Z89)-IF(TbTradesBinance[[#This Row],[Moeda da Taxa]]=MID(Z$1,9,5),TbTradesBinance[[#This Row],[Taxa]],0),8)))</f>
        <v>0</v>
      </c>
      <c r="AA90" s="145" cm="1">
        <f t="array" ref="AA90">IF(TbTradesBinance[[#This Row],[Tipo]]="EMPTY",0,AA89+IF(TbTradesBinance[[#This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Row],[Par]]))),$1:$1,0)),-(Z89-Z90)/Z89*AA89),0),0)+IF(TbTradesBinance[[#This Row],[Tipo]]="SELL",IF(ISNUMBER(FIND(MID(AA$1,10,5),TbTradesBinance[[#This Row],[Par]])),IF(FIND(MID(AA$1,10,5),TbTradesBinance[[#This Row],[Par]])=1, -(Z89-Z90)/Z89*AA89,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Row],[Par]])),(-(Z89-Z90)/Z89*AA89)+IF(TbTradesBinance[[#This Row],[Resultado]]&gt;0,0,TbTradesBinance[[#This Row],[Taxa]]),0),0))</f>
        <v>0</v>
      </c>
      <c r="AB90" s="145">
        <f t="shared" si="24"/>
        <v>0</v>
      </c>
      <c r="AC9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Row],[Tipo]]="DROP"),AC89+TbTradesBinance[[#This Row],[Qtt]],AC89-TbTradesBinance[[#This Row],[Qtt]]),IF(TbTradesBinance[[#This Row],[Tipo]]="BUY",AC89-TbTradesBinance[[#This Row],[Qtt]]*TbTradesBinance[[#This Row],[Preço]],AC89+TbTradesBinance[[#This Row],[Qtt]]*TbTradesBinance[[#This Row],[Preço]])),AC89)-IF(TbTradesBinance[[#This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Row],[Tipo]]="DROP"),AC89+TbTradesBinance[[#This Row],[Qtt]],AC89-TbTradesBinance[[#This Row],[Qtt]]),IF(TbTradesBinance[[#This Row],[Tipo]]="BUY",AC89-TbTradesBinance[[#This Row],[Qtt]]*TbTradesBinance[[#This Row],[Preço]],AC89+TbTradesBinance[[#This Row],[Qtt]]*TbTradesBinance[[#This Row],[Preço]])),AC89)-IF(TbTradesBinance[[#This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Row],[Tipo]]="DROP"),AC89+TbTradesBinance[[#This Row],[Qtt]],AC89-TbTradesBinance[[#This Row],[Qtt]]),IF(TbTradesBinance[[#This Row],[Tipo]]="BUY",AC89-TbTradesBinance[[#This Row],[Qtt]]*TbTradesBinance[[#This Row],[Preço]],AC89+TbTradesBinance[[#This Row],[Qtt]]*TbTradesBinance[[#This Row],[Preço]])),AC89)-IF(TbTradesBinance[[#This Row],[Moeda da Taxa]]=MID(AC$1,9,5),TbTradesBinance[[#This Row],[Taxa]],0),8)))</f>
        <v>2.997E-2</v>
      </c>
      <c r="AD90" s="145" cm="1">
        <f t="array" ref="AD90">IF(TbTradesBinance[[#This Row],[Tipo]]="EMPTY",0,AD89+IF(TbTradesBinance[[#This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Row],[Par]]))),$1:$1,0)),-(AC89-AC90)/AC89*AD89),0),0)+IF(TbTradesBinance[[#This Row],[Tipo]]="SELL",IF(ISNUMBER(FIND(MID(AD$1,10,5),TbTradesBinance[[#This Row],[Par]])),IF(FIND(MID(AD$1,10,5),TbTradesBinance[[#This Row],[Par]])=1, -(AC89-AC90)/AC89*AD89,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Row],[Par]])),(-(AC89-AC90)/AC89*AD89)+IF(TbTradesBinance[[#This Row],[Resultado]]&gt;0,0,TbTradesBinance[[#This Row],[Taxa]]),0),0))</f>
        <v>60.199749701148171</v>
      </c>
      <c r="AE90" s="145">
        <f t="shared" si="25"/>
        <v>2008.6669903619677</v>
      </c>
      <c r="AF9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Row],[Tipo]]="DROP"),AF89+TbTradesBinance[[#This Row],[Qtt]],AF89-TbTradesBinance[[#This Row],[Qtt]]),IF(TbTradesBinance[[#This Row],[Tipo]]="BUY",AF89-TbTradesBinance[[#This Row],[Qtt]]*TbTradesBinance[[#This Row],[Preço]],AF89+TbTradesBinance[[#This Row],[Qtt]]*TbTradesBinance[[#This Row],[Preço]])),AF89)-IF(TbTradesBinance[[#This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Row],[Tipo]]="DROP"),AF89+TbTradesBinance[[#This Row],[Qtt]],AF89-TbTradesBinance[[#This Row],[Qtt]]),IF(TbTradesBinance[[#This Row],[Tipo]]="BUY",AF89-TbTradesBinance[[#This Row],[Qtt]]*TbTradesBinance[[#This Row],[Preço]],AF89+TbTradesBinance[[#This Row],[Qtt]]*TbTradesBinance[[#This Row],[Preço]])),AF89)-IF(TbTradesBinance[[#This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Row],[Tipo]]="DROP"),AF89+TbTradesBinance[[#This Row],[Qtt]],AF89-TbTradesBinance[[#This Row],[Qtt]]),IF(TbTradesBinance[[#This Row],[Tipo]]="BUY",AF89-TbTradesBinance[[#This Row],[Qtt]]*TbTradesBinance[[#This Row],[Preço]],AF89+TbTradesBinance[[#This Row],[Qtt]]*TbTradesBinance[[#This Row],[Preço]])),AF89)-IF(TbTradesBinance[[#This Row],[Moeda da Taxa]]=MID(AF$1,9,5),TbTradesBinance[[#This Row],[Taxa]],0),8)))</f>
        <v>19.98</v>
      </c>
      <c r="AG90" s="145" cm="1">
        <f t="array" ref="AG90">IF(TbTradesBinance[[#This Row],[Tipo]]="EMPTY",0,AG89+IF(TbTradesBinance[[#This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Row],[Par]]))),$1:$1,0)),-(AF89-AF90)/AF89*AG89),0),0)+IF(TbTradesBinance[[#This Row],[Tipo]]="SELL",IF(ISNUMBER(FIND(MID(AG$1,10,5),TbTradesBinance[[#This Row],[Par]])),IF(FIND(MID(AG$1,10,5),TbTradesBinance[[#This Row],[Par]])=1, -(AF89-AF90)/AF89*AG89,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Row],[Par]])),(-(AF89-AF90)/AF89*AG89)+IF(TbTradesBinance[[#This Row],[Resultado]]&gt;0,0,TbTradesBinance[[#This Row],[Taxa]]),0),0))</f>
        <v>124.04182758073662</v>
      </c>
      <c r="AH90" s="145">
        <f t="shared" si="26"/>
        <v>6.2082996787155462</v>
      </c>
      <c r="AI9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Row],[Tipo]]="DROP"),AI89+TbTradesBinance[[#This Row],[Qtt]],AI89-TbTradesBinance[[#This Row],[Qtt]]),IF(TbTradesBinance[[#This Row],[Tipo]]="BUY",AI89-TbTradesBinance[[#This Row],[Qtt]]*TbTradesBinance[[#This Row],[Preço]],AI89+TbTradesBinance[[#This Row],[Qtt]]*TbTradesBinance[[#This Row],[Preço]])),AI89)-IF(TbTradesBinance[[#This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Row],[Tipo]]="DROP"),AI89+TbTradesBinance[[#This Row],[Qtt]],AI89-TbTradesBinance[[#This Row],[Qtt]]),IF(TbTradesBinance[[#This Row],[Tipo]]="BUY",AI89-TbTradesBinance[[#This Row],[Qtt]]*TbTradesBinance[[#This Row],[Preço]],AI89+TbTradesBinance[[#This Row],[Qtt]]*TbTradesBinance[[#This Row],[Preço]])),AI89)-IF(TbTradesBinance[[#This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Row],[Tipo]]="DROP"),AI89+TbTradesBinance[[#This Row],[Qtt]],AI89-TbTradesBinance[[#This Row],[Qtt]]),IF(TbTradesBinance[[#This Row],[Tipo]]="BUY",AI89-TbTradesBinance[[#This Row],[Qtt]]*TbTradesBinance[[#This Row],[Preço]],AI89+TbTradesBinance[[#This Row],[Qtt]]*TbTradesBinance[[#This Row],[Preço]])),AI89)-IF(TbTradesBinance[[#This Row],[Moeda da Taxa]]=MID(AI$1,9,5),TbTradesBinance[[#This Row],[Taxa]],0),8)))</f>
        <v>0</v>
      </c>
      <c r="AJ90" s="145" cm="1">
        <f t="array" ref="AJ90">IF(TbTradesBinance[[#This Row],[Tipo]]="EMPTY",0,AJ89+IF(TbTradesBinance[[#This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Row],[Par]]))),$1:$1,0)),-(AI89-AI90)/AI89*AJ89),0),0)+IF(TbTradesBinance[[#This Row],[Tipo]]="SELL",IF(ISNUMBER(FIND(MID(AJ$1,10,5),TbTradesBinance[[#This Row],[Par]])),IF(FIND(MID(AJ$1,10,5),TbTradesBinance[[#This Row],[Par]])=1, -(AI89-AI90)/AI89*AJ89,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Row],[Par]])),(-(AI89-AI90)/AI89*AJ89)+IF(TbTradesBinance[[#This Row],[Resultado]]&gt;0,0,TbTradesBinance[[#This Row],[Taxa]]),0),0))</f>
        <v>0</v>
      </c>
      <c r="AK90" s="145">
        <f t="shared" si="27"/>
        <v>0</v>
      </c>
      <c r="AL9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Row],[Tipo]]="DROP"),AL89+TbTradesBinance[[#This Row],[Qtt]],AL89-TbTradesBinance[[#This Row],[Qtt]]),IF(TbTradesBinance[[#This Row],[Tipo]]="BUY",AL89-TbTradesBinance[[#This Row],[Qtt]]*TbTradesBinance[[#This Row],[Preço]],AL89+TbTradesBinance[[#This Row],[Qtt]]*TbTradesBinance[[#This Row],[Preço]])),AL89)-IF(TbTradesBinance[[#This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Row],[Tipo]]="DROP"),AL89+TbTradesBinance[[#This Row],[Qtt]],AL89-TbTradesBinance[[#This Row],[Qtt]]),IF(TbTradesBinance[[#This Row],[Tipo]]="BUY",AL89-TbTradesBinance[[#This Row],[Qtt]]*TbTradesBinance[[#This Row],[Preço]],AL89+TbTradesBinance[[#This Row],[Qtt]]*TbTradesBinance[[#This Row],[Preço]])),AL89)-IF(TbTradesBinance[[#This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Row],[Tipo]]="DROP"),AL89+TbTradesBinance[[#This Row],[Qtt]],AL89-TbTradesBinance[[#This Row],[Qtt]]),IF(TbTradesBinance[[#This Row],[Tipo]]="BUY",AL89-TbTradesBinance[[#This Row],[Qtt]]*TbTradesBinance[[#This Row],[Preço]],AL89+TbTradesBinance[[#This Row],[Qtt]]*TbTradesBinance[[#This Row],[Preço]])),AL89)-IF(TbTradesBinance[[#This Row],[Moeda da Taxa]]=MID(AL$1,9,5),TbTradesBinance[[#This Row],[Taxa]],0),8)))</f>
        <v>1.75824</v>
      </c>
      <c r="AM90" s="145" cm="1">
        <f t="array" ref="AM90">IF(TbTradesBinance[[#This Row],[Tipo]]="EMPTY",0,AM89+IF(TbTradesBinance[[#This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Row],[Par]]))),$1:$1,0)),-(AL89-AL90)/AL89*AM89),0),0)+IF(TbTradesBinance[[#This Row],[Tipo]]="SELL",IF(ISNUMBER(FIND(MID(AM$1,10,5),TbTradesBinance[[#This Row],[Par]])),IF(FIND(MID(AM$1,10,5),TbTradesBinance[[#This Row],[Par]])=1, -(AL89-AL90)/AL89*AM89,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Row],[Par]])),(-(AL89-AL90)/AL89*AM89)+IF(TbTradesBinance[[#This Row],[Resultado]]&gt;0,0,TbTradesBinance[[#This Row],[Taxa]]),0),0))</f>
        <v>144.56635471393039</v>
      </c>
      <c r="AN90" s="145">
        <f t="shared" si="28"/>
        <v>82.222196465744375</v>
      </c>
      <c r="AO9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Row],[Tipo]]="DROP"),AO89+TbTradesBinance[[#This Row],[Qtt]],AO89-TbTradesBinance[[#This Row],[Qtt]]),IF(TbTradesBinance[[#This Row],[Tipo]]="BUY",AO89-TbTradesBinance[[#This Row],[Qtt]]*TbTradesBinance[[#This Row],[Preço]],AO89+TbTradesBinance[[#This Row],[Qtt]]*TbTradesBinance[[#This Row],[Preço]])),AO89)-IF(TbTradesBinance[[#This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Row],[Tipo]]="DROP"),AO89+TbTradesBinance[[#This Row],[Qtt]],AO89-TbTradesBinance[[#This Row],[Qtt]]),IF(TbTradesBinance[[#This Row],[Tipo]]="BUY",AO89-TbTradesBinance[[#This Row],[Qtt]]*TbTradesBinance[[#This Row],[Preço]],AO89+TbTradesBinance[[#This Row],[Qtt]]*TbTradesBinance[[#This Row],[Preço]])),AO89)-IF(TbTradesBinance[[#This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Row],[Tipo]]="DROP"),AO89+TbTradesBinance[[#This Row],[Qtt]],AO89-TbTradesBinance[[#This Row],[Qtt]]),IF(TbTradesBinance[[#This Row],[Tipo]]="BUY",AO89-TbTradesBinance[[#This Row],[Qtt]]*TbTradesBinance[[#This Row],[Preço]],AO89+TbTradesBinance[[#This Row],[Qtt]]*TbTradesBinance[[#This Row],[Preço]])),AO89)-IF(TbTradesBinance[[#This Row],[Moeda da Taxa]]=MID(AO$1,9,5),TbTradesBinance[[#This Row],[Taxa]],0),8)))</f>
        <v>3.9907299999999996E-3</v>
      </c>
      <c r="AP90" s="145" cm="1">
        <f t="array" ref="AP90">IF(TbTradesBinance[[#This Row],[Tipo]]="EMPTY",0,AP89+IF(TbTradesBinance[[#This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Row],[Par]]))),$1:$1,0)),-(AO89-AO90)/AO89*AP89),0),0)+IF(TbTradesBinance[[#This Row],[Tipo]]="SELL",IF(ISNUMBER(FIND(MID(AP$1,10,5),TbTradesBinance[[#This Row],[Par]])),IF(FIND(MID(AP$1,10,5),TbTradesBinance[[#This Row],[Par]])=1, -(AO89-AO90)/AO89*AP89,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Row],[Par]])),(-(AO89-AO90)/AO89*AP89)+IF(TbTradesBinance[[#This Row],[Resultado]]&gt;0,0,TbTradesBinance[[#This Row],[Taxa]]),0),0))</f>
        <v>7.3360959318006032</v>
      </c>
      <c r="AQ90" s="145">
        <f t="shared" si="29"/>
        <v>1838.2842065989439</v>
      </c>
      <c r="AR9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Row],[Tipo]]="DROP"),AR89+TbTradesBinance[[#This Row],[Qtt]],AR89-TbTradesBinance[[#This Row],[Qtt]]),IF(TbTradesBinance[[#This Row],[Tipo]]="BUY",AR89-TbTradesBinance[[#This Row],[Qtt]]*TbTradesBinance[[#This Row],[Preço]],AR89+TbTradesBinance[[#This Row],[Qtt]]*TbTradesBinance[[#This Row],[Preço]])),AR89)-IF(TbTradesBinance[[#This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Row],[Tipo]]="DROP"),AR89+TbTradesBinance[[#This Row],[Qtt]],AR89-TbTradesBinance[[#This Row],[Qtt]]),IF(TbTradesBinance[[#This Row],[Tipo]]="BUY",AR89-TbTradesBinance[[#This Row],[Qtt]]*TbTradesBinance[[#This Row],[Preço]],AR89+TbTradesBinance[[#This Row],[Qtt]]*TbTradesBinance[[#This Row],[Preço]])),AR89)-IF(TbTradesBinance[[#This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Row],[Tipo]]="DROP"),AR89+TbTradesBinance[[#This Row],[Qtt]],AR89-TbTradesBinance[[#This Row],[Qtt]]),IF(TbTradesBinance[[#This Row],[Tipo]]="BUY",AR89-TbTradesBinance[[#This Row],[Qtt]]*TbTradesBinance[[#This Row],[Preço]],AR89+TbTradesBinance[[#This Row],[Qtt]]*TbTradesBinance[[#This Row],[Preço]])),AR89)-IF(TbTradesBinance[[#This Row],[Moeda da Taxa]]=MID(AR$1,9,5),TbTradesBinance[[#This Row],[Taxa]],0),8)))</f>
        <v>0</v>
      </c>
      <c r="AS90" s="145" cm="1">
        <f t="array" ref="AS90">IF(TbTradesBinance[[#This Row],[Tipo]]="EMPTY",0,AS89+IF(TbTradesBinance[[#This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Row],[Par]]))),$1:$1,0)),-(AR89-AR90)/AR89*AS89),0),0)+IF(TbTradesBinance[[#This Row],[Tipo]]="SELL",IF(ISNUMBER(FIND(MID(AS$1,10,5),TbTradesBinance[[#This Row],[Par]])),IF(FIND(MID(AS$1,10,5),TbTradesBinance[[#This Row],[Par]])=1, -(AR89-AR90)/AR89*AS89,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Row],[Par]])),(-(AR89-AR90)/AR89*AS89)+IF(TbTradesBinance[[#This Row],[Resultado]]&gt;0,0,TbTradesBinance[[#This Row],[Taxa]]),0),0))</f>
        <v>0</v>
      </c>
      <c r="AT90" s="145">
        <f t="shared" si="30"/>
        <v>0</v>
      </c>
      <c r="AU9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Row],[Tipo]]="DROP"),AU89+TbTradesBinance[[#This Row],[Qtt]],AU89-TbTradesBinance[[#This Row],[Qtt]]),IF(TbTradesBinance[[#This Row],[Tipo]]="BUY",AU89-TbTradesBinance[[#This Row],[Qtt]]*TbTradesBinance[[#This Row],[Preço]],AU89+TbTradesBinance[[#This Row],[Qtt]]*TbTradesBinance[[#This Row],[Preço]])),AU89)-IF(TbTradesBinance[[#This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Row],[Tipo]]="DROP"),AU89+TbTradesBinance[[#This Row],[Qtt]],AU89-TbTradesBinance[[#This Row],[Qtt]]),IF(TbTradesBinance[[#This Row],[Tipo]]="BUY",AU89-TbTradesBinance[[#This Row],[Qtt]]*TbTradesBinance[[#This Row],[Preço]],AU89+TbTradesBinance[[#This Row],[Qtt]]*TbTradesBinance[[#This Row],[Preço]])),AU89)-IF(TbTradesBinance[[#This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Row],[Tipo]]="DROP"),AU89+TbTradesBinance[[#This Row],[Qtt]],AU89-TbTradesBinance[[#This Row],[Qtt]]),IF(TbTradesBinance[[#This Row],[Tipo]]="BUY",AU89-TbTradesBinance[[#This Row],[Qtt]]*TbTradesBinance[[#This Row],[Preço]],AU89+TbTradesBinance[[#This Row],[Qtt]]*TbTradesBinance[[#This Row],[Preço]])),AU89)-IF(TbTradesBinance[[#This Row],[Moeda da Taxa]]=MID(AU$1,9,5),TbTradesBinance[[#This Row],[Taxa]],0),8)))</f>
        <v>0</v>
      </c>
      <c r="AV90" s="145" cm="1">
        <f t="array" ref="AV90">IF(TbTradesBinance[[#This Row],[Tipo]]="EMPTY",0,AV89+IF(TbTradesBinance[[#This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Row],[Par]]))),$1:$1,0)),-(AU89-AU90)/AU89*AV89),0),0)+IF(TbTradesBinance[[#This Row],[Tipo]]="SELL",IF(ISNUMBER(FIND(MID(AV$1,10,5),TbTradesBinance[[#This Row],[Par]])),IF(FIND(MID(AV$1,10,5),TbTradesBinance[[#This Row],[Par]])=1, -(AU89-AU90)/AU89*AV89,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Row],[Par]])),(-(AU89-AU90)/AU89*AV89)+IF(TbTradesBinance[[#This Row],[Resultado]]&gt;0,0,TbTradesBinance[[#This Row],[Taxa]]),0),0))</f>
        <v>0</v>
      </c>
      <c r="AW90" s="145">
        <f t="shared" si="31"/>
        <v>0</v>
      </c>
      <c r="AX9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Row],[Tipo]]="DROP"),AX89+TbTradesBinance[[#This Row],[Qtt]],AX89-TbTradesBinance[[#This Row],[Qtt]]),IF(TbTradesBinance[[#This Row],[Tipo]]="BUY",AX89-TbTradesBinance[[#This Row],[Qtt]]*TbTradesBinance[[#This Row],[Preço]],AX89+TbTradesBinance[[#This Row],[Qtt]]*TbTradesBinance[[#This Row],[Preço]])),AX89)-IF(TbTradesBinance[[#This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Row],[Tipo]]="DROP"),AX89+TbTradesBinance[[#This Row],[Qtt]],AX89-TbTradesBinance[[#This Row],[Qtt]]),IF(TbTradesBinance[[#This Row],[Tipo]]="BUY",AX89-TbTradesBinance[[#This Row],[Qtt]]*TbTradesBinance[[#This Row],[Preço]],AX89+TbTradesBinance[[#This Row],[Qtt]]*TbTradesBinance[[#This Row],[Preço]])),AX89)-IF(TbTradesBinance[[#This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Row],[Tipo]]="DROP"),AX89+TbTradesBinance[[#This Row],[Qtt]],AX89-TbTradesBinance[[#This Row],[Qtt]]),IF(TbTradesBinance[[#This Row],[Tipo]]="BUY",AX89-TbTradesBinance[[#This Row],[Qtt]]*TbTradesBinance[[#This Row],[Preço]],AX89+TbTradesBinance[[#This Row],[Qtt]]*TbTradesBinance[[#This Row],[Preço]])),AX89)-IF(TbTradesBinance[[#This Row],[Moeda da Taxa]]=MID(AX$1,9,5),TbTradesBinance[[#This Row],[Taxa]],0),8)))</f>
        <v>0.22636999999999999</v>
      </c>
      <c r="AY90" s="145" cm="1">
        <f t="array" ref="AY90">IF(TbTradesBinance[[#This Row],[Tipo]]="EMPTY",0,AY89+IF(TbTradesBinance[[#This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Row],[Par]]))),$1:$1,0)),-(AX89-AX90)/AX89*AY89),0),0)+IF(TbTradesBinance[[#This Row],[Tipo]]="SELL",IF(ISNUMBER(FIND(MID(AY$1,10,5),TbTradesBinance[[#This Row],[Par]])),IF(FIND(MID(AY$1,10,5),TbTradesBinance[[#This Row],[Par]])=1, -(AX89-AX90)/AX89*AY89,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Row],[Par]])),(-(AX89-AX90)/AX89*AY89)+IF(TbTradesBinance[[#This Row],[Resultado]]&gt;0,0,TbTradesBinance[[#This Row],[Taxa]]),0),0))</f>
        <v>40.781337593356859</v>
      </c>
      <c r="AZ90" s="145">
        <f t="shared" si="32"/>
        <v>180.15345493376711</v>
      </c>
      <c r="BA9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Row],[Tipo]]="DROP"),BA89+TbTradesBinance[[#This Row],[Qtt]],BA89-TbTradesBinance[[#This Row],[Qtt]]),IF(TbTradesBinance[[#This Row],[Tipo]]="BUY",BA89-TbTradesBinance[[#This Row],[Qtt]]*TbTradesBinance[[#This Row],[Preço]],BA89+TbTradesBinance[[#This Row],[Qtt]]*TbTradesBinance[[#This Row],[Preço]])),BA89)-IF(TbTradesBinance[[#This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Row],[Tipo]]="DROP"),BA89+TbTradesBinance[[#This Row],[Qtt]],BA89-TbTradesBinance[[#This Row],[Qtt]]),IF(TbTradesBinance[[#This Row],[Tipo]]="BUY",BA89-TbTradesBinance[[#This Row],[Qtt]]*TbTradesBinance[[#This Row],[Preço]],BA89+TbTradesBinance[[#This Row],[Qtt]]*TbTradesBinance[[#This Row],[Preço]])),BA89)-IF(TbTradesBinance[[#This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Row],[Tipo]]="DROP"),BA89+TbTradesBinance[[#This Row],[Qtt]],BA89-TbTradesBinance[[#This Row],[Qtt]]),IF(TbTradesBinance[[#This Row],[Tipo]]="BUY",BA89-TbTradesBinance[[#This Row],[Qtt]]*TbTradesBinance[[#This Row],[Preço]],BA89+TbTradesBinance[[#This Row],[Qtt]]*TbTradesBinance[[#This Row],[Preço]])),BA89)-IF(TbTradesBinance[[#This Row],[Moeda da Taxa]]=MID(BA$1,9,5),TbTradesBinance[[#This Row],[Taxa]],0),8)))</f>
        <v>0</v>
      </c>
      <c r="BB90" s="145" cm="1">
        <f t="array" ref="BB90">IF(TbTradesBinance[[#This Row],[Tipo]]="EMPTY",0,BB89+IF(TbTradesBinance[[#This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Row],[Par]]))),$1:$1,0)),-(BA89-BA90)/BA89*BB89),0),0)+IF(TbTradesBinance[[#This Row],[Tipo]]="SELL",IF(ISNUMBER(FIND(MID(BB$1,10,5),TbTradesBinance[[#This Row],[Par]])),IF(FIND(MID(BB$1,10,5),TbTradesBinance[[#This Row],[Par]])=1, -(BA89-BA90)/BA89*BB89,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Row],[Par]])),(-(BA89-BA90)/BA89*BB89)+IF(TbTradesBinance[[#This Row],[Resultado]]&gt;0,0,TbTradesBinance[[#This Row],[Taxa]]),0),0))</f>
        <v>0</v>
      </c>
      <c r="BC90" s="145">
        <f t="shared" si="33"/>
        <v>0</v>
      </c>
      <c r="BD9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Row],[Tipo]]="DROP"),BD89+TbTradesBinance[[#This Row],[Qtt]],BD89-TbTradesBinance[[#This Row],[Qtt]]),IF(TbTradesBinance[[#This Row],[Tipo]]="BUY",BD89-TbTradesBinance[[#This Row],[Qtt]]*TbTradesBinance[[#This Row],[Preço]],BD89+TbTradesBinance[[#This Row],[Qtt]]*TbTradesBinance[[#This Row],[Preço]])),BD89)-IF(TbTradesBinance[[#This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Row],[Tipo]]="DROP"),BD89+TbTradesBinance[[#This Row],[Qtt]],BD89-TbTradesBinance[[#This Row],[Qtt]]),IF(TbTradesBinance[[#This Row],[Tipo]]="BUY",BD89-TbTradesBinance[[#This Row],[Qtt]]*TbTradesBinance[[#This Row],[Preço]],BD89+TbTradesBinance[[#This Row],[Qtt]]*TbTradesBinance[[#This Row],[Preço]])),BD89)-IF(TbTradesBinance[[#This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Row],[Tipo]]="DROP"),BD89+TbTradesBinance[[#This Row],[Qtt]],BD89-TbTradesBinance[[#This Row],[Qtt]]),IF(TbTradesBinance[[#This Row],[Tipo]]="BUY",BD89-TbTradesBinance[[#This Row],[Qtt]]*TbTradesBinance[[#This Row],[Preço]],BD89+TbTradesBinance[[#This Row],[Qtt]]*TbTradesBinance[[#This Row],[Preço]])),BD89)-IF(TbTradesBinance[[#This Row],[Moeda da Taxa]]=MID(BD$1,9,5),TbTradesBinance[[#This Row],[Taxa]],0),8)))</f>
        <v>9.6200000000000001E-3</v>
      </c>
      <c r="BE90" s="145" cm="1">
        <f t="array" ref="BE90">IF(TbTradesBinance[[#This Row],[Tipo]]="EMPTY",0,BE89+IF(TbTradesBinance[[#This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Row],[Par]]))),$1:$1,0)),-(BD89-BD90)/BD89*BE89),0),0)+IF(TbTradesBinance[[#This Row],[Tipo]]="SELL",IF(ISNUMBER(FIND(MID(BE$1,10,5),TbTradesBinance[[#This Row],[Par]])),IF(FIND(MID(BE$1,10,5),TbTradesBinance[[#This Row],[Par]])=1, -(BD89-BD90)/BD89*BE89,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Row],[Par]])),(-(BD89-BD90)/BD89*BE89)+IF(TbTradesBinance[[#This Row],[Resultado]]&gt;0,0,TbTradesBinance[[#This Row],[Taxa]]),0),0))</f>
        <v>1.612894465925919</v>
      </c>
      <c r="BF90" s="145">
        <f t="shared" si="34"/>
        <v>167.66054739354666</v>
      </c>
      <c r="BG9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Row],[Tipo]]="DROP"),BG89+TbTradesBinance[[#This Row],[Qtt]],BG89-TbTradesBinance[[#This Row],[Qtt]]),IF(TbTradesBinance[[#This Row],[Tipo]]="BUY",BG89-TbTradesBinance[[#This Row],[Qtt]]*TbTradesBinance[[#This Row],[Preço]],BG89+TbTradesBinance[[#This Row],[Qtt]]*TbTradesBinance[[#This Row],[Preço]])),BG89)-IF(TbTradesBinance[[#This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Row],[Tipo]]="DROP"),BG89+TbTradesBinance[[#This Row],[Qtt]],BG89-TbTradesBinance[[#This Row],[Qtt]]),IF(TbTradesBinance[[#This Row],[Tipo]]="BUY",BG89-TbTradesBinance[[#This Row],[Qtt]]*TbTradesBinance[[#This Row],[Preço]],BG89+TbTradesBinance[[#This Row],[Qtt]]*TbTradesBinance[[#This Row],[Preço]])),BG89)-IF(TbTradesBinance[[#This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Row],[Tipo]]="DROP"),BG89+TbTradesBinance[[#This Row],[Qtt]],BG89-TbTradesBinance[[#This Row],[Qtt]]),IF(TbTradesBinance[[#This Row],[Tipo]]="BUY",BG89-TbTradesBinance[[#This Row],[Qtt]]*TbTradesBinance[[#This Row],[Preço]],BG89+TbTradesBinance[[#This Row],[Qtt]]*TbTradesBinance[[#This Row],[Preço]])),BG89)-IF(TbTradesBinance[[#This Row],[Moeda da Taxa]]=MID(BG$1,9,5),TbTradesBinance[[#This Row],[Taxa]],0),8)))</f>
        <v>0</v>
      </c>
      <c r="BH90" s="145" cm="1">
        <f t="array" ref="BH90">IF(TbTradesBinance[[#This Row],[Tipo]]="EMPTY",0,BH89+IF(TbTradesBinance[[#This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Row],[Par]]))),$1:$1,0)),-(BG89-BG90)/BG89*BH89),0),0)+IF(TbTradesBinance[[#This Row],[Tipo]]="SELL",IF(ISNUMBER(FIND(MID(BH$1,10,5),TbTradesBinance[[#This Row],[Par]])),IF(FIND(MID(BH$1,10,5),TbTradesBinance[[#This Row],[Par]])=1, -(BG89-BG90)/BG89*BH89,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Row],[Par]])),(-(BG89-BG90)/BG89*BH89)+IF(TbTradesBinance[[#This Row],[Resultado]]&gt;0,0,TbTradesBinance[[#This Row],[Taxa]]),0),0))</f>
        <v>0</v>
      </c>
      <c r="BI90" s="145">
        <f t="shared" si="35"/>
        <v>0</v>
      </c>
      <c r="BJ9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Row],[Tipo]]="DROP"),BJ89+TbTradesBinance[[#This Row],[Qtt]],BJ89-TbTradesBinance[[#This Row],[Qtt]]),IF(TbTradesBinance[[#This Row],[Tipo]]="BUY",BJ89-TbTradesBinance[[#This Row],[Qtt]]*TbTradesBinance[[#This Row],[Preço]],BJ89+TbTradesBinance[[#This Row],[Qtt]]*TbTradesBinance[[#This Row],[Preço]])),BJ89)-IF(TbTradesBinance[[#This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Row],[Tipo]]="DROP"),BJ89+TbTradesBinance[[#This Row],[Qtt]],BJ89-TbTradesBinance[[#This Row],[Qtt]]),IF(TbTradesBinance[[#This Row],[Tipo]]="BUY",BJ89-TbTradesBinance[[#This Row],[Qtt]]*TbTradesBinance[[#This Row],[Preço]],BJ89+TbTradesBinance[[#This Row],[Qtt]]*TbTradesBinance[[#This Row],[Preço]])),BJ89)-IF(TbTradesBinance[[#This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Row],[Tipo]]="DROP"),BJ89+TbTradesBinance[[#This Row],[Qtt]],BJ89-TbTradesBinance[[#This Row],[Qtt]]),IF(TbTradesBinance[[#This Row],[Tipo]]="BUY",BJ89-TbTradesBinance[[#This Row],[Qtt]]*TbTradesBinance[[#This Row],[Preço]],BJ89+TbTradesBinance[[#This Row],[Qtt]]*TbTradesBinance[[#This Row],[Preço]])),BJ89)-IF(TbTradesBinance[[#This Row],[Moeda da Taxa]]=MID(BJ$1,9,5),TbTradesBinance[[#This Row],[Taxa]],0),8)))</f>
        <v>0</v>
      </c>
      <c r="BK90" s="145" cm="1">
        <f t="array" ref="BK90">IF(TbTradesBinance[[#This Row],[Tipo]]="EMPTY",0,BK89+IF(TbTradesBinance[[#This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Row],[Par]]))),$1:$1,0)),-(BJ89-BJ90)/BJ89*BK89),0),0)+IF(TbTradesBinance[[#This Row],[Tipo]]="SELL",IF(ISNUMBER(FIND(MID(BK$1,10,5),TbTradesBinance[[#This Row],[Par]])),IF(FIND(MID(BK$1,10,5),TbTradesBinance[[#This Row],[Par]])=1, -(BJ89-BJ90)/BJ89*BK89,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Row],[Par]])),(-(BJ89-BJ90)/BJ89*BK89)+IF(TbTradesBinance[[#This Row],[Resultado]]&gt;0,0,TbTradesBinance[[#This Row],[Taxa]]),0),0))</f>
        <v>0</v>
      </c>
      <c r="BL90" s="145">
        <f t="shared" si="36"/>
        <v>0</v>
      </c>
      <c r="BM9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Row],[Tipo]]="DROP"),BM89+TbTradesBinance[[#This Row],[Qtt]],BM89-TbTradesBinance[[#This Row],[Qtt]]),IF(TbTradesBinance[[#This Row],[Tipo]]="BUY",BM89-TbTradesBinance[[#This Row],[Qtt]]*TbTradesBinance[[#This Row],[Preço]],BM89+TbTradesBinance[[#This Row],[Qtt]]*TbTradesBinance[[#This Row],[Preço]])),BM89)-IF(TbTradesBinance[[#This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Row],[Tipo]]="DROP"),BM89+TbTradesBinance[[#This Row],[Qtt]],BM89-TbTradesBinance[[#This Row],[Qtt]]),IF(TbTradesBinance[[#This Row],[Tipo]]="BUY",BM89-TbTradesBinance[[#This Row],[Qtt]]*TbTradesBinance[[#This Row],[Preço]],BM89+TbTradesBinance[[#This Row],[Qtt]]*TbTradesBinance[[#This Row],[Preço]])),BM89)-IF(TbTradesBinance[[#This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Row],[Tipo]]="DROP"),BM89+TbTradesBinance[[#This Row],[Qtt]],BM89-TbTradesBinance[[#This Row],[Qtt]]),IF(TbTradesBinance[[#This Row],[Tipo]]="BUY",BM89-TbTradesBinance[[#This Row],[Qtt]]*TbTradesBinance[[#This Row],[Preço]],BM89+TbTradesBinance[[#This Row],[Qtt]]*TbTradesBinance[[#This Row],[Preço]])),BM89)-IF(TbTradesBinance[[#This Row],[Moeda da Taxa]]=MID(BM$1,9,5),TbTradesBinance[[#This Row],[Taxa]],0),8)))</f>
        <v>0</v>
      </c>
      <c r="BN90" s="145" cm="1">
        <f t="array" ref="BN90">IF(TbTradesBinance[[#This Row],[Tipo]]="EMPTY",0,BN89+IF(TbTradesBinance[[#This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Row],[Par]]))),$1:$1,0)),-(BM89-BM90)/BM89*BN89),0),0)+IF(TbTradesBinance[[#This Row],[Tipo]]="SELL",IF(ISNUMBER(FIND(MID(BN$1,10,5),TbTradesBinance[[#This Row],[Par]])),IF(FIND(MID(BN$1,10,5),TbTradesBinance[[#This Row],[Par]])=1, -(BM89-BM90)/BM89*BN89,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Row],[Par]])),(-(BM89-BM90)/BM89*BN89)+IF(TbTradesBinance[[#This Row],[Resultado]]&gt;0,0,TbTradesBinance[[#This Row],[Taxa]]),0),0))</f>
        <v>0</v>
      </c>
      <c r="BO90" s="145">
        <f t="shared" si="37"/>
        <v>0</v>
      </c>
    </row>
    <row r="91" spans="2:67" x14ac:dyDescent="0.3">
      <c r="B91" s="51"/>
      <c r="C91" s="40">
        <f>TRUNC(IF(AND(TbTradesBinance[[#This Row],[Tipo]]="SEND",TbTradesBinance[[#This Row],[Par]]="BRL"),TbTradesBinance[[#This Row],[Qtt]]*(1-P89)-IF(TbTradesBinance[[#This Row],[Moeda da Taxa]]="BRL",TbTradesBinance[[#This Row],[Taxa]],0),0)+IF(AND(TbTradesBinance[[#This Row],[Tipo]]="BURN",TbTradesBinance[[#This Row],[Par]]="BRL"),-TbTradesBinance[[#This Row],[Qtt]]*P89,0),2)</f>
        <v>0</v>
      </c>
      <c r="D91" s="53">
        <v>44268.459409722222</v>
      </c>
      <c r="E91" s="37" t="s">
        <v>238</v>
      </c>
      <c r="F91" s="47" t="s">
        <v>139</v>
      </c>
      <c r="G91" s="38">
        <v>33.299999999999997</v>
      </c>
      <c r="H91" s="38">
        <v>0.56000000000000005</v>
      </c>
      <c r="I91" s="38">
        <v>5.5999999999999995E-4</v>
      </c>
      <c r="J91" s="37" t="s">
        <v>61</v>
      </c>
      <c r="K91" s="52">
        <v>5.6</v>
      </c>
      <c r="L91" s="40">
        <f t="shared" si="19"/>
        <v>186.48</v>
      </c>
      <c r="M91" s="40">
        <f>IF(OR(TbTradesBinance[[#This Row],[Tipo]]="BUY",TbTradesBinance[[#This Row],[Tipo]]="RECEIVE",TbTradesBinance[[#This Row],[Tipo]]="DROP"),L91*H91,-L91*H91)</f>
        <v>104.42880000000001</v>
      </c>
      <c r="N9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Row],[Tipo]]="DROP"),N90+TbTradesBinance[[#This Row],[Qtt]],N90-TbTradesBinance[[#This Row],[Qtt]]),IF(TbTradesBinance[[#This Row],[Tipo]]="BUY",N90-TbTradesBinance[[#This Row],[Qtt]]*TbTradesBinance[[#This Row],[Preço]],N90+TbTradesBinance[[#This Row],[Qtt]]*TbTradesBinance[[#This Row],[Preço]])),N90)-IF(TbTradesBinance[[#This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Row],[Tipo]]="DROP"),N90+TbTradesBinance[[#This Row],[Qtt]],N90-TbTradesBinance[[#This Row],[Qtt]]),IF(TbTradesBinance[[#This Row],[Tipo]]="BUY",N90-TbTradesBinance[[#This Row],[Qtt]]*TbTradesBinance[[#This Row],[Preço]],N90+TbTradesBinance[[#This Row],[Qtt]]*TbTradesBinance[[#This Row],[Preço]])),N90)-IF(TbTradesBinance[[#This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Row],[Tipo]]="DROP"),N90+TbTradesBinance[[#This Row],[Qtt]],N90-TbTradesBinance[[#This Row],[Qtt]]),IF(TbTradesBinance[[#This Row],[Tipo]]="BUY",N90-TbTradesBinance[[#This Row],[Qtt]]*TbTradesBinance[[#This Row],[Preço]],N90+TbTradesBinance[[#This Row],[Qtt]]*TbTradesBinance[[#This Row],[Preço]])),N90)-IF(TbTradesBinance[[#This Row],[Moeda da Taxa]]=MID(N$1,9,5),TbTradesBinance[[#This Row],[Taxa]],0),8)))</f>
        <v>121034.27689208</v>
      </c>
      <c r="O91" s="145" cm="1">
        <f t="array" ref="O91">IF(TbTradesBinance[[#This Row],[Tipo]]="EMPTY",0,O90+IF(TbTradesBinance[[#This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Row],[Par]]))),$1:$1,0)),-(N90-N91)/N90*O90),0),0)+IF(TbTradesBinance[[#This Row],[Tipo]]="SELL",IF(ISNUMBER(FIND(MID(O$1,10,5),TbTradesBinance[[#This Row],[Par]])),IF(FIND(MID(O$1,10,5),TbTradesBinance[[#This Row],[Par]])=1, -(N90-N91)/N90*O90,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Row],[Par]])),(-(N90-N91)/N90*O90)+IF(TbTradesBinance[[#This Row],[Resultado]]&gt;0,0,TbTradesBinance[[#This Row],[Taxa]]),0),0))</f>
        <v>121022.27309417291</v>
      </c>
      <c r="P91" s="145">
        <f t="shared" si="20"/>
        <v>0.99990082315344608</v>
      </c>
      <c r="Q9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Row],[Tipo]]="DROP"),Q90+TbTradesBinance[[#This Row],[Qtt]],Q90-TbTradesBinance[[#This Row],[Qtt]]),IF(TbTradesBinance[[#This Row],[Tipo]]="BUY",Q90-TbTradesBinance[[#This Row],[Qtt]]*TbTradesBinance[[#This Row],[Preço]],Q90+TbTradesBinance[[#This Row],[Qtt]]*TbTradesBinance[[#This Row],[Preço]])),Q90)-IF(TbTradesBinance[[#This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Row],[Tipo]]="DROP"),Q90+TbTradesBinance[[#This Row],[Qtt]],Q90-TbTradesBinance[[#This Row],[Qtt]]),IF(TbTradesBinance[[#This Row],[Tipo]]="BUY",Q90-TbTradesBinance[[#This Row],[Qtt]]*TbTradesBinance[[#This Row],[Preço]],Q90+TbTradesBinance[[#This Row],[Qtt]]*TbTradesBinance[[#This Row],[Preço]])),Q90)-IF(TbTradesBinance[[#This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Row],[Tipo]]="DROP"),Q90+TbTradesBinance[[#This Row],[Qtt]],Q90-TbTradesBinance[[#This Row],[Qtt]]),IF(TbTradesBinance[[#This Row],[Tipo]]="BUY",Q90-TbTradesBinance[[#This Row],[Qtt]]*TbTradesBinance[[#This Row],[Preço]],Q90+TbTradesBinance[[#This Row],[Qtt]]*TbTradesBinance[[#This Row],[Preço]])),Q90)-IF(TbTradesBinance[[#This Row],[Moeda da Taxa]]=MID(Q$1,9,5),TbTradesBinance[[#This Row],[Taxa]],0),8)))</f>
        <v>0.11931021</v>
      </c>
      <c r="R91" s="145" cm="1">
        <f t="array" ref="R91">IF(TbTradesBinance[[#This Row],[Tipo]]="EMPTY",0,R90+IF(TbTradesBinance[[#This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Row],[Par]]))),$1:$1,0)),-(Q90-Q91)/Q90*R90),0),0)+IF(TbTradesBinance[[#This Row],[Tipo]]="SELL",IF(ISNUMBER(FIND(MID(R$1,10,5),TbTradesBinance[[#This Row],[Par]])),IF(FIND(MID(R$1,10,5),TbTradesBinance[[#This Row],[Par]])=1, -(Q90-Q91)/Q90*R90,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Row],[Par]])),(-(Q90-Q91)/Q90*R90)+IF(TbTradesBinance[[#This Row],[Resultado]]&gt;0,0,TbTradesBinance[[#This Row],[Taxa]]),0),0))</f>
        <v>0.66669440205926378</v>
      </c>
      <c r="S91" s="145">
        <f t="shared" si="21"/>
        <v>5.5879073723804842</v>
      </c>
      <c r="T9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Row],[Tipo]]="DROP"),T90+TbTradesBinance[[#This Row],[Qtt]],T90-TbTradesBinance[[#This Row],[Qtt]]),IF(TbTradesBinance[[#This Row],[Tipo]]="BUY",T90-TbTradesBinance[[#This Row],[Qtt]]*TbTradesBinance[[#This Row],[Preço]],T90+TbTradesBinance[[#This Row],[Qtt]]*TbTradesBinance[[#This Row],[Preço]])),T90)-IF(TbTradesBinance[[#This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Row],[Tipo]]="DROP"),T90+TbTradesBinance[[#This Row],[Qtt]],T90-TbTradesBinance[[#This Row],[Qtt]]),IF(TbTradesBinance[[#This Row],[Tipo]]="BUY",T90-TbTradesBinance[[#This Row],[Qtt]]*TbTradesBinance[[#This Row],[Preço]],T90+TbTradesBinance[[#This Row],[Qtt]]*TbTradesBinance[[#This Row],[Preço]])),T90)-IF(TbTradesBinance[[#This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Row],[Tipo]]="DROP"),T90+TbTradesBinance[[#This Row],[Qtt]],T90-TbTradesBinance[[#This Row],[Qtt]]),IF(TbTradesBinance[[#This Row],[Tipo]]="BUY",T90-TbTradesBinance[[#This Row],[Qtt]]*TbTradesBinance[[#This Row],[Preço]],T90+TbTradesBinance[[#This Row],[Qtt]]*TbTradesBinance[[#This Row],[Preço]])),T90)-IF(TbTradesBinance[[#This Row],[Moeda da Taxa]]=MID(T$1,9,5),TbTradesBinance[[#This Row],[Taxa]],0),8)))</f>
        <v>199735.32000169999</v>
      </c>
      <c r="U91" s="145" cm="1">
        <f t="array" ref="U91">IF(TbTradesBinance[[#This Row],[Tipo]]="EMPTY",0,U90+IF(TbTradesBinance[[#This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Row],[Par]]))),$1:$1,0)),-(T90-T91)/T90*U90),0),0)+IF(TbTradesBinance[[#This Row],[Tipo]]="SELL",IF(ISNUMBER(FIND(MID(U$1,10,5),TbTradesBinance[[#This Row],[Par]])),IF(FIND(MID(U$1,10,5),TbTradesBinance[[#This Row],[Par]])=1, -(T90-T91)/T90*U90,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Row],[Par]])),(-(T90-T91)/T90*U90)+IF(TbTradesBinance[[#This Row],[Resultado]]&gt;0,0,TbTradesBinance[[#This Row],[Taxa]]),0),0))</f>
        <v>1328239.8809817513</v>
      </c>
      <c r="V91" s="145">
        <f t="shared" si="22"/>
        <v>6.6500000148719129</v>
      </c>
      <c r="W9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Row],[Tipo]]="DROP"),W90+TbTradesBinance[[#This Row],[Qtt]],W90-TbTradesBinance[[#This Row],[Qtt]]),IF(TbTradesBinance[[#This Row],[Tipo]]="BUY",W90-TbTradesBinance[[#This Row],[Qtt]]*TbTradesBinance[[#This Row],[Preço]],W90+TbTradesBinance[[#This Row],[Qtt]]*TbTradesBinance[[#This Row],[Preço]])),W90)-IF(TbTradesBinance[[#This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Row],[Tipo]]="DROP"),W90+TbTradesBinance[[#This Row],[Qtt]],W90-TbTradesBinance[[#This Row],[Qtt]]),IF(TbTradesBinance[[#This Row],[Tipo]]="BUY",W90-TbTradesBinance[[#This Row],[Qtt]]*TbTradesBinance[[#This Row],[Preço]],W90+TbTradesBinance[[#This Row],[Qtt]]*TbTradesBinance[[#This Row],[Preço]])),W90)-IF(TbTradesBinance[[#This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Row],[Tipo]]="DROP"),W90+TbTradesBinance[[#This Row],[Qtt]],W90-TbTradesBinance[[#This Row],[Qtt]]),IF(TbTradesBinance[[#This Row],[Tipo]]="BUY",W90-TbTradesBinance[[#This Row],[Qtt]]*TbTradesBinance[[#This Row],[Preço]],W90+TbTradesBinance[[#This Row],[Qtt]]*TbTradesBinance[[#This Row],[Preço]])),W90)-IF(TbTradesBinance[[#This Row],[Moeda da Taxa]]=MID(W$1,9,5),TbTradesBinance[[#This Row],[Taxa]],0),8)))</f>
        <v>4.5399999999999997E-6</v>
      </c>
      <c r="X91" s="145" cm="1">
        <f t="array" ref="X91">IF(TbTradesBinance[[#This Row],[Tipo]]="EMPTY",0,X90+IF(TbTradesBinance[[#This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Row],[Par]]))),$1:$1,0)),-(W90-W91)/W90*X90),0),0)+IF(TbTradesBinance[[#This Row],[Tipo]]="SELL",IF(ISNUMBER(FIND(MID(X$1,10,5),TbTradesBinance[[#This Row],[Par]])),IF(FIND(MID(X$1,10,5),TbTradesBinance[[#This Row],[Par]])=1, -(W90-W91)/W90*X90,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Row],[Par]])),(-(W90-W91)/W90*X90)+IF(TbTradesBinance[[#This Row],[Resultado]]&gt;0,0,TbTradesBinance[[#This Row],[Taxa]]),0),0))</f>
        <v>1.5152928264556067</v>
      </c>
      <c r="Y91" s="145">
        <f t="shared" si="23"/>
        <v>333764.93974793103</v>
      </c>
      <c r="Z9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Row],[Tipo]]="DROP"),Z90+TbTradesBinance[[#This Row],[Qtt]],Z90-TbTradesBinance[[#This Row],[Qtt]]),IF(TbTradesBinance[[#This Row],[Tipo]]="BUY",Z90-TbTradesBinance[[#This Row],[Qtt]]*TbTradesBinance[[#This Row],[Preço]],Z90+TbTradesBinance[[#This Row],[Qtt]]*TbTradesBinance[[#This Row],[Preço]])),Z90)-IF(TbTradesBinance[[#This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Row],[Tipo]]="DROP"),Z90+TbTradesBinance[[#This Row],[Qtt]],Z90-TbTradesBinance[[#This Row],[Qtt]]),IF(TbTradesBinance[[#This Row],[Tipo]]="BUY",Z90-TbTradesBinance[[#This Row],[Qtt]]*TbTradesBinance[[#This Row],[Preço]],Z90+TbTradesBinance[[#This Row],[Qtt]]*TbTradesBinance[[#This Row],[Preço]])),Z90)-IF(TbTradesBinance[[#This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Row],[Tipo]]="DROP"),Z90+TbTradesBinance[[#This Row],[Qtt]],Z90-TbTradesBinance[[#This Row],[Qtt]]),IF(TbTradesBinance[[#This Row],[Tipo]]="BUY",Z90-TbTradesBinance[[#This Row],[Qtt]]*TbTradesBinance[[#This Row],[Preço]],Z90+TbTradesBinance[[#This Row],[Qtt]]*TbTradesBinance[[#This Row],[Preço]])),Z90)-IF(TbTradesBinance[[#This Row],[Moeda da Taxa]]=MID(Z$1,9,5),TbTradesBinance[[#This Row],[Taxa]],0),8)))</f>
        <v>0</v>
      </c>
      <c r="AA91" s="145" cm="1">
        <f t="array" ref="AA91">IF(TbTradesBinance[[#This Row],[Tipo]]="EMPTY",0,AA90+IF(TbTradesBinance[[#This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Row],[Par]]))),$1:$1,0)),-(Z90-Z91)/Z90*AA90),0),0)+IF(TbTradesBinance[[#This Row],[Tipo]]="SELL",IF(ISNUMBER(FIND(MID(AA$1,10,5),TbTradesBinance[[#This Row],[Par]])),IF(FIND(MID(AA$1,10,5),TbTradesBinance[[#This Row],[Par]])=1, -(Z90-Z91)/Z90*AA90,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Row],[Par]])),(-(Z90-Z91)/Z90*AA90)+IF(TbTradesBinance[[#This Row],[Resultado]]&gt;0,0,TbTradesBinance[[#This Row],[Taxa]]),0),0))</f>
        <v>0</v>
      </c>
      <c r="AB91" s="145">
        <f t="shared" si="24"/>
        <v>0</v>
      </c>
      <c r="AC9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Row],[Tipo]]="DROP"),AC90+TbTradesBinance[[#This Row],[Qtt]],AC90-TbTradesBinance[[#This Row],[Qtt]]),IF(TbTradesBinance[[#This Row],[Tipo]]="BUY",AC90-TbTradesBinance[[#This Row],[Qtt]]*TbTradesBinance[[#This Row],[Preço]],AC90+TbTradesBinance[[#This Row],[Qtt]]*TbTradesBinance[[#This Row],[Preço]])),AC90)-IF(TbTradesBinance[[#This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Row],[Tipo]]="DROP"),AC90+TbTradesBinance[[#This Row],[Qtt]],AC90-TbTradesBinance[[#This Row],[Qtt]]),IF(TbTradesBinance[[#This Row],[Tipo]]="BUY",AC90-TbTradesBinance[[#This Row],[Qtt]]*TbTradesBinance[[#This Row],[Preço]],AC90+TbTradesBinance[[#This Row],[Qtt]]*TbTradesBinance[[#This Row],[Preço]])),AC90)-IF(TbTradesBinance[[#This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Row],[Tipo]]="DROP"),AC90+TbTradesBinance[[#This Row],[Qtt]],AC90-TbTradesBinance[[#This Row],[Qtt]]),IF(TbTradesBinance[[#This Row],[Tipo]]="BUY",AC90-TbTradesBinance[[#This Row],[Qtt]]*TbTradesBinance[[#This Row],[Preço]],AC90+TbTradesBinance[[#This Row],[Qtt]]*TbTradesBinance[[#This Row],[Preço]])),AC90)-IF(TbTradesBinance[[#This Row],[Moeda da Taxa]]=MID(AC$1,9,5),TbTradesBinance[[#This Row],[Taxa]],0),8)))</f>
        <v>2.997E-2</v>
      </c>
      <c r="AD91" s="145" cm="1">
        <f t="array" ref="AD91">IF(TbTradesBinance[[#This Row],[Tipo]]="EMPTY",0,AD90+IF(TbTradesBinance[[#This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Row],[Par]]))),$1:$1,0)),-(AC90-AC91)/AC90*AD90),0),0)+IF(TbTradesBinance[[#This Row],[Tipo]]="SELL",IF(ISNUMBER(FIND(MID(AD$1,10,5),TbTradesBinance[[#This Row],[Par]])),IF(FIND(MID(AD$1,10,5),TbTradesBinance[[#This Row],[Par]])=1, -(AC90-AC91)/AC90*AD90,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Row],[Par]])),(-(AC90-AC91)/AC90*AD90)+IF(TbTradesBinance[[#This Row],[Resultado]]&gt;0,0,TbTradesBinance[[#This Row],[Taxa]]),0),0))</f>
        <v>60.199749701148171</v>
      </c>
      <c r="AE91" s="145">
        <f t="shared" si="25"/>
        <v>2008.6669903619677</v>
      </c>
      <c r="AF9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Row],[Tipo]]="DROP"),AF90+TbTradesBinance[[#This Row],[Qtt]],AF90-TbTradesBinance[[#This Row],[Qtt]]),IF(TbTradesBinance[[#This Row],[Tipo]]="BUY",AF90-TbTradesBinance[[#This Row],[Qtt]]*TbTradesBinance[[#This Row],[Preço]],AF90+TbTradesBinance[[#This Row],[Qtt]]*TbTradesBinance[[#This Row],[Preço]])),AF90)-IF(TbTradesBinance[[#This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Row],[Tipo]]="DROP"),AF90+TbTradesBinance[[#This Row],[Qtt]],AF90-TbTradesBinance[[#This Row],[Qtt]]),IF(TbTradesBinance[[#This Row],[Tipo]]="BUY",AF90-TbTradesBinance[[#This Row],[Qtt]]*TbTradesBinance[[#This Row],[Preço]],AF90+TbTradesBinance[[#This Row],[Qtt]]*TbTradesBinance[[#This Row],[Preço]])),AF90)-IF(TbTradesBinance[[#This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Row],[Tipo]]="DROP"),AF90+TbTradesBinance[[#This Row],[Qtt]],AF90-TbTradesBinance[[#This Row],[Qtt]]),IF(TbTradesBinance[[#This Row],[Tipo]]="BUY",AF90-TbTradesBinance[[#This Row],[Qtt]]*TbTradesBinance[[#This Row],[Preço]],AF90+TbTradesBinance[[#This Row],[Qtt]]*TbTradesBinance[[#This Row],[Preço]])),AF90)-IF(TbTradesBinance[[#This Row],[Moeda da Taxa]]=MID(AF$1,9,5),TbTradesBinance[[#This Row],[Taxa]],0),8)))</f>
        <v>19.98</v>
      </c>
      <c r="AG91" s="145" cm="1">
        <f t="array" ref="AG91">IF(TbTradesBinance[[#This Row],[Tipo]]="EMPTY",0,AG90+IF(TbTradesBinance[[#This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Row],[Par]]))),$1:$1,0)),-(AF90-AF91)/AF90*AG90),0),0)+IF(TbTradesBinance[[#This Row],[Tipo]]="SELL",IF(ISNUMBER(FIND(MID(AG$1,10,5),TbTradesBinance[[#This Row],[Par]])),IF(FIND(MID(AG$1,10,5),TbTradesBinance[[#This Row],[Par]])=1, -(AF90-AF91)/AF90*AG90,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Row],[Par]])),(-(AF90-AF91)/AF90*AG90)+IF(TbTradesBinance[[#This Row],[Resultado]]&gt;0,0,TbTradesBinance[[#This Row],[Taxa]]),0),0))</f>
        <v>124.04182758073662</v>
      </c>
      <c r="AH91" s="145">
        <f t="shared" si="26"/>
        <v>6.2082996787155462</v>
      </c>
      <c r="AI9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Row],[Tipo]]="DROP"),AI90+TbTradesBinance[[#This Row],[Qtt]],AI90-TbTradesBinance[[#This Row],[Qtt]]),IF(TbTradesBinance[[#This Row],[Tipo]]="BUY",AI90-TbTradesBinance[[#This Row],[Qtt]]*TbTradesBinance[[#This Row],[Preço]],AI90+TbTradesBinance[[#This Row],[Qtt]]*TbTradesBinance[[#This Row],[Preço]])),AI90)-IF(TbTradesBinance[[#This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Row],[Tipo]]="DROP"),AI90+TbTradesBinance[[#This Row],[Qtt]],AI90-TbTradesBinance[[#This Row],[Qtt]]),IF(TbTradesBinance[[#This Row],[Tipo]]="BUY",AI90-TbTradesBinance[[#This Row],[Qtt]]*TbTradesBinance[[#This Row],[Preço]],AI90+TbTradesBinance[[#This Row],[Qtt]]*TbTradesBinance[[#This Row],[Preço]])),AI90)-IF(TbTradesBinance[[#This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Row],[Tipo]]="DROP"),AI90+TbTradesBinance[[#This Row],[Qtt]],AI90-TbTradesBinance[[#This Row],[Qtt]]),IF(TbTradesBinance[[#This Row],[Tipo]]="BUY",AI90-TbTradesBinance[[#This Row],[Qtt]]*TbTradesBinance[[#This Row],[Preço]],AI90+TbTradesBinance[[#This Row],[Qtt]]*TbTradesBinance[[#This Row],[Preço]])),AI90)-IF(TbTradesBinance[[#This Row],[Moeda da Taxa]]=MID(AI$1,9,5),TbTradesBinance[[#This Row],[Taxa]],0),8)))</f>
        <v>0</v>
      </c>
      <c r="AJ91" s="145" cm="1">
        <f t="array" ref="AJ91">IF(TbTradesBinance[[#This Row],[Tipo]]="EMPTY",0,AJ90+IF(TbTradesBinance[[#This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Row],[Par]]))),$1:$1,0)),-(AI90-AI91)/AI90*AJ90),0),0)+IF(TbTradesBinance[[#This Row],[Tipo]]="SELL",IF(ISNUMBER(FIND(MID(AJ$1,10,5),TbTradesBinance[[#This Row],[Par]])),IF(FIND(MID(AJ$1,10,5),TbTradesBinance[[#This Row],[Par]])=1, -(AI90-AI91)/AI90*AJ90,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Row],[Par]])),(-(AI90-AI91)/AI90*AJ90)+IF(TbTradesBinance[[#This Row],[Resultado]]&gt;0,0,TbTradesBinance[[#This Row],[Taxa]]),0),0))</f>
        <v>0</v>
      </c>
      <c r="AK91" s="145">
        <f t="shared" si="27"/>
        <v>0</v>
      </c>
      <c r="AL9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Row],[Tipo]]="DROP"),AL90+TbTradesBinance[[#This Row],[Qtt]],AL90-TbTradesBinance[[#This Row],[Qtt]]),IF(TbTradesBinance[[#This Row],[Tipo]]="BUY",AL90-TbTradesBinance[[#This Row],[Qtt]]*TbTradesBinance[[#This Row],[Preço]],AL90+TbTradesBinance[[#This Row],[Qtt]]*TbTradesBinance[[#This Row],[Preço]])),AL90)-IF(TbTradesBinance[[#This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Row],[Tipo]]="DROP"),AL90+TbTradesBinance[[#This Row],[Qtt]],AL90-TbTradesBinance[[#This Row],[Qtt]]),IF(TbTradesBinance[[#This Row],[Tipo]]="BUY",AL90-TbTradesBinance[[#This Row],[Qtt]]*TbTradesBinance[[#This Row],[Preço]],AL90+TbTradesBinance[[#This Row],[Qtt]]*TbTradesBinance[[#This Row],[Preço]])),AL90)-IF(TbTradesBinance[[#This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Row],[Tipo]]="DROP"),AL90+TbTradesBinance[[#This Row],[Qtt]],AL90-TbTradesBinance[[#This Row],[Qtt]]),IF(TbTradesBinance[[#This Row],[Tipo]]="BUY",AL90-TbTradesBinance[[#This Row],[Qtt]]*TbTradesBinance[[#This Row],[Preço]],AL90+TbTradesBinance[[#This Row],[Qtt]]*TbTradesBinance[[#This Row],[Preço]])),AL90)-IF(TbTradesBinance[[#This Row],[Moeda da Taxa]]=MID(AL$1,9,5),TbTradesBinance[[#This Row],[Taxa]],0),8)))</f>
        <v>1.75824</v>
      </c>
      <c r="AM91" s="145" cm="1">
        <f t="array" ref="AM91">IF(TbTradesBinance[[#This Row],[Tipo]]="EMPTY",0,AM90+IF(TbTradesBinance[[#This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Row],[Par]]))),$1:$1,0)),-(AL90-AL91)/AL90*AM90),0),0)+IF(TbTradesBinance[[#This Row],[Tipo]]="SELL",IF(ISNUMBER(FIND(MID(AM$1,10,5),TbTradesBinance[[#This Row],[Par]])),IF(FIND(MID(AM$1,10,5),TbTradesBinance[[#This Row],[Par]])=1, -(AL90-AL91)/AL90*AM90,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Row],[Par]])),(-(AL90-AL91)/AL90*AM90)+IF(TbTradesBinance[[#This Row],[Resultado]]&gt;0,0,TbTradesBinance[[#This Row],[Taxa]]),0),0))</f>
        <v>144.56635471393039</v>
      </c>
      <c r="AN91" s="145">
        <f t="shared" si="28"/>
        <v>82.222196465744375</v>
      </c>
      <c r="AO9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Row],[Tipo]]="DROP"),AO90+TbTradesBinance[[#This Row],[Qtt]],AO90-TbTradesBinance[[#This Row],[Qtt]]),IF(TbTradesBinance[[#This Row],[Tipo]]="BUY",AO90-TbTradesBinance[[#This Row],[Qtt]]*TbTradesBinance[[#This Row],[Preço]],AO90+TbTradesBinance[[#This Row],[Qtt]]*TbTradesBinance[[#This Row],[Preço]])),AO90)-IF(TbTradesBinance[[#This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Row],[Tipo]]="DROP"),AO90+TbTradesBinance[[#This Row],[Qtt]],AO90-TbTradesBinance[[#This Row],[Qtt]]),IF(TbTradesBinance[[#This Row],[Tipo]]="BUY",AO90-TbTradesBinance[[#This Row],[Qtt]]*TbTradesBinance[[#This Row],[Preço]],AO90+TbTradesBinance[[#This Row],[Qtt]]*TbTradesBinance[[#This Row],[Preço]])),AO90)-IF(TbTradesBinance[[#This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Row],[Tipo]]="DROP"),AO90+TbTradesBinance[[#This Row],[Qtt]],AO90-TbTradesBinance[[#This Row],[Qtt]]),IF(TbTradesBinance[[#This Row],[Tipo]]="BUY",AO90-TbTradesBinance[[#This Row],[Qtt]]*TbTradesBinance[[#This Row],[Preço]],AO90+TbTradesBinance[[#This Row],[Qtt]]*TbTradesBinance[[#This Row],[Preço]])),AO90)-IF(TbTradesBinance[[#This Row],[Moeda da Taxa]]=MID(AO$1,9,5),TbTradesBinance[[#This Row],[Taxa]],0),8)))</f>
        <v>3.9907299999999996E-3</v>
      </c>
      <c r="AP91" s="145" cm="1">
        <f t="array" ref="AP91">IF(TbTradesBinance[[#This Row],[Tipo]]="EMPTY",0,AP90+IF(TbTradesBinance[[#This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Row],[Par]]))),$1:$1,0)),-(AO90-AO91)/AO90*AP90),0),0)+IF(TbTradesBinance[[#This Row],[Tipo]]="SELL",IF(ISNUMBER(FIND(MID(AP$1,10,5),TbTradesBinance[[#This Row],[Par]])),IF(FIND(MID(AP$1,10,5),TbTradesBinance[[#This Row],[Par]])=1, -(AO90-AO91)/AO90*AP90,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Row],[Par]])),(-(AO90-AO91)/AO90*AP90)+IF(TbTradesBinance[[#This Row],[Resultado]]&gt;0,0,TbTradesBinance[[#This Row],[Taxa]]),0),0))</f>
        <v>7.3360959318006032</v>
      </c>
      <c r="AQ91" s="145">
        <f t="shared" si="29"/>
        <v>1838.2842065989439</v>
      </c>
      <c r="AR9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Row],[Tipo]]="DROP"),AR90+TbTradesBinance[[#This Row],[Qtt]],AR90-TbTradesBinance[[#This Row],[Qtt]]),IF(TbTradesBinance[[#This Row],[Tipo]]="BUY",AR90-TbTradesBinance[[#This Row],[Qtt]]*TbTradesBinance[[#This Row],[Preço]],AR90+TbTradesBinance[[#This Row],[Qtt]]*TbTradesBinance[[#This Row],[Preço]])),AR90)-IF(TbTradesBinance[[#This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Row],[Tipo]]="DROP"),AR90+TbTradesBinance[[#This Row],[Qtt]],AR90-TbTradesBinance[[#This Row],[Qtt]]),IF(TbTradesBinance[[#This Row],[Tipo]]="BUY",AR90-TbTradesBinance[[#This Row],[Qtt]]*TbTradesBinance[[#This Row],[Preço]],AR90+TbTradesBinance[[#This Row],[Qtt]]*TbTradesBinance[[#This Row],[Preço]])),AR90)-IF(TbTradesBinance[[#This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Row],[Tipo]]="DROP"),AR90+TbTradesBinance[[#This Row],[Qtt]],AR90-TbTradesBinance[[#This Row],[Qtt]]),IF(TbTradesBinance[[#This Row],[Tipo]]="BUY",AR90-TbTradesBinance[[#This Row],[Qtt]]*TbTradesBinance[[#This Row],[Preço]],AR90+TbTradesBinance[[#This Row],[Qtt]]*TbTradesBinance[[#This Row],[Preço]])),AR90)-IF(TbTradesBinance[[#This Row],[Moeda da Taxa]]=MID(AR$1,9,5),TbTradesBinance[[#This Row],[Taxa]],0),8)))</f>
        <v>0</v>
      </c>
      <c r="AS91" s="145" cm="1">
        <f t="array" ref="AS91">IF(TbTradesBinance[[#This Row],[Tipo]]="EMPTY",0,AS90+IF(TbTradesBinance[[#This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Row],[Par]]))),$1:$1,0)),-(AR90-AR91)/AR90*AS90),0),0)+IF(TbTradesBinance[[#This Row],[Tipo]]="SELL",IF(ISNUMBER(FIND(MID(AS$1,10,5),TbTradesBinance[[#This Row],[Par]])),IF(FIND(MID(AS$1,10,5),TbTradesBinance[[#This Row],[Par]])=1, -(AR90-AR91)/AR90*AS90,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Row],[Par]])),(-(AR90-AR91)/AR90*AS90)+IF(TbTradesBinance[[#This Row],[Resultado]]&gt;0,0,TbTradesBinance[[#This Row],[Taxa]]),0),0))</f>
        <v>0</v>
      </c>
      <c r="AT91" s="145">
        <f t="shared" si="30"/>
        <v>0</v>
      </c>
      <c r="AU9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Row],[Tipo]]="DROP"),AU90+TbTradesBinance[[#This Row],[Qtt]],AU90-TbTradesBinance[[#This Row],[Qtt]]),IF(TbTradesBinance[[#This Row],[Tipo]]="BUY",AU90-TbTradesBinance[[#This Row],[Qtt]]*TbTradesBinance[[#This Row],[Preço]],AU90+TbTradesBinance[[#This Row],[Qtt]]*TbTradesBinance[[#This Row],[Preço]])),AU90)-IF(TbTradesBinance[[#This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Row],[Tipo]]="DROP"),AU90+TbTradesBinance[[#This Row],[Qtt]],AU90-TbTradesBinance[[#This Row],[Qtt]]),IF(TbTradesBinance[[#This Row],[Tipo]]="BUY",AU90-TbTradesBinance[[#This Row],[Qtt]]*TbTradesBinance[[#This Row],[Preço]],AU90+TbTradesBinance[[#This Row],[Qtt]]*TbTradesBinance[[#This Row],[Preço]])),AU90)-IF(TbTradesBinance[[#This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Row],[Tipo]]="DROP"),AU90+TbTradesBinance[[#This Row],[Qtt]],AU90-TbTradesBinance[[#This Row],[Qtt]]),IF(TbTradesBinance[[#This Row],[Tipo]]="BUY",AU90-TbTradesBinance[[#This Row],[Qtt]]*TbTradesBinance[[#This Row],[Preço]],AU90+TbTradesBinance[[#This Row],[Qtt]]*TbTradesBinance[[#This Row],[Preço]])),AU90)-IF(TbTradesBinance[[#This Row],[Moeda da Taxa]]=MID(AU$1,9,5),TbTradesBinance[[#This Row],[Taxa]],0),8)))</f>
        <v>0</v>
      </c>
      <c r="AV91" s="145" cm="1">
        <f t="array" ref="AV91">IF(TbTradesBinance[[#This Row],[Tipo]]="EMPTY",0,AV90+IF(TbTradesBinance[[#This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Row],[Par]]))),$1:$1,0)),-(AU90-AU91)/AU90*AV90),0),0)+IF(TbTradesBinance[[#This Row],[Tipo]]="SELL",IF(ISNUMBER(FIND(MID(AV$1,10,5),TbTradesBinance[[#This Row],[Par]])),IF(FIND(MID(AV$1,10,5),TbTradesBinance[[#This Row],[Par]])=1, -(AU90-AU91)/AU90*AV90,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Row],[Par]])),(-(AU90-AU91)/AU90*AV90)+IF(TbTradesBinance[[#This Row],[Resultado]]&gt;0,0,TbTradesBinance[[#This Row],[Taxa]]),0),0))</f>
        <v>0</v>
      </c>
      <c r="AW91" s="145">
        <f t="shared" si="31"/>
        <v>0</v>
      </c>
      <c r="AX9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Row],[Tipo]]="DROP"),AX90+TbTradesBinance[[#This Row],[Qtt]],AX90-TbTradesBinance[[#This Row],[Qtt]]),IF(TbTradesBinance[[#This Row],[Tipo]]="BUY",AX90-TbTradesBinance[[#This Row],[Qtt]]*TbTradesBinance[[#This Row],[Preço]],AX90+TbTradesBinance[[#This Row],[Qtt]]*TbTradesBinance[[#This Row],[Preço]])),AX90)-IF(TbTradesBinance[[#This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Row],[Tipo]]="DROP"),AX90+TbTradesBinance[[#This Row],[Qtt]],AX90-TbTradesBinance[[#This Row],[Qtt]]),IF(TbTradesBinance[[#This Row],[Tipo]]="BUY",AX90-TbTradesBinance[[#This Row],[Qtt]]*TbTradesBinance[[#This Row],[Preço]],AX90+TbTradesBinance[[#This Row],[Qtt]]*TbTradesBinance[[#This Row],[Preço]])),AX90)-IF(TbTradesBinance[[#This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Row],[Tipo]]="DROP"),AX90+TbTradesBinance[[#This Row],[Qtt]],AX90-TbTradesBinance[[#This Row],[Qtt]]),IF(TbTradesBinance[[#This Row],[Tipo]]="BUY",AX90-TbTradesBinance[[#This Row],[Qtt]]*TbTradesBinance[[#This Row],[Preço]],AX90+TbTradesBinance[[#This Row],[Qtt]]*TbTradesBinance[[#This Row],[Preço]])),AX90)-IF(TbTradesBinance[[#This Row],[Moeda da Taxa]]=MID(AX$1,9,5),TbTradesBinance[[#This Row],[Taxa]],0),8)))</f>
        <v>0.22636999999999999</v>
      </c>
      <c r="AY91" s="145" cm="1">
        <f t="array" ref="AY91">IF(TbTradesBinance[[#This Row],[Tipo]]="EMPTY",0,AY90+IF(TbTradesBinance[[#This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Row],[Par]]))),$1:$1,0)),-(AX90-AX91)/AX90*AY90),0),0)+IF(TbTradesBinance[[#This Row],[Tipo]]="SELL",IF(ISNUMBER(FIND(MID(AY$1,10,5),TbTradesBinance[[#This Row],[Par]])),IF(FIND(MID(AY$1,10,5),TbTradesBinance[[#This Row],[Par]])=1, -(AX90-AX91)/AX90*AY90,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Row],[Par]])),(-(AX90-AX91)/AX90*AY90)+IF(TbTradesBinance[[#This Row],[Resultado]]&gt;0,0,TbTradesBinance[[#This Row],[Taxa]]),0),0))</f>
        <v>40.781337593356859</v>
      </c>
      <c r="AZ91" s="145">
        <f t="shared" si="32"/>
        <v>180.15345493376711</v>
      </c>
      <c r="BA9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Row],[Tipo]]="DROP"),BA90+TbTradesBinance[[#This Row],[Qtt]],BA90-TbTradesBinance[[#This Row],[Qtt]]),IF(TbTradesBinance[[#This Row],[Tipo]]="BUY",BA90-TbTradesBinance[[#This Row],[Qtt]]*TbTradesBinance[[#This Row],[Preço]],BA90+TbTradesBinance[[#This Row],[Qtt]]*TbTradesBinance[[#This Row],[Preço]])),BA90)-IF(TbTradesBinance[[#This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Row],[Tipo]]="DROP"),BA90+TbTradesBinance[[#This Row],[Qtt]],BA90-TbTradesBinance[[#This Row],[Qtt]]),IF(TbTradesBinance[[#This Row],[Tipo]]="BUY",BA90-TbTradesBinance[[#This Row],[Qtt]]*TbTradesBinance[[#This Row],[Preço]],BA90+TbTradesBinance[[#This Row],[Qtt]]*TbTradesBinance[[#This Row],[Preço]])),BA90)-IF(TbTradesBinance[[#This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Row],[Tipo]]="DROP"),BA90+TbTradesBinance[[#This Row],[Qtt]],BA90-TbTradesBinance[[#This Row],[Qtt]]),IF(TbTradesBinance[[#This Row],[Tipo]]="BUY",BA90-TbTradesBinance[[#This Row],[Qtt]]*TbTradesBinance[[#This Row],[Preço]],BA90+TbTradesBinance[[#This Row],[Qtt]]*TbTradesBinance[[#This Row],[Preço]])),BA90)-IF(TbTradesBinance[[#This Row],[Moeda da Taxa]]=MID(BA$1,9,5),TbTradesBinance[[#This Row],[Taxa]],0),8)))</f>
        <v>0</v>
      </c>
      <c r="BB91" s="145" cm="1">
        <f t="array" ref="BB91">IF(TbTradesBinance[[#This Row],[Tipo]]="EMPTY",0,BB90+IF(TbTradesBinance[[#This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Row],[Par]]))),$1:$1,0)),-(BA90-BA91)/BA90*BB90),0),0)+IF(TbTradesBinance[[#This Row],[Tipo]]="SELL",IF(ISNUMBER(FIND(MID(BB$1,10,5),TbTradesBinance[[#This Row],[Par]])),IF(FIND(MID(BB$1,10,5),TbTradesBinance[[#This Row],[Par]])=1, -(BA90-BA91)/BA90*BB90,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Row],[Par]])),(-(BA90-BA91)/BA90*BB90)+IF(TbTradesBinance[[#This Row],[Resultado]]&gt;0,0,TbTradesBinance[[#This Row],[Taxa]]),0),0))</f>
        <v>0</v>
      </c>
      <c r="BC91" s="145">
        <f t="shared" si="33"/>
        <v>0</v>
      </c>
      <c r="BD9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Row],[Tipo]]="DROP"),BD90+TbTradesBinance[[#This Row],[Qtt]],BD90-TbTradesBinance[[#This Row],[Qtt]]),IF(TbTradesBinance[[#This Row],[Tipo]]="BUY",BD90-TbTradesBinance[[#This Row],[Qtt]]*TbTradesBinance[[#This Row],[Preço]],BD90+TbTradesBinance[[#This Row],[Qtt]]*TbTradesBinance[[#This Row],[Preço]])),BD90)-IF(TbTradesBinance[[#This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Row],[Tipo]]="DROP"),BD90+TbTradesBinance[[#This Row],[Qtt]],BD90-TbTradesBinance[[#This Row],[Qtt]]),IF(TbTradesBinance[[#This Row],[Tipo]]="BUY",BD90-TbTradesBinance[[#This Row],[Qtt]]*TbTradesBinance[[#This Row],[Preço]],BD90+TbTradesBinance[[#This Row],[Qtt]]*TbTradesBinance[[#This Row],[Preço]])),BD90)-IF(TbTradesBinance[[#This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Row],[Tipo]]="DROP"),BD90+TbTradesBinance[[#This Row],[Qtt]],BD90-TbTradesBinance[[#This Row],[Qtt]]),IF(TbTradesBinance[[#This Row],[Tipo]]="BUY",BD90-TbTradesBinance[[#This Row],[Qtt]]*TbTradesBinance[[#This Row],[Preço]],BD90+TbTradesBinance[[#This Row],[Qtt]]*TbTradesBinance[[#This Row],[Preço]])),BD90)-IF(TbTradesBinance[[#This Row],[Moeda da Taxa]]=MID(BD$1,9,5),TbTradesBinance[[#This Row],[Taxa]],0),8)))</f>
        <v>0.56906000000000001</v>
      </c>
      <c r="BE91" s="145" cm="1">
        <f t="array" ref="BE91">IF(TbTradesBinance[[#This Row],[Tipo]]="EMPTY",0,BE90+IF(TbTradesBinance[[#This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Row],[Par]]))),$1:$1,0)),-(BD90-BD91)/BD90*BE90),0),0)+IF(TbTradesBinance[[#This Row],[Tipo]]="SELL",IF(ISNUMBER(FIND(MID(BE$1,10,5),TbTradesBinance[[#This Row],[Par]])),IF(FIND(MID(BE$1,10,5),TbTradesBinance[[#This Row],[Par]])=1, -(BD90-BD91)/BD90*BE90,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Row],[Par]])),(-(BD90-BD91)/BD90*BE90)+IF(TbTradesBinance[[#This Row],[Resultado]]&gt;0,0,TbTradesBinance[[#This Row],[Taxa]]),0),0))</f>
        <v>105.81619120195663</v>
      </c>
      <c r="BF91" s="145">
        <f t="shared" si="34"/>
        <v>185.94909359638109</v>
      </c>
      <c r="BG9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Row],[Tipo]]="DROP"),BG90+TbTradesBinance[[#This Row],[Qtt]],BG90-TbTradesBinance[[#This Row],[Qtt]]),IF(TbTradesBinance[[#This Row],[Tipo]]="BUY",BG90-TbTradesBinance[[#This Row],[Qtt]]*TbTradesBinance[[#This Row],[Preço]],BG90+TbTradesBinance[[#This Row],[Qtt]]*TbTradesBinance[[#This Row],[Preço]])),BG90)-IF(TbTradesBinance[[#This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Row],[Tipo]]="DROP"),BG90+TbTradesBinance[[#This Row],[Qtt]],BG90-TbTradesBinance[[#This Row],[Qtt]]),IF(TbTradesBinance[[#This Row],[Tipo]]="BUY",BG90-TbTradesBinance[[#This Row],[Qtt]]*TbTradesBinance[[#This Row],[Preço]],BG90+TbTradesBinance[[#This Row],[Qtt]]*TbTradesBinance[[#This Row],[Preço]])),BG90)-IF(TbTradesBinance[[#This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Row],[Tipo]]="DROP"),BG90+TbTradesBinance[[#This Row],[Qtt]],BG90-TbTradesBinance[[#This Row],[Qtt]]),IF(TbTradesBinance[[#This Row],[Tipo]]="BUY",BG90-TbTradesBinance[[#This Row],[Qtt]]*TbTradesBinance[[#This Row],[Preço]],BG90+TbTradesBinance[[#This Row],[Qtt]]*TbTradesBinance[[#This Row],[Preço]])),BG90)-IF(TbTradesBinance[[#This Row],[Moeda da Taxa]]=MID(BG$1,9,5),TbTradesBinance[[#This Row],[Taxa]],0),8)))</f>
        <v>0</v>
      </c>
      <c r="BH91" s="145" cm="1">
        <f t="array" ref="BH91">IF(TbTradesBinance[[#This Row],[Tipo]]="EMPTY",0,BH90+IF(TbTradesBinance[[#This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Row],[Par]]))),$1:$1,0)),-(BG90-BG91)/BG90*BH90),0),0)+IF(TbTradesBinance[[#This Row],[Tipo]]="SELL",IF(ISNUMBER(FIND(MID(BH$1,10,5),TbTradesBinance[[#This Row],[Par]])),IF(FIND(MID(BH$1,10,5),TbTradesBinance[[#This Row],[Par]])=1, -(BG90-BG91)/BG90*BH90,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Row],[Par]])),(-(BG90-BG91)/BG90*BH90)+IF(TbTradesBinance[[#This Row],[Resultado]]&gt;0,0,TbTradesBinance[[#This Row],[Taxa]]),0),0))</f>
        <v>0</v>
      </c>
      <c r="BI91" s="145">
        <f t="shared" si="35"/>
        <v>0</v>
      </c>
      <c r="BJ9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Row],[Tipo]]="DROP"),BJ90+TbTradesBinance[[#This Row],[Qtt]],BJ90-TbTradesBinance[[#This Row],[Qtt]]),IF(TbTradesBinance[[#This Row],[Tipo]]="BUY",BJ90-TbTradesBinance[[#This Row],[Qtt]]*TbTradesBinance[[#This Row],[Preço]],BJ90+TbTradesBinance[[#This Row],[Qtt]]*TbTradesBinance[[#This Row],[Preço]])),BJ90)-IF(TbTradesBinance[[#This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Row],[Tipo]]="DROP"),BJ90+TbTradesBinance[[#This Row],[Qtt]],BJ90-TbTradesBinance[[#This Row],[Qtt]]),IF(TbTradesBinance[[#This Row],[Tipo]]="BUY",BJ90-TbTradesBinance[[#This Row],[Qtt]]*TbTradesBinance[[#This Row],[Preço]],BJ90+TbTradesBinance[[#This Row],[Qtt]]*TbTradesBinance[[#This Row],[Preço]])),BJ90)-IF(TbTradesBinance[[#This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Row],[Tipo]]="DROP"),BJ90+TbTradesBinance[[#This Row],[Qtt]],BJ90-TbTradesBinance[[#This Row],[Qtt]]),IF(TbTradesBinance[[#This Row],[Tipo]]="BUY",BJ90-TbTradesBinance[[#This Row],[Qtt]]*TbTradesBinance[[#This Row],[Preço]],BJ90+TbTradesBinance[[#This Row],[Qtt]]*TbTradesBinance[[#This Row],[Preço]])),BJ90)-IF(TbTradesBinance[[#This Row],[Moeda da Taxa]]=MID(BJ$1,9,5),TbTradesBinance[[#This Row],[Taxa]],0),8)))</f>
        <v>0</v>
      </c>
      <c r="BK91" s="145" cm="1">
        <f t="array" ref="BK91">IF(TbTradesBinance[[#This Row],[Tipo]]="EMPTY",0,BK90+IF(TbTradesBinance[[#This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Row],[Par]]))),$1:$1,0)),-(BJ90-BJ91)/BJ90*BK90),0),0)+IF(TbTradesBinance[[#This Row],[Tipo]]="SELL",IF(ISNUMBER(FIND(MID(BK$1,10,5),TbTradesBinance[[#This Row],[Par]])),IF(FIND(MID(BK$1,10,5),TbTradesBinance[[#This Row],[Par]])=1, -(BJ90-BJ91)/BJ90*BK90,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Row],[Par]])),(-(BJ90-BJ91)/BJ90*BK90)+IF(TbTradesBinance[[#This Row],[Resultado]]&gt;0,0,TbTradesBinance[[#This Row],[Taxa]]),0),0))</f>
        <v>0</v>
      </c>
      <c r="BL91" s="145">
        <f t="shared" si="36"/>
        <v>0</v>
      </c>
      <c r="BM9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Row],[Tipo]]="DROP"),BM90+TbTradesBinance[[#This Row],[Qtt]],BM90-TbTradesBinance[[#This Row],[Qtt]]),IF(TbTradesBinance[[#This Row],[Tipo]]="BUY",BM90-TbTradesBinance[[#This Row],[Qtt]]*TbTradesBinance[[#This Row],[Preço]],BM90+TbTradesBinance[[#This Row],[Qtt]]*TbTradesBinance[[#This Row],[Preço]])),BM90)-IF(TbTradesBinance[[#This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Row],[Tipo]]="DROP"),BM90+TbTradesBinance[[#This Row],[Qtt]],BM90-TbTradesBinance[[#This Row],[Qtt]]),IF(TbTradesBinance[[#This Row],[Tipo]]="BUY",BM90-TbTradesBinance[[#This Row],[Qtt]]*TbTradesBinance[[#This Row],[Preço]],BM90+TbTradesBinance[[#This Row],[Qtt]]*TbTradesBinance[[#This Row],[Preço]])),BM90)-IF(TbTradesBinance[[#This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Row],[Tipo]]="DROP"),BM90+TbTradesBinance[[#This Row],[Qtt]],BM90-TbTradesBinance[[#This Row],[Qtt]]),IF(TbTradesBinance[[#This Row],[Tipo]]="BUY",BM90-TbTradesBinance[[#This Row],[Qtt]]*TbTradesBinance[[#This Row],[Preço]],BM90+TbTradesBinance[[#This Row],[Qtt]]*TbTradesBinance[[#This Row],[Preço]])),BM90)-IF(TbTradesBinance[[#This Row],[Moeda da Taxa]]=MID(BM$1,9,5),TbTradesBinance[[#This Row],[Taxa]],0),8)))</f>
        <v>0</v>
      </c>
      <c r="BN91" s="145" cm="1">
        <f t="array" ref="BN91">IF(TbTradesBinance[[#This Row],[Tipo]]="EMPTY",0,BN90+IF(TbTradesBinance[[#This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Row],[Par]]))),$1:$1,0)),-(BM90-BM91)/BM90*BN90),0),0)+IF(TbTradesBinance[[#This Row],[Tipo]]="SELL",IF(ISNUMBER(FIND(MID(BN$1,10,5),TbTradesBinance[[#This Row],[Par]])),IF(FIND(MID(BN$1,10,5),TbTradesBinance[[#This Row],[Par]])=1, -(BM90-BM91)/BM90*BN90,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Row],[Par]])),(-(BM90-BM91)/BM90*BN90)+IF(TbTradesBinance[[#This Row],[Resultado]]&gt;0,0,TbTradesBinance[[#This Row],[Taxa]]),0),0))</f>
        <v>0</v>
      </c>
      <c r="BO91" s="145">
        <f t="shared" si="37"/>
        <v>0</v>
      </c>
    </row>
    <row r="92" spans="2:67" x14ac:dyDescent="0.3">
      <c r="B92" s="51"/>
      <c r="C92" s="40">
        <f>TRUNC(IF(AND(TbTradesBinance[[#This Row],[Tipo]]="SEND",TbTradesBinance[[#This Row],[Par]]="BRL"),TbTradesBinance[[#This Row],[Qtt]]*(1-P90)-IF(TbTradesBinance[[#This Row],[Moeda da Taxa]]="BRL",TbTradesBinance[[#This Row],[Taxa]],0),0)+IF(AND(TbTradesBinance[[#This Row],[Tipo]]="BURN",TbTradesBinance[[#This Row],[Par]]="BRL"),-TbTradesBinance[[#This Row],[Qtt]]*P90,0),2)</f>
        <v>0</v>
      </c>
      <c r="D92" s="53">
        <v>44268.463599537034</v>
      </c>
      <c r="E92" s="37" t="s">
        <v>257</v>
      </c>
      <c r="F92" s="47" t="s">
        <v>139</v>
      </c>
      <c r="G92" s="38">
        <v>4</v>
      </c>
      <c r="H92" s="38">
        <v>12.5</v>
      </c>
      <c r="I92" s="38">
        <v>0</v>
      </c>
      <c r="J92" s="37" t="s">
        <v>45</v>
      </c>
      <c r="K92" s="52">
        <v>1</v>
      </c>
      <c r="L92" s="40">
        <f t="shared" si="19"/>
        <v>4</v>
      </c>
      <c r="M92" s="40">
        <f>IF(OR(TbTradesBinance[[#This Row],[Tipo]]="BUY",TbTradesBinance[[#This Row],[Tipo]]="RECEIVE",TbTradesBinance[[#This Row],[Tipo]]="DROP"),L92*H92,-L92*H92)</f>
        <v>50</v>
      </c>
      <c r="N9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Row],[Tipo]]="DROP"),N91+TbTradesBinance[[#This Row],[Qtt]],N91-TbTradesBinance[[#This Row],[Qtt]]),IF(TbTradesBinance[[#This Row],[Tipo]]="BUY",N91-TbTradesBinance[[#This Row],[Qtt]]*TbTradesBinance[[#This Row],[Preço]],N91+TbTradesBinance[[#This Row],[Qtt]]*TbTradesBinance[[#This Row],[Preço]])),N91)-IF(TbTradesBinance[[#This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Row],[Tipo]]="DROP"),N91+TbTradesBinance[[#This Row],[Qtt]],N91-TbTradesBinance[[#This Row],[Qtt]]),IF(TbTradesBinance[[#This Row],[Tipo]]="BUY",N91-TbTradesBinance[[#This Row],[Qtt]]*TbTradesBinance[[#This Row],[Preço]],N91+TbTradesBinance[[#This Row],[Qtt]]*TbTradesBinance[[#This Row],[Preço]])),N91)-IF(TbTradesBinance[[#This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Row],[Tipo]]="DROP"),N91+TbTradesBinance[[#This Row],[Qtt]],N91-TbTradesBinance[[#This Row],[Qtt]]),IF(TbTradesBinance[[#This Row],[Tipo]]="BUY",N91-TbTradesBinance[[#This Row],[Qtt]]*TbTradesBinance[[#This Row],[Preço]],N91+TbTradesBinance[[#This Row],[Qtt]]*TbTradesBinance[[#This Row],[Preço]])),N91)-IF(TbTradesBinance[[#This Row],[Moeda da Taxa]]=MID(N$1,9,5),TbTradesBinance[[#This Row],[Taxa]],0),8)))</f>
        <v>120984.27689208</v>
      </c>
      <c r="O92" s="145" cm="1">
        <f t="array" ref="O92">IF(TbTradesBinance[[#This Row],[Tipo]]="EMPTY",0,O91+IF(TbTradesBinance[[#This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Row],[Par]]))),$1:$1,0)),-(N91-N92)/N91*O91),0),0)+IF(TbTradesBinance[[#This Row],[Tipo]]="SELL",IF(ISNUMBER(FIND(MID(O$1,10,5),TbTradesBinance[[#This Row],[Par]])),IF(FIND(MID(O$1,10,5),TbTradesBinance[[#This Row],[Par]])=1, -(N91-N92)/N91*O91,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Row],[Par]])),(-(N91-N92)/N91*O91)+IF(TbTradesBinance[[#This Row],[Resultado]]&gt;0,0,TbTradesBinance[[#This Row],[Taxa]]),0),0))</f>
        <v>120972.27805301524</v>
      </c>
      <c r="P92" s="145">
        <f t="shared" si="20"/>
        <v>0.99990082315344608</v>
      </c>
      <c r="Q9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Row],[Tipo]]="DROP"),Q91+TbTradesBinance[[#This Row],[Qtt]],Q91-TbTradesBinance[[#This Row],[Qtt]]),IF(TbTradesBinance[[#This Row],[Tipo]]="BUY",Q91-TbTradesBinance[[#This Row],[Qtt]]*TbTradesBinance[[#This Row],[Preço]],Q91+TbTradesBinance[[#This Row],[Qtt]]*TbTradesBinance[[#This Row],[Preço]])),Q91)-IF(TbTradesBinance[[#This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Row],[Tipo]]="DROP"),Q91+TbTradesBinance[[#This Row],[Qtt]],Q91-TbTradesBinance[[#This Row],[Qtt]]),IF(TbTradesBinance[[#This Row],[Tipo]]="BUY",Q91-TbTradesBinance[[#This Row],[Qtt]]*TbTradesBinance[[#This Row],[Preço]],Q91+TbTradesBinance[[#This Row],[Qtt]]*TbTradesBinance[[#This Row],[Preço]])),Q91)-IF(TbTradesBinance[[#This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Row],[Tipo]]="DROP"),Q91+TbTradesBinance[[#This Row],[Qtt]],Q91-TbTradesBinance[[#This Row],[Qtt]]),IF(TbTradesBinance[[#This Row],[Tipo]]="BUY",Q91-TbTradesBinance[[#This Row],[Qtt]]*TbTradesBinance[[#This Row],[Preço]],Q91+TbTradesBinance[[#This Row],[Qtt]]*TbTradesBinance[[#This Row],[Preço]])),Q91)-IF(TbTradesBinance[[#This Row],[Moeda da Taxa]]=MID(Q$1,9,5),TbTradesBinance[[#This Row],[Taxa]],0),8)))</f>
        <v>0.11931021</v>
      </c>
      <c r="R92" s="145" cm="1">
        <f t="array" ref="R92">IF(TbTradesBinance[[#This Row],[Tipo]]="EMPTY",0,R91+IF(TbTradesBinance[[#This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Row],[Par]]))),$1:$1,0)),-(Q91-Q92)/Q91*R91),0),0)+IF(TbTradesBinance[[#This Row],[Tipo]]="SELL",IF(ISNUMBER(FIND(MID(R$1,10,5),TbTradesBinance[[#This Row],[Par]])),IF(FIND(MID(R$1,10,5),TbTradesBinance[[#This Row],[Par]])=1, -(Q91-Q92)/Q91*R91,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Row],[Par]])),(-(Q91-Q92)/Q91*R91)+IF(TbTradesBinance[[#This Row],[Resultado]]&gt;0,0,TbTradesBinance[[#This Row],[Taxa]]),0),0))</f>
        <v>0.66669440205926378</v>
      </c>
      <c r="S92" s="145">
        <f t="shared" si="21"/>
        <v>5.5879073723804842</v>
      </c>
      <c r="T9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Row],[Tipo]]="DROP"),T91+TbTradesBinance[[#This Row],[Qtt]],T91-TbTradesBinance[[#This Row],[Qtt]]),IF(TbTradesBinance[[#This Row],[Tipo]]="BUY",T91-TbTradesBinance[[#This Row],[Qtt]]*TbTradesBinance[[#This Row],[Preço]],T91+TbTradesBinance[[#This Row],[Qtt]]*TbTradesBinance[[#This Row],[Preço]])),T91)-IF(TbTradesBinance[[#This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Row],[Tipo]]="DROP"),T91+TbTradesBinance[[#This Row],[Qtt]],T91-TbTradesBinance[[#This Row],[Qtt]]),IF(TbTradesBinance[[#This Row],[Tipo]]="BUY",T91-TbTradesBinance[[#This Row],[Qtt]]*TbTradesBinance[[#This Row],[Preço]],T91+TbTradesBinance[[#This Row],[Qtt]]*TbTradesBinance[[#This Row],[Preço]])),T91)-IF(TbTradesBinance[[#This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Row],[Tipo]]="DROP"),T91+TbTradesBinance[[#This Row],[Qtt]],T91-TbTradesBinance[[#This Row],[Qtt]]),IF(TbTradesBinance[[#This Row],[Tipo]]="BUY",T91-TbTradesBinance[[#This Row],[Qtt]]*TbTradesBinance[[#This Row],[Preço]],T91+TbTradesBinance[[#This Row],[Qtt]]*TbTradesBinance[[#This Row],[Preço]])),T91)-IF(TbTradesBinance[[#This Row],[Moeda da Taxa]]=MID(T$1,9,5),TbTradesBinance[[#This Row],[Taxa]],0),8)))</f>
        <v>199735.32000169999</v>
      </c>
      <c r="U92" s="145" cm="1">
        <f t="array" ref="U92">IF(TbTradesBinance[[#This Row],[Tipo]]="EMPTY",0,U91+IF(TbTradesBinance[[#This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Row],[Par]]))),$1:$1,0)),-(T91-T92)/T91*U91),0),0)+IF(TbTradesBinance[[#This Row],[Tipo]]="SELL",IF(ISNUMBER(FIND(MID(U$1,10,5),TbTradesBinance[[#This Row],[Par]])),IF(FIND(MID(U$1,10,5),TbTradesBinance[[#This Row],[Par]])=1, -(T91-T92)/T91*U91,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Row],[Par]])),(-(T91-T92)/T91*U91)+IF(TbTradesBinance[[#This Row],[Resultado]]&gt;0,0,TbTradesBinance[[#This Row],[Taxa]]),0),0))</f>
        <v>1328239.8809817513</v>
      </c>
      <c r="V92" s="145">
        <f t="shared" si="22"/>
        <v>6.6500000148719129</v>
      </c>
      <c r="W9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Row],[Tipo]]="DROP"),W91+TbTradesBinance[[#This Row],[Qtt]],W91-TbTradesBinance[[#This Row],[Qtt]]),IF(TbTradesBinance[[#This Row],[Tipo]]="BUY",W91-TbTradesBinance[[#This Row],[Qtt]]*TbTradesBinance[[#This Row],[Preço]],W91+TbTradesBinance[[#This Row],[Qtt]]*TbTradesBinance[[#This Row],[Preço]])),W91)-IF(TbTradesBinance[[#This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Row],[Tipo]]="DROP"),W91+TbTradesBinance[[#This Row],[Qtt]],W91-TbTradesBinance[[#This Row],[Qtt]]),IF(TbTradesBinance[[#This Row],[Tipo]]="BUY",W91-TbTradesBinance[[#This Row],[Qtt]]*TbTradesBinance[[#This Row],[Preço]],W91+TbTradesBinance[[#This Row],[Qtt]]*TbTradesBinance[[#This Row],[Preço]])),W91)-IF(TbTradesBinance[[#This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Row],[Tipo]]="DROP"),W91+TbTradesBinance[[#This Row],[Qtt]],W91-TbTradesBinance[[#This Row],[Qtt]]),IF(TbTradesBinance[[#This Row],[Tipo]]="BUY",W91-TbTradesBinance[[#This Row],[Qtt]]*TbTradesBinance[[#This Row],[Preço]],W91+TbTradesBinance[[#This Row],[Qtt]]*TbTradesBinance[[#This Row],[Preço]])),W91)-IF(TbTradesBinance[[#This Row],[Moeda da Taxa]]=MID(W$1,9,5),TbTradesBinance[[#This Row],[Taxa]],0),8)))</f>
        <v>4.5399999999999997E-6</v>
      </c>
      <c r="X92" s="145" cm="1">
        <f t="array" ref="X92">IF(TbTradesBinance[[#This Row],[Tipo]]="EMPTY",0,X91+IF(TbTradesBinance[[#This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Row],[Par]]))),$1:$1,0)),-(W91-W92)/W91*X91),0),0)+IF(TbTradesBinance[[#This Row],[Tipo]]="SELL",IF(ISNUMBER(FIND(MID(X$1,10,5),TbTradesBinance[[#This Row],[Par]])),IF(FIND(MID(X$1,10,5),TbTradesBinance[[#This Row],[Par]])=1, -(W91-W92)/W91*X91,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Row],[Par]])),(-(W91-W92)/W91*X91)+IF(TbTradesBinance[[#This Row],[Resultado]]&gt;0,0,TbTradesBinance[[#This Row],[Taxa]]),0),0))</f>
        <v>1.5152928264556067</v>
      </c>
      <c r="Y92" s="145">
        <f t="shared" si="23"/>
        <v>333764.93974793103</v>
      </c>
      <c r="Z9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Row],[Tipo]]="DROP"),Z91+TbTradesBinance[[#This Row],[Qtt]],Z91-TbTradesBinance[[#This Row],[Qtt]]),IF(TbTradesBinance[[#This Row],[Tipo]]="BUY",Z91-TbTradesBinance[[#This Row],[Qtt]]*TbTradesBinance[[#This Row],[Preço]],Z91+TbTradesBinance[[#This Row],[Qtt]]*TbTradesBinance[[#This Row],[Preço]])),Z91)-IF(TbTradesBinance[[#This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Row],[Tipo]]="DROP"),Z91+TbTradesBinance[[#This Row],[Qtt]],Z91-TbTradesBinance[[#This Row],[Qtt]]),IF(TbTradesBinance[[#This Row],[Tipo]]="BUY",Z91-TbTradesBinance[[#This Row],[Qtt]]*TbTradesBinance[[#This Row],[Preço]],Z91+TbTradesBinance[[#This Row],[Qtt]]*TbTradesBinance[[#This Row],[Preço]])),Z91)-IF(TbTradesBinance[[#This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Row],[Tipo]]="DROP"),Z91+TbTradesBinance[[#This Row],[Qtt]],Z91-TbTradesBinance[[#This Row],[Qtt]]),IF(TbTradesBinance[[#This Row],[Tipo]]="BUY",Z91-TbTradesBinance[[#This Row],[Qtt]]*TbTradesBinance[[#This Row],[Preço]],Z91+TbTradesBinance[[#This Row],[Qtt]]*TbTradesBinance[[#This Row],[Preço]])),Z91)-IF(TbTradesBinance[[#This Row],[Moeda da Taxa]]=MID(Z$1,9,5),TbTradesBinance[[#This Row],[Taxa]],0),8)))</f>
        <v>0</v>
      </c>
      <c r="AA92" s="145" cm="1">
        <f t="array" ref="AA92">IF(TbTradesBinance[[#This Row],[Tipo]]="EMPTY",0,AA91+IF(TbTradesBinance[[#This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Row],[Par]]))),$1:$1,0)),-(Z91-Z92)/Z91*AA91),0),0)+IF(TbTradesBinance[[#This Row],[Tipo]]="SELL",IF(ISNUMBER(FIND(MID(AA$1,10,5),TbTradesBinance[[#This Row],[Par]])),IF(FIND(MID(AA$1,10,5),TbTradesBinance[[#This Row],[Par]])=1, -(Z91-Z92)/Z91*AA91,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Row],[Par]])),(-(Z91-Z92)/Z91*AA91)+IF(TbTradesBinance[[#This Row],[Resultado]]&gt;0,0,TbTradesBinance[[#This Row],[Taxa]]),0),0))</f>
        <v>0</v>
      </c>
      <c r="AB92" s="145">
        <f t="shared" si="24"/>
        <v>0</v>
      </c>
      <c r="AC9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Row],[Tipo]]="DROP"),AC91+TbTradesBinance[[#This Row],[Qtt]],AC91-TbTradesBinance[[#This Row],[Qtt]]),IF(TbTradesBinance[[#This Row],[Tipo]]="BUY",AC91-TbTradesBinance[[#This Row],[Qtt]]*TbTradesBinance[[#This Row],[Preço]],AC91+TbTradesBinance[[#This Row],[Qtt]]*TbTradesBinance[[#This Row],[Preço]])),AC91)-IF(TbTradesBinance[[#This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Row],[Tipo]]="DROP"),AC91+TbTradesBinance[[#This Row],[Qtt]],AC91-TbTradesBinance[[#This Row],[Qtt]]),IF(TbTradesBinance[[#This Row],[Tipo]]="BUY",AC91-TbTradesBinance[[#This Row],[Qtt]]*TbTradesBinance[[#This Row],[Preço]],AC91+TbTradesBinance[[#This Row],[Qtt]]*TbTradesBinance[[#This Row],[Preço]])),AC91)-IF(TbTradesBinance[[#This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Row],[Tipo]]="DROP"),AC91+TbTradesBinance[[#This Row],[Qtt]],AC91-TbTradesBinance[[#This Row],[Qtt]]),IF(TbTradesBinance[[#This Row],[Tipo]]="BUY",AC91-TbTradesBinance[[#This Row],[Qtt]]*TbTradesBinance[[#This Row],[Preço]],AC91+TbTradesBinance[[#This Row],[Qtt]]*TbTradesBinance[[#This Row],[Preço]])),AC91)-IF(TbTradesBinance[[#This Row],[Moeda da Taxa]]=MID(AC$1,9,5),TbTradesBinance[[#This Row],[Taxa]],0),8)))</f>
        <v>2.997E-2</v>
      </c>
      <c r="AD92" s="145" cm="1">
        <f t="array" ref="AD92">IF(TbTradesBinance[[#This Row],[Tipo]]="EMPTY",0,AD91+IF(TbTradesBinance[[#This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Row],[Par]]))),$1:$1,0)),-(AC91-AC92)/AC91*AD91),0),0)+IF(TbTradesBinance[[#This Row],[Tipo]]="SELL",IF(ISNUMBER(FIND(MID(AD$1,10,5),TbTradesBinance[[#This Row],[Par]])),IF(FIND(MID(AD$1,10,5),TbTradesBinance[[#This Row],[Par]])=1, -(AC91-AC92)/AC91*AD91,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Row],[Par]])),(-(AC91-AC92)/AC91*AD91)+IF(TbTradesBinance[[#This Row],[Resultado]]&gt;0,0,TbTradesBinance[[#This Row],[Taxa]]),0),0))</f>
        <v>60.199749701148171</v>
      </c>
      <c r="AE92" s="145">
        <f t="shared" si="25"/>
        <v>2008.6669903619677</v>
      </c>
      <c r="AF9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Row],[Tipo]]="DROP"),AF91+TbTradesBinance[[#This Row],[Qtt]],AF91-TbTradesBinance[[#This Row],[Qtt]]),IF(TbTradesBinance[[#This Row],[Tipo]]="BUY",AF91-TbTradesBinance[[#This Row],[Qtt]]*TbTradesBinance[[#This Row],[Preço]],AF91+TbTradesBinance[[#This Row],[Qtt]]*TbTradesBinance[[#This Row],[Preço]])),AF91)-IF(TbTradesBinance[[#This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Row],[Tipo]]="DROP"),AF91+TbTradesBinance[[#This Row],[Qtt]],AF91-TbTradesBinance[[#This Row],[Qtt]]),IF(TbTradesBinance[[#This Row],[Tipo]]="BUY",AF91-TbTradesBinance[[#This Row],[Qtt]]*TbTradesBinance[[#This Row],[Preço]],AF91+TbTradesBinance[[#This Row],[Qtt]]*TbTradesBinance[[#This Row],[Preço]])),AF91)-IF(TbTradesBinance[[#This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Row],[Tipo]]="DROP"),AF91+TbTradesBinance[[#This Row],[Qtt]],AF91-TbTradesBinance[[#This Row],[Qtt]]),IF(TbTradesBinance[[#This Row],[Tipo]]="BUY",AF91-TbTradesBinance[[#This Row],[Qtt]]*TbTradesBinance[[#This Row],[Preço]],AF91+TbTradesBinance[[#This Row],[Qtt]]*TbTradesBinance[[#This Row],[Preço]])),AF91)-IF(TbTradesBinance[[#This Row],[Moeda da Taxa]]=MID(AF$1,9,5),TbTradesBinance[[#This Row],[Taxa]],0),8)))</f>
        <v>19.98</v>
      </c>
      <c r="AG92" s="145" cm="1">
        <f t="array" ref="AG92">IF(TbTradesBinance[[#This Row],[Tipo]]="EMPTY",0,AG91+IF(TbTradesBinance[[#This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Row],[Par]]))),$1:$1,0)),-(AF91-AF92)/AF91*AG91),0),0)+IF(TbTradesBinance[[#This Row],[Tipo]]="SELL",IF(ISNUMBER(FIND(MID(AG$1,10,5),TbTradesBinance[[#This Row],[Par]])),IF(FIND(MID(AG$1,10,5),TbTradesBinance[[#This Row],[Par]])=1, -(AF91-AF92)/AF91*AG91,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Row],[Par]])),(-(AF91-AF92)/AF91*AG91)+IF(TbTradesBinance[[#This Row],[Resultado]]&gt;0,0,TbTradesBinance[[#This Row],[Taxa]]),0),0))</f>
        <v>124.04182758073662</v>
      </c>
      <c r="AH92" s="145">
        <f t="shared" si="26"/>
        <v>6.2082996787155462</v>
      </c>
      <c r="AI9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Row],[Tipo]]="DROP"),AI91+TbTradesBinance[[#This Row],[Qtt]],AI91-TbTradesBinance[[#This Row],[Qtt]]),IF(TbTradesBinance[[#This Row],[Tipo]]="BUY",AI91-TbTradesBinance[[#This Row],[Qtt]]*TbTradesBinance[[#This Row],[Preço]],AI91+TbTradesBinance[[#This Row],[Qtt]]*TbTradesBinance[[#This Row],[Preço]])),AI91)-IF(TbTradesBinance[[#This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Row],[Tipo]]="DROP"),AI91+TbTradesBinance[[#This Row],[Qtt]],AI91-TbTradesBinance[[#This Row],[Qtt]]),IF(TbTradesBinance[[#This Row],[Tipo]]="BUY",AI91-TbTradesBinance[[#This Row],[Qtt]]*TbTradesBinance[[#This Row],[Preço]],AI91+TbTradesBinance[[#This Row],[Qtt]]*TbTradesBinance[[#This Row],[Preço]])),AI91)-IF(TbTradesBinance[[#This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Row],[Tipo]]="DROP"),AI91+TbTradesBinance[[#This Row],[Qtt]],AI91-TbTradesBinance[[#This Row],[Qtt]]),IF(TbTradesBinance[[#This Row],[Tipo]]="BUY",AI91-TbTradesBinance[[#This Row],[Qtt]]*TbTradesBinance[[#This Row],[Preço]],AI91+TbTradesBinance[[#This Row],[Qtt]]*TbTradesBinance[[#This Row],[Preço]])),AI91)-IF(TbTradesBinance[[#This Row],[Moeda da Taxa]]=MID(AI$1,9,5),TbTradesBinance[[#This Row],[Taxa]],0),8)))</f>
        <v>0</v>
      </c>
      <c r="AJ92" s="145" cm="1">
        <f t="array" ref="AJ92">IF(TbTradesBinance[[#This Row],[Tipo]]="EMPTY",0,AJ91+IF(TbTradesBinance[[#This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Row],[Par]]))),$1:$1,0)),-(AI91-AI92)/AI91*AJ91),0),0)+IF(TbTradesBinance[[#This Row],[Tipo]]="SELL",IF(ISNUMBER(FIND(MID(AJ$1,10,5),TbTradesBinance[[#This Row],[Par]])),IF(FIND(MID(AJ$1,10,5),TbTradesBinance[[#This Row],[Par]])=1, -(AI91-AI92)/AI91*AJ91,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Row],[Par]])),(-(AI91-AI92)/AI91*AJ91)+IF(TbTradesBinance[[#This Row],[Resultado]]&gt;0,0,TbTradesBinance[[#This Row],[Taxa]]),0),0))</f>
        <v>0</v>
      </c>
      <c r="AK92" s="145">
        <f t="shared" si="27"/>
        <v>0</v>
      </c>
      <c r="AL9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Row],[Tipo]]="DROP"),AL91+TbTradesBinance[[#This Row],[Qtt]],AL91-TbTradesBinance[[#This Row],[Qtt]]),IF(TbTradesBinance[[#This Row],[Tipo]]="BUY",AL91-TbTradesBinance[[#This Row],[Qtt]]*TbTradesBinance[[#This Row],[Preço]],AL91+TbTradesBinance[[#This Row],[Qtt]]*TbTradesBinance[[#This Row],[Preço]])),AL91)-IF(TbTradesBinance[[#This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Row],[Tipo]]="DROP"),AL91+TbTradesBinance[[#This Row],[Qtt]],AL91-TbTradesBinance[[#This Row],[Qtt]]),IF(TbTradesBinance[[#This Row],[Tipo]]="BUY",AL91-TbTradesBinance[[#This Row],[Qtt]]*TbTradesBinance[[#This Row],[Preço]],AL91+TbTradesBinance[[#This Row],[Qtt]]*TbTradesBinance[[#This Row],[Preço]])),AL91)-IF(TbTradesBinance[[#This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Row],[Tipo]]="DROP"),AL91+TbTradesBinance[[#This Row],[Qtt]],AL91-TbTradesBinance[[#This Row],[Qtt]]),IF(TbTradesBinance[[#This Row],[Tipo]]="BUY",AL91-TbTradesBinance[[#This Row],[Qtt]]*TbTradesBinance[[#This Row],[Preço]],AL91+TbTradesBinance[[#This Row],[Qtt]]*TbTradesBinance[[#This Row],[Preço]])),AL91)-IF(TbTradesBinance[[#This Row],[Moeda da Taxa]]=MID(AL$1,9,5),TbTradesBinance[[#This Row],[Taxa]],0),8)))</f>
        <v>1.75824</v>
      </c>
      <c r="AM92" s="145" cm="1">
        <f t="array" ref="AM92">IF(TbTradesBinance[[#This Row],[Tipo]]="EMPTY",0,AM91+IF(TbTradesBinance[[#This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Row],[Par]]))),$1:$1,0)),-(AL91-AL92)/AL91*AM91),0),0)+IF(TbTradesBinance[[#This Row],[Tipo]]="SELL",IF(ISNUMBER(FIND(MID(AM$1,10,5),TbTradesBinance[[#This Row],[Par]])),IF(FIND(MID(AM$1,10,5),TbTradesBinance[[#This Row],[Par]])=1, -(AL91-AL92)/AL91*AM91,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Row],[Par]])),(-(AL91-AL92)/AL91*AM91)+IF(TbTradesBinance[[#This Row],[Resultado]]&gt;0,0,TbTradesBinance[[#This Row],[Taxa]]),0),0))</f>
        <v>144.56635471393039</v>
      </c>
      <c r="AN92" s="145">
        <f t="shared" si="28"/>
        <v>82.222196465744375</v>
      </c>
      <c r="AO9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Row],[Tipo]]="DROP"),AO91+TbTradesBinance[[#This Row],[Qtt]],AO91-TbTradesBinance[[#This Row],[Qtt]]),IF(TbTradesBinance[[#This Row],[Tipo]]="BUY",AO91-TbTradesBinance[[#This Row],[Qtt]]*TbTradesBinance[[#This Row],[Preço]],AO91+TbTradesBinance[[#This Row],[Qtt]]*TbTradesBinance[[#This Row],[Preço]])),AO91)-IF(TbTradesBinance[[#This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Row],[Tipo]]="DROP"),AO91+TbTradesBinance[[#This Row],[Qtt]],AO91-TbTradesBinance[[#This Row],[Qtt]]),IF(TbTradesBinance[[#This Row],[Tipo]]="BUY",AO91-TbTradesBinance[[#This Row],[Qtt]]*TbTradesBinance[[#This Row],[Preço]],AO91+TbTradesBinance[[#This Row],[Qtt]]*TbTradesBinance[[#This Row],[Preço]])),AO91)-IF(TbTradesBinance[[#This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Row],[Tipo]]="DROP"),AO91+TbTradesBinance[[#This Row],[Qtt]],AO91-TbTradesBinance[[#This Row],[Qtt]]),IF(TbTradesBinance[[#This Row],[Tipo]]="BUY",AO91-TbTradesBinance[[#This Row],[Qtt]]*TbTradesBinance[[#This Row],[Preço]],AO91+TbTradesBinance[[#This Row],[Qtt]]*TbTradesBinance[[#This Row],[Preço]])),AO91)-IF(TbTradesBinance[[#This Row],[Moeda da Taxa]]=MID(AO$1,9,5),TbTradesBinance[[#This Row],[Taxa]],0),8)))</f>
        <v>3.9907299999999996E-3</v>
      </c>
      <c r="AP92" s="145" cm="1">
        <f t="array" ref="AP92">IF(TbTradesBinance[[#This Row],[Tipo]]="EMPTY",0,AP91+IF(TbTradesBinance[[#This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Row],[Par]]))),$1:$1,0)),-(AO91-AO92)/AO91*AP91),0),0)+IF(TbTradesBinance[[#This Row],[Tipo]]="SELL",IF(ISNUMBER(FIND(MID(AP$1,10,5),TbTradesBinance[[#This Row],[Par]])),IF(FIND(MID(AP$1,10,5),TbTradesBinance[[#This Row],[Par]])=1, -(AO91-AO92)/AO91*AP91,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Row],[Par]])),(-(AO91-AO92)/AO91*AP91)+IF(TbTradesBinance[[#This Row],[Resultado]]&gt;0,0,TbTradesBinance[[#This Row],[Taxa]]),0),0))</f>
        <v>7.3360959318006032</v>
      </c>
      <c r="AQ92" s="145">
        <f t="shared" si="29"/>
        <v>1838.2842065989439</v>
      </c>
      <c r="AR9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Row],[Tipo]]="DROP"),AR91+TbTradesBinance[[#This Row],[Qtt]],AR91-TbTradesBinance[[#This Row],[Qtt]]),IF(TbTradesBinance[[#This Row],[Tipo]]="BUY",AR91-TbTradesBinance[[#This Row],[Qtt]]*TbTradesBinance[[#This Row],[Preço]],AR91+TbTradesBinance[[#This Row],[Qtt]]*TbTradesBinance[[#This Row],[Preço]])),AR91)-IF(TbTradesBinance[[#This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Row],[Tipo]]="DROP"),AR91+TbTradesBinance[[#This Row],[Qtt]],AR91-TbTradesBinance[[#This Row],[Qtt]]),IF(TbTradesBinance[[#This Row],[Tipo]]="BUY",AR91-TbTradesBinance[[#This Row],[Qtt]]*TbTradesBinance[[#This Row],[Preço]],AR91+TbTradesBinance[[#This Row],[Qtt]]*TbTradesBinance[[#This Row],[Preço]])),AR91)-IF(TbTradesBinance[[#This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Row],[Tipo]]="DROP"),AR91+TbTradesBinance[[#This Row],[Qtt]],AR91-TbTradesBinance[[#This Row],[Qtt]]),IF(TbTradesBinance[[#This Row],[Tipo]]="BUY",AR91-TbTradesBinance[[#This Row],[Qtt]]*TbTradesBinance[[#This Row],[Preço]],AR91+TbTradesBinance[[#This Row],[Qtt]]*TbTradesBinance[[#This Row],[Preço]])),AR91)-IF(TbTradesBinance[[#This Row],[Moeda da Taxa]]=MID(AR$1,9,5),TbTradesBinance[[#This Row],[Taxa]],0),8)))</f>
        <v>12.5</v>
      </c>
      <c r="AS92" s="145" cm="1">
        <f t="array" ref="AS92">IF(TbTradesBinance[[#This Row],[Tipo]]="EMPTY",0,AS91+IF(TbTradesBinance[[#This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Row],[Par]]))),$1:$1,0)),-(AR91-AR92)/AR91*AS91),0),0)+IF(TbTradesBinance[[#This Row],[Tipo]]="SELL",IF(ISNUMBER(FIND(MID(AS$1,10,5),TbTradesBinance[[#This Row],[Par]])),IF(FIND(MID(AS$1,10,5),TbTradesBinance[[#This Row],[Par]])=1, -(AR91-AR92)/AR91*AS91,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Row],[Par]])),(-(AR91-AR92)/AR91*AS91)+IF(TbTradesBinance[[#This Row],[Resultado]]&gt;0,0,TbTradesBinance[[#This Row],[Taxa]]),0),0))</f>
        <v>49.995041157672304</v>
      </c>
      <c r="AT92" s="145">
        <f t="shared" si="30"/>
        <v>3.9996032926137843</v>
      </c>
      <c r="AU9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Row],[Tipo]]="DROP"),AU91+TbTradesBinance[[#This Row],[Qtt]],AU91-TbTradesBinance[[#This Row],[Qtt]]),IF(TbTradesBinance[[#This Row],[Tipo]]="BUY",AU91-TbTradesBinance[[#This Row],[Qtt]]*TbTradesBinance[[#This Row],[Preço]],AU91+TbTradesBinance[[#This Row],[Qtt]]*TbTradesBinance[[#This Row],[Preço]])),AU91)-IF(TbTradesBinance[[#This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Row],[Tipo]]="DROP"),AU91+TbTradesBinance[[#This Row],[Qtt]],AU91-TbTradesBinance[[#This Row],[Qtt]]),IF(TbTradesBinance[[#This Row],[Tipo]]="BUY",AU91-TbTradesBinance[[#This Row],[Qtt]]*TbTradesBinance[[#This Row],[Preço]],AU91+TbTradesBinance[[#This Row],[Qtt]]*TbTradesBinance[[#This Row],[Preço]])),AU91)-IF(TbTradesBinance[[#This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Row],[Tipo]]="DROP"),AU91+TbTradesBinance[[#This Row],[Qtt]],AU91-TbTradesBinance[[#This Row],[Qtt]]),IF(TbTradesBinance[[#This Row],[Tipo]]="BUY",AU91-TbTradesBinance[[#This Row],[Qtt]]*TbTradesBinance[[#This Row],[Preço]],AU91+TbTradesBinance[[#This Row],[Qtt]]*TbTradesBinance[[#This Row],[Preço]])),AU91)-IF(TbTradesBinance[[#This Row],[Moeda da Taxa]]=MID(AU$1,9,5),TbTradesBinance[[#This Row],[Taxa]],0),8)))</f>
        <v>0</v>
      </c>
      <c r="AV92" s="145" cm="1">
        <f t="array" ref="AV92">IF(TbTradesBinance[[#This Row],[Tipo]]="EMPTY",0,AV91+IF(TbTradesBinance[[#This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Row],[Par]]))),$1:$1,0)),-(AU91-AU92)/AU91*AV91),0),0)+IF(TbTradesBinance[[#This Row],[Tipo]]="SELL",IF(ISNUMBER(FIND(MID(AV$1,10,5),TbTradesBinance[[#This Row],[Par]])),IF(FIND(MID(AV$1,10,5),TbTradesBinance[[#This Row],[Par]])=1, -(AU91-AU92)/AU91*AV91,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Row],[Par]])),(-(AU91-AU92)/AU91*AV91)+IF(TbTradesBinance[[#This Row],[Resultado]]&gt;0,0,TbTradesBinance[[#This Row],[Taxa]]),0),0))</f>
        <v>0</v>
      </c>
      <c r="AW92" s="145">
        <f t="shared" si="31"/>
        <v>0</v>
      </c>
      <c r="AX9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Row],[Tipo]]="DROP"),AX91+TbTradesBinance[[#This Row],[Qtt]],AX91-TbTradesBinance[[#This Row],[Qtt]]),IF(TbTradesBinance[[#This Row],[Tipo]]="BUY",AX91-TbTradesBinance[[#This Row],[Qtt]]*TbTradesBinance[[#This Row],[Preço]],AX91+TbTradesBinance[[#This Row],[Qtt]]*TbTradesBinance[[#This Row],[Preço]])),AX91)-IF(TbTradesBinance[[#This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Row],[Tipo]]="DROP"),AX91+TbTradesBinance[[#This Row],[Qtt]],AX91-TbTradesBinance[[#This Row],[Qtt]]),IF(TbTradesBinance[[#This Row],[Tipo]]="BUY",AX91-TbTradesBinance[[#This Row],[Qtt]]*TbTradesBinance[[#This Row],[Preço]],AX91+TbTradesBinance[[#This Row],[Qtt]]*TbTradesBinance[[#This Row],[Preço]])),AX91)-IF(TbTradesBinance[[#This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Row],[Tipo]]="DROP"),AX91+TbTradesBinance[[#This Row],[Qtt]],AX91-TbTradesBinance[[#This Row],[Qtt]]),IF(TbTradesBinance[[#This Row],[Tipo]]="BUY",AX91-TbTradesBinance[[#This Row],[Qtt]]*TbTradesBinance[[#This Row],[Preço]],AX91+TbTradesBinance[[#This Row],[Qtt]]*TbTradesBinance[[#This Row],[Preço]])),AX91)-IF(TbTradesBinance[[#This Row],[Moeda da Taxa]]=MID(AX$1,9,5),TbTradesBinance[[#This Row],[Taxa]],0),8)))</f>
        <v>0.22636999999999999</v>
      </c>
      <c r="AY92" s="145" cm="1">
        <f t="array" ref="AY92">IF(TbTradesBinance[[#This Row],[Tipo]]="EMPTY",0,AY91+IF(TbTradesBinance[[#This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Row],[Par]]))),$1:$1,0)),-(AX91-AX92)/AX91*AY91),0),0)+IF(TbTradesBinance[[#This Row],[Tipo]]="SELL",IF(ISNUMBER(FIND(MID(AY$1,10,5),TbTradesBinance[[#This Row],[Par]])),IF(FIND(MID(AY$1,10,5),TbTradesBinance[[#This Row],[Par]])=1, -(AX91-AX92)/AX91*AY91,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Row],[Par]])),(-(AX91-AX92)/AX91*AY91)+IF(TbTradesBinance[[#This Row],[Resultado]]&gt;0,0,TbTradesBinance[[#This Row],[Taxa]]),0),0))</f>
        <v>40.781337593356859</v>
      </c>
      <c r="AZ92" s="145">
        <f t="shared" si="32"/>
        <v>180.15345493376711</v>
      </c>
      <c r="BA9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Row],[Tipo]]="DROP"),BA91+TbTradesBinance[[#This Row],[Qtt]],BA91-TbTradesBinance[[#This Row],[Qtt]]),IF(TbTradesBinance[[#This Row],[Tipo]]="BUY",BA91-TbTradesBinance[[#This Row],[Qtt]]*TbTradesBinance[[#This Row],[Preço]],BA91+TbTradesBinance[[#This Row],[Qtt]]*TbTradesBinance[[#This Row],[Preço]])),BA91)-IF(TbTradesBinance[[#This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Row],[Tipo]]="DROP"),BA91+TbTradesBinance[[#This Row],[Qtt]],BA91-TbTradesBinance[[#This Row],[Qtt]]),IF(TbTradesBinance[[#This Row],[Tipo]]="BUY",BA91-TbTradesBinance[[#This Row],[Qtt]]*TbTradesBinance[[#This Row],[Preço]],BA91+TbTradesBinance[[#This Row],[Qtt]]*TbTradesBinance[[#This Row],[Preço]])),BA91)-IF(TbTradesBinance[[#This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Row],[Tipo]]="DROP"),BA91+TbTradesBinance[[#This Row],[Qtt]],BA91-TbTradesBinance[[#This Row],[Qtt]]),IF(TbTradesBinance[[#This Row],[Tipo]]="BUY",BA91-TbTradesBinance[[#This Row],[Qtt]]*TbTradesBinance[[#This Row],[Preço]],BA91+TbTradesBinance[[#This Row],[Qtt]]*TbTradesBinance[[#This Row],[Preço]])),BA91)-IF(TbTradesBinance[[#This Row],[Moeda da Taxa]]=MID(BA$1,9,5),TbTradesBinance[[#This Row],[Taxa]],0),8)))</f>
        <v>0</v>
      </c>
      <c r="BB92" s="145" cm="1">
        <f t="array" ref="BB92">IF(TbTradesBinance[[#This Row],[Tipo]]="EMPTY",0,BB91+IF(TbTradesBinance[[#This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Row],[Par]]))),$1:$1,0)),-(BA91-BA92)/BA91*BB91),0),0)+IF(TbTradesBinance[[#This Row],[Tipo]]="SELL",IF(ISNUMBER(FIND(MID(BB$1,10,5),TbTradesBinance[[#This Row],[Par]])),IF(FIND(MID(BB$1,10,5),TbTradesBinance[[#This Row],[Par]])=1, -(BA91-BA92)/BA91*BB91,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Row],[Par]])),(-(BA91-BA92)/BA91*BB91)+IF(TbTradesBinance[[#This Row],[Resultado]]&gt;0,0,TbTradesBinance[[#This Row],[Taxa]]),0),0))</f>
        <v>0</v>
      </c>
      <c r="BC92" s="145">
        <f t="shared" si="33"/>
        <v>0</v>
      </c>
      <c r="BD9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Row],[Tipo]]="DROP"),BD91+TbTradesBinance[[#This Row],[Qtt]],BD91-TbTradesBinance[[#This Row],[Qtt]]),IF(TbTradesBinance[[#This Row],[Tipo]]="BUY",BD91-TbTradesBinance[[#This Row],[Qtt]]*TbTradesBinance[[#This Row],[Preço]],BD91+TbTradesBinance[[#This Row],[Qtt]]*TbTradesBinance[[#This Row],[Preço]])),BD91)-IF(TbTradesBinance[[#This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Row],[Tipo]]="DROP"),BD91+TbTradesBinance[[#This Row],[Qtt]],BD91-TbTradesBinance[[#This Row],[Qtt]]),IF(TbTradesBinance[[#This Row],[Tipo]]="BUY",BD91-TbTradesBinance[[#This Row],[Qtt]]*TbTradesBinance[[#This Row],[Preço]],BD91+TbTradesBinance[[#This Row],[Qtt]]*TbTradesBinance[[#This Row],[Preço]])),BD91)-IF(TbTradesBinance[[#This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Row],[Tipo]]="DROP"),BD91+TbTradesBinance[[#This Row],[Qtt]],BD91-TbTradesBinance[[#This Row],[Qtt]]),IF(TbTradesBinance[[#This Row],[Tipo]]="BUY",BD91-TbTradesBinance[[#This Row],[Qtt]]*TbTradesBinance[[#This Row],[Preço]],BD91+TbTradesBinance[[#This Row],[Qtt]]*TbTradesBinance[[#This Row],[Preço]])),BD91)-IF(TbTradesBinance[[#This Row],[Moeda da Taxa]]=MID(BD$1,9,5),TbTradesBinance[[#This Row],[Taxa]],0),8)))</f>
        <v>0.56906000000000001</v>
      </c>
      <c r="BE92" s="145" cm="1">
        <f t="array" ref="BE92">IF(TbTradesBinance[[#This Row],[Tipo]]="EMPTY",0,BE91+IF(TbTradesBinance[[#This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Row],[Par]]))),$1:$1,0)),-(BD91-BD92)/BD91*BE91),0),0)+IF(TbTradesBinance[[#This Row],[Tipo]]="SELL",IF(ISNUMBER(FIND(MID(BE$1,10,5),TbTradesBinance[[#This Row],[Par]])),IF(FIND(MID(BE$1,10,5),TbTradesBinance[[#This Row],[Par]])=1, -(BD91-BD92)/BD91*BE91,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Row],[Par]])),(-(BD91-BD92)/BD91*BE91)+IF(TbTradesBinance[[#This Row],[Resultado]]&gt;0,0,TbTradesBinance[[#This Row],[Taxa]]),0),0))</f>
        <v>105.81619120195663</v>
      </c>
      <c r="BF92" s="145">
        <f t="shared" si="34"/>
        <v>185.94909359638109</v>
      </c>
      <c r="BG9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Row],[Tipo]]="DROP"),BG91+TbTradesBinance[[#This Row],[Qtt]],BG91-TbTradesBinance[[#This Row],[Qtt]]),IF(TbTradesBinance[[#This Row],[Tipo]]="BUY",BG91-TbTradesBinance[[#This Row],[Qtt]]*TbTradesBinance[[#This Row],[Preço]],BG91+TbTradesBinance[[#This Row],[Qtt]]*TbTradesBinance[[#This Row],[Preço]])),BG91)-IF(TbTradesBinance[[#This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Row],[Tipo]]="DROP"),BG91+TbTradesBinance[[#This Row],[Qtt]],BG91-TbTradesBinance[[#This Row],[Qtt]]),IF(TbTradesBinance[[#This Row],[Tipo]]="BUY",BG91-TbTradesBinance[[#This Row],[Qtt]]*TbTradesBinance[[#This Row],[Preço]],BG91+TbTradesBinance[[#This Row],[Qtt]]*TbTradesBinance[[#This Row],[Preço]])),BG91)-IF(TbTradesBinance[[#This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Row],[Tipo]]="DROP"),BG91+TbTradesBinance[[#This Row],[Qtt]],BG91-TbTradesBinance[[#This Row],[Qtt]]),IF(TbTradesBinance[[#This Row],[Tipo]]="BUY",BG91-TbTradesBinance[[#This Row],[Qtt]]*TbTradesBinance[[#This Row],[Preço]],BG91+TbTradesBinance[[#This Row],[Qtt]]*TbTradesBinance[[#This Row],[Preço]])),BG91)-IF(TbTradesBinance[[#This Row],[Moeda da Taxa]]=MID(BG$1,9,5),TbTradesBinance[[#This Row],[Taxa]],0),8)))</f>
        <v>0</v>
      </c>
      <c r="BH92" s="145" cm="1">
        <f t="array" ref="BH92">IF(TbTradesBinance[[#This Row],[Tipo]]="EMPTY",0,BH91+IF(TbTradesBinance[[#This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Row],[Par]]))),$1:$1,0)),-(BG91-BG92)/BG91*BH91),0),0)+IF(TbTradesBinance[[#This Row],[Tipo]]="SELL",IF(ISNUMBER(FIND(MID(BH$1,10,5),TbTradesBinance[[#This Row],[Par]])),IF(FIND(MID(BH$1,10,5),TbTradesBinance[[#This Row],[Par]])=1, -(BG91-BG92)/BG91*BH91,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Row],[Par]])),(-(BG91-BG92)/BG91*BH91)+IF(TbTradesBinance[[#This Row],[Resultado]]&gt;0,0,TbTradesBinance[[#This Row],[Taxa]]),0),0))</f>
        <v>0</v>
      </c>
      <c r="BI92" s="145">
        <f t="shared" si="35"/>
        <v>0</v>
      </c>
      <c r="BJ9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Row],[Tipo]]="DROP"),BJ91+TbTradesBinance[[#This Row],[Qtt]],BJ91-TbTradesBinance[[#This Row],[Qtt]]),IF(TbTradesBinance[[#This Row],[Tipo]]="BUY",BJ91-TbTradesBinance[[#This Row],[Qtt]]*TbTradesBinance[[#This Row],[Preço]],BJ91+TbTradesBinance[[#This Row],[Qtt]]*TbTradesBinance[[#This Row],[Preço]])),BJ91)-IF(TbTradesBinance[[#This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Row],[Tipo]]="DROP"),BJ91+TbTradesBinance[[#This Row],[Qtt]],BJ91-TbTradesBinance[[#This Row],[Qtt]]),IF(TbTradesBinance[[#This Row],[Tipo]]="BUY",BJ91-TbTradesBinance[[#This Row],[Qtt]]*TbTradesBinance[[#This Row],[Preço]],BJ91+TbTradesBinance[[#This Row],[Qtt]]*TbTradesBinance[[#This Row],[Preço]])),BJ91)-IF(TbTradesBinance[[#This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Row],[Tipo]]="DROP"),BJ91+TbTradesBinance[[#This Row],[Qtt]],BJ91-TbTradesBinance[[#This Row],[Qtt]]),IF(TbTradesBinance[[#This Row],[Tipo]]="BUY",BJ91-TbTradesBinance[[#This Row],[Qtt]]*TbTradesBinance[[#This Row],[Preço]],BJ91+TbTradesBinance[[#This Row],[Qtt]]*TbTradesBinance[[#This Row],[Preço]])),BJ91)-IF(TbTradesBinance[[#This Row],[Moeda da Taxa]]=MID(BJ$1,9,5),TbTradesBinance[[#This Row],[Taxa]],0),8)))</f>
        <v>0</v>
      </c>
      <c r="BK92" s="145" cm="1">
        <f t="array" ref="BK92">IF(TbTradesBinance[[#This Row],[Tipo]]="EMPTY",0,BK91+IF(TbTradesBinance[[#This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Row],[Par]]))),$1:$1,0)),-(BJ91-BJ92)/BJ91*BK91),0),0)+IF(TbTradesBinance[[#This Row],[Tipo]]="SELL",IF(ISNUMBER(FIND(MID(BK$1,10,5),TbTradesBinance[[#This Row],[Par]])),IF(FIND(MID(BK$1,10,5),TbTradesBinance[[#This Row],[Par]])=1, -(BJ91-BJ92)/BJ91*BK91,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Row],[Par]])),(-(BJ91-BJ92)/BJ91*BK91)+IF(TbTradesBinance[[#This Row],[Resultado]]&gt;0,0,TbTradesBinance[[#This Row],[Taxa]]),0),0))</f>
        <v>0</v>
      </c>
      <c r="BL92" s="145">
        <f t="shared" si="36"/>
        <v>0</v>
      </c>
      <c r="BM9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Row],[Tipo]]="DROP"),BM91+TbTradesBinance[[#This Row],[Qtt]],BM91-TbTradesBinance[[#This Row],[Qtt]]),IF(TbTradesBinance[[#This Row],[Tipo]]="BUY",BM91-TbTradesBinance[[#This Row],[Qtt]]*TbTradesBinance[[#This Row],[Preço]],BM91+TbTradesBinance[[#This Row],[Qtt]]*TbTradesBinance[[#This Row],[Preço]])),BM91)-IF(TbTradesBinance[[#This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Row],[Tipo]]="DROP"),BM91+TbTradesBinance[[#This Row],[Qtt]],BM91-TbTradesBinance[[#This Row],[Qtt]]),IF(TbTradesBinance[[#This Row],[Tipo]]="BUY",BM91-TbTradesBinance[[#This Row],[Qtt]]*TbTradesBinance[[#This Row],[Preço]],BM91+TbTradesBinance[[#This Row],[Qtt]]*TbTradesBinance[[#This Row],[Preço]])),BM91)-IF(TbTradesBinance[[#This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Row],[Tipo]]="DROP"),BM91+TbTradesBinance[[#This Row],[Qtt]],BM91-TbTradesBinance[[#This Row],[Qtt]]),IF(TbTradesBinance[[#This Row],[Tipo]]="BUY",BM91-TbTradesBinance[[#This Row],[Qtt]]*TbTradesBinance[[#This Row],[Preço]],BM91+TbTradesBinance[[#This Row],[Qtt]]*TbTradesBinance[[#This Row],[Preço]])),BM91)-IF(TbTradesBinance[[#This Row],[Moeda da Taxa]]=MID(BM$1,9,5),TbTradesBinance[[#This Row],[Taxa]],0),8)))</f>
        <v>0</v>
      </c>
      <c r="BN92" s="145" cm="1">
        <f t="array" ref="BN92">IF(TbTradesBinance[[#This Row],[Tipo]]="EMPTY",0,BN91+IF(TbTradesBinance[[#This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Row],[Par]]))),$1:$1,0)),-(BM91-BM92)/BM91*BN91),0),0)+IF(TbTradesBinance[[#This Row],[Tipo]]="SELL",IF(ISNUMBER(FIND(MID(BN$1,10,5),TbTradesBinance[[#This Row],[Par]])),IF(FIND(MID(BN$1,10,5),TbTradesBinance[[#This Row],[Par]])=1, -(BM91-BM92)/BM91*BN91,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Row],[Par]])),(-(BM91-BM92)/BM91*BN91)+IF(TbTradesBinance[[#This Row],[Resultado]]&gt;0,0,TbTradesBinance[[#This Row],[Taxa]]),0),0))</f>
        <v>0</v>
      </c>
      <c r="BO92" s="145">
        <f t="shared" si="37"/>
        <v>0</v>
      </c>
    </row>
    <row r="93" spans="2:67" x14ac:dyDescent="0.3">
      <c r="B93" s="51"/>
      <c r="C93" s="40">
        <f>TRUNC(IF(AND(TbTradesBinance[[#This Row],[Tipo]]="SEND",TbTradesBinance[[#This Row],[Par]]="BRL"),TbTradesBinance[[#This Row],[Qtt]]*(1-P91)-IF(TbTradesBinance[[#This Row],[Moeda da Taxa]]="BRL",TbTradesBinance[[#This Row],[Taxa]],0),0)+IF(AND(TbTradesBinance[[#This Row],[Tipo]]="BURN",TbTradesBinance[[#This Row],[Par]]="BRL"),-TbTradesBinance[[#This Row],[Qtt]]*P91,0),2)</f>
        <v>0</v>
      </c>
      <c r="D93" s="53">
        <v>44268.562951388885</v>
      </c>
      <c r="E93" s="37" t="s">
        <v>138</v>
      </c>
      <c r="F93" s="47" t="s">
        <v>139</v>
      </c>
      <c r="G93" s="38">
        <v>333000</v>
      </c>
      <c r="H93" s="38">
        <v>1.2E-4</v>
      </c>
      <c r="I93" s="38">
        <v>0</v>
      </c>
      <c r="J93" s="37" t="s">
        <v>45</v>
      </c>
      <c r="K93" s="52">
        <v>1</v>
      </c>
      <c r="L93" s="40">
        <f t="shared" si="19"/>
        <v>333000</v>
      </c>
      <c r="M93" s="40">
        <f>IF(OR(TbTradesBinance[[#This Row],[Tipo]]="BUY",TbTradesBinance[[#This Row],[Tipo]]="RECEIVE",TbTradesBinance[[#This Row],[Tipo]]="DROP"),L93*H93,-L93*H93)</f>
        <v>39.96</v>
      </c>
      <c r="N9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Row],[Tipo]]="DROP"),N92+TbTradesBinance[[#This Row],[Qtt]],N92-TbTradesBinance[[#This Row],[Qtt]]),IF(TbTradesBinance[[#This Row],[Tipo]]="BUY",N92-TbTradesBinance[[#This Row],[Qtt]]*TbTradesBinance[[#This Row],[Preço]],N92+TbTradesBinance[[#This Row],[Qtt]]*TbTradesBinance[[#This Row],[Preço]])),N92)-IF(TbTradesBinance[[#This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Row],[Tipo]]="DROP"),N92+TbTradesBinance[[#This Row],[Qtt]],N92-TbTradesBinance[[#This Row],[Qtt]]),IF(TbTradesBinance[[#This Row],[Tipo]]="BUY",N92-TbTradesBinance[[#This Row],[Qtt]]*TbTradesBinance[[#This Row],[Preço]],N92+TbTradesBinance[[#This Row],[Qtt]]*TbTradesBinance[[#This Row],[Preço]])),N92)-IF(TbTradesBinance[[#This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Row],[Tipo]]="DROP"),N92+TbTradesBinance[[#This Row],[Qtt]],N92-TbTradesBinance[[#This Row],[Qtt]]),IF(TbTradesBinance[[#This Row],[Tipo]]="BUY",N92-TbTradesBinance[[#This Row],[Qtt]]*TbTradesBinance[[#This Row],[Preço]],N92+TbTradesBinance[[#This Row],[Qtt]]*TbTradesBinance[[#This Row],[Preço]])),N92)-IF(TbTradesBinance[[#This Row],[Moeda da Taxa]]=MID(N$1,9,5),TbTradesBinance[[#This Row],[Taxa]],0),8)))</f>
        <v>120944.31689207999</v>
      </c>
      <c r="O93" s="145" cm="1">
        <f t="array" ref="O93">IF(TbTradesBinance[[#This Row],[Tipo]]="EMPTY",0,O92+IF(TbTradesBinance[[#This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Row],[Par]]))),$1:$1,0)),-(N92-N93)/N92*O92),0),0)+IF(TbTradesBinance[[#This Row],[Tipo]]="SELL",IF(ISNUMBER(FIND(MID(O$1,10,5),TbTradesBinance[[#This Row],[Par]])),IF(FIND(MID(O$1,10,5),TbTradesBinance[[#This Row],[Par]])=1, -(N92-N93)/N92*O92,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Row],[Par]])),(-(N92-N93)/N92*O92)+IF(TbTradesBinance[[#This Row],[Resultado]]&gt;0,0,TbTradesBinance[[#This Row],[Taxa]]),0),0))</f>
        <v>120932.32201612202</v>
      </c>
      <c r="P93" s="145">
        <f t="shared" si="20"/>
        <v>0.99990082315344608</v>
      </c>
      <c r="Q9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Row],[Tipo]]="DROP"),Q92+TbTradesBinance[[#This Row],[Qtt]],Q92-TbTradesBinance[[#This Row],[Qtt]]),IF(TbTradesBinance[[#This Row],[Tipo]]="BUY",Q92-TbTradesBinance[[#This Row],[Qtt]]*TbTradesBinance[[#This Row],[Preço]],Q92+TbTradesBinance[[#This Row],[Qtt]]*TbTradesBinance[[#This Row],[Preço]])),Q92)-IF(TbTradesBinance[[#This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Row],[Tipo]]="DROP"),Q92+TbTradesBinance[[#This Row],[Qtt]],Q92-TbTradesBinance[[#This Row],[Qtt]]),IF(TbTradesBinance[[#This Row],[Tipo]]="BUY",Q92-TbTradesBinance[[#This Row],[Qtt]]*TbTradesBinance[[#This Row],[Preço]],Q92+TbTradesBinance[[#This Row],[Qtt]]*TbTradesBinance[[#This Row],[Preço]])),Q92)-IF(TbTradesBinance[[#This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Row],[Tipo]]="DROP"),Q92+TbTradesBinance[[#This Row],[Qtt]],Q92-TbTradesBinance[[#This Row],[Qtt]]),IF(TbTradesBinance[[#This Row],[Tipo]]="BUY",Q92-TbTradesBinance[[#This Row],[Qtt]]*TbTradesBinance[[#This Row],[Preço]],Q92+TbTradesBinance[[#This Row],[Qtt]]*TbTradesBinance[[#This Row],[Preço]])),Q92)-IF(TbTradesBinance[[#This Row],[Moeda da Taxa]]=MID(Q$1,9,5),TbTradesBinance[[#This Row],[Taxa]],0),8)))</f>
        <v>0.11931021</v>
      </c>
      <c r="R93" s="145" cm="1">
        <f t="array" ref="R93">IF(TbTradesBinance[[#This Row],[Tipo]]="EMPTY",0,R92+IF(TbTradesBinance[[#This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Row],[Par]]))),$1:$1,0)),-(Q92-Q93)/Q92*R92),0),0)+IF(TbTradesBinance[[#This Row],[Tipo]]="SELL",IF(ISNUMBER(FIND(MID(R$1,10,5),TbTradesBinance[[#This Row],[Par]])),IF(FIND(MID(R$1,10,5),TbTradesBinance[[#This Row],[Par]])=1, -(Q92-Q93)/Q92*R92,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Row],[Par]])),(-(Q92-Q93)/Q92*R92)+IF(TbTradesBinance[[#This Row],[Resultado]]&gt;0,0,TbTradesBinance[[#This Row],[Taxa]]),0),0))</f>
        <v>0.66669440205926378</v>
      </c>
      <c r="S93" s="145">
        <f t="shared" si="21"/>
        <v>5.5879073723804842</v>
      </c>
      <c r="T9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Row],[Tipo]]="DROP"),T92+TbTradesBinance[[#This Row],[Qtt]],T92-TbTradesBinance[[#This Row],[Qtt]]),IF(TbTradesBinance[[#This Row],[Tipo]]="BUY",T92-TbTradesBinance[[#This Row],[Qtt]]*TbTradesBinance[[#This Row],[Preço]],T92+TbTradesBinance[[#This Row],[Qtt]]*TbTradesBinance[[#This Row],[Preço]])),T92)-IF(TbTradesBinance[[#This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Row],[Tipo]]="DROP"),T92+TbTradesBinance[[#This Row],[Qtt]],T92-TbTradesBinance[[#This Row],[Qtt]]),IF(TbTradesBinance[[#This Row],[Tipo]]="BUY",T92-TbTradesBinance[[#This Row],[Qtt]]*TbTradesBinance[[#This Row],[Preço]],T92+TbTradesBinance[[#This Row],[Qtt]]*TbTradesBinance[[#This Row],[Preço]])),T92)-IF(TbTradesBinance[[#This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Row],[Tipo]]="DROP"),T92+TbTradesBinance[[#This Row],[Qtt]],T92-TbTradesBinance[[#This Row],[Qtt]]),IF(TbTradesBinance[[#This Row],[Tipo]]="BUY",T92-TbTradesBinance[[#This Row],[Qtt]]*TbTradesBinance[[#This Row],[Preço]],T92+TbTradesBinance[[#This Row],[Qtt]]*TbTradesBinance[[#This Row],[Preço]])),T92)-IF(TbTradesBinance[[#This Row],[Moeda da Taxa]]=MID(T$1,9,5),TbTradesBinance[[#This Row],[Taxa]],0),8)))</f>
        <v>199735.32000169999</v>
      </c>
      <c r="U93" s="145" cm="1">
        <f t="array" ref="U93">IF(TbTradesBinance[[#This Row],[Tipo]]="EMPTY",0,U92+IF(TbTradesBinance[[#This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Row],[Par]]))),$1:$1,0)),-(T92-T93)/T92*U92),0),0)+IF(TbTradesBinance[[#This Row],[Tipo]]="SELL",IF(ISNUMBER(FIND(MID(U$1,10,5),TbTradesBinance[[#This Row],[Par]])),IF(FIND(MID(U$1,10,5),TbTradesBinance[[#This Row],[Par]])=1, -(T92-T93)/T92*U92,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Row],[Par]])),(-(T92-T93)/T92*U92)+IF(TbTradesBinance[[#This Row],[Resultado]]&gt;0,0,TbTradesBinance[[#This Row],[Taxa]]),0),0))</f>
        <v>1328239.8809817513</v>
      </c>
      <c r="V93" s="145">
        <f t="shared" si="22"/>
        <v>6.6500000148719129</v>
      </c>
      <c r="W9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Row],[Tipo]]="DROP"),W92+TbTradesBinance[[#This Row],[Qtt]],W92-TbTradesBinance[[#This Row],[Qtt]]),IF(TbTradesBinance[[#This Row],[Tipo]]="BUY",W92-TbTradesBinance[[#This Row],[Qtt]]*TbTradesBinance[[#This Row],[Preço]],W92+TbTradesBinance[[#This Row],[Qtt]]*TbTradesBinance[[#This Row],[Preço]])),W92)-IF(TbTradesBinance[[#This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Row],[Tipo]]="DROP"),W92+TbTradesBinance[[#This Row],[Qtt]],W92-TbTradesBinance[[#This Row],[Qtt]]),IF(TbTradesBinance[[#This Row],[Tipo]]="BUY",W92-TbTradesBinance[[#This Row],[Qtt]]*TbTradesBinance[[#This Row],[Preço]],W92+TbTradesBinance[[#This Row],[Qtt]]*TbTradesBinance[[#This Row],[Preço]])),W92)-IF(TbTradesBinance[[#This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Row],[Tipo]]="DROP"),W92+TbTradesBinance[[#This Row],[Qtt]],W92-TbTradesBinance[[#This Row],[Qtt]]),IF(TbTradesBinance[[#This Row],[Tipo]]="BUY",W92-TbTradesBinance[[#This Row],[Qtt]]*TbTradesBinance[[#This Row],[Preço]],W92+TbTradesBinance[[#This Row],[Qtt]]*TbTradesBinance[[#This Row],[Preço]])),W92)-IF(TbTradesBinance[[#This Row],[Moeda da Taxa]]=MID(W$1,9,5),TbTradesBinance[[#This Row],[Taxa]],0),8)))</f>
        <v>1.2454E-4</v>
      </c>
      <c r="X93" s="145" cm="1">
        <f t="array" ref="X93">IF(TbTradesBinance[[#This Row],[Tipo]]="EMPTY",0,X92+IF(TbTradesBinance[[#This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Row],[Par]]))),$1:$1,0)),-(W92-W93)/W92*X92),0),0)+IF(TbTradesBinance[[#This Row],[Tipo]]="SELL",IF(ISNUMBER(FIND(MID(X$1,10,5),TbTradesBinance[[#This Row],[Par]])),IF(FIND(MID(X$1,10,5),TbTradesBinance[[#This Row],[Par]])=1, -(W92-W93)/W92*X92,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Row],[Par]])),(-(W92-W93)/W92*X92)+IF(TbTradesBinance[[#This Row],[Resultado]]&gt;0,0,TbTradesBinance[[#This Row],[Taxa]]),0),0))</f>
        <v>41.471329719673712</v>
      </c>
      <c r="Y93" s="145">
        <f t="shared" si="23"/>
        <v>332996.06327022414</v>
      </c>
      <c r="Z9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Row],[Tipo]]="DROP"),Z92+TbTradesBinance[[#This Row],[Qtt]],Z92-TbTradesBinance[[#This Row],[Qtt]]),IF(TbTradesBinance[[#This Row],[Tipo]]="BUY",Z92-TbTradesBinance[[#This Row],[Qtt]]*TbTradesBinance[[#This Row],[Preço]],Z92+TbTradesBinance[[#This Row],[Qtt]]*TbTradesBinance[[#This Row],[Preço]])),Z92)-IF(TbTradesBinance[[#This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Row],[Tipo]]="DROP"),Z92+TbTradesBinance[[#This Row],[Qtt]],Z92-TbTradesBinance[[#This Row],[Qtt]]),IF(TbTradesBinance[[#This Row],[Tipo]]="BUY",Z92-TbTradesBinance[[#This Row],[Qtt]]*TbTradesBinance[[#This Row],[Preço]],Z92+TbTradesBinance[[#This Row],[Qtt]]*TbTradesBinance[[#This Row],[Preço]])),Z92)-IF(TbTradesBinance[[#This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Row],[Tipo]]="DROP"),Z92+TbTradesBinance[[#This Row],[Qtt]],Z92-TbTradesBinance[[#This Row],[Qtt]]),IF(TbTradesBinance[[#This Row],[Tipo]]="BUY",Z92-TbTradesBinance[[#This Row],[Qtt]]*TbTradesBinance[[#This Row],[Preço]],Z92+TbTradesBinance[[#This Row],[Qtt]]*TbTradesBinance[[#This Row],[Preço]])),Z92)-IF(TbTradesBinance[[#This Row],[Moeda da Taxa]]=MID(Z$1,9,5),TbTradesBinance[[#This Row],[Taxa]],0),8)))</f>
        <v>0</v>
      </c>
      <c r="AA93" s="145" cm="1">
        <f t="array" ref="AA93">IF(TbTradesBinance[[#This Row],[Tipo]]="EMPTY",0,AA92+IF(TbTradesBinance[[#This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Row],[Par]]))),$1:$1,0)),-(Z92-Z93)/Z92*AA92),0),0)+IF(TbTradesBinance[[#This Row],[Tipo]]="SELL",IF(ISNUMBER(FIND(MID(AA$1,10,5),TbTradesBinance[[#This Row],[Par]])),IF(FIND(MID(AA$1,10,5),TbTradesBinance[[#This Row],[Par]])=1, -(Z92-Z93)/Z92*AA92,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Row],[Par]])),(-(Z92-Z93)/Z92*AA92)+IF(TbTradesBinance[[#This Row],[Resultado]]&gt;0,0,TbTradesBinance[[#This Row],[Taxa]]),0),0))</f>
        <v>0</v>
      </c>
      <c r="AB93" s="145">
        <f t="shared" si="24"/>
        <v>0</v>
      </c>
      <c r="AC9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Row],[Tipo]]="DROP"),AC92+TbTradesBinance[[#This Row],[Qtt]],AC92-TbTradesBinance[[#This Row],[Qtt]]),IF(TbTradesBinance[[#This Row],[Tipo]]="BUY",AC92-TbTradesBinance[[#This Row],[Qtt]]*TbTradesBinance[[#This Row],[Preço]],AC92+TbTradesBinance[[#This Row],[Qtt]]*TbTradesBinance[[#This Row],[Preço]])),AC92)-IF(TbTradesBinance[[#This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Row],[Tipo]]="DROP"),AC92+TbTradesBinance[[#This Row],[Qtt]],AC92-TbTradesBinance[[#This Row],[Qtt]]),IF(TbTradesBinance[[#This Row],[Tipo]]="BUY",AC92-TbTradesBinance[[#This Row],[Qtt]]*TbTradesBinance[[#This Row],[Preço]],AC92+TbTradesBinance[[#This Row],[Qtt]]*TbTradesBinance[[#This Row],[Preço]])),AC92)-IF(TbTradesBinance[[#This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Row],[Tipo]]="DROP"),AC92+TbTradesBinance[[#This Row],[Qtt]],AC92-TbTradesBinance[[#This Row],[Qtt]]),IF(TbTradesBinance[[#This Row],[Tipo]]="BUY",AC92-TbTradesBinance[[#This Row],[Qtt]]*TbTradesBinance[[#This Row],[Preço]],AC92+TbTradesBinance[[#This Row],[Qtt]]*TbTradesBinance[[#This Row],[Preço]])),AC92)-IF(TbTradesBinance[[#This Row],[Moeda da Taxa]]=MID(AC$1,9,5),TbTradesBinance[[#This Row],[Taxa]],0),8)))</f>
        <v>2.997E-2</v>
      </c>
      <c r="AD93" s="145" cm="1">
        <f t="array" ref="AD93">IF(TbTradesBinance[[#This Row],[Tipo]]="EMPTY",0,AD92+IF(TbTradesBinance[[#This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Row],[Par]]))),$1:$1,0)),-(AC92-AC93)/AC92*AD92),0),0)+IF(TbTradesBinance[[#This Row],[Tipo]]="SELL",IF(ISNUMBER(FIND(MID(AD$1,10,5),TbTradesBinance[[#This Row],[Par]])),IF(FIND(MID(AD$1,10,5),TbTradesBinance[[#This Row],[Par]])=1, -(AC92-AC93)/AC92*AD92,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Row],[Par]])),(-(AC92-AC93)/AC92*AD92)+IF(TbTradesBinance[[#This Row],[Resultado]]&gt;0,0,TbTradesBinance[[#This Row],[Taxa]]),0),0))</f>
        <v>60.199749701148171</v>
      </c>
      <c r="AE93" s="145">
        <f t="shared" si="25"/>
        <v>2008.6669903619677</v>
      </c>
      <c r="AF9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Row],[Tipo]]="DROP"),AF92+TbTradesBinance[[#This Row],[Qtt]],AF92-TbTradesBinance[[#This Row],[Qtt]]),IF(TbTradesBinance[[#This Row],[Tipo]]="BUY",AF92-TbTradesBinance[[#This Row],[Qtt]]*TbTradesBinance[[#This Row],[Preço]],AF92+TbTradesBinance[[#This Row],[Qtt]]*TbTradesBinance[[#This Row],[Preço]])),AF92)-IF(TbTradesBinance[[#This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Row],[Tipo]]="DROP"),AF92+TbTradesBinance[[#This Row],[Qtt]],AF92-TbTradesBinance[[#This Row],[Qtt]]),IF(TbTradesBinance[[#This Row],[Tipo]]="BUY",AF92-TbTradesBinance[[#This Row],[Qtt]]*TbTradesBinance[[#This Row],[Preço]],AF92+TbTradesBinance[[#This Row],[Qtt]]*TbTradesBinance[[#This Row],[Preço]])),AF92)-IF(TbTradesBinance[[#This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Row],[Tipo]]="DROP"),AF92+TbTradesBinance[[#This Row],[Qtt]],AF92-TbTradesBinance[[#This Row],[Qtt]]),IF(TbTradesBinance[[#This Row],[Tipo]]="BUY",AF92-TbTradesBinance[[#This Row],[Qtt]]*TbTradesBinance[[#This Row],[Preço]],AF92+TbTradesBinance[[#This Row],[Qtt]]*TbTradesBinance[[#This Row],[Preço]])),AF92)-IF(TbTradesBinance[[#This Row],[Moeda da Taxa]]=MID(AF$1,9,5),TbTradesBinance[[#This Row],[Taxa]],0),8)))</f>
        <v>19.98</v>
      </c>
      <c r="AG93" s="145" cm="1">
        <f t="array" ref="AG93">IF(TbTradesBinance[[#This Row],[Tipo]]="EMPTY",0,AG92+IF(TbTradesBinance[[#This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Row],[Par]]))),$1:$1,0)),-(AF92-AF93)/AF92*AG92),0),0)+IF(TbTradesBinance[[#This Row],[Tipo]]="SELL",IF(ISNUMBER(FIND(MID(AG$1,10,5),TbTradesBinance[[#This Row],[Par]])),IF(FIND(MID(AG$1,10,5),TbTradesBinance[[#This Row],[Par]])=1, -(AF92-AF93)/AF92*AG92,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Row],[Par]])),(-(AF92-AF93)/AF92*AG92)+IF(TbTradesBinance[[#This Row],[Resultado]]&gt;0,0,TbTradesBinance[[#This Row],[Taxa]]),0),0))</f>
        <v>124.04182758073662</v>
      </c>
      <c r="AH93" s="145">
        <f t="shared" si="26"/>
        <v>6.2082996787155462</v>
      </c>
      <c r="AI9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Row],[Tipo]]="DROP"),AI92+TbTradesBinance[[#This Row],[Qtt]],AI92-TbTradesBinance[[#This Row],[Qtt]]),IF(TbTradesBinance[[#This Row],[Tipo]]="BUY",AI92-TbTradesBinance[[#This Row],[Qtt]]*TbTradesBinance[[#This Row],[Preço]],AI92+TbTradesBinance[[#This Row],[Qtt]]*TbTradesBinance[[#This Row],[Preço]])),AI92)-IF(TbTradesBinance[[#This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Row],[Tipo]]="DROP"),AI92+TbTradesBinance[[#This Row],[Qtt]],AI92-TbTradesBinance[[#This Row],[Qtt]]),IF(TbTradesBinance[[#This Row],[Tipo]]="BUY",AI92-TbTradesBinance[[#This Row],[Qtt]]*TbTradesBinance[[#This Row],[Preço]],AI92+TbTradesBinance[[#This Row],[Qtt]]*TbTradesBinance[[#This Row],[Preço]])),AI92)-IF(TbTradesBinance[[#This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Row],[Tipo]]="DROP"),AI92+TbTradesBinance[[#This Row],[Qtt]],AI92-TbTradesBinance[[#This Row],[Qtt]]),IF(TbTradesBinance[[#This Row],[Tipo]]="BUY",AI92-TbTradesBinance[[#This Row],[Qtt]]*TbTradesBinance[[#This Row],[Preço]],AI92+TbTradesBinance[[#This Row],[Qtt]]*TbTradesBinance[[#This Row],[Preço]])),AI92)-IF(TbTradesBinance[[#This Row],[Moeda da Taxa]]=MID(AI$1,9,5),TbTradesBinance[[#This Row],[Taxa]],0),8)))</f>
        <v>0</v>
      </c>
      <c r="AJ93" s="145" cm="1">
        <f t="array" ref="AJ93">IF(TbTradesBinance[[#This Row],[Tipo]]="EMPTY",0,AJ92+IF(TbTradesBinance[[#This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Row],[Par]]))),$1:$1,0)),-(AI92-AI93)/AI92*AJ92),0),0)+IF(TbTradesBinance[[#This Row],[Tipo]]="SELL",IF(ISNUMBER(FIND(MID(AJ$1,10,5),TbTradesBinance[[#This Row],[Par]])),IF(FIND(MID(AJ$1,10,5),TbTradesBinance[[#This Row],[Par]])=1, -(AI92-AI93)/AI92*AJ92,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Row],[Par]])),(-(AI92-AI93)/AI92*AJ92)+IF(TbTradesBinance[[#This Row],[Resultado]]&gt;0,0,TbTradesBinance[[#This Row],[Taxa]]),0),0))</f>
        <v>0</v>
      </c>
      <c r="AK93" s="145">
        <f t="shared" si="27"/>
        <v>0</v>
      </c>
      <c r="AL9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Row],[Tipo]]="DROP"),AL92+TbTradesBinance[[#This Row],[Qtt]],AL92-TbTradesBinance[[#This Row],[Qtt]]),IF(TbTradesBinance[[#This Row],[Tipo]]="BUY",AL92-TbTradesBinance[[#This Row],[Qtt]]*TbTradesBinance[[#This Row],[Preço]],AL92+TbTradesBinance[[#This Row],[Qtt]]*TbTradesBinance[[#This Row],[Preço]])),AL92)-IF(TbTradesBinance[[#This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Row],[Tipo]]="DROP"),AL92+TbTradesBinance[[#This Row],[Qtt]],AL92-TbTradesBinance[[#This Row],[Qtt]]),IF(TbTradesBinance[[#This Row],[Tipo]]="BUY",AL92-TbTradesBinance[[#This Row],[Qtt]]*TbTradesBinance[[#This Row],[Preço]],AL92+TbTradesBinance[[#This Row],[Qtt]]*TbTradesBinance[[#This Row],[Preço]])),AL92)-IF(TbTradesBinance[[#This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Row],[Tipo]]="DROP"),AL92+TbTradesBinance[[#This Row],[Qtt]],AL92-TbTradesBinance[[#This Row],[Qtt]]),IF(TbTradesBinance[[#This Row],[Tipo]]="BUY",AL92-TbTradesBinance[[#This Row],[Qtt]]*TbTradesBinance[[#This Row],[Preço]],AL92+TbTradesBinance[[#This Row],[Qtt]]*TbTradesBinance[[#This Row],[Preço]])),AL92)-IF(TbTradesBinance[[#This Row],[Moeda da Taxa]]=MID(AL$1,9,5),TbTradesBinance[[#This Row],[Taxa]],0),8)))</f>
        <v>1.75824</v>
      </c>
      <c r="AM93" s="145" cm="1">
        <f t="array" ref="AM93">IF(TbTradesBinance[[#This Row],[Tipo]]="EMPTY",0,AM92+IF(TbTradesBinance[[#This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Row],[Par]]))),$1:$1,0)),-(AL92-AL93)/AL92*AM92),0),0)+IF(TbTradesBinance[[#This Row],[Tipo]]="SELL",IF(ISNUMBER(FIND(MID(AM$1,10,5),TbTradesBinance[[#This Row],[Par]])),IF(FIND(MID(AM$1,10,5),TbTradesBinance[[#This Row],[Par]])=1, -(AL92-AL93)/AL92*AM92,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Row],[Par]])),(-(AL92-AL93)/AL92*AM92)+IF(TbTradesBinance[[#This Row],[Resultado]]&gt;0,0,TbTradesBinance[[#This Row],[Taxa]]),0),0))</f>
        <v>144.56635471393039</v>
      </c>
      <c r="AN93" s="145">
        <f t="shared" si="28"/>
        <v>82.222196465744375</v>
      </c>
      <c r="AO9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Row],[Tipo]]="DROP"),AO92+TbTradesBinance[[#This Row],[Qtt]],AO92-TbTradesBinance[[#This Row],[Qtt]]),IF(TbTradesBinance[[#This Row],[Tipo]]="BUY",AO92-TbTradesBinance[[#This Row],[Qtt]]*TbTradesBinance[[#This Row],[Preço]],AO92+TbTradesBinance[[#This Row],[Qtt]]*TbTradesBinance[[#This Row],[Preço]])),AO92)-IF(TbTradesBinance[[#This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Row],[Tipo]]="DROP"),AO92+TbTradesBinance[[#This Row],[Qtt]],AO92-TbTradesBinance[[#This Row],[Qtt]]),IF(TbTradesBinance[[#This Row],[Tipo]]="BUY",AO92-TbTradesBinance[[#This Row],[Qtt]]*TbTradesBinance[[#This Row],[Preço]],AO92+TbTradesBinance[[#This Row],[Qtt]]*TbTradesBinance[[#This Row],[Preço]])),AO92)-IF(TbTradesBinance[[#This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Row],[Tipo]]="DROP"),AO92+TbTradesBinance[[#This Row],[Qtt]],AO92-TbTradesBinance[[#This Row],[Qtt]]),IF(TbTradesBinance[[#This Row],[Tipo]]="BUY",AO92-TbTradesBinance[[#This Row],[Qtt]]*TbTradesBinance[[#This Row],[Preço]],AO92+TbTradesBinance[[#This Row],[Qtt]]*TbTradesBinance[[#This Row],[Preço]])),AO92)-IF(TbTradesBinance[[#This Row],[Moeda da Taxa]]=MID(AO$1,9,5),TbTradesBinance[[#This Row],[Taxa]],0),8)))</f>
        <v>3.9907299999999996E-3</v>
      </c>
      <c r="AP93" s="145" cm="1">
        <f t="array" ref="AP93">IF(TbTradesBinance[[#This Row],[Tipo]]="EMPTY",0,AP92+IF(TbTradesBinance[[#This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Row],[Par]]))),$1:$1,0)),-(AO92-AO93)/AO92*AP92),0),0)+IF(TbTradesBinance[[#This Row],[Tipo]]="SELL",IF(ISNUMBER(FIND(MID(AP$1,10,5),TbTradesBinance[[#This Row],[Par]])),IF(FIND(MID(AP$1,10,5),TbTradesBinance[[#This Row],[Par]])=1, -(AO92-AO93)/AO92*AP92,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Row],[Par]])),(-(AO92-AO93)/AO92*AP92)+IF(TbTradesBinance[[#This Row],[Resultado]]&gt;0,0,TbTradesBinance[[#This Row],[Taxa]]),0),0))</f>
        <v>7.3360959318006032</v>
      </c>
      <c r="AQ93" s="145">
        <f t="shared" si="29"/>
        <v>1838.2842065989439</v>
      </c>
      <c r="AR9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Row],[Tipo]]="DROP"),AR92+TbTradesBinance[[#This Row],[Qtt]],AR92-TbTradesBinance[[#This Row],[Qtt]]),IF(TbTradesBinance[[#This Row],[Tipo]]="BUY",AR92-TbTradesBinance[[#This Row],[Qtt]]*TbTradesBinance[[#This Row],[Preço]],AR92+TbTradesBinance[[#This Row],[Qtt]]*TbTradesBinance[[#This Row],[Preço]])),AR92)-IF(TbTradesBinance[[#This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Row],[Tipo]]="DROP"),AR92+TbTradesBinance[[#This Row],[Qtt]],AR92-TbTradesBinance[[#This Row],[Qtt]]),IF(TbTradesBinance[[#This Row],[Tipo]]="BUY",AR92-TbTradesBinance[[#This Row],[Qtt]]*TbTradesBinance[[#This Row],[Preço]],AR92+TbTradesBinance[[#This Row],[Qtt]]*TbTradesBinance[[#This Row],[Preço]])),AR92)-IF(TbTradesBinance[[#This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Row],[Tipo]]="DROP"),AR92+TbTradesBinance[[#This Row],[Qtt]],AR92-TbTradesBinance[[#This Row],[Qtt]]),IF(TbTradesBinance[[#This Row],[Tipo]]="BUY",AR92-TbTradesBinance[[#This Row],[Qtt]]*TbTradesBinance[[#This Row],[Preço]],AR92+TbTradesBinance[[#This Row],[Qtt]]*TbTradesBinance[[#This Row],[Preço]])),AR92)-IF(TbTradesBinance[[#This Row],[Moeda da Taxa]]=MID(AR$1,9,5),TbTradesBinance[[#This Row],[Taxa]],0),8)))</f>
        <v>12.5</v>
      </c>
      <c r="AS93" s="145" cm="1">
        <f t="array" ref="AS93">IF(TbTradesBinance[[#This Row],[Tipo]]="EMPTY",0,AS92+IF(TbTradesBinance[[#This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Row],[Par]]))),$1:$1,0)),-(AR92-AR93)/AR92*AS92),0),0)+IF(TbTradesBinance[[#This Row],[Tipo]]="SELL",IF(ISNUMBER(FIND(MID(AS$1,10,5),TbTradesBinance[[#This Row],[Par]])),IF(FIND(MID(AS$1,10,5),TbTradesBinance[[#This Row],[Par]])=1, -(AR92-AR93)/AR92*AS92,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Row],[Par]])),(-(AR92-AR93)/AR92*AS92)+IF(TbTradesBinance[[#This Row],[Resultado]]&gt;0,0,TbTradesBinance[[#This Row],[Taxa]]),0),0))</f>
        <v>49.995041157672304</v>
      </c>
      <c r="AT93" s="145">
        <f t="shared" si="30"/>
        <v>3.9996032926137843</v>
      </c>
      <c r="AU9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Row],[Tipo]]="DROP"),AU92+TbTradesBinance[[#This Row],[Qtt]],AU92-TbTradesBinance[[#This Row],[Qtt]]),IF(TbTradesBinance[[#This Row],[Tipo]]="BUY",AU92-TbTradesBinance[[#This Row],[Qtt]]*TbTradesBinance[[#This Row],[Preço]],AU92+TbTradesBinance[[#This Row],[Qtt]]*TbTradesBinance[[#This Row],[Preço]])),AU92)-IF(TbTradesBinance[[#This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Row],[Tipo]]="DROP"),AU92+TbTradesBinance[[#This Row],[Qtt]],AU92-TbTradesBinance[[#This Row],[Qtt]]),IF(TbTradesBinance[[#This Row],[Tipo]]="BUY",AU92-TbTradesBinance[[#This Row],[Qtt]]*TbTradesBinance[[#This Row],[Preço]],AU92+TbTradesBinance[[#This Row],[Qtt]]*TbTradesBinance[[#This Row],[Preço]])),AU92)-IF(TbTradesBinance[[#This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Row],[Tipo]]="DROP"),AU92+TbTradesBinance[[#This Row],[Qtt]],AU92-TbTradesBinance[[#This Row],[Qtt]]),IF(TbTradesBinance[[#This Row],[Tipo]]="BUY",AU92-TbTradesBinance[[#This Row],[Qtt]]*TbTradesBinance[[#This Row],[Preço]],AU92+TbTradesBinance[[#This Row],[Qtt]]*TbTradesBinance[[#This Row],[Preço]])),AU92)-IF(TbTradesBinance[[#This Row],[Moeda da Taxa]]=MID(AU$1,9,5),TbTradesBinance[[#This Row],[Taxa]],0),8)))</f>
        <v>0</v>
      </c>
      <c r="AV93" s="145" cm="1">
        <f t="array" ref="AV93">IF(TbTradesBinance[[#This Row],[Tipo]]="EMPTY",0,AV92+IF(TbTradesBinance[[#This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Row],[Par]]))),$1:$1,0)),-(AU92-AU93)/AU92*AV92),0),0)+IF(TbTradesBinance[[#This Row],[Tipo]]="SELL",IF(ISNUMBER(FIND(MID(AV$1,10,5),TbTradesBinance[[#This Row],[Par]])),IF(FIND(MID(AV$1,10,5),TbTradesBinance[[#This Row],[Par]])=1, -(AU92-AU93)/AU92*AV92,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Row],[Par]])),(-(AU92-AU93)/AU92*AV92)+IF(TbTradesBinance[[#This Row],[Resultado]]&gt;0,0,TbTradesBinance[[#This Row],[Taxa]]),0),0))</f>
        <v>0</v>
      </c>
      <c r="AW93" s="145">
        <f t="shared" si="31"/>
        <v>0</v>
      </c>
      <c r="AX9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Row],[Tipo]]="DROP"),AX92+TbTradesBinance[[#This Row],[Qtt]],AX92-TbTradesBinance[[#This Row],[Qtt]]),IF(TbTradesBinance[[#This Row],[Tipo]]="BUY",AX92-TbTradesBinance[[#This Row],[Qtt]]*TbTradesBinance[[#This Row],[Preço]],AX92+TbTradesBinance[[#This Row],[Qtt]]*TbTradesBinance[[#This Row],[Preço]])),AX92)-IF(TbTradesBinance[[#This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Row],[Tipo]]="DROP"),AX92+TbTradesBinance[[#This Row],[Qtt]],AX92-TbTradesBinance[[#This Row],[Qtt]]),IF(TbTradesBinance[[#This Row],[Tipo]]="BUY",AX92-TbTradesBinance[[#This Row],[Qtt]]*TbTradesBinance[[#This Row],[Preço]],AX92+TbTradesBinance[[#This Row],[Qtt]]*TbTradesBinance[[#This Row],[Preço]])),AX92)-IF(TbTradesBinance[[#This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Row],[Tipo]]="DROP"),AX92+TbTradesBinance[[#This Row],[Qtt]],AX92-TbTradesBinance[[#This Row],[Qtt]]),IF(TbTradesBinance[[#This Row],[Tipo]]="BUY",AX92-TbTradesBinance[[#This Row],[Qtt]]*TbTradesBinance[[#This Row],[Preço]],AX92+TbTradesBinance[[#This Row],[Qtt]]*TbTradesBinance[[#This Row],[Preço]])),AX92)-IF(TbTradesBinance[[#This Row],[Moeda da Taxa]]=MID(AX$1,9,5),TbTradesBinance[[#This Row],[Taxa]],0),8)))</f>
        <v>0.22636999999999999</v>
      </c>
      <c r="AY93" s="145" cm="1">
        <f t="array" ref="AY93">IF(TbTradesBinance[[#This Row],[Tipo]]="EMPTY",0,AY92+IF(TbTradesBinance[[#This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Row],[Par]]))),$1:$1,0)),-(AX92-AX93)/AX92*AY92),0),0)+IF(TbTradesBinance[[#This Row],[Tipo]]="SELL",IF(ISNUMBER(FIND(MID(AY$1,10,5),TbTradesBinance[[#This Row],[Par]])),IF(FIND(MID(AY$1,10,5),TbTradesBinance[[#This Row],[Par]])=1, -(AX92-AX93)/AX92*AY92,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Row],[Par]])),(-(AX92-AX93)/AX92*AY92)+IF(TbTradesBinance[[#This Row],[Resultado]]&gt;0,0,TbTradesBinance[[#This Row],[Taxa]]),0),0))</f>
        <v>40.781337593356859</v>
      </c>
      <c r="AZ93" s="145">
        <f t="shared" si="32"/>
        <v>180.15345493376711</v>
      </c>
      <c r="BA9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Row],[Tipo]]="DROP"),BA92+TbTradesBinance[[#This Row],[Qtt]],BA92-TbTradesBinance[[#This Row],[Qtt]]),IF(TbTradesBinance[[#This Row],[Tipo]]="BUY",BA92-TbTradesBinance[[#This Row],[Qtt]]*TbTradesBinance[[#This Row],[Preço]],BA92+TbTradesBinance[[#This Row],[Qtt]]*TbTradesBinance[[#This Row],[Preço]])),BA92)-IF(TbTradesBinance[[#This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Row],[Tipo]]="DROP"),BA92+TbTradesBinance[[#This Row],[Qtt]],BA92-TbTradesBinance[[#This Row],[Qtt]]),IF(TbTradesBinance[[#This Row],[Tipo]]="BUY",BA92-TbTradesBinance[[#This Row],[Qtt]]*TbTradesBinance[[#This Row],[Preço]],BA92+TbTradesBinance[[#This Row],[Qtt]]*TbTradesBinance[[#This Row],[Preço]])),BA92)-IF(TbTradesBinance[[#This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Row],[Tipo]]="DROP"),BA92+TbTradesBinance[[#This Row],[Qtt]],BA92-TbTradesBinance[[#This Row],[Qtt]]),IF(TbTradesBinance[[#This Row],[Tipo]]="BUY",BA92-TbTradesBinance[[#This Row],[Qtt]]*TbTradesBinance[[#This Row],[Preço]],BA92+TbTradesBinance[[#This Row],[Qtt]]*TbTradesBinance[[#This Row],[Preço]])),BA92)-IF(TbTradesBinance[[#This Row],[Moeda da Taxa]]=MID(BA$1,9,5),TbTradesBinance[[#This Row],[Taxa]],0),8)))</f>
        <v>0</v>
      </c>
      <c r="BB93" s="145" cm="1">
        <f t="array" ref="BB93">IF(TbTradesBinance[[#This Row],[Tipo]]="EMPTY",0,BB92+IF(TbTradesBinance[[#This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Row],[Par]]))),$1:$1,0)),-(BA92-BA93)/BA92*BB92),0),0)+IF(TbTradesBinance[[#This Row],[Tipo]]="SELL",IF(ISNUMBER(FIND(MID(BB$1,10,5),TbTradesBinance[[#This Row],[Par]])),IF(FIND(MID(BB$1,10,5),TbTradesBinance[[#This Row],[Par]])=1, -(BA92-BA93)/BA92*BB92,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Row],[Par]])),(-(BA92-BA93)/BA92*BB92)+IF(TbTradesBinance[[#This Row],[Resultado]]&gt;0,0,TbTradesBinance[[#This Row],[Taxa]]),0),0))</f>
        <v>0</v>
      </c>
      <c r="BC93" s="145">
        <f t="shared" si="33"/>
        <v>0</v>
      </c>
      <c r="BD9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Row],[Tipo]]="DROP"),BD92+TbTradesBinance[[#This Row],[Qtt]],BD92-TbTradesBinance[[#This Row],[Qtt]]),IF(TbTradesBinance[[#This Row],[Tipo]]="BUY",BD92-TbTradesBinance[[#This Row],[Qtt]]*TbTradesBinance[[#This Row],[Preço]],BD92+TbTradesBinance[[#This Row],[Qtt]]*TbTradesBinance[[#This Row],[Preço]])),BD92)-IF(TbTradesBinance[[#This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Row],[Tipo]]="DROP"),BD92+TbTradesBinance[[#This Row],[Qtt]],BD92-TbTradesBinance[[#This Row],[Qtt]]),IF(TbTradesBinance[[#This Row],[Tipo]]="BUY",BD92-TbTradesBinance[[#This Row],[Qtt]]*TbTradesBinance[[#This Row],[Preço]],BD92+TbTradesBinance[[#This Row],[Qtt]]*TbTradesBinance[[#This Row],[Preço]])),BD92)-IF(TbTradesBinance[[#This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Row],[Tipo]]="DROP"),BD92+TbTradesBinance[[#This Row],[Qtt]],BD92-TbTradesBinance[[#This Row],[Qtt]]),IF(TbTradesBinance[[#This Row],[Tipo]]="BUY",BD92-TbTradesBinance[[#This Row],[Qtt]]*TbTradesBinance[[#This Row],[Preço]],BD92+TbTradesBinance[[#This Row],[Qtt]]*TbTradesBinance[[#This Row],[Preço]])),BD92)-IF(TbTradesBinance[[#This Row],[Moeda da Taxa]]=MID(BD$1,9,5),TbTradesBinance[[#This Row],[Taxa]],0),8)))</f>
        <v>0.56906000000000001</v>
      </c>
      <c r="BE93" s="145" cm="1">
        <f t="array" ref="BE93">IF(TbTradesBinance[[#This Row],[Tipo]]="EMPTY",0,BE92+IF(TbTradesBinance[[#This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Row],[Par]]))),$1:$1,0)),-(BD92-BD93)/BD92*BE92),0),0)+IF(TbTradesBinance[[#This Row],[Tipo]]="SELL",IF(ISNUMBER(FIND(MID(BE$1,10,5),TbTradesBinance[[#This Row],[Par]])),IF(FIND(MID(BE$1,10,5),TbTradesBinance[[#This Row],[Par]])=1, -(BD92-BD93)/BD92*BE92,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Row],[Par]])),(-(BD92-BD93)/BD92*BE92)+IF(TbTradesBinance[[#This Row],[Resultado]]&gt;0,0,TbTradesBinance[[#This Row],[Taxa]]),0),0))</f>
        <v>105.81619120195663</v>
      </c>
      <c r="BF93" s="145">
        <f t="shared" si="34"/>
        <v>185.94909359638109</v>
      </c>
      <c r="BG9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Row],[Tipo]]="DROP"),BG92+TbTradesBinance[[#This Row],[Qtt]],BG92-TbTradesBinance[[#This Row],[Qtt]]),IF(TbTradesBinance[[#This Row],[Tipo]]="BUY",BG92-TbTradesBinance[[#This Row],[Qtt]]*TbTradesBinance[[#This Row],[Preço]],BG92+TbTradesBinance[[#This Row],[Qtt]]*TbTradesBinance[[#This Row],[Preço]])),BG92)-IF(TbTradesBinance[[#This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Row],[Tipo]]="DROP"),BG92+TbTradesBinance[[#This Row],[Qtt]],BG92-TbTradesBinance[[#This Row],[Qtt]]),IF(TbTradesBinance[[#This Row],[Tipo]]="BUY",BG92-TbTradesBinance[[#This Row],[Qtt]]*TbTradesBinance[[#This Row],[Preço]],BG92+TbTradesBinance[[#This Row],[Qtt]]*TbTradesBinance[[#This Row],[Preço]])),BG92)-IF(TbTradesBinance[[#This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Row],[Tipo]]="DROP"),BG92+TbTradesBinance[[#This Row],[Qtt]],BG92-TbTradesBinance[[#This Row],[Qtt]]),IF(TbTradesBinance[[#This Row],[Tipo]]="BUY",BG92-TbTradesBinance[[#This Row],[Qtt]]*TbTradesBinance[[#This Row],[Preço]],BG92+TbTradesBinance[[#This Row],[Qtt]]*TbTradesBinance[[#This Row],[Preço]])),BG92)-IF(TbTradesBinance[[#This Row],[Moeda da Taxa]]=MID(BG$1,9,5),TbTradesBinance[[#This Row],[Taxa]],0),8)))</f>
        <v>0</v>
      </c>
      <c r="BH93" s="145" cm="1">
        <f t="array" ref="BH93">IF(TbTradesBinance[[#This Row],[Tipo]]="EMPTY",0,BH92+IF(TbTradesBinance[[#This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Row],[Par]]))),$1:$1,0)),-(BG92-BG93)/BG92*BH92),0),0)+IF(TbTradesBinance[[#This Row],[Tipo]]="SELL",IF(ISNUMBER(FIND(MID(BH$1,10,5),TbTradesBinance[[#This Row],[Par]])),IF(FIND(MID(BH$1,10,5),TbTradesBinance[[#This Row],[Par]])=1, -(BG92-BG93)/BG92*BH92,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Row],[Par]])),(-(BG92-BG93)/BG92*BH92)+IF(TbTradesBinance[[#This Row],[Resultado]]&gt;0,0,TbTradesBinance[[#This Row],[Taxa]]),0),0))</f>
        <v>0</v>
      </c>
      <c r="BI93" s="145">
        <f t="shared" si="35"/>
        <v>0</v>
      </c>
      <c r="BJ9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Row],[Tipo]]="DROP"),BJ92+TbTradesBinance[[#This Row],[Qtt]],BJ92-TbTradesBinance[[#This Row],[Qtt]]),IF(TbTradesBinance[[#This Row],[Tipo]]="BUY",BJ92-TbTradesBinance[[#This Row],[Qtt]]*TbTradesBinance[[#This Row],[Preço]],BJ92+TbTradesBinance[[#This Row],[Qtt]]*TbTradesBinance[[#This Row],[Preço]])),BJ92)-IF(TbTradesBinance[[#This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Row],[Tipo]]="DROP"),BJ92+TbTradesBinance[[#This Row],[Qtt]],BJ92-TbTradesBinance[[#This Row],[Qtt]]),IF(TbTradesBinance[[#This Row],[Tipo]]="BUY",BJ92-TbTradesBinance[[#This Row],[Qtt]]*TbTradesBinance[[#This Row],[Preço]],BJ92+TbTradesBinance[[#This Row],[Qtt]]*TbTradesBinance[[#This Row],[Preço]])),BJ92)-IF(TbTradesBinance[[#This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Row],[Tipo]]="DROP"),BJ92+TbTradesBinance[[#This Row],[Qtt]],BJ92-TbTradesBinance[[#This Row],[Qtt]]),IF(TbTradesBinance[[#This Row],[Tipo]]="BUY",BJ92-TbTradesBinance[[#This Row],[Qtt]]*TbTradesBinance[[#This Row],[Preço]],BJ92+TbTradesBinance[[#This Row],[Qtt]]*TbTradesBinance[[#This Row],[Preço]])),BJ92)-IF(TbTradesBinance[[#This Row],[Moeda da Taxa]]=MID(BJ$1,9,5),TbTradesBinance[[#This Row],[Taxa]],0),8)))</f>
        <v>0</v>
      </c>
      <c r="BK93" s="145" cm="1">
        <f t="array" ref="BK93">IF(TbTradesBinance[[#This Row],[Tipo]]="EMPTY",0,BK92+IF(TbTradesBinance[[#This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Row],[Par]]))),$1:$1,0)),-(BJ92-BJ93)/BJ92*BK92),0),0)+IF(TbTradesBinance[[#This Row],[Tipo]]="SELL",IF(ISNUMBER(FIND(MID(BK$1,10,5),TbTradesBinance[[#This Row],[Par]])),IF(FIND(MID(BK$1,10,5),TbTradesBinance[[#This Row],[Par]])=1, -(BJ92-BJ93)/BJ92*BK92,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Row],[Par]])),(-(BJ92-BJ93)/BJ92*BK92)+IF(TbTradesBinance[[#This Row],[Resultado]]&gt;0,0,TbTradesBinance[[#This Row],[Taxa]]),0),0))</f>
        <v>0</v>
      </c>
      <c r="BL93" s="145">
        <f t="shared" si="36"/>
        <v>0</v>
      </c>
      <c r="BM9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Row],[Tipo]]="DROP"),BM92+TbTradesBinance[[#This Row],[Qtt]],BM92-TbTradesBinance[[#This Row],[Qtt]]),IF(TbTradesBinance[[#This Row],[Tipo]]="BUY",BM92-TbTradesBinance[[#This Row],[Qtt]]*TbTradesBinance[[#This Row],[Preço]],BM92+TbTradesBinance[[#This Row],[Qtt]]*TbTradesBinance[[#This Row],[Preço]])),BM92)-IF(TbTradesBinance[[#This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Row],[Tipo]]="DROP"),BM92+TbTradesBinance[[#This Row],[Qtt]],BM92-TbTradesBinance[[#This Row],[Qtt]]),IF(TbTradesBinance[[#This Row],[Tipo]]="BUY",BM92-TbTradesBinance[[#This Row],[Qtt]]*TbTradesBinance[[#This Row],[Preço]],BM92+TbTradesBinance[[#This Row],[Qtt]]*TbTradesBinance[[#This Row],[Preço]])),BM92)-IF(TbTradesBinance[[#This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Row],[Tipo]]="DROP"),BM92+TbTradesBinance[[#This Row],[Qtt]],BM92-TbTradesBinance[[#This Row],[Qtt]]),IF(TbTradesBinance[[#This Row],[Tipo]]="BUY",BM92-TbTradesBinance[[#This Row],[Qtt]]*TbTradesBinance[[#This Row],[Preço]],BM92+TbTradesBinance[[#This Row],[Qtt]]*TbTradesBinance[[#This Row],[Preço]])),BM92)-IF(TbTradesBinance[[#This Row],[Moeda da Taxa]]=MID(BM$1,9,5),TbTradesBinance[[#This Row],[Taxa]],0),8)))</f>
        <v>0</v>
      </c>
      <c r="BN93" s="145" cm="1">
        <f t="array" ref="BN93">IF(TbTradesBinance[[#This Row],[Tipo]]="EMPTY",0,BN92+IF(TbTradesBinance[[#This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Row],[Par]]))),$1:$1,0)),-(BM92-BM93)/BM92*BN92),0),0)+IF(TbTradesBinance[[#This Row],[Tipo]]="SELL",IF(ISNUMBER(FIND(MID(BN$1,10,5),TbTradesBinance[[#This Row],[Par]])),IF(FIND(MID(BN$1,10,5),TbTradesBinance[[#This Row],[Par]])=1, -(BM92-BM93)/BM92*BN92,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Row],[Par]])),(-(BM92-BM93)/BM92*BN92)+IF(TbTradesBinance[[#This Row],[Resultado]]&gt;0,0,TbTradesBinance[[#This Row],[Taxa]]),0),0))</f>
        <v>0</v>
      </c>
      <c r="BO93" s="145">
        <f t="shared" si="37"/>
        <v>0</v>
      </c>
    </row>
    <row r="94" spans="2:67" x14ac:dyDescent="0.3">
      <c r="B94" s="51"/>
      <c r="C94" s="40">
        <f>TRUNC(IF(AND(TbTradesBinance[[#This Row],[Tipo]]="SEND",TbTradesBinance[[#This Row],[Par]]="BRL"),TbTradesBinance[[#This Row],[Qtt]]*(1-P92)-IF(TbTradesBinance[[#This Row],[Moeda da Taxa]]="BRL",TbTradesBinance[[#This Row],[Taxa]],0),0)+IF(AND(TbTradesBinance[[#This Row],[Tipo]]="BURN",TbTradesBinance[[#This Row],[Par]]="BRL"),-TbTradesBinance[[#This Row],[Qtt]]*P92,0),2)</f>
        <v>0</v>
      </c>
      <c r="D94" s="53">
        <v>44268.562951388885</v>
      </c>
      <c r="E94" s="37" t="s">
        <v>138</v>
      </c>
      <c r="F94" s="47" t="s">
        <v>139</v>
      </c>
      <c r="G94" s="38">
        <v>333000</v>
      </c>
      <c r="H94" s="38">
        <v>6.3000000000000003E-4</v>
      </c>
      <c r="I94" s="38">
        <v>0</v>
      </c>
      <c r="J94" s="37" t="s">
        <v>45</v>
      </c>
      <c r="K94" s="52">
        <v>1</v>
      </c>
      <c r="L94" s="40">
        <f t="shared" si="19"/>
        <v>333000</v>
      </c>
      <c r="M94" s="40">
        <f>IF(OR(TbTradesBinance[[#This Row],[Tipo]]="BUY",TbTradesBinance[[#This Row],[Tipo]]="RECEIVE",TbTradesBinance[[#This Row],[Tipo]]="DROP"),L94*H94,-L94*H94)</f>
        <v>209.79000000000002</v>
      </c>
      <c r="N9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Row],[Tipo]]="DROP"),N93+TbTradesBinance[[#This Row],[Qtt]],N93-TbTradesBinance[[#This Row],[Qtt]]),IF(TbTradesBinance[[#This Row],[Tipo]]="BUY",N93-TbTradesBinance[[#This Row],[Qtt]]*TbTradesBinance[[#This Row],[Preço]],N93+TbTradesBinance[[#This Row],[Qtt]]*TbTradesBinance[[#This Row],[Preço]])),N93)-IF(TbTradesBinance[[#This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Row],[Tipo]]="DROP"),N93+TbTradesBinance[[#This Row],[Qtt]],N93-TbTradesBinance[[#This Row],[Qtt]]),IF(TbTradesBinance[[#This Row],[Tipo]]="BUY",N93-TbTradesBinance[[#This Row],[Qtt]]*TbTradesBinance[[#This Row],[Preço]],N93+TbTradesBinance[[#This Row],[Qtt]]*TbTradesBinance[[#This Row],[Preço]])),N93)-IF(TbTradesBinance[[#This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Row],[Tipo]]="DROP"),N93+TbTradesBinance[[#This Row],[Qtt]],N93-TbTradesBinance[[#This Row],[Qtt]]),IF(TbTradesBinance[[#This Row],[Tipo]]="BUY",N93-TbTradesBinance[[#This Row],[Qtt]]*TbTradesBinance[[#This Row],[Preço]],N93+TbTradesBinance[[#This Row],[Qtt]]*TbTradesBinance[[#This Row],[Preço]])),N93)-IF(TbTradesBinance[[#This Row],[Moeda da Taxa]]=MID(N$1,9,5),TbTradesBinance[[#This Row],[Taxa]],0),8)))</f>
        <v>120734.52689208</v>
      </c>
      <c r="O94" s="145" cm="1">
        <f t="array" ref="O94">IF(TbTradesBinance[[#This Row],[Tipo]]="EMPTY",0,O93+IF(TbTradesBinance[[#This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Row],[Par]]))),$1:$1,0)),-(N93-N94)/N93*O93),0),0)+IF(TbTradesBinance[[#This Row],[Tipo]]="SELL",IF(ISNUMBER(FIND(MID(O$1,10,5),TbTradesBinance[[#This Row],[Par]])),IF(FIND(MID(O$1,10,5),TbTradesBinance[[#This Row],[Par]])=1, -(N93-N94)/N93*O93,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Row],[Par]])),(-(N93-N94)/N93*O93)+IF(TbTradesBinance[[#This Row],[Resultado]]&gt;0,0,TbTradesBinance[[#This Row],[Taxa]]),0),0))</f>
        <v>120722.55282243267</v>
      </c>
      <c r="P94" s="145">
        <f t="shared" si="20"/>
        <v>0.99990082315344608</v>
      </c>
      <c r="Q9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Row],[Tipo]]="DROP"),Q93+TbTradesBinance[[#This Row],[Qtt]],Q93-TbTradesBinance[[#This Row],[Qtt]]),IF(TbTradesBinance[[#This Row],[Tipo]]="BUY",Q93-TbTradesBinance[[#This Row],[Qtt]]*TbTradesBinance[[#This Row],[Preço]],Q93+TbTradesBinance[[#This Row],[Qtt]]*TbTradesBinance[[#This Row],[Preço]])),Q93)-IF(TbTradesBinance[[#This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Row],[Tipo]]="DROP"),Q93+TbTradesBinance[[#This Row],[Qtt]],Q93-TbTradesBinance[[#This Row],[Qtt]]),IF(TbTradesBinance[[#This Row],[Tipo]]="BUY",Q93-TbTradesBinance[[#This Row],[Qtt]]*TbTradesBinance[[#This Row],[Preço]],Q93+TbTradesBinance[[#This Row],[Qtt]]*TbTradesBinance[[#This Row],[Preço]])),Q93)-IF(TbTradesBinance[[#This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Row],[Tipo]]="DROP"),Q93+TbTradesBinance[[#This Row],[Qtt]],Q93-TbTradesBinance[[#This Row],[Qtt]]),IF(TbTradesBinance[[#This Row],[Tipo]]="BUY",Q93-TbTradesBinance[[#This Row],[Qtt]]*TbTradesBinance[[#This Row],[Preço]],Q93+TbTradesBinance[[#This Row],[Qtt]]*TbTradesBinance[[#This Row],[Preço]])),Q93)-IF(TbTradesBinance[[#This Row],[Moeda da Taxa]]=MID(Q$1,9,5),TbTradesBinance[[#This Row],[Taxa]],0),8)))</f>
        <v>0.11931021</v>
      </c>
      <c r="R94" s="145" cm="1">
        <f t="array" ref="R94">IF(TbTradesBinance[[#This Row],[Tipo]]="EMPTY",0,R93+IF(TbTradesBinance[[#This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Row],[Par]]))),$1:$1,0)),-(Q93-Q94)/Q93*R93),0),0)+IF(TbTradesBinance[[#This Row],[Tipo]]="SELL",IF(ISNUMBER(FIND(MID(R$1,10,5),TbTradesBinance[[#This Row],[Par]])),IF(FIND(MID(R$1,10,5),TbTradesBinance[[#This Row],[Par]])=1, -(Q93-Q94)/Q93*R93,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Row],[Par]])),(-(Q93-Q94)/Q93*R93)+IF(TbTradesBinance[[#This Row],[Resultado]]&gt;0,0,TbTradesBinance[[#This Row],[Taxa]]),0),0))</f>
        <v>0.66669440205926378</v>
      </c>
      <c r="S94" s="145">
        <f t="shared" si="21"/>
        <v>5.5879073723804842</v>
      </c>
      <c r="T9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Row],[Tipo]]="DROP"),T93+TbTradesBinance[[#This Row],[Qtt]],T93-TbTradesBinance[[#This Row],[Qtt]]),IF(TbTradesBinance[[#This Row],[Tipo]]="BUY",T93-TbTradesBinance[[#This Row],[Qtt]]*TbTradesBinance[[#This Row],[Preço]],T93+TbTradesBinance[[#This Row],[Qtt]]*TbTradesBinance[[#This Row],[Preço]])),T93)-IF(TbTradesBinance[[#This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Row],[Tipo]]="DROP"),T93+TbTradesBinance[[#This Row],[Qtt]],T93-TbTradesBinance[[#This Row],[Qtt]]),IF(TbTradesBinance[[#This Row],[Tipo]]="BUY",T93-TbTradesBinance[[#This Row],[Qtt]]*TbTradesBinance[[#This Row],[Preço]],T93+TbTradesBinance[[#This Row],[Qtt]]*TbTradesBinance[[#This Row],[Preço]])),T93)-IF(TbTradesBinance[[#This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Row],[Tipo]]="DROP"),T93+TbTradesBinance[[#This Row],[Qtt]],T93-TbTradesBinance[[#This Row],[Qtt]]),IF(TbTradesBinance[[#This Row],[Tipo]]="BUY",T93-TbTradesBinance[[#This Row],[Qtt]]*TbTradesBinance[[#This Row],[Preço]],T93+TbTradesBinance[[#This Row],[Qtt]]*TbTradesBinance[[#This Row],[Preço]])),T93)-IF(TbTradesBinance[[#This Row],[Moeda da Taxa]]=MID(T$1,9,5),TbTradesBinance[[#This Row],[Taxa]],0),8)))</f>
        <v>199735.32000169999</v>
      </c>
      <c r="U94" s="145" cm="1">
        <f t="array" ref="U94">IF(TbTradesBinance[[#This Row],[Tipo]]="EMPTY",0,U93+IF(TbTradesBinance[[#This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Row],[Par]]))),$1:$1,0)),-(T93-T94)/T93*U93),0),0)+IF(TbTradesBinance[[#This Row],[Tipo]]="SELL",IF(ISNUMBER(FIND(MID(U$1,10,5),TbTradesBinance[[#This Row],[Par]])),IF(FIND(MID(U$1,10,5),TbTradesBinance[[#This Row],[Par]])=1, -(T93-T94)/T93*U93,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Row],[Par]])),(-(T93-T94)/T93*U93)+IF(TbTradesBinance[[#This Row],[Resultado]]&gt;0,0,TbTradesBinance[[#This Row],[Taxa]]),0),0))</f>
        <v>1328239.8809817513</v>
      </c>
      <c r="V94" s="145">
        <f t="shared" si="22"/>
        <v>6.6500000148719129</v>
      </c>
      <c r="W9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Row],[Tipo]]="DROP"),W93+TbTradesBinance[[#This Row],[Qtt]],W93-TbTradesBinance[[#This Row],[Qtt]]),IF(TbTradesBinance[[#This Row],[Tipo]]="BUY",W93-TbTradesBinance[[#This Row],[Qtt]]*TbTradesBinance[[#This Row],[Preço]],W93+TbTradesBinance[[#This Row],[Qtt]]*TbTradesBinance[[#This Row],[Preço]])),W93)-IF(TbTradesBinance[[#This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Row],[Tipo]]="DROP"),W93+TbTradesBinance[[#This Row],[Qtt]],W93-TbTradesBinance[[#This Row],[Qtt]]),IF(TbTradesBinance[[#This Row],[Tipo]]="BUY",W93-TbTradesBinance[[#This Row],[Qtt]]*TbTradesBinance[[#This Row],[Preço]],W93+TbTradesBinance[[#This Row],[Qtt]]*TbTradesBinance[[#This Row],[Preço]])),W93)-IF(TbTradesBinance[[#This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Row],[Tipo]]="DROP"),W93+TbTradesBinance[[#This Row],[Qtt]],W93-TbTradesBinance[[#This Row],[Qtt]]),IF(TbTradesBinance[[#This Row],[Tipo]]="BUY",W93-TbTradesBinance[[#This Row],[Qtt]]*TbTradesBinance[[#This Row],[Preço]],W93+TbTradesBinance[[#This Row],[Qtt]]*TbTradesBinance[[#This Row],[Preço]])),W93)-IF(TbTradesBinance[[#This Row],[Moeda da Taxa]]=MID(W$1,9,5),TbTradesBinance[[#This Row],[Taxa]],0),8)))</f>
        <v>7.5454000000000005E-4</v>
      </c>
      <c r="X94" s="145" cm="1">
        <f t="array" ref="X94">IF(TbTradesBinance[[#This Row],[Tipo]]="EMPTY",0,X93+IF(TbTradesBinance[[#This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Row],[Par]]))),$1:$1,0)),-(W93-W94)/W93*X93),0),0)+IF(TbTradesBinance[[#This Row],[Tipo]]="SELL",IF(ISNUMBER(FIND(MID(X$1,10,5),TbTradesBinance[[#This Row],[Par]])),IF(FIND(MID(X$1,10,5),TbTradesBinance[[#This Row],[Par]])=1, -(W93-W94)/W93*X93,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Row],[Par]])),(-(W93-W94)/W93*X93)+IF(TbTradesBinance[[#This Row],[Resultado]]&gt;0,0,TbTradesBinance[[#This Row],[Taxa]]),0),0))</f>
        <v>251.24052340902878</v>
      </c>
      <c r="Y94" s="145">
        <f t="shared" si="23"/>
        <v>332971.77539829403</v>
      </c>
      <c r="Z9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Row],[Tipo]]="DROP"),Z93+TbTradesBinance[[#This Row],[Qtt]],Z93-TbTradesBinance[[#This Row],[Qtt]]),IF(TbTradesBinance[[#This Row],[Tipo]]="BUY",Z93-TbTradesBinance[[#This Row],[Qtt]]*TbTradesBinance[[#This Row],[Preço]],Z93+TbTradesBinance[[#This Row],[Qtt]]*TbTradesBinance[[#This Row],[Preço]])),Z93)-IF(TbTradesBinance[[#This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Row],[Tipo]]="DROP"),Z93+TbTradesBinance[[#This Row],[Qtt]],Z93-TbTradesBinance[[#This Row],[Qtt]]),IF(TbTradesBinance[[#This Row],[Tipo]]="BUY",Z93-TbTradesBinance[[#This Row],[Qtt]]*TbTradesBinance[[#This Row],[Preço]],Z93+TbTradesBinance[[#This Row],[Qtt]]*TbTradesBinance[[#This Row],[Preço]])),Z93)-IF(TbTradesBinance[[#This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Row],[Tipo]]="DROP"),Z93+TbTradesBinance[[#This Row],[Qtt]],Z93-TbTradesBinance[[#This Row],[Qtt]]),IF(TbTradesBinance[[#This Row],[Tipo]]="BUY",Z93-TbTradesBinance[[#This Row],[Qtt]]*TbTradesBinance[[#This Row],[Preço]],Z93+TbTradesBinance[[#This Row],[Qtt]]*TbTradesBinance[[#This Row],[Preço]])),Z93)-IF(TbTradesBinance[[#This Row],[Moeda da Taxa]]=MID(Z$1,9,5),TbTradesBinance[[#This Row],[Taxa]],0),8)))</f>
        <v>0</v>
      </c>
      <c r="AA94" s="145" cm="1">
        <f t="array" ref="AA94">IF(TbTradesBinance[[#This Row],[Tipo]]="EMPTY",0,AA93+IF(TbTradesBinance[[#This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Row],[Par]]))),$1:$1,0)),-(Z93-Z94)/Z93*AA93),0),0)+IF(TbTradesBinance[[#This Row],[Tipo]]="SELL",IF(ISNUMBER(FIND(MID(AA$1,10,5),TbTradesBinance[[#This Row],[Par]])),IF(FIND(MID(AA$1,10,5),TbTradesBinance[[#This Row],[Par]])=1, -(Z93-Z94)/Z93*AA93,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Row],[Par]])),(-(Z93-Z94)/Z93*AA93)+IF(TbTradesBinance[[#This Row],[Resultado]]&gt;0,0,TbTradesBinance[[#This Row],[Taxa]]),0),0))</f>
        <v>0</v>
      </c>
      <c r="AB94" s="145">
        <f t="shared" si="24"/>
        <v>0</v>
      </c>
      <c r="AC9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Row],[Tipo]]="DROP"),AC93+TbTradesBinance[[#This Row],[Qtt]],AC93-TbTradesBinance[[#This Row],[Qtt]]),IF(TbTradesBinance[[#This Row],[Tipo]]="BUY",AC93-TbTradesBinance[[#This Row],[Qtt]]*TbTradesBinance[[#This Row],[Preço]],AC93+TbTradesBinance[[#This Row],[Qtt]]*TbTradesBinance[[#This Row],[Preço]])),AC93)-IF(TbTradesBinance[[#This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Row],[Tipo]]="DROP"),AC93+TbTradesBinance[[#This Row],[Qtt]],AC93-TbTradesBinance[[#This Row],[Qtt]]),IF(TbTradesBinance[[#This Row],[Tipo]]="BUY",AC93-TbTradesBinance[[#This Row],[Qtt]]*TbTradesBinance[[#This Row],[Preço]],AC93+TbTradesBinance[[#This Row],[Qtt]]*TbTradesBinance[[#This Row],[Preço]])),AC93)-IF(TbTradesBinance[[#This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Row],[Tipo]]="DROP"),AC93+TbTradesBinance[[#This Row],[Qtt]],AC93-TbTradesBinance[[#This Row],[Qtt]]),IF(TbTradesBinance[[#This Row],[Tipo]]="BUY",AC93-TbTradesBinance[[#This Row],[Qtt]]*TbTradesBinance[[#This Row],[Preço]],AC93+TbTradesBinance[[#This Row],[Qtt]]*TbTradesBinance[[#This Row],[Preço]])),AC93)-IF(TbTradesBinance[[#This Row],[Moeda da Taxa]]=MID(AC$1,9,5),TbTradesBinance[[#This Row],[Taxa]],0),8)))</f>
        <v>2.997E-2</v>
      </c>
      <c r="AD94" s="145" cm="1">
        <f t="array" ref="AD94">IF(TbTradesBinance[[#This Row],[Tipo]]="EMPTY",0,AD93+IF(TbTradesBinance[[#This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Row],[Par]]))),$1:$1,0)),-(AC93-AC94)/AC93*AD93),0),0)+IF(TbTradesBinance[[#This Row],[Tipo]]="SELL",IF(ISNUMBER(FIND(MID(AD$1,10,5),TbTradesBinance[[#This Row],[Par]])),IF(FIND(MID(AD$1,10,5),TbTradesBinance[[#This Row],[Par]])=1, -(AC93-AC94)/AC93*AD93,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Row],[Par]])),(-(AC93-AC94)/AC93*AD93)+IF(TbTradesBinance[[#This Row],[Resultado]]&gt;0,0,TbTradesBinance[[#This Row],[Taxa]]),0),0))</f>
        <v>60.199749701148171</v>
      </c>
      <c r="AE94" s="145">
        <f t="shared" si="25"/>
        <v>2008.6669903619677</v>
      </c>
      <c r="AF9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Row],[Tipo]]="DROP"),AF93+TbTradesBinance[[#This Row],[Qtt]],AF93-TbTradesBinance[[#This Row],[Qtt]]),IF(TbTradesBinance[[#This Row],[Tipo]]="BUY",AF93-TbTradesBinance[[#This Row],[Qtt]]*TbTradesBinance[[#This Row],[Preço]],AF93+TbTradesBinance[[#This Row],[Qtt]]*TbTradesBinance[[#This Row],[Preço]])),AF93)-IF(TbTradesBinance[[#This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Row],[Tipo]]="DROP"),AF93+TbTradesBinance[[#This Row],[Qtt]],AF93-TbTradesBinance[[#This Row],[Qtt]]),IF(TbTradesBinance[[#This Row],[Tipo]]="BUY",AF93-TbTradesBinance[[#This Row],[Qtt]]*TbTradesBinance[[#This Row],[Preço]],AF93+TbTradesBinance[[#This Row],[Qtt]]*TbTradesBinance[[#This Row],[Preço]])),AF93)-IF(TbTradesBinance[[#This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Row],[Tipo]]="DROP"),AF93+TbTradesBinance[[#This Row],[Qtt]],AF93-TbTradesBinance[[#This Row],[Qtt]]),IF(TbTradesBinance[[#This Row],[Tipo]]="BUY",AF93-TbTradesBinance[[#This Row],[Qtt]]*TbTradesBinance[[#This Row],[Preço]],AF93+TbTradesBinance[[#This Row],[Qtt]]*TbTradesBinance[[#This Row],[Preço]])),AF93)-IF(TbTradesBinance[[#This Row],[Moeda da Taxa]]=MID(AF$1,9,5),TbTradesBinance[[#This Row],[Taxa]],0),8)))</f>
        <v>19.98</v>
      </c>
      <c r="AG94" s="145" cm="1">
        <f t="array" ref="AG94">IF(TbTradesBinance[[#This Row],[Tipo]]="EMPTY",0,AG93+IF(TbTradesBinance[[#This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Row],[Par]]))),$1:$1,0)),-(AF93-AF94)/AF93*AG93),0),0)+IF(TbTradesBinance[[#This Row],[Tipo]]="SELL",IF(ISNUMBER(FIND(MID(AG$1,10,5),TbTradesBinance[[#This Row],[Par]])),IF(FIND(MID(AG$1,10,5),TbTradesBinance[[#This Row],[Par]])=1, -(AF93-AF94)/AF93*AG93,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Row],[Par]])),(-(AF93-AF94)/AF93*AG93)+IF(TbTradesBinance[[#This Row],[Resultado]]&gt;0,0,TbTradesBinance[[#This Row],[Taxa]]),0),0))</f>
        <v>124.04182758073662</v>
      </c>
      <c r="AH94" s="145">
        <f t="shared" si="26"/>
        <v>6.2082996787155462</v>
      </c>
      <c r="AI9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Row],[Tipo]]="DROP"),AI93+TbTradesBinance[[#This Row],[Qtt]],AI93-TbTradesBinance[[#This Row],[Qtt]]),IF(TbTradesBinance[[#This Row],[Tipo]]="BUY",AI93-TbTradesBinance[[#This Row],[Qtt]]*TbTradesBinance[[#This Row],[Preço]],AI93+TbTradesBinance[[#This Row],[Qtt]]*TbTradesBinance[[#This Row],[Preço]])),AI93)-IF(TbTradesBinance[[#This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Row],[Tipo]]="DROP"),AI93+TbTradesBinance[[#This Row],[Qtt]],AI93-TbTradesBinance[[#This Row],[Qtt]]),IF(TbTradesBinance[[#This Row],[Tipo]]="BUY",AI93-TbTradesBinance[[#This Row],[Qtt]]*TbTradesBinance[[#This Row],[Preço]],AI93+TbTradesBinance[[#This Row],[Qtt]]*TbTradesBinance[[#This Row],[Preço]])),AI93)-IF(TbTradesBinance[[#This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Row],[Tipo]]="DROP"),AI93+TbTradesBinance[[#This Row],[Qtt]],AI93-TbTradesBinance[[#This Row],[Qtt]]),IF(TbTradesBinance[[#This Row],[Tipo]]="BUY",AI93-TbTradesBinance[[#This Row],[Qtt]]*TbTradesBinance[[#This Row],[Preço]],AI93+TbTradesBinance[[#This Row],[Qtt]]*TbTradesBinance[[#This Row],[Preço]])),AI93)-IF(TbTradesBinance[[#This Row],[Moeda da Taxa]]=MID(AI$1,9,5),TbTradesBinance[[#This Row],[Taxa]],0),8)))</f>
        <v>0</v>
      </c>
      <c r="AJ94" s="145" cm="1">
        <f t="array" ref="AJ94">IF(TbTradesBinance[[#This Row],[Tipo]]="EMPTY",0,AJ93+IF(TbTradesBinance[[#This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Row],[Par]]))),$1:$1,0)),-(AI93-AI94)/AI93*AJ93),0),0)+IF(TbTradesBinance[[#This Row],[Tipo]]="SELL",IF(ISNUMBER(FIND(MID(AJ$1,10,5),TbTradesBinance[[#This Row],[Par]])),IF(FIND(MID(AJ$1,10,5),TbTradesBinance[[#This Row],[Par]])=1, -(AI93-AI94)/AI93*AJ93,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Row],[Par]])),(-(AI93-AI94)/AI93*AJ93)+IF(TbTradesBinance[[#This Row],[Resultado]]&gt;0,0,TbTradesBinance[[#This Row],[Taxa]]),0),0))</f>
        <v>0</v>
      </c>
      <c r="AK94" s="145">
        <f t="shared" si="27"/>
        <v>0</v>
      </c>
      <c r="AL9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Row],[Tipo]]="DROP"),AL93+TbTradesBinance[[#This Row],[Qtt]],AL93-TbTradesBinance[[#This Row],[Qtt]]),IF(TbTradesBinance[[#This Row],[Tipo]]="BUY",AL93-TbTradesBinance[[#This Row],[Qtt]]*TbTradesBinance[[#This Row],[Preço]],AL93+TbTradesBinance[[#This Row],[Qtt]]*TbTradesBinance[[#This Row],[Preço]])),AL93)-IF(TbTradesBinance[[#This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Row],[Tipo]]="DROP"),AL93+TbTradesBinance[[#This Row],[Qtt]],AL93-TbTradesBinance[[#This Row],[Qtt]]),IF(TbTradesBinance[[#This Row],[Tipo]]="BUY",AL93-TbTradesBinance[[#This Row],[Qtt]]*TbTradesBinance[[#This Row],[Preço]],AL93+TbTradesBinance[[#This Row],[Qtt]]*TbTradesBinance[[#This Row],[Preço]])),AL93)-IF(TbTradesBinance[[#This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Row],[Tipo]]="DROP"),AL93+TbTradesBinance[[#This Row],[Qtt]],AL93-TbTradesBinance[[#This Row],[Qtt]]),IF(TbTradesBinance[[#This Row],[Tipo]]="BUY",AL93-TbTradesBinance[[#This Row],[Qtt]]*TbTradesBinance[[#This Row],[Preço]],AL93+TbTradesBinance[[#This Row],[Qtt]]*TbTradesBinance[[#This Row],[Preço]])),AL93)-IF(TbTradesBinance[[#This Row],[Moeda da Taxa]]=MID(AL$1,9,5),TbTradesBinance[[#This Row],[Taxa]],0),8)))</f>
        <v>1.75824</v>
      </c>
      <c r="AM94" s="145" cm="1">
        <f t="array" ref="AM94">IF(TbTradesBinance[[#This Row],[Tipo]]="EMPTY",0,AM93+IF(TbTradesBinance[[#This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Row],[Par]]))),$1:$1,0)),-(AL93-AL94)/AL93*AM93),0),0)+IF(TbTradesBinance[[#This Row],[Tipo]]="SELL",IF(ISNUMBER(FIND(MID(AM$1,10,5),TbTradesBinance[[#This Row],[Par]])),IF(FIND(MID(AM$1,10,5),TbTradesBinance[[#This Row],[Par]])=1, -(AL93-AL94)/AL93*AM93,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Row],[Par]])),(-(AL93-AL94)/AL93*AM93)+IF(TbTradesBinance[[#This Row],[Resultado]]&gt;0,0,TbTradesBinance[[#This Row],[Taxa]]),0),0))</f>
        <v>144.56635471393039</v>
      </c>
      <c r="AN94" s="145">
        <f t="shared" si="28"/>
        <v>82.222196465744375</v>
      </c>
      <c r="AO9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Row],[Tipo]]="DROP"),AO93+TbTradesBinance[[#This Row],[Qtt]],AO93-TbTradesBinance[[#This Row],[Qtt]]),IF(TbTradesBinance[[#This Row],[Tipo]]="BUY",AO93-TbTradesBinance[[#This Row],[Qtt]]*TbTradesBinance[[#This Row],[Preço]],AO93+TbTradesBinance[[#This Row],[Qtt]]*TbTradesBinance[[#This Row],[Preço]])),AO93)-IF(TbTradesBinance[[#This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Row],[Tipo]]="DROP"),AO93+TbTradesBinance[[#This Row],[Qtt]],AO93-TbTradesBinance[[#This Row],[Qtt]]),IF(TbTradesBinance[[#This Row],[Tipo]]="BUY",AO93-TbTradesBinance[[#This Row],[Qtt]]*TbTradesBinance[[#This Row],[Preço]],AO93+TbTradesBinance[[#This Row],[Qtt]]*TbTradesBinance[[#This Row],[Preço]])),AO93)-IF(TbTradesBinance[[#This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Row],[Tipo]]="DROP"),AO93+TbTradesBinance[[#This Row],[Qtt]],AO93-TbTradesBinance[[#This Row],[Qtt]]),IF(TbTradesBinance[[#This Row],[Tipo]]="BUY",AO93-TbTradesBinance[[#This Row],[Qtt]]*TbTradesBinance[[#This Row],[Preço]],AO93+TbTradesBinance[[#This Row],[Qtt]]*TbTradesBinance[[#This Row],[Preço]])),AO93)-IF(TbTradesBinance[[#This Row],[Moeda da Taxa]]=MID(AO$1,9,5),TbTradesBinance[[#This Row],[Taxa]],0),8)))</f>
        <v>3.9907299999999996E-3</v>
      </c>
      <c r="AP94" s="145" cm="1">
        <f t="array" ref="AP94">IF(TbTradesBinance[[#This Row],[Tipo]]="EMPTY",0,AP93+IF(TbTradesBinance[[#This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Row],[Par]]))),$1:$1,0)),-(AO93-AO94)/AO93*AP93),0),0)+IF(TbTradesBinance[[#This Row],[Tipo]]="SELL",IF(ISNUMBER(FIND(MID(AP$1,10,5),TbTradesBinance[[#This Row],[Par]])),IF(FIND(MID(AP$1,10,5),TbTradesBinance[[#This Row],[Par]])=1, -(AO93-AO94)/AO93*AP93,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Row],[Par]])),(-(AO93-AO94)/AO93*AP93)+IF(TbTradesBinance[[#This Row],[Resultado]]&gt;0,0,TbTradesBinance[[#This Row],[Taxa]]),0),0))</f>
        <v>7.3360959318006032</v>
      </c>
      <c r="AQ94" s="145">
        <f t="shared" si="29"/>
        <v>1838.2842065989439</v>
      </c>
      <c r="AR9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Row],[Tipo]]="DROP"),AR93+TbTradesBinance[[#This Row],[Qtt]],AR93-TbTradesBinance[[#This Row],[Qtt]]),IF(TbTradesBinance[[#This Row],[Tipo]]="BUY",AR93-TbTradesBinance[[#This Row],[Qtt]]*TbTradesBinance[[#This Row],[Preço]],AR93+TbTradesBinance[[#This Row],[Qtt]]*TbTradesBinance[[#This Row],[Preço]])),AR93)-IF(TbTradesBinance[[#This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Row],[Tipo]]="DROP"),AR93+TbTradesBinance[[#This Row],[Qtt]],AR93-TbTradesBinance[[#This Row],[Qtt]]),IF(TbTradesBinance[[#This Row],[Tipo]]="BUY",AR93-TbTradesBinance[[#This Row],[Qtt]]*TbTradesBinance[[#This Row],[Preço]],AR93+TbTradesBinance[[#This Row],[Qtt]]*TbTradesBinance[[#This Row],[Preço]])),AR93)-IF(TbTradesBinance[[#This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Row],[Tipo]]="DROP"),AR93+TbTradesBinance[[#This Row],[Qtt]],AR93-TbTradesBinance[[#This Row],[Qtt]]),IF(TbTradesBinance[[#This Row],[Tipo]]="BUY",AR93-TbTradesBinance[[#This Row],[Qtt]]*TbTradesBinance[[#This Row],[Preço]],AR93+TbTradesBinance[[#This Row],[Qtt]]*TbTradesBinance[[#This Row],[Preço]])),AR93)-IF(TbTradesBinance[[#This Row],[Moeda da Taxa]]=MID(AR$1,9,5),TbTradesBinance[[#This Row],[Taxa]],0),8)))</f>
        <v>12.5</v>
      </c>
      <c r="AS94" s="145" cm="1">
        <f t="array" ref="AS94">IF(TbTradesBinance[[#This Row],[Tipo]]="EMPTY",0,AS93+IF(TbTradesBinance[[#This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Row],[Par]]))),$1:$1,0)),-(AR93-AR94)/AR93*AS93),0),0)+IF(TbTradesBinance[[#This Row],[Tipo]]="SELL",IF(ISNUMBER(FIND(MID(AS$1,10,5),TbTradesBinance[[#This Row],[Par]])),IF(FIND(MID(AS$1,10,5),TbTradesBinance[[#This Row],[Par]])=1, -(AR93-AR94)/AR93*AS93,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Row],[Par]])),(-(AR93-AR94)/AR93*AS93)+IF(TbTradesBinance[[#This Row],[Resultado]]&gt;0,0,TbTradesBinance[[#This Row],[Taxa]]),0),0))</f>
        <v>49.995041157672304</v>
      </c>
      <c r="AT94" s="145">
        <f t="shared" si="30"/>
        <v>3.9996032926137843</v>
      </c>
      <c r="AU9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Row],[Tipo]]="DROP"),AU93+TbTradesBinance[[#This Row],[Qtt]],AU93-TbTradesBinance[[#This Row],[Qtt]]),IF(TbTradesBinance[[#This Row],[Tipo]]="BUY",AU93-TbTradesBinance[[#This Row],[Qtt]]*TbTradesBinance[[#This Row],[Preço]],AU93+TbTradesBinance[[#This Row],[Qtt]]*TbTradesBinance[[#This Row],[Preço]])),AU93)-IF(TbTradesBinance[[#This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Row],[Tipo]]="DROP"),AU93+TbTradesBinance[[#This Row],[Qtt]],AU93-TbTradesBinance[[#This Row],[Qtt]]),IF(TbTradesBinance[[#This Row],[Tipo]]="BUY",AU93-TbTradesBinance[[#This Row],[Qtt]]*TbTradesBinance[[#This Row],[Preço]],AU93+TbTradesBinance[[#This Row],[Qtt]]*TbTradesBinance[[#This Row],[Preço]])),AU93)-IF(TbTradesBinance[[#This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Row],[Tipo]]="DROP"),AU93+TbTradesBinance[[#This Row],[Qtt]],AU93-TbTradesBinance[[#This Row],[Qtt]]),IF(TbTradesBinance[[#This Row],[Tipo]]="BUY",AU93-TbTradesBinance[[#This Row],[Qtt]]*TbTradesBinance[[#This Row],[Preço]],AU93+TbTradesBinance[[#This Row],[Qtt]]*TbTradesBinance[[#This Row],[Preço]])),AU93)-IF(TbTradesBinance[[#This Row],[Moeda da Taxa]]=MID(AU$1,9,5),TbTradesBinance[[#This Row],[Taxa]],0),8)))</f>
        <v>0</v>
      </c>
      <c r="AV94" s="145" cm="1">
        <f t="array" ref="AV94">IF(TbTradesBinance[[#This Row],[Tipo]]="EMPTY",0,AV93+IF(TbTradesBinance[[#This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Row],[Par]]))),$1:$1,0)),-(AU93-AU94)/AU93*AV93),0),0)+IF(TbTradesBinance[[#This Row],[Tipo]]="SELL",IF(ISNUMBER(FIND(MID(AV$1,10,5),TbTradesBinance[[#This Row],[Par]])),IF(FIND(MID(AV$1,10,5),TbTradesBinance[[#This Row],[Par]])=1, -(AU93-AU94)/AU93*AV93,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Row],[Par]])),(-(AU93-AU94)/AU93*AV93)+IF(TbTradesBinance[[#This Row],[Resultado]]&gt;0,0,TbTradesBinance[[#This Row],[Taxa]]),0),0))</f>
        <v>0</v>
      </c>
      <c r="AW94" s="145">
        <f t="shared" si="31"/>
        <v>0</v>
      </c>
      <c r="AX9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Row],[Tipo]]="DROP"),AX93+TbTradesBinance[[#This Row],[Qtt]],AX93-TbTradesBinance[[#This Row],[Qtt]]),IF(TbTradesBinance[[#This Row],[Tipo]]="BUY",AX93-TbTradesBinance[[#This Row],[Qtt]]*TbTradesBinance[[#This Row],[Preço]],AX93+TbTradesBinance[[#This Row],[Qtt]]*TbTradesBinance[[#This Row],[Preço]])),AX93)-IF(TbTradesBinance[[#This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Row],[Tipo]]="DROP"),AX93+TbTradesBinance[[#This Row],[Qtt]],AX93-TbTradesBinance[[#This Row],[Qtt]]),IF(TbTradesBinance[[#This Row],[Tipo]]="BUY",AX93-TbTradesBinance[[#This Row],[Qtt]]*TbTradesBinance[[#This Row],[Preço]],AX93+TbTradesBinance[[#This Row],[Qtt]]*TbTradesBinance[[#This Row],[Preço]])),AX93)-IF(TbTradesBinance[[#This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Row],[Tipo]]="DROP"),AX93+TbTradesBinance[[#This Row],[Qtt]],AX93-TbTradesBinance[[#This Row],[Qtt]]),IF(TbTradesBinance[[#This Row],[Tipo]]="BUY",AX93-TbTradesBinance[[#This Row],[Qtt]]*TbTradesBinance[[#This Row],[Preço]],AX93+TbTradesBinance[[#This Row],[Qtt]]*TbTradesBinance[[#This Row],[Preço]])),AX93)-IF(TbTradesBinance[[#This Row],[Moeda da Taxa]]=MID(AX$1,9,5),TbTradesBinance[[#This Row],[Taxa]],0),8)))</f>
        <v>0.22636999999999999</v>
      </c>
      <c r="AY94" s="145" cm="1">
        <f t="array" ref="AY94">IF(TbTradesBinance[[#This Row],[Tipo]]="EMPTY",0,AY93+IF(TbTradesBinance[[#This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Row],[Par]]))),$1:$1,0)),-(AX93-AX94)/AX93*AY93),0),0)+IF(TbTradesBinance[[#This Row],[Tipo]]="SELL",IF(ISNUMBER(FIND(MID(AY$1,10,5),TbTradesBinance[[#This Row],[Par]])),IF(FIND(MID(AY$1,10,5),TbTradesBinance[[#This Row],[Par]])=1, -(AX93-AX94)/AX93*AY93,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Row],[Par]])),(-(AX93-AX94)/AX93*AY93)+IF(TbTradesBinance[[#This Row],[Resultado]]&gt;0,0,TbTradesBinance[[#This Row],[Taxa]]),0),0))</f>
        <v>40.781337593356859</v>
      </c>
      <c r="AZ94" s="145">
        <f t="shared" si="32"/>
        <v>180.15345493376711</v>
      </c>
      <c r="BA9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Row],[Tipo]]="DROP"),BA93+TbTradesBinance[[#This Row],[Qtt]],BA93-TbTradesBinance[[#This Row],[Qtt]]),IF(TbTradesBinance[[#This Row],[Tipo]]="BUY",BA93-TbTradesBinance[[#This Row],[Qtt]]*TbTradesBinance[[#This Row],[Preço]],BA93+TbTradesBinance[[#This Row],[Qtt]]*TbTradesBinance[[#This Row],[Preço]])),BA93)-IF(TbTradesBinance[[#This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Row],[Tipo]]="DROP"),BA93+TbTradesBinance[[#This Row],[Qtt]],BA93-TbTradesBinance[[#This Row],[Qtt]]),IF(TbTradesBinance[[#This Row],[Tipo]]="BUY",BA93-TbTradesBinance[[#This Row],[Qtt]]*TbTradesBinance[[#This Row],[Preço]],BA93+TbTradesBinance[[#This Row],[Qtt]]*TbTradesBinance[[#This Row],[Preço]])),BA93)-IF(TbTradesBinance[[#This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Row],[Tipo]]="DROP"),BA93+TbTradesBinance[[#This Row],[Qtt]],BA93-TbTradesBinance[[#This Row],[Qtt]]),IF(TbTradesBinance[[#This Row],[Tipo]]="BUY",BA93-TbTradesBinance[[#This Row],[Qtt]]*TbTradesBinance[[#This Row],[Preço]],BA93+TbTradesBinance[[#This Row],[Qtt]]*TbTradesBinance[[#This Row],[Preço]])),BA93)-IF(TbTradesBinance[[#This Row],[Moeda da Taxa]]=MID(BA$1,9,5),TbTradesBinance[[#This Row],[Taxa]],0),8)))</f>
        <v>0</v>
      </c>
      <c r="BB94" s="145" cm="1">
        <f t="array" ref="BB94">IF(TbTradesBinance[[#This Row],[Tipo]]="EMPTY",0,BB93+IF(TbTradesBinance[[#This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Row],[Par]]))),$1:$1,0)),-(BA93-BA94)/BA93*BB93),0),0)+IF(TbTradesBinance[[#This Row],[Tipo]]="SELL",IF(ISNUMBER(FIND(MID(BB$1,10,5),TbTradesBinance[[#This Row],[Par]])),IF(FIND(MID(BB$1,10,5),TbTradesBinance[[#This Row],[Par]])=1, -(BA93-BA94)/BA93*BB93,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Row],[Par]])),(-(BA93-BA94)/BA93*BB93)+IF(TbTradesBinance[[#This Row],[Resultado]]&gt;0,0,TbTradesBinance[[#This Row],[Taxa]]),0),0))</f>
        <v>0</v>
      </c>
      <c r="BC94" s="145">
        <f t="shared" si="33"/>
        <v>0</v>
      </c>
      <c r="BD9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Row],[Tipo]]="DROP"),BD93+TbTradesBinance[[#This Row],[Qtt]],BD93-TbTradesBinance[[#This Row],[Qtt]]),IF(TbTradesBinance[[#This Row],[Tipo]]="BUY",BD93-TbTradesBinance[[#This Row],[Qtt]]*TbTradesBinance[[#This Row],[Preço]],BD93+TbTradesBinance[[#This Row],[Qtt]]*TbTradesBinance[[#This Row],[Preço]])),BD93)-IF(TbTradesBinance[[#This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Row],[Tipo]]="DROP"),BD93+TbTradesBinance[[#This Row],[Qtt]],BD93-TbTradesBinance[[#This Row],[Qtt]]),IF(TbTradesBinance[[#This Row],[Tipo]]="BUY",BD93-TbTradesBinance[[#This Row],[Qtt]]*TbTradesBinance[[#This Row],[Preço]],BD93+TbTradesBinance[[#This Row],[Qtt]]*TbTradesBinance[[#This Row],[Preço]])),BD93)-IF(TbTradesBinance[[#This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Row],[Tipo]]="DROP"),BD93+TbTradesBinance[[#This Row],[Qtt]],BD93-TbTradesBinance[[#This Row],[Qtt]]),IF(TbTradesBinance[[#This Row],[Tipo]]="BUY",BD93-TbTradesBinance[[#This Row],[Qtt]]*TbTradesBinance[[#This Row],[Preço]],BD93+TbTradesBinance[[#This Row],[Qtt]]*TbTradesBinance[[#This Row],[Preço]])),BD93)-IF(TbTradesBinance[[#This Row],[Moeda da Taxa]]=MID(BD$1,9,5),TbTradesBinance[[#This Row],[Taxa]],0),8)))</f>
        <v>0.56906000000000001</v>
      </c>
      <c r="BE94" s="145" cm="1">
        <f t="array" ref="BE94">IF(TbTradesBinance[[#This Row],[Tipo]]="EMPTY",0,BE93+IF(TbTradesBinance[[#This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Row],[Par]]))),$1:$1,0)),-(BD93-BD94)/BD93*BE93),0),0)+IF(TbTradesBinance[[#This Row],[Tipo]]="SELL",IF(ISNUMBER(FIND(MID(BE$1,10,5),TbTradesBinance[[#This Row],[Par]])),IF(FIND(MID(BE$1,10,5),TbTradesBinance[[#This Row],[Par]])=1, -(BD93-BD94)/BD93*BE93,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Row],[Par]])),(-(BD93-BD94)/BD93*BE93)+IF(TbTradesBinance[[#This Row],[Resultado]]&gt;0,0,TbTradesBinance[[#This Row],[Taxa]]),0),0))</f>
        <v>105.81619120195663</v>
      </c>
      <c r="BF94" s="145">
        <f t="shared" si="34"/>
        <v>185.94909359638109</v>
      </c>
      <c r="BG9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Row],[Tipo]]="DROP"),BG93+TbTradesBinance[[#This Row],[Qtt]],BG93-TbTradesBinance[[#This Row],[Qtt]]),IF(TbTradesBinance[[#This Row],[Tipo]]="BUY",BG93-TbTradesBinance[[#This Row],[Qtt]]*TbTradesBinance[[#This Row],[Preço]],BG93+TbTradesBinance[[#This Row],[Qtt]]*TbTradesBinance[[#This Row],[Preço]])),BG93)-IF(TbTradesBinance[[#This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Row],[Tipo]]="DROP"),BG93+TbTradesBinance[[#This Row],[Qtt]],BG93-TbTradesBinance[[#This Row],[Qtt]]),IF(TbTradesBinance[[#This Row],[Tipo]]="BUY",BG93-TbTradesBinance[[#This Row],[Qtt]]*TbTradesBinance[[#This Row],[Preço]],BG93+TbTradesBinance[[#This Row],[Qtt]]*TbTradesBinance[[#This Row],[Preço]])),BG93)-IF(TbTradesBinance[[#This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Row],[Tipo]]="DROP"),BG93+TbTradesBinance[[#This Row],[Qtt]],BG93-TbTradesBinance[[#This Row],[Qtt]]),IF(TbTradesBinance[[#This Row],[Tipo]]="BUY",BG93-TbTradesBinance[[#This Row],[Qtt]]*TbTradesBinance[[#This Row],[Preço]],BG93+TbTradesBinance[[#This Row],[Qtt]]*TbTradesBinance[[#This Row],[Preço]])),BG93)-IF(TbTradesBinance[[#This Row],[Moeda da Taxa]]=MID(BG$1,9,5),TbTradesBinance[[#This Row],[Taxa]],0),8)))</f>
        <v>0</v>
      </c>
      <c r="BH94" s="145" cm="1">
        <f t="array" ref="BH94">IF(TbTradesBinance[[#This Row],[Tipo]]="EMPTY",0,BH93+IF(TbTradesBinance[[#This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Row],[Par]]))),$1:$1,0)),-(BG93-BG94)/BG93*BH93),0),0)+IF(TbTradesBinance[[#This Row],[Tipo]]="SELL",IF(ISNUMBER(FIND(MID(BH$1,10,5),TbTradesBinance[[#This Row],[Par]])),IF(FIND(MID(BH$1,10,5),TbTradesBinance[[#This Row],[Par]])=1, -(BG93-BG94)/BG93*BH93,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Row],[Par]])),(-(BG93-BG94)/BG93*BH93)+IF(TbTradesBinance[[#This Row],[Resultado]]&gt;0,0,TbTradesBinance[[#This Row],[Taxa]]),0),0))</f>
        <v>0</v>
      </c>
      <c r="BI94" s="145">
        <f t="shared" si="35"/>
        <v>0</v>
      </c>
      <c r="BJ9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Row],[Tipo]]="DROP"),BJ93+TbTradesBinance[[#This Row],[Qtt]],BJ93-TbTradesBinance[[#This Row],[Qtt]]),IF(TbTradesBinance[[#This Row],[Tipo]]="BUY",BJ93-TbTradesBinance[[#This Row],[Qtt]]*TbTradesBinance[[#This Row],[Preço]],BJ93+TbTradesBinance[[#This Row],[Qtt]]*TbTradesBinance[[#This Row],[Preço]])),BJ93)-IF(TbTradesBinance[[#This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Row],[Tipo]]="DROP"),BJ93+TbTradesBinance[[#This Row],[Qtt]],BJ93-TbTradesBinance[[#This Row],[Qtt]]),IF(TbTradesBinance[[#This Row],[Tipo]]="BUY",BJ93-TbTradesBinance[[#This Row],[Qtt]]*TbTradesBinance[[#This Row],[Preço]],BJ93+TbTradesBinance[[#This Row],[Qtt]]*TbTradesBinance[[#This Row],[Preço]])),BJ93)-IF(TbTradesBinance[[#This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Row],[Tipo]]="DROP"),BJ93+TbTradesBinance[[#This Row],[Qtt]],BJ93-TbTradesBinance[[#This Row],[Qtt]]),IF(TbTradesBinance[[#This Row],[Tipo]]="BUY",BJ93-TbTradesBinance[[#This Row],[Qtt]]*TbTradesBinance[[#This Row],[Preço]],BJ93+TbTradesBinance[[#This Row],[Qtt]]*TbTradesBinance[[#This Row],[Preço]])),BJ93)-IF(TbTradesBinance[[#This Row],[Moeda da Taxa]]=MID(BJ$1,9,5),TbTradesBinance[[#This Row],[Taxa]],0),8)))</f>
        <v>0</v>
      </c>
      <c r="BK94" s="145" cm="1">
        <f t="array" ref="BK94">IF(TbTradesBinance[[#This Row],[Tipo]]="EMPTY",0,BK93+IF(TbTradesBinance[[#This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Row],[Par]]))),$1:$1,0)),-(BJ93-BJ94)/BJ93*BK93),0),0)+IF(TbTradesBinance[[#This Row],[Tipo]]="SELL",IF(ISNUMBER(FIND(MID(BK$1,10,5),TbTradesBinance[[#This Row],[Par]])),IF(FIND(MID(BK$1,10,5),TbTradesBinance[[#This Row],[Par]])=1, -(BJ93-BJ94)/BJ93*BK93,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Row],[Par]])),(-(BJ93-BJ94)/BJ93*BK93)+IF(TbTradesBinance[[#This Row],[Resultado]]&gt;0,0,TbTradesBinance[[#This Row],[Taxa]]),0),0))</f>
        <v>0</v>
      </c>
      <c r="BL94" s="145">
        <f t="shared" si="36"/>
        <v>0</v>
      </c>
      <c r="BM9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Row],[Tipo]]="DROP"),BM93+TbTradesBinance[[#This Row],[Qtt]],BM93-TbTradesBinance[[#This Row],[Qtt]]),IF(TbTradesBinance[[#This Row],[Tipo]]="BUY",BM93-TbTradesBinance[[#This Row],[Qtt]]*TbTradesBinance[[#This Row],[Preço]],BM93+TbTradesBinance[[#This Row],[Qtt]]*TbTradesBinance[[#This Row],[Preço]])),BM93)-IF(TbTradesBinance[[#This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Row],[Tipo]]="DROP"),BM93+TbTradesBinance[[#This Row],[Qtt]],BM93-TbTradesBinance[[#This Row],[Qtt]]),IF(TbTradesBinance[[#This Row],[Tipo]]="BUY",BM93-TbTradesBinance[[#This Row],[Qtt]]*TbTradesBinance[[#This Row],[Preço]],BM93+TbTradesBinance[[#This Row],[Qtt]]*TbTradesBinance[[#This Row],[Preço]])),BM93)-IF(TbTradesBinance[[#This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Row],[Tipo]]="DROP"),BM93+TbTradesBinance[[#This Row],[Qtt]],BM93-TbTradesBinance[[#This Row],[Qtt]]),IF(TbTradesBinance[[#This Row],[Tipo]]="BUY",BM93-TbTradesBinance[[#This Row],[Qtt]]*TbTradesBinance[[#This Row],[Preço]],BM93+TbTradesBinance[[#This Row],[Qtt]]*TbTradesBinance[[#This Row],[Preço]])),BM93)-IF(TbTradesBinance[[#This Row],[Moeda da Taxa]]=MID(BM$1,9,5),TbTradesBinance[[#This Row],[Taxa]],0),8)))</f>
        <v>0</v>
      </c>
      <c r="BN94" s="145" cm="1">
        <f t="array" ref="BN94">IF(TbTradesBinance[[#This Row],[Tipo]]="EMPTY",0,BN93+IF(TbTradesBinance[[#This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Row],[Par]]))),$1:$1,0)),-(BM93-BM94)/BM93*BN93),0),0)+IF(TbTradesBinance[[#This Row],[Tipo]]="SELL",IF(ISNUMBER(FIND(MID(BN$1,10,5),TbTradesBinance[[#This Row],[Par]])),IF(FIND(MID(BN$1,10,5),TbTradesBinance[[#This Row],[Par]])=1, -(BM93-BM94)/BM93*BN93,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Row],[Par]])),(-(BM93-BM94)/BM93*BN93)+IF(TbTradesBinance[[#This Row],[Resultado]]&gt;0,0,TbTradesBinance[[#This Row],[Taxa]]),0),0))</f>
        <v>0</v>
      </c>
      <c r="BO94" s="145">
        <f t="shared" si="37"/>
        <v>0</v>
      </c>
    </row>
    <row r="95" spans="2:67" x14ac:dyDescent="0.3">
      <c r="B95" s="51"/>
      <c r="C95" s="40">
        <f>TRUNC(IF(AND(TbTradesBinance[[#This Row],[Tipo]]="SEND",TbTradesBinance[[#This Row],[Par]]="BRL"),TbTradesBinance[[#This Row],[Qtt]]*(1-P93)-IF(TbTradesBinance[[#This Row],[Moeda da Taxa]]="BRL",TbTradesBinance[[#This Row],[Taxa]],0),0)+IF(AND(TbTradesBinance[[#This Row],[Tipo]]="BURN",TbTradesBinance[[#This Row],[Par]]="BRL"),-TbTradesBinance[[#This Row],[Qtt]]*P93,0),2)</f>
        <v>0</v>
      </c>
      <c r="D95" s="53">
        <v>44268.621388888889</v>
      </c>
      <c r="E95" s="37" t="s">
        <v>237</v>
      </c>
      <c r="F95" s="47" t="s">
        <v>139</v>
      </c>
      <c r="G95" s="38">
        <v>5.5880000000000001</v>
      </c>
      <c r="H95" s="38">
        <v>77.13</v>
      </c>
      <c r="I95" s="38">
        <v>0</v>
      </c>
      <c r="J95" s="37" t="s">
        <v>45</v>
      </c>
      <c r="K95" s="52">
        <v>1</v>
      </c>
      <c r="L95" s="40">
        <f t="shared" si="19"/>
        <v>5.58</v>
      </c>
      <c r="M95" s="40">
        <f>IF(OR(TbTradesBinance[[#This Row],[Tipo]]="BUY",TbTradesBinance[[#This Row],[Tipo]]="RECEIVE",TbTradesBinance[[#This Row],[Tipo]]="DROP"),L95*H95,-L95*H95)</f>
        <v>430.3854</v>
      </c>
      <c r="N9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Row],[Tipo]]="DROP"),N94+TbTradesBinance[[#This Row],[Qtt]],N94-TbTradesBinance[[#This Row],[Qtt]]),IF(TbTradesBinance[[#This Row],[Tipo]]="BUY",N94-TbTradesBinance[[#This Row],[Qtt]]*TbTradesBinance[[#This Row],[Preço]],N94+TbTradesBinance[[#This Row],[Qtt]]*TbTradesBinance[[#This Row],[Preço]])),N94)-IF(TbTradesBinance[[#This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Row],[Tipo]]="DROP"),N94+TbTradesBinance[[#This Row],[Qtt]],N94-TbTradesBinance[[#This Row],[Qtt]]),IF(TbTradesBinance[[#This Row],[Tipo]]="BUY",N94-TbTradesBinance[[#This Row],[Qtt]]*TbTradesBinance[[#This Row],[Preço]],N94+TbTradesBinance[[#This Row],[Qtt]]*TbTradesBinance[[#This Row],[Preço]])),N94)-IF(TbTradesBinance[[#This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Row],[Tipo]]="DROP"),N94+TbTradesBinance[[#This Row],[Qtt]],N94-TbTradesBinance[[#This Row],[Qtt]]),IF(TbTradesBinance[[#This Row],[Tipo]]="BUY",N94-TbTradesBinance[[#This Row],[Qtt]]*TbTradesBinance[[#This Row],[Preço]],N94+TbTradesBinance[[#This Row],[Qtt]]*TbTradesBinance[[#This Row],[Preço]])),N94)-IF(TbTradesBinance[[#This Row],[Moeda da Taxa]]=MID(N$1,9,5),TbTradesBinance[[#This Row],[Taxa]],0),8)))</f>
        <v>120303.52445208</v>
      </c>
      <c r="O95" s="145" cm="1">
        <f t="array" ref="O95">IF(TbTradesBinance[[#This Row],[Tipo]]="EMPTY",0,O94+IF(TbTradesBinance[[#This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Row],[Par]]))),$1:$1,0)),-(N94-N95)/N94*O94),0),0)+IF(TbTradesBinance[[#This Row],[Tipo]]="SELL",IF(ISNUMBER(FIND(MID(O$1,10,5),TbTradesBinance[[#This Row],[Par]])),IF(FIND(MID(O$1,10,5),TbTradesBinance[[#This Row],[Par]])=1, -(N94-N95)/N94*O94,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Row],[Par]])),(-(N94-N95)/N94*O94)+IF(TbTradesBinance[[#This Row],[Resultado]]&gt;0,0,TbTradesBinance[[#This Row],[Taxa]]),0),0))</f>
        <v>120291.59312789552</v>
      </c>
      <c r="P95" s="145">
        <f t="shared" si="20"/>
        <v>0.99990082315344608</v>
      </c>
      <c r="Q9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Row],[Tipo]]="DROP"),Q94+TbTradesBinance[[#This Row],[Qtt]],Q94-TbTradesBinance[[#This Row],[Qtt]]),IF(TbTradesBinance[[#This Row],[Tipo]]="BUY",Q94-TbTradesBinance[[#This Row],[Qtt]]*TbTradesBinance[[#This Row],[Preço]],Q94+TbTradesBinance[[#This Row],[Qtt]]*TbTradesBinance[[#This Row],[Preço]])),Q94)-IF(TbTradesBinance[[#This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Row],[Tipo]]="DROP"),Q94+TbTradesBinance[[#This Row],[Qtt]],Q94-TbTradesBinance[[#This Row],[Qtt]]),IF(TbTradesBinance[[#This Row],[Tipo]]="BUY",Q94-TbTradesBinance[[#This Row],[Qtt]]*TbTradesBinance[[#This Row],[Preço]],Q94+TbTradesBinance[[#This Row],[Qtt]]*TbTradesBinance[[#This Row],[Preço]])),Q94)-IF(TbTradesBinance[[#This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Row],[Tipo]]="DROP"),Q94+TbTradesBinance[[#This Row],[Qtt]],Q94-TbTradesBinance[[#This Row],[Qtt]]),IF(TbTradesBinance[[#This Row],[Tipo]]="BUY",Q94-TbTradesBinance[[#This Row],[Qtt]]*TbTradesBinance[[#This Row],[Preço]],Q94+TbTradesBinance[[#This Row],[Qtt]]*TbTradesBinance[[#This Row],[Preço]])),Q94)-IF(TbTradesBinance[[#This Row],[Moeda da Taxa]]=MID(Q$1,9,5),TbTradesBinance[[#This Row],[Taxa]],0),8)))</f>
        <v>77.249310210000004</v>
      </c>
      <c r="R95" s="145" cm="1">
        <f t="array" ref="R95">IF(TbTradesBinance[[#This Row],[Tipo]]="EMPTY",0,R94+IF(TbTradesBinance[[#This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Row],[Par]]))),$1:$1,0)),-(Q94-Q95)/Q94*R94),0),0)+IF(TbTradesBinance[[#This Row],[Tipo]]="SELL",IF(ISNUMBER(FIND(MID(R$1,10,5),TbTradesBinance[[#This Row],[Par]])),IF(FIND(MID(R$1,10,5),TbTradesBinance[[#This Row],[Par]])=1, -(Q94-Q95)/Q94*R94,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Row],[Par]])),(-(Q94-Q95)/Q94*R94)+IF(TbTradesBinance[[#This Row],[Resultado]]&gt;0,0,TbTradesBinance[[#This Row],[Taxa]]),0),0))</f>
        <v>431.62638893919961</v>
      </c>
      <c r="S95" s="145">
        <f t="shared" si="21"/>
        <v>5.5874465126722273</v>
      </c>
      <c r="T9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Row],[Tipo]]="DROP"),T94+TbTradesBinance[[#This Row],[Qtt]],T94-TbTradesBinance[[#This Row],[Qtt]]),IF(TbTradesBinance[[#This Row],[Tipo]]="BUY",T94-TbTradesBinance[[#This Row],[Qtt]]*TbTradesBinance[[#This Row],[Preço]],T94+TbTradesBinance[[#This Row],[Qtt]]*TbTradesBinance[[#This Row],[Preço]])),T94)-IF(TbTradesBinance[[#This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Row],[Tipo]]="DROP"),T94+TbTradesBinance[[#This Row],[Qtt]],T94-TbTradesBinance[[#This Row],[Qtt]]),IF(TbTradesBinance[[#This Row],[Tipo]]="BUY",T94-TbTradesBinance[[#This Row],[Qtt]]*TbTradesBinance[[#This Row],[Preço]],T94+TbTradesBinance[[#This Row],[Qtt]]*TbTradesBinance[[#This Row],[Preço]])),T94)-IF(TbTradesBinance[[#This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Row],[Tipo]]="DROP"),T94+TbTradesBinance[[#This Row],[Qtt]],T94-TbTradesBinance[[#This Row],[Qtt]]),IF(TbTradesBinance[[#This Row],[Tipo]]="BUY",T94-TbTradesBinance[[#This Row],[Qtt]]*TbTradesBinance[[#This Row],[Preço]],T94+TbTradesBinance[[#This Row],[Qtt]]*TbTradesBinance[[#This Row],[Preço]])),T94)-IF(TbTradesBinance[[#This Row],[Moeda da Taxa]]=MID(T$1,9,5),TbTradesBinance[[#This Row],[Taxa]],0),8)))</f>
        <v>199735.32000169999</v>
      </c>
      <c r="U95" s="145" cm="1">
        <f t="array" ref="U95">IF(TbTradesBinance[[#This Row],[Tipo]]="EMPTY",0,U94+IF(TbTradesBinance[[#This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Row],[Par]]))),$1:$1,0)),-(T94-T95)/T94*U94),0),0)+IF(TbTradesBinance[[#This Row],[Tipo]]="SELL",IF(ISNUMBER(FIND(MID(U$1,10,5),TbTradesBinance[[#This Row],[Par]])),IF(FIND(MID(U$1,10,5),TbTradesBinance[[#This Row],[Par]])=1, -(T94-T95)/T94*U94,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Row],[Par]])),(-(T94-T95)/T94*U94)+IF(TbTradesBinance[[#This Row],[Resultado]]&gt;0,0,TbTradesBinance[[#This Row],[Taxa]]),0),0))</f>
        <v>1328239.8809817513</v>
      </c>
      <c r="V95" s="145">
        <f t="shared" si="22"/>
        <v>6.6500000148719129</v>
      </c>
      <c r="W9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Row],[Tipo]]="DROP"),W94+TbTradesBinance[[#This Row],[Qtt]],W94-TbTradesBinance[[#This Row],[Qtt]]),IF(TbTradesBinance[[#This Row],[Tipo]]="BUY",W94-TbTradesBinance[[#This Row],[Qtt]]*TbTradesBinance[[#This Row],[Preço]],W94+TbTradesBinance[[#This Row],[Qtt]]*TbTradesBinance[[#This Row],[Preço]])),W94)-IF(TbTradesBinance[[#This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Row],[Tipo]]="DROP"),W94+TbTradesBinance[[#This Row],[Qtt]],W94-TbTradesBinance[[#This Row],[Qtt]]),IF(TbTradesBinance[[#This Row],[Tipo]]="BUY",W94-TbTradesBinance[[#This Row],[Qtt]]*TbTradesBinance[[#This Row],[Preço]],W94+TbTradesBinance[[#This Row],[Qtt]]*TbTradesBinance[[#This Row],[Preço]])),W94)-IF(TbTradesBinance[[#This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Row],[Tipo]]="DROP"),W94+TbTradesBinance[[#This Row],[Qtt]],W94-TbTradesBinance[[#This Row],[Qtt]]),IF(TbTradesBinance[[#This Row],[Tipo]]="BUY",W94-TbTradesBinance[[#This Row],[Qtt]]*TbTradesBinance[[#This Row],[Preço]],W94+TbTradesBinance[[#This Row],[Qtt]]*TbTradesBinance[[#This Row],[Preço]])),W94)-IF(TbTradesBinance[[#This Row],[Moeda da Taxa]]=MID(W$1,9,5),TbTradesBinance[[#This Row],[Taxa]],0),8)))</f>
        <v>7.5454000000000005E-4</v>
      </c>
      <c r="X95" s="145" cm="1">
        <f t="array" ref="X95">IF(TbTradesBinance[[#This Row],[Tipo]]="EMPTY",0,X94+IF(TbTradesBinance[[#This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Row],[Par]]))),$1:$1,0)),-(W94-W95)/W94*X94),0),0)+IF(TbTradesBinance[[#This Row],[Tipo]]="SELL",IF(ISNUMBER(FIND(MID(X$1,10,5),TbTradesBinance[[#This Row],[Par]])),IF(FIND(MID(X$1,10,5),TbTradesBinance[[#This Row],[Par]])=1, -(W94-W95)/W94*X94,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Row],[Par]])),(-(W94-W95)/W94*X94)+IF(TbTradesBinance[[#This Row],[Resultado]]&gt;0,0,TbTradesBinance[[#This Row],[Taxa]]),0),0))</f>
        <v>251.24052340902878</v>
      </c>
      <c r="Y95" s="145">
        <f t="shared" si="23"/>
        <v>332971.77539829403</v>
      </c>
      <c r="Z9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Row],[Tipo]]="DROP"),Z94+TbTradesBinance[[#This Row],[Qtt]],Z94-TbTradesBinance[[#This Row],[Qtt]]),IF(TbTradesBinance[[#This Row],[Tipo]]="BUY",Z94-TbTradesBinance[[#This Row],[Qtt]]*TbTradesBinance[[#This Row],[Preço]],Z94+TbTradesBinance[[#This Row],[Qtt]]*TbTradesBinance[[#This Row],[Preço]])),Z94)-IF(TbTradesBinance[[#This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Row],[Tipo]]="DROP"),Z94+TbTradesBinance[[#This Row],[Qtt]],Z94-TbTradesBinance[[#This Row],[Qtt]]),IF(TbTradesBinance[[#This Row],[Tipo]]="BUY",Z94-TbTradesBinance[[#This Row],[Qtt]]*TbTradesBinance[[#This Row],[Preço]],Z94+TbTradesBinance[[#This Row],[Qtt]]*TbTradesBinance[[#This Row],[Preço]])),Z94)-IF(TbTradesBinance[[#This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Row],[Tipo]]="DROP"),Z94+TbTradesBinance[[#This Row],[Qtt]],Z94-TbTradesBinance[[#This Row],[Qtt]]),IF(TbTradesBinance[[#This Row],[Tipo]]="BUY",Z94-TbTradesBinance[[#This Row],[Qtt]]*TbTradesBinance[[#This Row],[Preço]],Z94+TbTradesBinance[[#This Row],[Qtt]]*TbTradesBinance[[#This Row],[Preço]])),Z94)-IF(TbTradesBinance[[#This Row],[Moeda da Taxa]]=MID(Z$1,9,5),TbTradesBinance[[#This Row],[Taxa]],0),8)))</f>
        <v>0</v>
      </c>
      <c r="AA95" s="145" cm="1">
        <f t="array" ref="AA95">IF(TbTradesBinance[[#This Row],[Tipo]]="EMPTY",0,AA94+IF(TbTradesBinance[[#This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Row],[Par]]))),$1:$1,0)),-(Z94-Z95)/Z94*AA94),0),0)+IF(TbTradesBinance[[#This Row],[Tipo]]="SELL",IF(ISNUMBER(FIND(MID(AA$1,10,5),TbTradesBinance[[#This Row],[Par]])),IF(FIND(MID(AA$1,10,5),TbTradesBinance[[#This Row],[Par]])=1, -(Z94-Z95)/Z94*AA94,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Row],[Par]])),(-(Z94-Z95)/Z94*AA94)+IF(TbTradesBinance[[#This Row],[Resultado]]&gt;0,0,TbTradesBinance[[#This Row],[Taxa]]),0),0))</f>
        <v>0</v>
      </c>
      <c r="AB95" s="145">
        <f t="shared" si="24"/>
        <v>0</v>
      </c>
      <c r="AC9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Row],[Tipo]]="DROP"),AC94+TbTradesBinance[[#This Row],[Qtt]],AC94-TbTradesBinance[[#This Row],[Qtt]]),IF(TbTradesBinance[[#This Row],[Tipo]]="BUY",AC94-TbTradesBinance[[#This Row],[Qtt]]*TbTradesBinance[[#This Row],[Preço]],AC94+TbTradesBinance[[#This Row],[Qtt]]*TbTradesBinance[[#This Row],[Preço]])),AC94)-IF(TbTradesBinance[[#This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Row],[Tipo]]="DROP"),AC94+TbTradesBinance[[#This Row],[Qtt]],AC94-TbTradesBinance[[#This Row],[Qtt]]),IF(TbTradesBinance[[#This Row],[Tipo]]="BUY",AC94-TbTradesBinance[[#This Row],[Qtt]]*TbTradesBinance[[#This Row],[Preço]],AC94+TbTradesBinance[[#This Row],[Qtt]]*TbTradesBinance[[#This Row],[Preço]])),AC94)-IF(TbTradesBinance[[#This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Row],[Tipo]]="DROP"),AC94+TbTradesBinance[[#This Row],[Qtt]],AC94-TbTradesBinance[[#This Row],[Qtt]]),IF(TbTradesBinance[[#This Row],[Tipo]]="BUY",AC94-TbTradesBinance[[#This Row],[Qtt]]*TbTradesBinance[[#This Row],[Preço]],AC94+TbTradesBinance[[#This Row],[Qtt]]*TbTradesBinance[[#This Row],[Preço]])),AC94)-IF(TbTradesBinance[[#This Row],[Moeda da Taxa]]=MID(AC$1,9,5),TbTradesBinance[[#This Row],[Taxa]],0),8)))</f>
        <v>2.997E-2</v>
      </c>
      <c r="AD95" s="145" cm="1">
        <f t="array" ref="AD95">IF(TbTradesBinance[[#This Row],[Tipo]]="EMPTY",0,AD94+IF(TbTradesBinance[[#This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Row],[Par]]))),$1:$1,0)),-(AC94-AC95)/AC94*AD94),0),0)+IF(TbTradesBinance[[#This Row],[Tipo]]="SELL",IF(ISNUMBER(FIND(MID(AD$1,10,5),TbTradesBinance[[#This Row],[Par]])),IF(FIND(MID(AD$1,10,5),TbTradesBinance[[#This Row],[Par]])=1, -(AC94-AC95)/AC94*AD94,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Row],[Par]])),(-(AC94-AC95)/AC94*AD94)+IF(TbTradesBinance[[#This Row],[Resultado]]&gt;0,0,TbTradesBinance[[#This Row],[Taxa]]),0),0))</f>
        <v>60.199749701148171</v>
      </c>
      <c r="AE95" s="145">
        <f t="shared" si="25"/>
        <v>2008.6669903619677</v>
      </c>
      <c r="AF9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Row],[Tipo]]="DROP"),AF94+TbTradesBinance[[#This Row],[Qtt]],AF94-TbTradesBinance[[#This Row],[Qtt]]),IF(TbTradesBinance[[#This Row],[Tipo]]="BUY",AF94-TbTradesBinance[[#This Row],[Qtt]]*TbTradesBinance[[#This Row],[Preço]],AF94+TbTradesBinance[[#This Row],[Qtt]]*TbTradesBinance[[#This Row],[Preço]])),AF94)-IF(TbTradesBinance[[#This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Row],[Tipo]]="DROP"),AF94+TbTradesBinance[[#This Row],[Qtt]],AF94-TbTradesBinance[[#This Row],[Qtt]]),IF(TbTradesBinance[[#This Row],[Tipo]]="BUY",AF94-TbTradesBinance[[#This Row],[Qtt]]*TbTradesBinance[[#This Row],[Preço]],AF94+TbTradesBinance[[#This Row],[Qtt]]*TbTradesBinance[[#This Row],[Preço]])),AF94)-IF(TbTradesBinance[[#This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Row],[Tipo]]="DROP"),AF94+TbTradesBinance[[#This Row],[Qtt]],AF94-TbTradesBinance[[#This Row],[Qtt]]),IF(TbTradesBinance[[#This Row],[Tipo]]="BUY",AF94-TbTradesBinance[[#This Row],[Qtt]]*TbTradesBinance[[#This Row],[Preço]],AF94+TbTradesBinance[[#This Row],[Qtt]]*TbTradesBinance[[#This Row],[Preço]])),AF94)-IF(TbTradesBinance[[#This Row],[Moeda da Taxa]]=MID(AF$1,9,5),TbTradesBinance[[#This Row],[Taxa]],0),8)))</f>
        <v>19.98</v>
      </c>
      <c r="AG95" s="145" cm="1">
        <f t="array" ref="AG95">IF(TbTradesBinance[[#This Row],[Tipo]]="EMPTY",0,AG94+IF(TbTradesBinance[[#This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Row],[Par]]))),$1:$1,0)),-(AF94-AF95)/AF94*AG94),0),0)+IF(TbTradesBinance[[#This Row],[Tipo]]="SELL",IF(ISNUMBER(FIND(MID(AG$1,10,5),TbTradesBinance[[#This Row],[Par]])),IF(FIND(MID(AG$1,10,5),TbTradesBinance[[#This Row],[Par]])=1, -(AF94-AF95)/AF94*AG94,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Row],[Par]])),(-(AF94-AF95)/AF94*AG94)+IF(TbTradesBinance[[#This Row],[Resultado]]&gt;0,0,TbTradesBinance[[#This Row],[Taxa]]),0),0))</f>
        <v>124.04182758073662</v>
      </c>
      <c r="AH95" s="145">
        <f t="shared" si="26"/>
        <v>6.2082996787155462</v>
      </c>
      <c r="AI9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Row],[Tipo]]="DROP"),AI94+TbTradesBinance[[#This Row],[Qtt]],AI94-TbTradesBinance[[#This Row],[Qtt]]),IF(TbTradesBinance[[#This Row],[Tipo]]="BUY",AI94-TbTradesBinance[[#This Row],[Qtt]]*TbTradesBinance[[#This Row],[Preço]],AI94+TbTradesBinance[[#This Row],[Qtt]]*TbTradesBinance[[#This Row],[Preço]])),AI94)-IF(TbTradesBinance[[#This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Row],[Tipo]]="DROP"),AI94+TbTradesBinance[[#This Row],[Qtt]],AI94-TbTradesBinance[[#This Row],[Qtt]]),IF(TbTradesBinance[[#This Row],[Tipo]]="BUY",AI94-TbTradesBinance[[#This Row],[Qtt]]*TbTradesBinance[[#This Row],[Preço]],AI94+TbTradesBinance[[#This Row],[Qtt]]*TbTradesBinance[[#This Row],[Preço]])),AI94)-IF(TbTradesBinance[[#This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Row],[Tipo]]="DROP"),AI94+TbTradesBinance[[#This Row],[Qtt]],AI94-TbTradesBinance[[#This Row],[Qtt]]),IF(TbTradesBinance[[#This Row],[Tipo]]="BUY",AI94-TbTradesBinance[[#This Row],[Qtt]]*TbTradesBinance[[#This Row],[Preço]],AI94+TbTradesBinance[[#This Row],[Qtt]]*TbTradesBinance[[#This Row],[Preço]])),AI94)-IF(TbTradesBinance[[#This Row],[Moeda da Taxa]]=MID(AI$1,9,5),TbTradesBinance[[#This Row],[Taxa]],0),8)))</f>
        <v>0</v>
      </c>
      <c r="AJ95" s="145" cm="1">
        <f t="array" ref="AJ95">IF(TbTradesBinance[[#This Row],[Tipo]]="EMPTY",0,AJ94+IF(TbTradesBinance[[#This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Row],[Par]]))),$1:$1,0)),-(AI94-AI95)/AI94*AJ94),0),0)+IF(TbTradesBinance[[#This Row],[Tipo]]="SELL",IF(ISNUMBER(FIND(MID(AJ$1,10,5),TbTradesBinance[[#This Row],[Par]])),IF(FIND(MID(AJ$1,10,5),TbTradesBinance[[#This Row],[Par]])=1, -(AI94-AI95)/AI94*AJ94,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Row],[Par]])),(-(AI94-AI95)/AI94*AJ94)+IF(TbTradesBinance[[#This Row],[Resultado]]&gt;0,0,TbTradesBinance[[#This Row],[Taxa]]),0),0))</f>
        <v>0</v>
      </c>
      <c r="AK95" s="145">
        <f t="shared" si="27"/>
        <v>0</v>
      </c>
      <c r="AL9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Row],[Tipo]]="DROP"),AL94+TbTradesBinance[[#This Row],[Qtt]],AL94-TbTradesBinance[[#This Row],[Qtt]]),IF(TbTradesBinance[[#This Row],[Tipo]]="BUY",AL94-TbTradesBinance[[#This Row],[Qtt]]*TbTradesBinance[[#This Row],[Preço]],AL94+TbTradesBinance[[#This Row],[Qtt]]*TbTradesBinance[[#This Row],[Preço]])),AL94)-IF(TbTradesBinance[[#This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Row],[Tipo]]="DROP"),AL94+TbTradesBinance[[#This Row],[Qtt]],AL94-TbTradesBinance[[#This Row],[Qtt]]),IF(TbTradesBinance[[#This Row],[Tipo]]="BUY",AL94-TbTradesBinance[[#This Row],[Qtt]]*TbTradesBinance[[#This Row],[Preço]],AL94+TbTradesBinance[[#This Row],[Qtt]]*TbTradesBinance[[#This Row],[Preço]])),AL94)-IF(TbTradesBinance[[#This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Row],[Tipo]]="DROP"),AL94+TbTradesBinance[[#This Row],[Qtt]],AL94-TbTradesBinance[[#This Row],[Qtt]]),IF(TbTradesBinance[[#This Row],[Tipo]]="BUY",AL94-TbTradesBinance[[#This Row],[Qtt]]*TbTradesBinance[[#This Row],[Preço]],AL94+TbTradesBinance[[#This Row],[Qtt]]*TbTradesBinance[[#This Row],[Preço]])),AL94)-IF(TbTradesBinance[[#This Row],[Moeda da Taxa]]=MID(AL$1,9,5),TbTradesBinance[[#This Row],[Taxa]],0),8)))</f>
        <v>1.75824</v>
      </c>
      <c r="AM95" s="145" cm="1">
        <f t="array" ref="AM95">IF(TbTradesBinance[[#This Row],[Tipo]]="EMPTY",0,AM94+IF(TbTradesBinance[[#This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Row],[Par]]))),$1:$1,0)),-(AL94-AL95)/AL94*AM94),0),0)+IF(TbTradesBinance[[#This Row],[Tipo]]="SELL",IF(ISNUMBER(FIND(MID(AM$1,10,5),TbTradesBinance[[#This Row],[Par]])),IF(FIND(MID(AM$1,10,5),TbTradesBinance[[#This Row],[Par]])=1, -(AL94-AL95)/AL94*AM94,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Row],[Par]])),(-(AL94-AL95)/AL94*AM94)+IF(TbTradesBinance[[#This Row],[Resultado]]&gt;0,0,TbTradesBinance[[#This Row],[Taxa]]),0),0))</f>
        <v>144.56635471393039</v>
      </c>
      <c r="AN95" s="145">
        <f t="shared" si="28"/>
        <v>82.222196465744375</v>
      </c>
      <c r="AO9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Row],[Tipo]]="DROP"),AO94+TbTradesBinance[[#This Row],[Qtt]],AO94-TbTradesBinance[[#This Row],[Qtt]]),IF(TbTradesBinance[[#This Row],[Tipo]]="BUY",AO94-TbTradesBinance[[#This Row],[Qtt]]*TbTradesBinance[[#This Row],[Preço]],AO94+TbTradesBinance[[#This Row],[Qtt]]*TbTradesBinance[[#This Row],[Preço]])),AO94)-IF(TbTradesBinance[[#This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Row],[Tipo]]="DROP"),AO94+TbTradesBinance[[#This Row],[Qtt]],AO94-TbTradesBinance[[#This Row],[Qtt]]),IF(TbTradesBinance[[#This Row],[Tipo]]="BUY",AO94-TbTradesBinance[[#This Row],[Qtt]]*TbTradesBinance[[#This Row],[Preço]],AO94+TbTradesBinance[[#This Row],[Qtt]]*TbTradesBinance[[#This Row],[Preço]])),AO94)-IF(TbTradesBinance[[#This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Row],[Tipo]]="DROP"),AO94+TbTradesBinance[[#This Row],[Qtt]],AO94-TbTradesBinance[[#This Row],[Qtt]]),IF(TbTradesBinance[[#This Row],[Tipo]]="BUY",AO94-TbTradesBinance[[#This Row],[Qtt]]*TbTradesBinance[[#This Row],[Preço]],AO94+TbTradesBinance[[#This Row],[Qtt]]*TbTradesBinance[[#This Row],[Preço]])),AO94)-IF(TbTradesBinance[[#This Row],[Moeda da Taxa]]=MID(AO$1,9,5),TbTradesBinance[[#This Row],[Taxa]],0),8)))</f>
        <v>3.9907299999999996E-3</v>
      </c>
      <c r="AP95" s="145" cm="1">
        <f t="array" ref="AP95">IF(TbTradesBinance[[#This Row],[Tipo]]="EMPTY",0,AP94+IF(TbTradesBinance[[#This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Row],[Par]]))),$1:$1,0)),-(AO94-AO95)/AO94*AP94),0),0)+IF(TbTradesBinance[[#This Row],[Tipo]]="SELL",IF(ISNUMBER(FIND(MID(AP$1,10,5),TbTradesBinance[[#This Row],[Par]])),IF(FIND(MID(AP$1,10,5),TbTradesBinance[[#This Row],[Par]])=1, -(AO94-AO95)/AO94*AP94,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Row],[Par]])),(-(AO94-AO95)/AO94*AP94)+IF(TbTradesBinance[[#This Row],[Resultado]]&gt;0,0,TbTradesBinance[[#This Row],[Taxa]]),0),0))</f>
        <v>7.3360959318006032</v>
      </c>
      <c r="AQ95" s="145">
        <f t="shared" si="29"/>
        <v>1838.2842065989439</v>
      </c>
      <c r="AR9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Row],[Tipo]]="DROP"),AR94+TbTradesBinance[[#This Row],[Qtt]],AR94-TbTradesBinance[[#This Row],[Qtt]]),IF(TbTradesBinance[[#This Row],[Tipo]]="BUY",AR94-TbTradesBinance[[#This Row],[Qtt]]*TbTradesBinance[[#This Row],[Preço]],AR94+TbTradesBinance[[#This Row],[Qtt]]*TbTradesBinance[[#This Row],[Preço]])),AR94)-IF(TbTradesBinance[[#This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Row],[Tipo]]="DROP"),AR94+TbTradesBinance[[#This Row],[Qtt]],AR94-TbTradesBinance[[#This Row],[Qtt]]),IF(TbTradesBinance[[#This Row],[Tipo]]="BUY",AR94-TbTradesBinance[[#This Row],[Qtt]]*TbTradesBinance[[#This Row],[Preço]],AR94+TbTradesBinance[[#This Row],[Qtt]]*TbTradesBinance[[#This Row],[Preço]])),AR94)-IF(TbTradesBinance[[#This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Row],[Tipo]]="DROP"),AR94+TbTradesBinance[[#This Row],[Qtt]],AR94-TbTradesBinance[[#This Row],[Qtt]]),IF(TbTradesBinance[[#This Row],[Tipo]]="BUY",AR94-TbTradesBinance[[#This Row],[Qtt]]*TbTradesBinance[[#This Row],[Preço]],AR94+TbTradesBinance[[#This Row],[Qtt]]*TbTradesBinance[[#This Row],[Preço]])),AR94)-IF(TbTradesBinance[[#This Row],[Moeda da Taxa]]=MID(AR$1,9,5),TbTradesBinance[[#This Row],[Taxa]],0),8)))</f>
        <v>12.5</v>
      </c>
      <c r="AS95" s="145" cm="1">
        <f t="array" ref="AS95">IF(TbTradesBinance[[#This Row],[Tipo]]="EMPTY",0,AS94+IF(TbTradesBinance[[#This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Row],[Par]]))),$1:$1,0)),-(AR94-AR95)/AR94*AS94),0),0)+IF(TbTradesBinance[[#This Row],[Tipo]]="SELL",IF(ISNUMBER(FIND(MID(AS$1,10,5),TbTradesBinance[[#This Row],[Par]])),IF(FIND(MID(AS$1,10,5),TbTradesBinance[[#This Row],[Par]])=1, -(AR94-AR95)/AR94*AS94,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Row],[Par]])),(-(AR94-AR95)/AR94*AS94)+IF(TbTradesBinance[[#This Row],[Resultado]]&gt;0,0,TbTradesBinance[[#This Row],[Taxa]]),0),0))</f>
        <v>49.995041157672304</v>
      </c>
      <c r="AT95" s="145">
        <f t="shared" si="30"/>
        <v>3.9996032926137843</v>
      </c>
      <c r="AU9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Row],[Tipo]]="DROP"),AU94+TbTradesBinance[[#This Row],[Qtt]],AU94-TbTradesBinance[[#This Row],[Qtt]]),IF(TbTradesBinance[[#This Row],[Tipo]]="BUY",AU94-TbTradesBinance[[#This Row],[Qtt]]*TbTradesBinance[[#This Row],[Preço]],AU94+TbTradesBinance[[#This Row],[Qtt]]*TbTradesBinance[[#This Row],[Preço]])),AU94)-IF(TbTradesBinance[[#This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Row],[Tipo]]="DROP"),AU94+TbTradesBinance[[#This Row],[Qtt]],AU94-TbTradesBinance[[#This Row],[Qtt]]),IF(TbTradesBinance[[#This Row],[Tipo]]="BUY",AU94-TbTradesBinance[[#This Row],[Qtt]]*TbTradesBinance[[#This Row],[Preço]],AU94+TbTradesBinance[[#This Row],[Qtt]]*TbTradesBinance[[#This Row],[Preço]])),AU94)-IF(TbTradesBinance[[#This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Row],[Tipo]]="DROP"),AU94+TbTradesBinance[[#This Row],[Qtt]],AU94-TbTradesBinance[[#This Row],[Qtt]]),IF(TbTradesBinance[[#This Row],[Tipo]]="BUY",AU94-TbTradesBinance[[#This Row],[Qtt]]*TbTradesBinance[[#This Row],[Preço]],AU94+TbTradesBinance[[#This Row],[Qtt]]*TbTradesBinance[[#This Row],[Preço]])),AU94)-IF(TbTradesBinance[[#This Row],[Moeda da Taxa]]=MID(AU$1,9,5),TbTradesBinance[[#This Row],[Taxa]],0),8)))</f>
        <v>0</v>
      </c>
      <c r="AV95" s="145" cm="1">
        <f t="array" ref="AV95">IF(TbTradesBinance[[#This Row],[Tipo]]="EMPTY",0,AV94+IF(TbTradesBinance[[#This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Row],[Par]]))),$1:$1,0)),-(AU94-AU95)/AU94*AV94),0),0)+IF(TbTradesBinance[[#This Row],[Tipo]]="SELL",IF(ISNUMBER(FIND(MID(AV$1,10,5),TbTradesBinance[[#This Row],[Par]])),IF(FIND(MID(AV$1,10,5),TbTradesBinance[[#This Row],[Par]])=1, -(AU94-AU95)/AU94*AV94,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Row],[Par]])),(-(AU94-AU95)/AU94*AV94)+IF(TbTradesBinance[[#This Row],[Resultado]]&gt;0,0,TbTradesBinance[[#This Row],[Taxa]]),0),0))</f>
        <v>0</v>
      </c>
      <c r="AW95" s="145">
        <f t="shared" si="31"/>
        <v>0</v>
      </c>
      <c r="AX9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Row],[Tipo]]="DROP"),AX94+TbTradesBinance[[#This Row],[Qtt]],AX94-TbTradesBinance[[#This Row],[Qtt]]),IF(TbTradesBinance[[#This Row],[Tipo]]="BUY",AX94-TbTradesBinance[[#This Row],[Qtt]]*TbTradesBinance[[#This Row],[Preço]],AX94+TbTradesBinance[[#This Row],[Qtt]]*TbTradesBinance[[#This Row],[Preço]])),AX94)-IF(TbTradesBinance[[#This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Row],[Tipo]]="DROP"),AX94+TbTradesBinance[[#This Row],[Qtt]],AX94-TbTradesBinance[[#This Row],[Qtt]]),IF(TbTradesBinance[[#This Row],[Tipo]]="BUY",AX94-TbTradesBinance[[#This Row],[Qtt]]*TbTradesBinance[[#This Row],[Preço]],AX94+TbTradesBinance[[#This Row],[Qtt]]*TbTradesBinance[[#This Row],[Preço]])),AX94)-IF(TbTradesBinance[[#This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Row],[Tipo]]="DROP"),AX94+TbTradesBinance[[#This Row],[Qtt]],AX94-TbTradesBinance[[#This Row],[Qtt]]),IF(TbTradesBinance[[#This Row],[Tipo]]="BUY",AX94-TbTradesBinance[[#This Row],[Qtt]]*TbTradesBinance[[#This Row],[Preço]],AX94+TbTradesBinance[[#This Row],[Qtt]]*TbTradesBinance[[#This Row],[Preço]])),AX94)-IF(TbTradesBinance[[#This Row],[Moeda da Taxa]]=MID(AX$1,9,5),TbTradesBinance[[#This Row],[Taxa]],0),8)))</f>
        <v>0.22636999999999999</v>
      </c>
      <c r="AY95" s="145" cm="1">
        <f t="array" ref="AY95">IF(TbTradesBinance[[#This Row],[Tipo]]="EMPTY",0,AY94+IF(TbTradesBinance[[#This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Row],[Par]]))),$1:$1,0)),-(AX94-AX95)/AX94*AY94),0),0)+IF(TbTradesBinance[[#This Row],[Tipo]]="SELL",IF(ISNUMBER(FIND(MID(AY$1,10,5),TbTradesBinance[[#This Row],[Par]])),IF(FIND(MID(AY$1,10,5),TbTradesBinance[[#This Row],[Par]])=1, -(AX94-AX95)/AX94*AY94,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Row],[Par]])),(-(AX94-AX95)/AX94*AY94)+IF(TbTradesBinance[[#This Row],[Resultado]]&gt;0,0,TbTradesBinance[[#This Row],[Taxa]]),0),0))</f>
        <v>40.781337593356859</v>
      </c>
      <c r="AZ95" s="145">
        <f t="shared" si="32"/>
        <v>180.15345493376711</v>
      </c>
      <c r="BA9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Row],[Tipo]]="DROP"),BA94+TbTradesBinance[[#This Row],[Qtt]],BA94-TbTradesBinance[[#This Row],[Qtt]]),IF(TbTradesBinance[[#This Row],[Tipo]]="BUY",BA94-TbTradesBinance[[#This Row],[Qtt]]*TbTradesBinance[[#This Row],[Preço]],BA94+TbTradesBinance[[#This Row],[Qtt]]*TbTradesBinance[[#This Row],[Preço]])),BA94)-IF(TbTradesBinance[[#This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Row],[Tipo]]="DROP"),BA94+TbTradesBinance[[#This Row],[Qtt]],BA94-TbTradesBinance[[#This Row],[Qtt]]),IF(TbTradesBinance[[#This Row],[Tipo]]="BUY",BA94-TbTradesBinance[[#This Row],[Qtt]]*TbTradesBinance[[#This Row],[Preço]],BA94+TbTradesBinance[[#This Row],[Qtt]]*TbTradesBinance[[#This Row],[Preço]])),BA94)-IF(TbTradesBinance[[#This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Row],[Tipo]]="DROP"),BA94+TbTradesBinance[[#This Row],[Qtt]],BA94-TbTradesBinance[[#This Row],[Qtt]]),IF(TbTradesBinance[[#This Row],[Tipo]]="BUY",BA94-TbTradesBinance[[#This Row],[Qtt]]*TbTradesBinance[[#This Row],[Preço]],BA94+TbTradesBinance[[#This Row],[Qtt]]*TbTradesBinance[[#This Row],[Preço]])),BA94)-IF(TbTradesBinance[[#This Row],[Moeda da Taxa]]=MID(BA$1,9,5),TbTradesBinance[[#This Row],[Taxa]],0),8)))</f>
        <v>0</v>
      </c>
      <c r="BB95" s="145" cm="1">
        <f t="array" ref="BB95">IF(TbTradesBinance[[#This Row],[Tipo]]="EMPTY",0,BB94+IF(TbTradesBinance[[#This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Row],[Par]]))),$1:$1,0)),-(BA94-BA95)/BA94*BB94),0),0)+IF(TbTradesBinance[[#This Row],[Tipo]]="SELL",IF(ISNUMBER(FIND(MID(BB$1,10,5),TbTradesBinance[[#This Row],[Par]])),IF(FIND(MID(BB$1,10,5),TbTradesBinance[[#This Row],[Par]])=1, -(BA94-BA95)/BA94*BB94,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Row],[Par]])),(-(BA94-BA95)/BA94*BB94)+IF(TbTradesBinance[[#This Row],[Resultado]]&gt;0,0,TbTradesBinance[[#This Row],[Taxa]]),0),0))</f>
        <v>0</v>
      </c>
      <c r="BC95" s="145">
        <f t="shared" si="33"/>
        <v>0</v>
      </c>
      <c r="BD9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Row],[Tipo]]="DROP"),BD94+TbTradesBinance[[#This Row],[Qtt]],BD94-TbTradesBinance[[#This Row],[Qtt]]),IF(TbTradesBinance[[#This Row],[Tipo]]="BUY",BD94-TbTradesBinance[[#This Row],[Qtt]]*TbTradesBinance[[#This Row],[Preço]],BD94+TbTradesBinance[[#This Row],[Qtt]]*TbTradesBinance[[#This Row],[Preço]])),BD94)-IF(TbTradesBinance[[#This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Row],[Tipo]]="DROP"),BD94+TbTradesBinance[[#This Row],[Qtt]],BD94-TbTradesBinance[[#This Row],[Qtt]]),IF(TbTradesBinance[[#This Row],[Tipo]]="BUY",BD94-TbTradesBinance[[#This Row],[Qtt]]*TbTradesBinance[[#This Row],[Preço]],BD94+TbTradesBinance[[#This Row],[Qtt]]*TbTradesBinance[[#This Row],[Preço]])),BD94)-IF(TbTradesBinance[[#This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Row],[Tipo]]="DROP"),BD94+TbTradesBinance[[#This Row],[Qtt]],BD94-TbTradesBinance[[#This Row],[Qtt]]),IF(TbTradesBinance[[#This Row],[Tipo]]="BUY",BD94-TbTradesBinance[[#This Row],[Qtt]]*TbTradesBinance[[#This Row],[Preço]],BD94+TbTradesBinance[[#This Row],[Qtt]]*TbTradesBinance[[#This Row],[Preço]])),BD94)-IF(TbTradesBinance[[#This Row],[Moeda da Taxa]]=MID(BD$1,9,5),TbTradesBinance[[#This Row],[Taxa]],0),8)))</f>
        <v>0.56906000000000001</v>
      </c>
      <c r="BE95" s="145" cm="1">
        <f t="array" ref="BE95">IF(TbTradesBinance[[#This Row],[Tipo]]="EMPTY",0,BE94+IF(TbTradesBinance[[#This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Row],[Par]]))),$1:$1,0)),-(BD94-BD95)/BD94*BE94),0),0)+IF(TbTradesBinance[[#This Row],[Tipo]]="SELL",IF(ISNUMBER(FIND(MID(BE$1,10,5),TbTradesBinance[[#This Row],[Par]])),IF(FIND(MID(BE$1,10,5),TbTradesBinance[[#This Row],[Par]])=1, -(BD94-BD95)/BD94*BE94,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Row],[Par]])),(-(BD94-BD95)/BD94*BE94)+IF(TbTradesBinance[[#This Row],[Resultado]]&gt;0,0,TbTradesBinance[[#This Row],[Taxa]]),0),0))</f>
        <v>105.81619120195663</v>
      </c>
      <c r="BF95" s="145">
        <f t="shared" si="34"/>
        <v>185.94909359638109</v>
      </c>
      <c r="BG9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Row],[Tipo]]="DROP"),BG94+TbTradesBinance[[#This Row],[Qtt]],BG94-TbTradesBinance[[#This Row],[Qtt]]),IF(TbTradesBinance[[#This Row],[Tipo]]="BUY",BG94-TbTradesBinance[[#This Row],[Qtt]]*TbTradesBinance[[#This Row],[Preço]],BG94+TbTradesBinance[[#This Row],[Qtt]]*TbTradesBinance[[#This Row],[Preço]])),BG94)-IF(TbTradesBinance[[#This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Row],[Tipo]]="DROP"),BG94+TbTradesBinance[[#This Row],[Qtt]],BG94-TbTradesBinance[[#This Row],[Qtt]]),IF(TbTradesBinance[[#This Row],[Tipo]]="BUY",BG94-TbTradesBinance[[#This Row],[Qtt]]*TbTradesBinance[[#This Row],[Preço]],BG94+TbTradesBinance[[#This Row],[Qtt]]*TbTradesBinance[[#This Row],[Preço]])),BG94)-IF(TbTradesBinance[[#This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Row],[Tipo]]="DROP"),BG94+TbTradesBinance[[#This Row],[Qtt]],BG94-TbTradesBinance[[#This Row],[Qtt]]),IF(TbTradesBinance[[#This Row],[Tipo]]="BUY",BG94-TbTradesBinance[[#This Row],[Qtt]]*TbTradesBinance[[#This Row],[Preço]],BG94+TbTradesBinance[[#This Row],[Qtt]]*TbTradesBinance[[#This Row],[Preço]])),BG94)-IF(TbTradesBinance[[#This Row],[Moeda da Taxa]]=MID(BG$1,9,5),TbTradesBinance[[#This Row],[Taxa]],0),8)))</f>
        <v>0</v>
      </c>
      <c r="BH95" s="145" cm="1">
        <f t="array" ref="BH95">IF(TbTradesBinance[[#This Row],[Tipo]]="EMPTY",0,BH94+IF(TbTradesBinance[[#This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Row],[Par]]))),$1:$1,0)),-(BG94-BG95)/BG94*BH94),0),0)+IF(TbTradesBinance[[#This Row],[Tipo]]="SELL",IF(ISNUMBER(FIND(MID(BH$1,10,5),TbTradesBinance[[#This Row],[Par]])),IF(FIND(MID(BH$1,10,5),TbTradesBinance[[#This Row],[Par]])=1, -(BG94-BG95)/BG94*BH94,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Row],[Par]])),(-(BG94-BG95)/BG94*BH94)+IF(TbTradesBinance[[#This Row],[Resultado]]&gt;0,0,TbTradesBinance[[#This Row],[Taxa]]),0),0))</f>
        <v>0</v>
      </c>
      <c r="BI95" s="145">
        <f t="shared" si="35"/>
        <v>0</v>
      </c>
      <c r="BJ9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Row],[Tipo]]="DROP"),BJ94+TbTradesBinance[[#This Row],[Qtt]],BJ94-TbTradesBinance[[#This Row],[Qtt]]),IF(TbTradesBinance[[#This Row],[Tipo]]="BUY",BJ94-TbTradesBinance[[#This Row],[Qtt]]*TbTradesBinance[[#This Row],[Preço]],BJ94+TbTradesBinance[[#This Row],[Qtt]]*TbTradesBinance[[#This Row],[Preço]])),BJ94)-IF(TbTradesBinance[[#This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Row],[Tipo]]="DROP"),BJ94+TbTradesBinance[[#This Row],[Qtt]],BJ94-TbTradesBinance[[#This Row],[Qtt]]),IF(TbTradesBinance[[#This Row],[Tipo]]="BUY",BJ94-TbTradesBinance[[#This Row],[Qtt]]*TbTradesBinance[[#This Row],[Preço]],BJ94+TbTradesBinance[[#This Row],[Qtt]]*TbTradesBinance[[#This Row],[Preço]])),BJ94)-IF(TbTradesBinance[[#This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Row],[Tipo]]="DROP"),BJ94+TbTradesBinance[[#This Row],[Qtt]],BJ94-TbTradesBinance[[#This Row],[Qtt]]),IF(TbTradesBinance[[#This Row],[Tipo]]="BUY",BJ94-TbTradesBinance[[#This Row],[Qtt]]*TbTradesBinance[[#This Row],[Preço]],BJ94+TbTradesBinance[[#This Row],[Qtt]]*TbTradesBinance[[#This Row],[Preço]])),BJ94)-IF(TbTradesBinance[[#This Row],[Moeda da Taxa]]=MID(BJ$1,9,5),TbTradesBinance[[#This Row],[Taxa]],0),8)))</f>
        <v>0</v>
      </c>
      <c r="BK95" s="145" cm="1">
        <f t="array" ref="BK95">IF(TbTradesBinance[[#This Row],[Tipo]]="EMPTY",0,BK94+IF(TbTradesBinance[[#This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Row],[Par]]))),$1:$1,0)),-(BJ94-BJ95)/BJ94*BK94),0),0)+IF(TbTradesBinance[[#This Row],[Tipo]]="SELL",IF(ISNUMBER(FIND(MID(BK$1,10,5),TbTradesBinance[[#This Row],[Par]])),IF(FIND(MID(BK$1,10,5),TbTradesBinance[[#This Row],[Par]])=1, -(BJ94-BJ95)/BJ94*BK94,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Row],[Par]])),(-(BJ94-BJ95)/BJ94*BK94)+IF(TbTradesBinance[[#This Row],[Resultado]]&gt;0,0,TbTradesBinance[[#This Row],[Taxa]]),0),0))</f>
        <v>0</v>
      </c>
      <c r="BL95" s="145">
        <f t="shared" si="36"/>
        <v>0</v>
      </c>
      <c r="BM9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Row],[Tipo]]="DROP"),BM94+TbTradesBinance[[#This Row],[Qtt]],BM94-TbTradesBinance[[#This Row],[Qtt]]),IF(TbTradesBinance[[#This Row],[Tipo]]="BUY",BM94-TbTradesBinance[[#This Row],[Qtt]]*TbTradesBinance[[#This Row],[Preço]],BM94+TbTradesBinance[[#This Row],[Qtt]]*TbTradesBinance[[#This Row],[Preço]])),BM94)-IF(TbTradesBinance[[#This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Row],[Tipo]]="DROP"),BM94+TbTradesBinance[[#This Row],[Qtt]],BM94-TbTradesBinance[[#This Row],[Qtt]]),IF(TbTradesBinance[[#This Row],[Tipo]]="BUY",BM94-TbTradesBinance[[#This Row],[Qtt]]*TbTradesBinance[[#This Row],[Preço]],BM94+TbTradesBinance[[#This Row],[Qtt]]*TbTradesBinance[[#This Row],[Preço]])),BM94)-IF(TbTradesBinance[[#This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Row],[Tipo]]="DROP"),BM94+TbTradesBinance[[#This Row],[Qtt]],BM94-TbTradesBinance[[#This Row],[Qtt]]),IF(TbTradesBinance[[#This Row],[Tipo]]="BUY",BM94-TbTradesBinance[[#This Row],[Qtt]]*TbTradesBinance[[#This Row],[Preço]],BM94+TbTradesBinance[[#This Row],[Qtt]]*TbTradesBinance[[#This Row],[Preço]])),BM94)-IF(TbTradesBinance[[#This Row],[Moeda da Taxa]]=MID(BM$1,9,5),TbTradesBinance[[#This Row],[Taxa]],0),8)))</f>
        <v>0</v>
      </c>
      <c r="BN95" s="145" cm="1">
        <f t="array" ref="BN95">IF(TbTradesBinance[[#This Row],[Tipo]]="EMPTY",0,BN94+IF(TbTradesBinance[[#This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Row],[Par]]))),$1:$1,0)),-(BM94-BM95)/BM94*BN94),0),0)+IF(TbTradesBinance[[#This Row],[Tipo]]="SELL",IF(ISNUMBER(FIND(MID(BN$1,10,5),TbTradesBinance[[#This Row],[Par]])),IF(FIND(MID(BN$1,10,5),TbTradesBinance[[#This Row],[Par]])=1, -(BM94-BM95)/BM94*BN94,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Row],[Par]])),(-(BM94-BM95)/BM94*BN94)+IF(TbTradesBinance[[#This Row],[Resultado]]&gt;0,0,TbTradesBinance[[#This Row],[Taxa]]),0),0))</f>
        <v>0</v>
      </c>
      <c r="BO95" s="145">
        <f t="shared" si="37"/>
        <v>0</v>
      </c>
    </row>
    <row r="96" spans="2:67" x14ac:dyDescent="0.3">
      <c r="B96" s="51"/>
      <c r="C96" s="40">
        <f>TRUNC(IF(AND(TbTradesBinance[[#This Row],[Tipo]]="SEND",TbTradesBinance[[#This Row],[Par]]="BRL"),TbTradesBinance[[#This Row],[Qtt]]*(1-P94)-IF(TbTradesBinance[[#This Row],[Moeda da Taxa]]="BRL",TbTradesBinance[[#This Row],[Taxa]],0),0)+IF(AND(TbTradesBinance[[#This Row],[Tipo]]="BURN",TbTradesBinance[[#This Row],[Par]]="BRL"),-TbTradesBinance[[#This Row],[Qtt]]*P94,0),2)</f>
        <v>0</v>
      </c>
      <c r="D96" s="53">
        <v>44268.621666666666</v>
      </c>
      <c r="E96" s="37" t="s">
        <v>237</v>
      </c>
      <c r="F96" s="47" t="s">
        <v>139</v>
      </c>
      <c r="G96" s="38">
        <v>5.5880000000000001</v>
      </c>
      <c r="H96" s="38">
        <v>46.2</v>
      </c>
      <c r="I96" s="38">
        <v>0</v>
      </c>
      <c r="J96" s="37" t="s">
        <v>45</v>
      </c>
      <c r="K96" s="52">
        <v>1</v>
      </c>
      <c r="L96" s="40">
        <f t="shared" si="19"/>
        <v>5.58</v>
      </c>
      <c r="M96" s="40">
        <f>IF(OR(TbTradesBinance[[#This Row],[Tipo]]="BUY",TbTradesBinance[[#This Row],[Tipo]]="RECEIVE",TbTradesBinance[[#This Row],[Tipo]]="DROP"),L96*H96,-L96*H96)</f>
        <v>257.79599999999999</v>
      </c>
      <c r="N9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Row],[Tipo]]="DROP"),N95+TbTradesBinance[[#This Row],[Qtt]],N95-TbTradesBinance[[#This Row],[Qtt]]),IF(TbTradesBinance[[#This Row],[Tipo]]="BUY",N95-TbTradesBinance[[#This Row],[Qtt]]*TbTradesBinance[[#This Row],[Preço]],N95+TbTradesBinance[[#This Row],[Qtt]]*TbTradesBinance[[#This Row],[Preço]])),N95)-IF(TbTradesBinance[[#This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Row],[Tipo]]="DROP"),N95+TbTradesBinance[[#This Row],[Qtt]],N95-TbTradesBinance[[#This Row],[Qtt]]),IF(TbTradesBinance[[#This Row],[Tipo]]="BUY",N95-TbTradesBinance[[#This Row],[Qtt]]*TbTradesBinance[[#This Row],[Preço]],N95+TbTradesBinance[[#This Row],[Qtt]]*TbTradesBinance[[#This Row],[Preço]])),N95)-IF(TbTradesBinance[[#This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Row],[Tipo]]="DROP"),N95+TbTradesBinance[[#This Row],[Qtt]],N95-TbTradesBinance[[#This Row],[Qtt]]),IF(TbTradesBinance[[#This Row],[Tipo]]="BUY",N95-TbTradesBinance[[#This Row],[Qtt]]*TbTradesBinance[[#This Row],[Preço]],N95+TbTradesBinance[[#This Row],[Qtt]]*TbTradesBinance[[#This Row],[Preço]])),N95)-IF(TbTradesBinance[[#This Row],[Moeda da Taxa]]=MID(N$1,9,5),TbTradesBinance[[#This Row],[Taxa]],0),8)))</f>
        <v>120045.35885208</v>
      </c>
      <c r="O96" s="145" cm="1">
        <f t="array" ref="O96">IF(TbTradesBinance[[#This Row],[Tipo]]="EMPTY",0,O95+IF(TbTradesBinance[[#This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Row],[Par]]))),$1:$1,0)),-(N95-N96)/N95*O95),0),0)+IF(TbTradesBinance[[#This Row],[Tipo]]="SELL",IF(ISNUMBER(FIND(MID(O$1,10,5),TbTradesBinance[[#This Row],[Par]])),IF(FIND(MID(O$1,10,5),TbTradesBinance[[#This Row],[Par]])=1, -(N95-N96)/N95*O95,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Row],[Par]])),(-(N95-N96)/N95*O95)+IF(TbTradesBinance[[#This Row],[Resultado]]&gt;0,0,TbTradesBinance[[#This Row],[Taxa]]),0),0))</f>
        <v>120033.45313194561</v>
      </c>
      <c r="P96" s="145">
        <f t="shared" si="20"/>
        <v>0.99990082315344608</v>
      </c>
      <c r="Q9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Row],[Tipo]]="DROP"),Q95+TbTradesBinance[[#This Row],[Qtt]],Q95-TbTradesBinance[[#This Row],[Qtt]]),IF(TbTradesBinance[[#This Row],[Tipo]]="BUY",Q95-TbTradesBinance[[#This Row],[Qtt]]*TbTradesBinance[[#This Row],[Preço]],Q95+TbTradesBinance[[#This Row],[Qtt]]*TbTradesBinance[[#This Row],[Preço]])),Q95)-IF(TbTradesBinance[[#This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Row],[Tipo]]="DROP"),Q95+TbTradesBinance[[#This Row],[Qtt]],Q95-TbTradesBinance[[#This Row],[Qtt]]),IF(TbTradesBinance[[#This Row],[Tipo]]="BUY",Q95-TbTradesBinance[[#This Row],[Qtt]]*TbTradesBinance[[#This Row],[Preço]],Q95+TbTradesBinance[[#This Row],[Qtt]]*TbTradesBinance[[#This Row],[Preço]])),Q95)-IF(TbTradesBinance[[#This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Row],[Tipo]]="DROP"),Q95+TbTradesBinance[[#This Row],[Qtt]],Q95-TbTradesBinance[[#This Row],[Qtt]]),IF(TbTradesBinance[[#This Row],[Tipo]]="BUY",Q95-TbTradesBinance[[#This Row],[Qtt]]*TbTradesBinance[[#This Row],[Preço]],Q95+TbTradesBinance[[#This Row],[Qtt]]*TbTradesBinance[[#This Row],[Preço]])),Q95)-IF(TbTradesBinance[[#This Row],[Moeda da Taxa]]=MID(Q$1,9,5),TbTradesBinance[[#This Row],[Taxa]],0),8)))</f>
        <v>123.44931020999999</v>
      </c>
      <c r="R96" s="145" cm="1">
        <f t="array" ref="R96">IF(TbTradesBinance[[#This Row],[Tipo]]="EMPTY",0,R95+IF(TbTradesBinance[[#This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Row],[Par]]))),$1:$1,0)),-(Q95-Q96)/Q95*R95),0),0)+IF(TbTradesBinance[[#This Row],[Tipo]]="SELL",IF(ISNUMBER(FIND(MID(R$1,10,5),TbTradesBinance[[#This Row],[Par]])),IF(FIND(MID(R$1,10,5),TbTradesBinance[[#This Row],[Par]])=1, -(Q95-Q96)/Q95*R95,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Row],[Par]])),(-(Q95-Q96)/Q95*R95)+IF(TbTradesBinance[[#This Row],[Resultado]]&gt;0,0,TbTradesBinance[[#This Row],[Taxa]]),0),0))</f>
        <v>689.76638488911044</v>
      </c>
      <c r="S96" s="145">
        <f t="shared" si="21"/>
        <v>5.58744624587814</v>
      </c>
      <c r="T9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Row],[Tipo]]="DROP"),T95+TbTradesBinance[[#This Row],[Qtt]],T95-TbTradesBinance[[#This Row],[Qtt]]),IF(TbTradesBinance[[#This Row],[Tipo]]="BUY",T95-TbTradesBinance[[#This Row],[Qtt]]*TbTradesBinance[[#This Row],[Preço]],T95+TbTradesBinance[[#This Row],[Qtt]]*TbTradesBinance[[#This Row],[Preço]])),T95)-IF(TbTradesBinance[[#This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Row],[Tipo]]="DROP"),T95+TbTradesBinance[[#This Row],[Qtt]],T95-TbTradesBinance[[#This Row],[Qtt]]),IF(TbTradesBinance[[#This Row],[Tipo]]="BUY",T95-TbTradesBinance[[#This Row],[Qtt]]*TbTradesBinance[[#This Row],[Preço]],T95+TbTradesBinance[[#This Row],[Qtt]]*TbTradesBinance[[#This Row],[Preço]])),T95)-IF(TbTradesBinance[[#This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Row],[Tipo]]="DROP"),T95+TbTradesBinance[[#This Row],[Qtt]],T95-TbTradesBinance[[#This Row],[Qtt]]),IF(TbTradesBinance[[#This Row],[Tipo]]="BUY",T95-TbTradesBinance[[#This Row],[Qtt]]*TbTradesBinance[[#This Row],[Preço]],T95+TbTradesBinance[[#This Row],[Qtt]]*TbTradesBinance[[#This Row],[Preço]])),T95)-IF(TbTradesBinance[[#This Row],[Moeda da Taxa]]=MID(T$1,9,5),TbTradesBinance[[#This Row],[Taxa]],0),8)))</f>
        <v>199735.32000169999</v>
      </c>
      <c r="U96" s="145" cm="1">
        <f t="array" ref="U96">IF(TbTradesBinance[[#This Row],[Tipo]]="EMPTY",0,U95+IF(TbTradesBinance[[#This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Row],[Par]]))),$1:$1,0)),-(T95-T96)/T95*U95),0),0)+IF(TbTradesBinance[[#This Row],[Tipo]]="SELL",IF(ISNUMBER(FIND(MID(U$1,10,5),TbTradesBinance[[#This Row],[Par]])),IF(FIND(MID(U$1,10,5),TbTradesBinance[[#This Row],[Par]])=1, -(T95-T96)/T95*U95,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Row],[Par]])),(-(T95-T96)/T95*U95)+IF(TbTradesBinance[[#This Row],[Resultado]]&gt;0,0,TbTradesBinance[[#This Row],[Taxa]]),0),0))</f>
        <v>1328239.8809817513</v>
      </c>
      <c r="V96" s="145">
        <f t="shared" si="22"/>
        <v>6.6500000148719129</v>
      </c>
      <c r="W9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Row],[Tipo]]="DROP"),W95+TbTradesBinance[[#This Row],[Qtt]],W95-TbTradesBinance[[#This Row],[Qtt]]),IF(TbTradesBinance[[#This Row],[Tipo]]="BUY",W95-TbTradesBinance[[#This Row],[Qtt]]*TbTradesBinance[[#This Row],[Preço]],W95+TbTradesBinance[[#This Row],[Qtt]]*TbTradesBinance[[#This Row],[Preço]])),W95)-IF(TbTradesBinance[[#This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Row],[Tipo]]="DROP"),W95+TbTradesBinance[[#This Row],[Qtt]],W95-TbTradesBinance[[#This Row],[Qtt]]),IF(TbTradesBinance[[#This Row],[Tipo]]="BUY",W95-TbTradesBinance[[#This Row],[Qtt]]*TbTradesBinance[[#This Row],[Preço]],W95+TbTradesBinance[[#This Row],[Qtt]]*TbTradesBinance[[#This Row],[Preço]])),W95)-IF(TbTradesBinance[[#This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Row],[Tipo]]="DROP"),W95+TbTradesBinance[[#This Row],[Qtt]],W95-TbTradesBinance[[#This Row],[Qtt]]),IF(TbTradesBinance[[#This Row],[Tipo]]="BUY",W95-TbTradesBinance[[#This Row],[Qtt]]*TbTradesBinance[[#This Row],[Preço]],W95+TbTradesBinance[[#This Row],[Qtt]]*TbTradesBinance[[#This Row],[Preço]])),W95)-IF(TbTradesBinance[[#This Row],[Moeda da Taxa]]=MID(W$1,9,5),TbTradesBinance[[#This Row],[Taxa]],0),8)))</f>
        <v>7.5454000000000005E-4</v>
      </c>
      <c r="X96" s="145" cm="1">
        <f t="array" ref="X96">IF(TbTradesBinance[[#This Row],[Tipo]]="EMPTY",0,X95+IF(TbTradesBinance[[#This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Row],[Par]]))),$1:$1,0)),-(W95-W96)/W95*X95),0),0)+IF(TbTradesBinance[[#This Row],[Tipo]]="SELL",IF(ISNUMBER(FIND(MID(X$1,10,5),TbTradesBinance[[#This Row],[Par]])),IF(FIND(MID(X$1,10,5),TbTradesBinance[[#This Row],[Par]])=1, -(W95-W96)/W95*X95,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Row],[Par]])),(-(W95-W96)/W95*X95)+IF(TbTradesBinance[[#This Row],[Resultado]]&gt;0,0,TbTradesBinance[[#This Row],[Taxa]]),0),0))</f>
        <v>251.24052340902878</v>
      </c>
      <c r="Y96" s="145">
        <f t="shared" si="23"/>
        <v>332971.77539829403</v>
      </c>
      <c r="Z9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Row],[Tipo]]="DROP"),Z95+TbTradesBinance[[#This Row],[Qtt]],Z95-TbTradesBinance[[#This Row],[Qtt]]),IF(TbTradesBinance[[#This Row],[Tipo]]="BUY",Z95-TbTradesBinance[[#This Row],[Qtt]]*TbTradesBinance[[#This Row],[Preço]],Z95+TbTradesBinance[[#This Row],[Qtt]]*TbTradesBinance[[#This Row],[Preço]])),Z95)-IF(TbTradesBinance[[#This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Row],[Tipo]]="DROP"),Z95+TbTradesBinance[[#This Row],[Qtt]],Z95-TbTradesBinance[[#This Row],[Qtt]]),IF(TbTradesBinance[[#This Row],[Tipo]]="BUY",Z95-TbTradesBinance[[#This Row],[Qtt]]*TbTradesBinance[[#This Row],[Preço]],Z95+TbTradesBinance[[#This Row],[Qtt]]*TbTradesBinance[[#This Row],[Preço]])),Z95)-IF(TbTradesBinance[[#This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Row],[Tipo]]="DROP"),Z95+TbTradesBinance[[#This Row],[Qtt]],Z95-TbTradesBinance[[#This Row],[Qtt]]),IF(TbTradesBinance[[#This Row],[Tipo]]="BUY",Z95-TbTradesBinance[[#This Row],[Qtt]]*TbTradesBinance[[#This Row],[Preço]],Z95+TbTradesBinance[[#This Row],[Qtt]]*TbTradesBinance[[#This Row],[Preço]])),Z95)-IF(TbTradesBinance[[#This Row],[Moeda da Taxa]]=MID(Z$1,9,5),TbTradesBinance[[#This Row],[Taxa]],0),8)))</f>
        <v>0</v>
      </c>
      <c r="AA96" s="145" cm="1">
        <f t="array" ref="AA96">IF(TbTradesBinance[[#This Row],[Tipo]]="EMPTY",0,AA95+IF(TbTradesBinance[[#This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Row],[Par]]))),$1:$1,0)),-(Z95-Z96)/Z95*AA95),0),0)+IF(TbTradesBinance[[#This Row],[Tipo]]="SELL",IF(ISNUMBER(FIND(MID(AA$1,10,5),TbTradesBinance[[#This Row],[Par]])),IF(FIND(MID(AA$1,10,5),TbTradesBinance[[#This Row],[Par]])=1, -(Z95-Z96)/Z95*AA95,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Row],[Par]])),(-(Z95-Z96)/Z95*AA95)+IF(TbTradesBinance[[#This Row],[Resultado]]&gt;0,0,TbTradesBinance[[#This Row],[Taxa]]),0),0))</f>
        <v>0</v>
      </c>
      <c r="AB96" s="145">
        <f t="shared" si="24"/>
        <v>0</v>
      </c>
      <c r="AC9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Row],[Tipo]]="DROP"),AC95+TbTradesBinance[[#This Row],[Qtt]],AC95-TbTradesBinance[[#This Row],[Qtt]]),IF(TbTradesBinance[[#This Row],[Tipo]]="BUY",AC95-TbTradesBinance[[#This Row],[Qtt]]*TbTradesBinance[[#This Row],[Preço]],AC95+TbTradesBinance[[#This Row],[Qtt]]*TbTradesBinance[[#This Row],[Preço]])),AC95)-IF(TbTradesBinance[[#This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Row],[Tipo]]="DROP"),AC95+TbTradesBinance[[#This Row],[Qtt]],AC95-TbTradesBinance[[#This Row],[Qtt]]),IF(TbTradesBinance[[#This Row],[Tipo]]="BUY",AC95-TbTradesBinance[[#This Row],[Qtt]]*TbTradesBinance[[#This Row],[Preço]],AC95+TbTradesBinance[[#This Row],[Qtt]]*TbTradesBinance[[#This Row],[Preço]])),AC95)-IF(TbTradesBinance[[#This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Row],[Tipo]]="DROP"),AC95+TbTradesBinance[[#This Row],[Qtt]],AC95-TbTradesBinance[[#This Row],[Qtt]]),IF(TbTradesBinance[[#This Row],[Tipo]]="BUY",AC95-TbTradesBinance[[#This Row],[Qtt]]*TbTradesBinance[[#This Row],[Preço]],AC95+TbTradesBinance[[#This Row],[Qtt]]*TbTradesBinance[[#This Row],[Preço]])),AC95)-IF(TbTradesBinance[[#This Row],[Moeda da Taxa]]=MID(AC$1,9,5),TbTradesBinance[[#This Row],[Taxa]],0),8)))</f>
        <v>2.997E-2</v>
      </c>
      <c r="AD96" s="145" cm="1">
        <f t="array" ref="AD96">IF(TbTradesBinance[[#This Row],[Tipo]]="EMPTY",0,AD95+IF(TbTradesBinance[[#This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Row],[Par]]))),$1:$1,0)),-(AC95-AC96)/AC95*AD95),0),0)+IF(TbTradesBinance[[#This Row],[Tipo]]="SELL",IF(ISNUMBER(FIND(MID(AD$1,10,5),TbTradesBinance[[#This Row],[Par]])),IF(FIND(MID(AD$1,10,5),TbTradesBinance[[#This Row],[Par]])=1, -(AC95-AC96)/AC95*AD95,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Row],[Par]])),(-(AC95-AC96)/AC95*AD95)+IF(TbTradesBinance[[#This Row],[Resultado]]&gt;0,0,TbTradesBinance[[#This Row],[Taxa]]),0),0))</f>
        <v>60.199749701148171</v>
      </c>
      <c r="AE96" s="145">
        <f t="shared" si="25"/>
        <v>2008.6669903619677</v>
      </c>
      <c r="AF9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Row],[Tipo]]="DROP"),AF95+TbTradesBinance[[#This Row],[Qtt]],AF95-TbTradesBinance[[#This Row],[Qtt]]),IF(TbTradesBinance[[#This Row],[Tipo]]="BUY",AF95-TbTradesBinance[[#This Row],[Qtt]]*TbTradesBinance[[#This Row],[Preço]],AF95+TbTradesBinance[[#This Row],[Qtt]]*TbTradesBinance[[#This Row],[Preço]])),AF95)-IF(TbTradesBinance[[#This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Row],[Tipo]]="DROP"),AF95+TbTradesBinance[[#This Row],[Qtt]],AF95-TbTradesBinance[[#This Row],[Qtt]]),IF(TbTradesBinance[[#This Row],[Tipo]]="BUY",AF95-TbTradesBinance[[#This Row],[Qtt]]*TbTradesBinance[[#This Row],[Preço]],AF95+TbTradesBinance[[#This Row],[Qtt]]*TbTradesBinance[[#This Row],[Preço]])),AF95)-IF(TbTradesBinance[[#This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Row],[Tipo]]="DROP"),AF95+TbTradesBinance[[#This Row],[Qtt]],AF95-TbTradesBinance[[#This Row],[Qtt]]),IF(TbTradesBinance[[#This Row],[Tipo]]="BUY",AF95-TbTradesBinance[[#This Row],[Qtt]]*TbTradesBinance[[#This Row],[Preço]],AF95+TbTradesBinance[[#This Row],[Qtt]]*TbTradesBinance[[#This Row],[Preço]])),AF95)-IF(TbTradesBinance[[#This Row],[Moeda da Taxa]]=MID(AF$1,9,5),TbTradesBinance[[#This Row],[Taxa]],0),8)))</f>
        <v>19.98</v>
      </c>
      <c r="AG96" s="145" cm="1">
        <f t="array" ref="AG96">IF(TbTradesBinance[[#This Row],[Tipo]]="EMPTY",0,AG95+IF(TbTradesBinance[[#This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Row],[Par]]))),$1:$1,0)),-(AF95-AF96)/AF95*AG95),0),0)+IF(TbTradesBinance[[#This Row],[Tipo]]="SELL",IF(ISNUMBER(FIND(MID(AG$1,10,5),TbTradesBinance[[#This Row],[Par]])),IF(FIND(MID(AG$1,10,5),TbTradesBinance[[#This Row],[Par]])=1, -(AF95-AF96)/AF95*AG95,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Row],[Par]])),(-(AF95-AF96)/AF95*AG95)+IF(TbTradesBinance[[#This Row],[Resultado]]&gt;0,0,TbTradesBinance[[#This Row],[Taxa]]),0),0))</f>
        <v>124.04182758073662</v>
      </c>
      <c r="AH96" s="145">
        <f t="shared" si="26"/>
        <v>6.2082996787155462</v>
      </c>
      <c r="AI9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Row],[Tipo]]="DROP"),AI95+TbTradesBinance[[#This Row],[Qtt]],AI95-TbTradesBinance[[#This Row],[Qtt]]),IF(TbTradesBinance[[#This Row],[Tipo]]="BUY",AI95-TbTradesBinance[[#This Row],[Qtt]]*TbTradesBinance[[#This Row],[Preço]],AI95+TbTradesBinance[[#This Row],[Qtt]]*TbTradesBinance[[#This Row],[Preço]])),AI95)-IF(TbTradesBinance[[#This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Row],[Tipo]]="DROP"),AI95+TbTradesBinance[[#This Row],[Qtt]],AI95-TbTradesBinance[[#This Row],[Qtt]]),IF(TbTradesBinance[[#This Row],[Tipo]]="BUY",AI95-TbTradesBinance[[#This Row],[Qtt]]*TbTradesBinance[[#This Row],[Preço]],AI95+TbTradesBinance[[#This Row],[Qtt]]*TbTradesBinance[[#This Row],[Preço]])),AI95)-IF(TbTradesBinance[[#This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Row],[Tipo]]="DROP"),AI95+TbTradesBinance[[#This Row],[Qtt]],AI95-TbTradesBinance[[#This Row],[Qtt]]),IF(TbTradesBinance[[#This Row],[Tipo]]="BUY",AI95-TbTradesBinance[[#This Row],[Qtt]]*TbTradesBinance[[#This Row],[Preço]],AI95+TbTradesBinance[[#This Row],[Qtt]]*TbTradesBinance[[#This Row],[Preço]])),AI95)-IF(TbTradesBinance[[#This Row],[Moeda da Taxa]]=MID(AI$1,9,5),TbTradesBinance[[#This Row],[Taxa]],0),8)))</f>
        <v>0</v>
      </c>
      <c r="AJ96" s="145" cm="1">
        <f t="array" ref="AJ96">IF(TbTradesBinance[[#This Row],[Tipo]]="EMPTY",0,AJ95+IF(TbTradesBinance[[#This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Row],[Par]]))),$1:$1,0)),-(AI95-AI96)/AI95*AJ95),0),0)+IF(TbTradesBinance[[#This Row],[Tipo]]="SELL",IF(ISNUMBER(FIND(MID(AJ$1,10,5),TbTradesBinance[[#This Row],[Par]])),IF(FIND(MID(AJ$1,10,5),TbTradesBinance[[#This Row],[Par]])=1, -(AI95-AI96)/AI95*AJ95,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Row],[Par]])),(-(AI95-AI96)/AI95*AJ95)+IF(TbTradesBinance[[#This Row],[Resultado]]&gt;0,0,TbTradesBinance[[#This Row],[Taxa]]),0),0))</f>
        <v>0</v>
      </c>
      <c r="AK96" s="145">
        <f t="shared" si="27"/>
        <v>0</v>
      </c>
      <c r="AL9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Row],[Tipo]]="DROP"),AL95+TbTradesBinance[[#This Row],[Qtt]],AL95-TbTradesBinance[[#This Row],[Qtt]]),IF(TbTradesBinance[[#This Row],[Tipo]]="BUY",AL95-TbTradesBinance[[#This Row],[Qtt]]*TbTradesBinance[[#This Row],[Preço]],AL95+TbTradesBinance[[#This Row],[Qtt]]*TbTradesBinance[[#This Row],[Preço]])),AL95)-IF(TbTradesBinance[[#This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Row],[Tipo]]="DROP"),AL95+TbTradesBinance[[#This Row],[Qtt]],AL95-TbTradesBinance[[#This Row],[Qtt]]),IF(TbTradesBinance[[#This Row],[Tipo]]="BUY",AL95-TbTradesBinance[[#This Row],[Qtt]]*TbTradesBinance[[#This Row],[Preço]],AL95+TbTradesBinance[[#This Row],[Qtt]]*TbTradesBinance[[#This Row],[Preço]])),AL95)-IF(TbTradesBinance[[#This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Row],[Tipo]]="DROP"),AL95+TbTradesBinance[[#This Row],[Qtt]],AL95-TbTradesBinance[[#This Row],[Qtt]]),IF(TbTradesBinance[[#This Row],[Tipo]]="BUY",AL95-TbTradesBinance[[#This Row],[Qtt]]*TbTradesBinance[[#This Row],[Preço]],AL95+TbTradesBinance[[#This Row],[Qtt]]*TbTradesBinance[[#This Row],[Preço]])),AL95)-IF(TbTradesBinance[[#This Row],[Moeda da Taxa]]=MID(AL$1,9,5),TbTradesBinance[[#This Row],[Taxa]],0),8)))</f>
        <v>1.75824</v>
      </c>
      <c r="AM96" s="145" cm="1">
        <f t="array" ref="AM96">IF(TbTradesBinance[[#This Row],[Tipo]]="EMPTY",0,AM95+IF(TbTradesBinance[[#This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Row],[Par]]))),$1:$1,0)),-(AL95-AL96)/AL95*AM95),0),0)+IF(TbTradesBinance[[#This Row],[Tipo]]="SELL",IF(ISNUMBER(FIND(MID(AM$1,10,5),TbTradesBinance[[#This Row],[Par]])),IF(FIND(MID(AM$1,10,5),TbTradesBinance[[#This Row],[Par]])=1, -(AL95-AL96)/AL95*AM95,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Row],[Par]])),(-(AL95-AL96)/AL95*AM95)+IF(TbTradesBinance[[#This Row],[Resultado]]&gt;0,0,TbTradesBinance[[#This Row],[Taxa]]),0),0))</f>
        <v>144.56635471393039</v>
      </c>
      <c r="AN96" s="145">
        <f t="shared" si="28"/>
        <v>82.222196465744375</v>
      </c>
      <c r="AO9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Row],[Tipo]]="DROP"),AO95+TbTradesBinance[[#This Row],[Qtt]],AO95-TbTradesBinance[[#This Row],[Qtt]]),IF(TbTradesBinance[[#This Row],[Tipo]]="BUY",AO95-TbTradesBinance[[#This Row],[Qtt]]*TbTradesBinance[[#This Row],[Preço]],AO95+TbTradesBinance[[#This Row],[Qtt]]*TbTradesBinance[[#This Row],[Preço]])),AO95)-IF(TbTradesBinance[[#This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Row],[Tipo]]="DROP"),AO95+TbTradesBinance[[#This Row],[Qtt]],AO95-TbTradesBinance[[#This Row],[Qtt]]),IF(TbTradesBinance[[#This Row],[Tipo]]="BUY",AO95-TbTradesBinance[[#This Row],[Qtt]]*TbTradesBinance[[#This Row],[Preço]],AO95+TbTradesBinance[[#This Row],[Qtt]]*TbTradesBinance[[#This Row],[Preço]])),AO95)-IF(TbTradesBinance[[#This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Row],[Tipo]]="DROP"),AO95+TbTradesBinance[[#This Row],[Qtt]],AO95-TbTradesBinance[[#This Row],[Qtt]]),IF(TbTradesBinance[[#This Row],[Tipo]]="BUY",AO95-TbTradesBinance[[#This Row],[Qtt]]*TbTradesBinance[[#This Row],[Preço]],AO95+TbTradesBinance[[#This Row],[Qtt]]*TbTradesBinance[[#This Row],[Preço]])),AO95)-IF(TbTradesBinance[[#This Row],[Moeda da Taxa]]=MID(AO$1,9,5),TbTradesBinance[[#This Row],[Taxa]],0),8)))</f>
        <v>3.9907299999999996E-3</v>
      </c>
      <c r="AP96" s="145" cm="1">
        <f t="array" ref="AP96">IF(TbTradesBinance[[#This Row],[Tipo]]="EMPTY",0,AP95+IF(TbTradesBinance[[#This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Row],[Par]]))),$1:$1,0)),-(AO95-AO96)/AO95*AP95),0),0)+IF(TbTradesBinance[[#This Row],[Tipo]]="SELL",IF(ISNUMBER(FIND(MID(AP$1,10,5),TbTradesBinance[[#This Row],[Par]])),IF(FIND(MID(AP$1,10,5),TbTradesBinance[[#This Row],[Par]])=1, -(AO95-AO96)/AO95*AP95,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Row],[Par]])),(-(AO95-AO96)/AO95*AP95)+IF(TbTradesBinance[[#This Row],[Resultado]]&gt;0,0,TbTradesBinance[[#This Row],[Taxa]]),0),0))</f>
        <v>7.3360959318006032</v>
      </c>
      <c r="AQ96" s="145">
        <f t="shared" si="29"/>
        <v>1838.2842065989439</v>
      </c>
      <c r="AR9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Row],[Tipo]]="DROP"),AR95+TbTradesBinance[[#This Row],[Qtt]],AR95-TbTradesBinance[[#This Row],[Qtt]]),IF(TbTradesBinance[[#This Row],[Tipo]]="BUY",AR95-TbTradesBinance[[#This Row],[Qtt]]*TbTradesBinance[[#This Row],[Preço]],AR95+TbTradesBinance[[#This Row],[Qtt]]*TbTradesBinance[[#This Row],[Preço]])),AR95)-IF(TbTradesBinance[[#This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Row],[Tipo]]="DROP"),AR95+TbTradesBinance[[#This Row],[Qtt]],AR95-TbTradesBinance[[#This Row],[Qtt]]),IF(TbTradesBinance[[#This Row],[Tipo]]="BUY",AR95-TbTradesBinance[[#This Row],[Qtt]]*TbTradesBinance[[#This Row],[Preço]],AR95+TbTradesBinance[[#This Row],[Qtt]]*TbTradesBinance[[#This Row],[Preço]])),AR95)-IF(TbTradesBinance[[#This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Row],[Tipo]]="DROP"),AR95+TbTradesBinance[[#This Row],[Qtt]],AR95-TbTradesBinance[[#This Row],[Qtt]]),IF(TbTradesBinance[[#This Row],[Tipo]]="BUY",AR95-TbTradesBinance[[#This Row],[Qtt]]*TbTradesBinance[[#This Row],[Preço]],AR95+TbTradesBinance[[#This Row],[Qtt]]*TbTradesBinance[[#This Row],[Preço]])),AR95)-IF(TbTradesBinance[[#This Row],[Moeda da Taxa]]=MID(AR$1,9,5),TbTradesBinance[[#This Row],[Taxa]],0),8)))</f>
        <v>12.5</v>
      </c>
      <c r="AS96" s="145" cm="1">
        <f t="array" ref="AS96">IF(TbTradesBinance[[#This Row],[Tipo]]="EMPTY",0,AS95+IF(TbTradesBinance[[#This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Row],[Par]]))),$1:$1,0)),-(AR95-AR96)/AR95*AS95),0),0)+IF(TbTradesBinance[[#This Row],[Tipo]]="SELL",IF(ISNUMBER(FIND(MID(AS$1,10,5),TbTradesBinance[[#This Row],[Par]])),IF(FIND(MID(AS$1,10,5),TbTradesBinance[[#This Row],[Par]])=1, -(AR95-AR96)/AR95*AS95,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Row],[Par]])),(-(AR95-AR96)/AR95*AS95)+IF(TbTradesBinance[[#This Row],[Resultado]]&gt;0,0,TbTradesBinance[[#This Row],[Taxa]]),0),0))</f>
        <v>49.995041157672304</v>
      </c>
      <c r="AT96" s="145">
        <f t="shared" si="30"/>
        <v>3.9996032926137843</v>
      </c>
      <c r="AU9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Row],[Tipo]]="DROP"),AU95+TbTradesBinance[[#This Row],[Qtt]],AU95-TbTradesBinance[[#This Row],[Qtt]]),IF(TbTradesBinance[[#This Row],[Tipo]]="BUY",AU95-TbTradesBinance[[#This Row],[Qtt]]*TbTradesBinance[[#This Row],[Preço]],AU95+TbTradesBinance[[#This Row],[Qtt]]*TbTradesBinance[[#This Row],[Preço]])),AU95)-IF(TbTradesBinance[[#This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Row],[Tipo]]="DROP"),AU95+TbTradesBinance[[#This Row],[Qtt]],AU95-TbTradesBinance[[#This Row],[Qtt]]),IF(TbTradesBinance[[#This Row],[Tipo]]="BUY",AU95-TbTradesBinance[[#This Row],[Qtt]]*TbTradesBinance[[#This Row],[Preço]],AU95+TbTradesBinance[[#This Row],[Qtt]]*TbTradesBinance[[#This Row],[Preço]])),AU95)-IF(TbTradesBinance[[#This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Row],[Tipo]]="DROP"),AU95+TbTradesBinance[[#This Row],[Qtt]],AU95-TbTradesBinance[[#This Row],[Qtt]]),IF(TbTradesBinance[[#This Row],[Tipo]]="BUY",AU95-TbTradesBinance[[#This Row],[Qtt]]*TbTradesBinance[[#This Row],[Preço]],AU95+TbTradesBinance[[#This Row],[Qtt]]*TbTradesBinance[[#This Row],[Preço]])),AU95)-IF(TbTradesBinance[[#This Row],[Moeda da Taxa]]=MID(AU$1,9,5),TbTradesBinance[[#This Row],[Taxa]],0),8)))</f>
        <v>0</v>
      </c>
      <c r="AV96" s="145" cm="1">
        <f t="array" ref="AV96">IF(TbTradesBinance[[#This Row],[Tipo]]="EMPTY",0,AV95+IF(TbTradesBinance[[#This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Row],[Par]]))),$1:$1,0)),-(AU95-AU96)/AU95*AV95),0),0)+IF(TbTradesBinance[[#This Row],[Tipo]]="SELL",IF(ISNUMBER(FIND(MID(AV$1,10,5),TbTradesBinance[[#This Row],[Par]])),IF(FIND(MID(AV$1,10,5),TbTradesBinance[[#This Row],[Par]])=1, -(AU95-AU96)/AU95*AV95,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Row],[Par]])),(-(AU95-AU96)/AU95*AV95)+IF(TbTradesBinance[[#This Row],[Resultado]]&gt;0,0,TbTradesBinance[[#This Row],[Taxa]]),0),0))</f>
        <v>0</v>
      </c>
      <c r="AW96" s="145">
        <f t="shared" si="31"/>
        <v>0</v>
      </c>
      <c r="AX9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Row],[Tipo]]="DROP"),AX95+TbTradesBinance[[#This Row],[Qtt]],AX95-TbTradesBinance[[#This Row],[Qtt]]),IF(TbTradesBinance[[#This Row],[Tipo]]="BUY",AX95-TbTradesBinance[[#This Row],[Qtt]]*TbTradesBinance[[#This Row],[Preço]],AX95+TbTradesBinance[[#This Row],[Qtt]]*TbTradesBinance[[#This Row],[Preço]])),AX95)-IF(TbTradesBinance[[#This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Row],[Tipo]]="DROP"),AX95+TbTradesBinance[[#This Row],[Qtt]],AX95-TbTradesBinance[[#This Row],[Qtt]]),IF(TbTradesBinance[[#This Row],[Tipo]]="BUY",AX95-TbTradesBinance[[#This Row],[Qtt]]*TbTradesBinance[[#This Row],[Preço]],AX95+TbTradesBinance[[#This Row],[Qtt]]*TbTradesBinance[[#This Row],[Preço]])),AX95)-IF(TbTradesBinance[[#This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Row],[Tipo]]="DROP"),AX95+TbTradesBinance[[#This Row],[Qtt]],AX95-TbTradesBinance[[#This Row],[Qtt]]),IF(TbTradesBinance[[#This Row],[Tipo]]="BUY",AX95-TbTradesBinance[[#This Row],[Qtt]]*TbTradesBinance[[#This Row],[Preço]],AX95+TbTradesBinance[[#This Row],[Qtt]]*TbTradesBinance[[#This Row],[Preço]])),AX95)-IF(TbTradesBinance[[#This Row],[Moeda da Taxa]]=MID(AX$1,9,5),TbTradesBinance[[#This Row],[Taxa]],0),8)))</f>
        <v>0.22636999999999999</v>
      </c>
      <c r="AY96" s="145" cm="1">
        <f t="array" ref="AY96">IF(TbTradesBinance[[#This Row],[Tipo]]="EMPTY",0,AY95+IF(TbTradesBinance[[#This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Row],[Par]]))),$1:$1,0)),-(AX95-AX96)/AX95*AY95),0),0)+IF(TbTradesBinance[[#This Row],[Tipo]]="SELL",IF(ISNUMBER(FIND(MID(AY$1,10,5),TbTradesBinance[[#This Row],[Par]])),IF(FIND(MID(AY$1,10,5),TbTradesBinance[[#This Row],[Par]])=1, -(AX95-AX96)/AX95*AY95,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Row],[Par]])),(-(AX95-AX96)/AX95*AY95)+IF(TbTradesBinance[[#This Row],[Resultado]]&gt;0,0,TbTradesBinance[[#This Row],[Taxa]]),0),0))</f>
        <v>40.781337593356859</v>
      </c>
      <c r="AZ96" s="145">
        <f t="shared" si="32"/>
        <v>180.15345493376711</v>
      </c>
      <c r="BA9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Row],[Tipo]]="DROP"),BA95+TbTradesBinance[[#This Row],[Qtt]],BA95-TbTradesBinance[[#This Row],[Qtt]]),IF(TbTradesBinance[[#This Row],[Tipo]]="BUY",BA95-TbTradesBinance[[#This Row],[Qtt]]*TbTradesBinance[[#This Row],[Preço]],BA95+TbTradesBinance[[#This Row],[Qtt]]*TbTradesBinance[[#This Row],[Preço]])),BA95)-IF(TbTradesBinance[[#This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Row],[Tipo]]="DROP"),BA95+TbTradesBinance[[#This Row],[Qtt]],BA95-TbTradesBinance[[#This Row],[Qtt]]),IF(TbTradesBinance[[#This Row],[Tipo]]="BUY",BA95-TbTradesBinance[[#This Row],[Qtt]]*TbTradesBinance[[#This Row],[Preço]],BA95+TbTradesBinance[[#This Row],[Qtt]]*TbTradesBinance[[#This Row],[Preço]])),BA95)-IF(TbTradesBinance[[#This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Row],[Tipo]]="DROP"),BA95+TbTradesBinance[[#This Row],[Qtt]],BA95-TbTradesBinance[[#This Row],[Qtt]]),IF(TbTradesBinance[[#This Row],[Tipo]]="BUY",BA95-TbTradesBinance[[#This Row],[Qtt]]*TbTradesBinance[[#This Row],[Preço]],BA95+TbTradesBinance[[#This Row],[Qtt]]*TbTradesBinance[[#This Row],[Preço]])),BA95)-IF(TbTradesBinance[[#This Row],[Moeda da Taxa]]=MID(BA$1,9,5),TbTradesBinance[[#This Row],[Taxa]],0),8)))</f>
        <v>0</v>
      </c>
      <c r="BB96" s="145" cm="1">
        <f t="array" ref="BB96">IF(TbTradesBinance[[#This Row],[Tipo]]="EMPTY",0,BB95+IF(TbTradesBinance[[#This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Row],[Par]]))),$1:$1,0)),-(BA95-BA96)/BA95*BB95),0),0)+IF(TbTradesBinance[[#This Row],[Tipo]]="SELL",IF(ISNUMBER(FIND(MID(BB$1,10,5),TbTradesBinance[[#This Row],[Par]])),IF(FIND(MID(BB$1,10,5),TbTradesBinance[[#This Row],[Par]])=1, -(BA95-BA96)/BA95*BB95,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Row],[Par]])),(-(BA95-BA96)/BA95*BB95)+IF(TbTradesBinance[[#This Row],[Resultado]]&gt;0,0,TbTradesBinance[[#This Row],[Taxa]]),0),0))</f>
        <v>0</v>
      </c>
      <c r="BC96" s="145">
        <f t="shared" si="33"/>
        <v>0</v>
      </c>
      <c r="BD9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Row],[Tipo]]="DROP"),BD95+TbTradesBinance[[#This Row],[Qtt]],BD95-TbTradesBinance[[#This Row],[Qtt]]),IF(TbTradesBinance[[#This Row],[Tipo]]="BUY",BD95-TbTradesBinance[[#This Row],[Qtt]]*TbTradesBinance[[#This Row],[Preço]],BD95+TbTradesBinance[[#This Row],[Qtt]]*TbTradesBinance[[#This Row],[Preço]])),BD95)-IF(TbTradesBinance[[#This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Row],[Tipo]]="DROP"),BD95+TbTradesBinance[[#This Row],[Qtt]],BD95-TbTradesBinance[[#This Row],[Qtt]]),IF(TbTradesBinance[[#This Row],[Tipo]]="BUY",BD95-TbTradesBinance[[#This Row],[Qtt]]*TbTradesBinance[[#This Row],[Preço]],BD95+TbTradesBinance[[#This Row],[Qtt]]*TbTradesBinance[[#This Row],[Preço]])),BD95)-IF(TbTradesBinance[[#This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Row],[Tipo]]="DROP"),BD95+TbTradesBinance[[#This Row],[Qtt]],BD95-TbTradesBinance[[#This Row],[Qtt]]),IF(TbTradesBinance[[#This Row],[Tipo]]="BUY",BD95-TbTradesBinance[[#This Row],[Qtt]]*TbTradesBinance[[#This Row],[Preço]],BD95+TbTradesBinance[[#This Row],[Qtt]]*TbTradesBinance[[#This Row],[Preço]])),BD95)-IF(TbTradesBinance[[#This Row],[Moeda da Taxa]]=MID(BD$1,9,5),TbTradesBinance[[#This Row],[Taxa]],0),8)))</f>
        <v>0.56906000000000001</v>
      </c>
      <c r="BE96" s="145" cm="1">
        <f t="array" ref="BE96">IF(TbTradesBinance[[#This Row],[Tipo]]="EMPTY",0,BE95+IF(TbTradesBinance[[#This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Row],[Par]]))),$1:$1,0)),-(BD95-BD96)/BD95*BE95),0),0)+IF(TbTradesBinance[[#This Row],[Tipo]]="SELL",IF(ISNUMBER(FIND(MID(BE$1,10,5),TbTradesBinance[[#This Row],[Par]])),IF(FIND(MID(BE$1,10,5),TbTradesBinance[[#This Row],[Par]])=1, -(BD95-BD96)/BD95*BE95,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Row],[Par]])),(-(BD95-BD96)/BD95*BE95)+IF(TbTradesBinance[[#This Row],[Resultado]]&gt;0,0,TbTradesBinance[[#This Row],[Taxa]]),0),0))</f>
        <v>105.81619120195663</v>
      </c>
      <c r="BF96" s="145">
        <f t="shared" si="34"/>
        <v>185.94909359638109</v>
      </c>
      <c r="BG9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Row],[Tipo]]="DROP"),BG95+TbTradesBinance[[#This Row],[Qtt]],BG95-TbTradesBinance[[#This Row],[Qtt]]),IF(TbTradesBinance[[#This Row],[Tipo]]="BUY",BG95-TbTradesBinance[[#This Row],[Qtt]]*TbTradesBinance[[#This Row],[Preço]],BG95+TbTradesBinance[[#This Row],[Qtt]]*TbTradesBinance[[#This Row],[Preço]])),BG95)-IF(TbTradesBinance[[#This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Row],[Tipo]]="DROP"),BG95+TbTradesBinance[[#This Row],[Qtt]],BG95-TbTradesBinance[[#This Row],[Qtt]]),IF(TbTradesBinance[[#This Row],[Tipo]]="BUY",BG95-TbTradesBinance[[#This Row],[Qtt]]*TbTradesBinance[[#This Row],[Preço]],BG95+TbTradesBinance[[#This Row],[Qtt]]*TbTradesBinance[[#This Row],[Preço]])),BG95)-IF(TbTradesBinance[[#This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Row],[Tipo]]="DROP"),BG95+TbTradesBinance[[#This Row],[Qtt]],BG95-TbTradesBinance[[#This Row],[Qtt]]),IF(TbTradesBinance[[#This Row],[Tipo]]="BUY",BG95-TbTradesBinance[[#This Row],[Qtt]]*TbTradesBinance[[#This Row],[Preço]],BG95+TbTradesBinance[[#This Row],[Qtt]]*TbTradesBinance[[#This Row],[Preço]])),BG95)-IF(TbTradesBinance[[#This Row],[Moeda da Taxa]]=MID(BG$1,9,5),TbTradesBinance[[#This Row],[Taxa]],0),8)))</f>
        <v>0</v>
      </c>
      <c r="BH96" s="145" cm="1">
        <f t="array" ref="BH96">IF(TbTradesBinance[[#This Row],[Tipo]]="EMPTY",0,BH95+IF(TbTradesBinance[[#This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Row],[Par]]))),$1:$1,0)),-(BG95-BG96)/BG95*BH95),0),0)+IF(TbTradesBinance[[#This Row],[Tipo]]="SELL",IF(ISNUMBER(FIND(MID(BH$1,10,5),TbTradesBinance[[#This Row],[Par]])),IF(FIND(MID(BH$1,10,5),TbTradesBinance[[#This Row],[Par]])=1, -(BG95-BG96)/BG95*BH95,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Row],[Par]])),(-(BG95-BG96)/BG95*BH95)+IF(TbTradesBinance[[#This Row],[Resultado]]&gt;0,0,TbTradesBinance[[#This Row],[Taxa]]),0),0))</f>
        <v>0</v>
      </c>
      <c r="BI96" s="145">
        <f t="shared" si="35"/>
        <v>0</v>
      </c>
      <c r="BJ9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Row],[Tipo]]="DROP"),BJ95+TbTradesBinance[[#This Row],[Qtt]],BJ95-TbTradesBinance[[#This Row],[Qtt]]),IF(TbTradesBinance[[#This Row],[Tipo]]="BUY",BJ95-TbTradesBinance[[#This Row],[Qtt]]*TbTradesBinance[[#This Row],[Preço]],BJ95+TbTradesBinance[[#This Row],[Qtt]]*TbTradesBinance[[#This Row],[Preço]])),BJ95)-IF(TbTradesBinance[[#This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Row],[Tipo]]="DROP"),BJ95+TbTradesBinance[[#This Row],[Qtt]],BJ95-TbTradesBinance[[#This Row],[Qtt]]),IF(TbTradesBinance[[#This Row],[Tipo]]="BUY",BJ95-TbTradesBinance[[#This Row],[Qtt]]*TbTradesBinance[[#This Row],[Preço]],BJ95+TbTradesBinance[[#This Row],[Qtt]]*TbTradesBinance[[#This Row],[Preço]])),BJ95)-IF(TbTradesBinance[[#This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Row],[Tipo]]="DROP"),BJ95+TbTradesBinance[[#This Row],[Qtt]],BJ95-TbTradesBinance[[#This Row],[Qtt]]),IF(TbTradesBinance[[#This Row],[Tipo]]="BUY",BJ95-TbTradesBinance[[#This Row],[Qtt]]*TbTradesBinance[[#This Row],[Preço]],BJ95+TbTradesBinance[[#This Row],[Qtt]]*TbTradesBinance[[#This Row],[Preço]])),BJ95)-IF(TbTradesBinance[[#This Row],[Moeda da Taxa]]=MID(BJ$1,9,5),TbTradesBinance[[#This Row],[Taxa]],0),8)))</f>
        <v>0</v>
      </c>
      <c r="BK96" s="145" cm="1">
        <f t="array" ref="BK96">IF(TbTradesBinance[[#This Row],[Tipo]]="EMPTY",0,BK95+IF(TbTradesBinance[[#This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Row],[Par]]))),$1:$1,0)),-(BJ95-BJ96)/BJ95*BK95),0),0)+IF(TbTradesBinance[[#This Row],[Tipo]]="SELL",IF(ISNUMBER(FIND(MID(BK$1,10,5),TbTradesBinance[[#This Row],[Par]])),IF(FIND(MID(BK$1,10,5),TbTradesBinance[[#This Row],[Par]])=1, -(BJ95-BJ96)/BJ95*BK95,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Row],[Par]])),(-(BJ95-BJ96)/BJ95*BK95)+IF(TbTradesBinance[[#This Row],[Resultado]]&gt;0,0,TbTradesBinance[[#This Row],[Taxa]]),0),0))</f>
        <v>0</v>
      </c>
      <c r="BL96" s="145">
        <f t="shared" si="36"/>
        <v>0</v>
      </c>
      <c r="BM9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Row],[Tipo]]="DROP"),BM95+TbTradesBinance[[#This Row],[Qtt]],BM95-TbTradesBinance[[#This Row],[Qtt]]),IF(TbTradesBinance[[#This Row],[Tipo]]="BUY",BM95-TbTradesBinance[[#This Row],[Qtt]]*TbTradesBinance[[#This Row],[Preço]],BM95+TbTradesBinance[[#This Row],[Qtt]]*TbTradesBinance[[#This Row],[Preço]])),BM95)-IF(TbTradesBinance[[#This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Row],[Tipo]]="DROP"),BM95+TbTradesBinance[[#This Row],[Qtt]],BM95-TbTradesBinance[[#This Row],[Qtt]]),IF(TbTradesBinance[[#This Row],[Tipo]]="BUY",BM95-TbTradesBinance[[#This Row],[Qtt]]*TbTradesBinance[[#This Row],[Preço]],BM95+TbTradesBinance[[#This Row],[Qtt]]*TbTradesBinance[[#This Row],[Preço]])),BM95)-IF(TbTradesBinance[[#This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Row],[Tipo]]="DROP"),BM95+TbTradesBinance[[#This Row],[Qtt]],BM95-TbTradesBinance[[#This Row],[Qtt]]),IF(TbTradesBinance[[#This Row],[Tipo]]="BUY",BM95-TbTradesBinance[[#This Row],[Qtt]]*TbTradesBinance[[#This Row],[Preço]],BM95+TbTradesBinance[[#This Row],[Qtt]]*TbTradesBinance[[#This Row],[Preço]])),BM95)-IF(TbTradesBinance[[#This Row],[Moeda da Taxa]]=MID(BM$1,9,5),TbTradesBinance[[#This Row],[Taxa]],0),8)))</f>
        <v>0</v>
      </c>
      <c r="BN96" s="145" cm="1">
        <f t="array" ref="BN96">IF(TbTradesBinance[[#This Row],[Tipo]]="EMPTY",0,BN95+IF(TbTradesBinance[[#This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Row],[Par]]))),$1:$1,0)),-(BM95-BM96)/BM95*BN95),0),0)+IF(TbTradesBinance[[#This Row],[Tipo]]="SELL",IF(ISNUMBER(FIND(MID(BN$1,10,5),TbTradesBinance[[#This Row],[Par]])),IF(FIND(MID(BN$1,10,5),TbTradesBinance[[#This Row],[Par]])=1, -(BM95-BM96)/BM95*BN95,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Row],[Par]])),(-(BM95-BM96)/BM95*BN95)+IF(TbTradesBinance[[#This Row],[Resultado]]&gt;0,0,TbTradesBinance[[#This Row],[Taxa]]),0),0))</f>
        <v>0</v>
      </c>
      <c r="BO96" s="145">
        <f t="shared" si="37"/>
        <v>0</v>
      </c>
    </row>
    <row r="97" spans="2:67" x14ac:dyDescent="0.3">
      <c r="B97" s="51"/>
      <c r="C97" s="40">
        <f>TRUNC(IF(AND(TbTradesBinance[[#This Row],[Tipo]]="SEND",TbTradesBinance[[#This Row],[Par]]="BRL"),TbTradesBinance[[#This Row],[Qtt]]*(1-P95)-IF(TbTradesBinance[[#This Row],[Moeda da Taxa]]="BRL",TbTradesBinance[[#This Row],[Taxa]],0),0)+IF(AND(TbTradesBinance[[#This Row],[Tipo]]="BURN",TbTradesBinance[[#This Row],[Par]]="BRL"),-TbTradesBinance[[#This Row],[Qtt]]*P95,0),2)</f>
        <v>0</v>
      </c>
      <c r="D97" s="53">
        <v>44268.634618055556</v>
      </c>
      <c r="E97" s="37" t="s">
        <v>249</v>
      </c>
      <c r="F97" s="47" t="s">
        <v>139</v>
      </c>
      <c r="G97" s="38">
        <v>60078.3</v>
      </c>
      <c r="H97" s="38">
        <v>8.4199999999999998E-4</v>
      </c>
      <c r="I97" s="38">
        <v>8.4E-7</v>
      </c>
      <c r="J97" s="37" t="s">
        <v>6</v>
      </c>
      <c r="K97" s="52">
        <v>5.6</v>
      </c>
      <c r="L97" s="40">
        <f t="shared" si="19"/>
        <v>336438.48</v>
      </c>
      <c r="M97" s="40">
        <f>IF(OR(TbTradesBinance[[#This Row],[Tipo]]="BUY",TbTradesBinance[[#This Row],[Tipo]]="RECEIVE",TbTradesBinance[[#This Row],[Tipo]]="DROP"),L97*H97,-L97*H97)</f>
        <v>283.28120015999997</v>
      </c>
      <c r="N9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Row],[Tipo]]="DROP"),N96+TbTradesBinance[[#This Row],[Qtt]],N96-TbTradesBinance[[#This Row],[Qtt]]),IF(TbTradesBinance[[#This Row],[Tipo]]="BUY",N96-TbTradesBinance[[#This Row],[Qtt]]*TbTradesBinance[[#This Row],[Preço]],N96+TbTradesBinance[[#This Row],[Qtt]]*TbTradesBinance[[#This Row],[Preço]])),N96)-IF(TbTradesBinance[[#This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Row],[Tipo]]="DROP"),N96+TbTradesBinance[[#This Row],[Qtt]],N96-TbTradesBinance[[#This Row],[Qtt]]),IF(TbTradesBinance[[#This Row],[Tipo]]="BUY",N96-TbTradesBinance[[#This Row],[Qtt]]*TbTradesBinance[[#This Row],[Preço]],N96+TbTradesBinance[[#This Row],[Qtt]]*TbTradesBinance[[#This Row],[Preço]])),N96)-IF(TbTradesBinance[[#This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Row],[Tipo]]="DROP"),N96+TbTradesBinance[[#This Row],[Qtt]],N96-TbTradesBinance[[#This Row],[Qtt]]),IF(TbTradesBinance[[#This Row],[Tipo]]="BUY",N96-TbTradesBinance[[#This Row],[Qtt]]*TbTradesBinance[[#This Row],[Preço]],N96+TbTradesBinance[[#This Row],[Qtt]]*TbTradesBinance[[#This Row],[Preço]])),N96)-IF(TbTradesBinance[[#This Row],[Moeda da Taxa]]=MID(N$1,9,5),TbTradesBinance[[#This Row],[Taxa]],0),8)))</f>
        <v>120045.35885208</v>
      </c>
      <c r="O97" s="145" cm="1">
        <f t="array" ref="O97">IF(TbTradesBinance[[#This Row],[Tipo]]="EMPTY",0,O96+IF(TbTradesBinance[[#This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Row],[Par]]))),$1:$1,0)),-(N96-N97)/N96*O96),0),0)+IF(TbTradesBinance[[#This Row],[Tipo]]="SELL",IF(ISNUMBER(FIND(MID(O$1,10,5),TbTradesBinance[[#This Row],[Par]])),IF(FIND(MID(O$1,10,5),TbTradesBinance[[#This Row],[Par]])=1, -(N96-N97)/N96*O96,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Row],[Par]])),(-(N96-N97)/N96*O96)+IF(TbTradesBinance[[#This Row],[Resultado]]&gt;0,0,TbTradesBinance[[#This Row],[Taxa]]),0),0))</f>
        <v>120033.45313194561</v>
      </c>
      <c r="P97" s="145">
        <f t="shared" si="20"/>
        <v>0.99990082315344608</v>
      </c>
      <c r="Q9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Row],[Tipo]]="DROP"),Q96+TbTradesBinance[[#This Row],[Qtt]],Q96-TbTradesBinance[[#This Row],[Qtt]]),IF(TbTradesBinance[[#This Row],[Tipo]]="BUY",Q96-TbTradesBinance[[#This Row],[Qtt]]*TbTradesBinance[[#This Row],[Preço]],Q96+TbTradesBinance[[#This Row],[Qtt]]*TbTradesBinance[[#This Row],[Preço]])),Q96)-IF(TbTradesBinance[[#This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Row],[Tipo]]="DROP"),Q96+TbTradesBinance[[#This Row],[Qtt]],Q96-TbTradesBinance[[#This Row],[Qtt]]),IF(TbTradesBinance[[#This Row],[Tipo]]="BUY",Q96-TbTradesBinance[[#This Row],[Qtt]]*TbTradesBinance[[#This Row],[Preço]],Q96+TbTradesBinance[[#This Row],[Qtt]]*TbTradesBinance[[#This Row],[Preço]])),Q96)-IF(TbTradesBinance[[#This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Row],[Tipo]]="DROP"),Q96+TbTradesBinance[[#This Row],[Qtt]],Q96-TbTradesBinance[[#This Row],[Qtt]]),IF(TbTradesBinance[[#This Row],[Tipo]]="BUY",Q96-TbTradesBinance[[#This Row],[Qtt]]*TbTradesBinance[[#This Row],[Preço]],Q96+TbTradesBinance[[#This Row],[Qtt]]*TbTradesBinance[[#This Row],[Preço]])),Q96)-IF(TbTradesBinance[[#This Row],[Moeda da Taxa]]=MID(Q$1,9,5),TbTradesBinance[[#This Row],[Taxa]],0),8)))</f>
        <v>72.863381610000005</v>
      </c>
      <c r="R97" s="145" cm="1">
        <f t="array" ref="R97">IF(TbTradesBinance[[#This Row],[Tipo]]="EMPTY",0,R96+IF(TbTradesBinance[[#This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Row],[Par]]))),$1:$1,0)),-(Q96-Q97)/Q96*R96),0),0)+IF(TbTradesBinance[[#This Row],[Tipo]]="SELL",IF(ISNUMBER(FIND(MID(R$1,10,5),TbTradesBinance[[#This Row],[Par]])),IF(FIND(MID(R$1,10,5),TbTradesBinance[[#This Row],[Par]])=1, -(Q96-Q97)/Q96*R96,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Row],[Par]])),(-(Q96-Q97)/Q96*R96)+IF(TbTradesBinance[[#This Row],[Resultado]]&gt;0,0,TbTradesBinance[[#This Row],[Taxa]]),0),0))</f>
        <v>407.12022803878085</v>
      </c>
      <c r="S97" s="145">
        <f t="shared" si="21"/>
        <v>5.58744624587814</v>
      </c>
      <c r="T9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Row],[Tipo]]="DROP"),T96+TbTradesBinance[[#This Row],[Qtt]],T96-TbTradesBinance[[#This Row],[Qtt]]),IF(TbTradesBinance[[#This Row],[Tipo]]="BUY",T96-TbTradesBinance[[#This Row],[Qtt]]*TbTradesBinance[[#This Row],[Preço]],T96+TbTradesBinance[[#This Row],[Qtt]]*TbTradesBinance[[#This Row],[Preço]])),T96)-IF(TbTradesBinance[[#This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Row],[Tipo]]="DROP"),T96+TbTradesBinance[[#This Row],[Qtt]],T96-TbTradesBinance[[#This Row],[Qtt]]),IF(TbTradesBinance[[#This Row],[Tipo]]="BUY",T96-TbTradesBinance[[#This Row],[Qtt]]*TbTradesBinance[[#This Row],[Preço]],T96+TbTradesBinance[[#This Row],[Qtt]]*TbTradesBinance[[#This Row],[Preço]])),T96)-IF(TbTradesBinance[[#This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Row],[Tipo]]="DROP"),T96+TbTradesBinance[[#This Row],[Qtt]],T96-TbTradesBinance[[#This Row],[Qtt]]),IF(TbTradesBinance[[#This Row],[Tipo]]="BUY",T96-TbTradesBinance[[#This Row],[Qtt]]*TbTradesBinance[[#This Row],[Preço]],T96+TbTradesBinance[[#This Row],[Qtt]]*TbTradesBinance[[#This Row],[Preço]])),T96)-IF(TbTradesBinance[[#This Row],[Moeda da Taxa]]=MID(T$1,9,5),TbTradesBinance[[#This Row],[Taxa]],0),8)))</f>
        <v>199735.32000169999</v>
      </c>
      <c r="U97" s="145" cm="1">
        <f t="array" ref="U97">IF(TbTradesBinance[[#This Row],[Tipo]]="EMPTY",0,U96+IF(TbTradesBinance[[#This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Row],[Par]]))),$1:$1,0)),-(T96-T97)/T96*U96),0),0)+IF(TbTradesBinance[[#This Row],[Tipo]]="SELL",IF(ISNUMBER(FIND(MID(U$1,10,5),TbTradesBinance[[#This Row],[Par]])),IF(FIND(MID(U$1,10,5),TbTradesBinance[[#This Row],[Par]])=1, -(T96-T97)/T96*U96,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Row],[Par]])),(-(T96-T97)/T96*U96)+IF(TbTradesBinance[[#This Row],[Resultado]]&gt;0,0,TbTradesBinance[[#This Row],[Taxa]]),0),0))</f>
        <v>1328239.8809817513</v>
      </c>
      <c r="V97" s="145">
        <f t="shared" si="22"/>
        <v>6.6500000148719129</v>
      </c>
      <c r="W9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Row],[Tipo]]="DROP"),W96+TbTradesBinance[[#This Row],[Qtt]],W96-TbTradesBinance[[#This Row],[Qtt]]),IF(TbTradesBinance[[#This Row],[Tipo]]="BUY",W96-TbTradesBinance[[#This Row],[Qtt]]*TbTradesBinance[[#This Row],[Preço]],W96+TbTradesBinance[[#This Row],[Qtt]]*TbTradesBinance[[#This Row],[Preço]])),W96)-IF(TbTradesBinance[[#This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Row],[Tipo]]="DROP"),W96+TbTradesBinance[[#This Row],[Qtt]],W96-TbTradesBinance[[#This Row],[Qtt]]),IF(TbTradesBinance[[#This Row],[Tipo]]="BUY",W96-TbTradesBinance[[#This Row],[Qtt]]*TbTradesBinance[[#This Row],[Preço]],W96+TbTradesBinance[[#This Row],[Qtt]]*TbTradesBinance[[#This Row],[Preço]])),W96)-IF(TbTradesBinance[[#This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Row],[Tipo]]="DROP"),W96+TbTradesBinance[[#This Row],[Qtt]],W96-TbTradesBinance[[#This Row],[Qtt]]),IF(TbTradesBinance[[#This Row],[Tipo]]="BUY",W96-TbTradesBinance[[#This Row],[Qtt]]*TbTradesBinance[[#This Row],[Preço]],W96+TbTradesBinance[[#This Row],[Qtt]]*TbTradesBinance[[#This Row],[Preço]])),W96)-IF(TbTradesBinance[[#This Row],[Moeda da Taxa]]=MID(W$1,9,5),TbTradesBinance[[#This Row],[Taxa]],0),8)))</f>
        <v>1.5957E-3</v>
      </c>
      <c r="X97" s="145" cm="1">
        <f t="array" ref="X97">IF(TbTradesBinance[[#This Row],[Tipo]]="EMPTY",0,X96+IF(TbTradesBinance[[#This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Row],[Par]]))),$1:$1,0)),-(W96-W97)/W96*X96),0),0)+IF(TbTradesBinance[[#This Row],[Tipo]]="SELL",IF(ISNUMBER(FIND(MID(X$1,10,5),TbTradesBinance[[#This Row],[Par]])),IF(FIND(MID(X$1,10,5),TbTradesBinance[[#This Row],[Par]])=1, -(W96-W97)/W96*X96,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Row],[Par]])),(-(W96-W97)/W96*X96)+IF(TbTradesBinance[[#This Row],[Resultado]]&gt;0,0,TbTradesBinance[[#This Row],[Taxa]]),0),0))</f>
        <v>533.8866802593584</v>
      </c>
      <c r="Y97" s="145">
        <f t="shared" si="23"/>
        <v>334578.35448979033</v>
      </c>
      <c r="Z9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Row],[Tipo]]="DROP"),Z96+TbTradesBinance[[#This Row],[Qtt]],Z96-TbTradesBinance[[#This Row],[Qtt]]),IF(TbTradesBinance[[#This Row],[Tipo]]="BUY",Z96-TbTradesBinance[[#This Row],[Qtt]]*TbTradesBinance[[#This Row],[Preço]],Z96+TbTradesBinance[[#This Row],[Qtt]]*TbTradesBinance[[#This Row],[Preço]])),Z96)-IF(TbTradesBinance[[#This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Row],[Tipo]]="DROP"),Z96+TbTradesBinance[[#This Row],[Qtt]],Z96-TbTradesBinance[[#This Row],[Qtt]]),IF(TbTradesBinance[[#This Row],[Tipo]]="BUY",Z96-TbTradesBinance[[#This Row],[Qtt]]*TbTradesBinance[[#This Row],[Preço]],Z96+TbTradesBinance[[#This Row],[Qtt]]*TbTradesBinance[[#This Row],[Preço]])),Z96)-IF(TbTradesBinance[[#This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Row],[Tipo]]="DROP"),Z96+TbTradesBinance[[#This Row],[Qtt]],Z96-TbTradesBinance[[#This Row],[Qtt]]),IF(TbTradesBinance[[#This Row],[Tipo]]="BUY",Z96-TbTradesBinance[[#This Row],[Qtt]]*TbTradesBinance[[#This Row],[Preço]],Z96+TbTradesBinance[[#This Row],[Qtt]]*TbTradesBinance[[#This Row],[Preço]])),Z96)-IF(TbTradesBinance[[#This Row],[Moeda da Taxa]]=MID(Z$1,9,5),TbTradesBinance[[#This Row],[Taxa]],0),8)))</f>
        <v>0</v>
      </c>
      <c r="AA97" s="145" cm="1">
        <f t="array" ref="AA97">IF(TbTradesBinance[[#This Row],[Tipo]]="EMPTY",0,AA96+IF(TbTradesBinance[[#This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Row],[Par]]))),$1:$1,0)),-(Z96-Z97)/Z96*AA96),0),0)+IF(TbTradesBinance[[#This Row],[Tipo]]="SELL",IF(ISNUMBER(FIND(MID(AA$1,10,5),TbTradesBinance[[#This Row],[Par]])),IF(FIND(MID(AA$1,10,5),TbTradesBinance[[#This Row],[Par]])=1, -(Z96-Z97)/Z96*AA96,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Row],[Par]])),(-(Z96-Z97)/Z96*AA96)+IF(TbTradesBinance[[#This Row],[Resultado]]&gt;0,0,TbTradesBinance[[#This Row],[Taxa]]),0),0))</f>
        <v>0</v>
      </c>
      <c r="AB97" s="145">
        <f t="shared" si="24"/>
        <v>0</v>
      </c>
      <c r="AC9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Row],[Tipo]]="DROP"),AC96+TbTradesBinance[[#This Row],[Qtt]],AC96-TbTradesBinance[[#This Row],[Qtt]]),IF(TbTradesBinance[[#This Row],[Tipo]]="BUY",AC96-TbTradesBinance[[#This Row],[Qtt]]*TbTradesBinance[[#This Row],[Preço]],AC96+TbTradesBinance[[#This Row],[Qtt]]*TbTradesBinance[[#This Row],[Preço]])),AC96)-IF(TbTradesBinance[[#This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Row],[Tipo]]="DROP"),AC96+TbTradesBinance[[#This Row],[Qtt]],AC96-TbTradesBinance[[#This Row],[Qtt]]),IF(TbTradesBinance[[#This Row],[Tipo]]="BUY",AC96-TbTradesBinance[[#This Row],[Qtt]]*TbTradesBinance[[#This Row],[Preço]],AC96+TbTradesBinance[[#This Row],[Qtt]]*TbTradesBinance[[#This Row],[Preço]])),AC96)-IF(TbTradesBinance[[#This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Row],[Tipo]]="DROP"),AC96+TbTradesBinance[[#This Row],[Qtt]],AC96-TbTradesBinance[[#This Row],[Qtt]]),IF(TbTradesBinance[[#This Row],[Tipo]]="BUY",AC96-TbTradesBinance[[#This Row],[Qtt]]*TbTradesBinance[[#This Row],[Preço]],AC96+TbTradesBinance[[#This Row],[Qtt]]*TbTradesBinance[[#This Row],[Preço]])),AC96)-IF(TbTradesBinance[[#This Row],[Moeda da Taxa]]=MID(AC$1,9,5),TbTradesBinance[[#This Row],[Taxa]],0),8)))</f>
        <v>2.997E-2</v>
      </c>
      <c r="AD97" s="145" cm="1">
        <f t="array" ref="AD97">IF(TbTradesBinance[[#This Row],[Tipo]]="EMPTY",0,AD96+IF(TbTradesBinance[[#This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Row],[Par]]))),$1:$1,0)),-(AC96-AC97)/AC96*AD96),0),0)+IF(TbTradesBinance[[#This Row],[Tipo]]="SELL",IF(ISNUMBER(FIND(MID(AD$1,10,5),TbTradesBinance[[#This Row],[Par]])),IF(FIND(MID(AD$1,10,5),TbTradesBinance[[#This Row],[Par]])=1, -(AC96-AC97)/AC96*AD96,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Row],[Par]])),(-(AC96-AC97)/AC96*AD96)+IF(TbTradesBinance[[#This Row],[Resultado]]&gt;0,0,TbTradesBinance[[#This Row],[Taxa]]),0),0))</f>
        <v>60.199749701148171</v>
      </c>
      <c r="AE97" s="145">
        <f t="shared" si="25"/>
        <v>2008.6669903619677</v>
      </c>
      <c r="AF9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Row],[Tipo]]="DROP"),AF96+TbTradesBinance[[#This Row],[Qtt]],AF96-TbTradesBinance[[#This Row],[Qtt]]),IF(TbTradesBinance[[#This Row],[Tipo]]="BUY",AF96-TbTradesBinance[[#This Row],[Qtt]]*TbTradesBinance[[#This Row],[Preço]],AF96+TbTradesBinance[[#This Row],[Qtt]]*TbTradesBinance[[#This Row],[Preço]])),AF96)-IF(TbTradesBinance[[#This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Row],[Tipo]]="DROP"),AF96+TbTradesBinance[[#This Row],[Qtt]],AF96-TbTradesBinance[[#This Row],[Qtt]]),IF(TbTradesBinance[[#This Row],[Tipo]]="BUY",AF96-TbTradesBinance[[#This Row],[Qtt]]*TbTradesBinance[[#This Row],[Preço]],AF96+TbTradesBinance[[#This Row],[Qtt]]*TbTradesBinance[[#This Row],[Preço]])),AF96)-IF(TbTradesBinance[[#This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Row],[Tipo]]="DROP"),AF96+TbTradesBinance[[#This Row],[Qtt]],AF96-TbTradesBinance[[#This Row],[Qtt]]),IF(TbTradesBinance[[#This Row],[Tipo]]="BUY",AF96-TbTradesBinance[[#This Row],[Qtt]]*TbTradesBinance[[#This Row],[Preço]],AF96+TbTradesBinance[[#This Row],[Qtt]]*TbTradesBinance[[#This Row],[Preço]])),AF96)-IF(TbTradesBinance[[#This Row],[Moeda da Taxa]]=MID(AF$1,9,5),TbTradesBinance[[#This Row],[Taxa]],0),8)))</f>
        <v>19.98</v>
      </c>
      <c r="AG97" s="145" cm="1">
        <f t="array" ref="AG97">IF(TbTradesBinance[[#This Row],[Tipo]]="EMPTY",0,AG96+IF(TbTradesBinance[[#This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Row],[Par]]))),$1:$1,0)),-(AF96-AF97)/AF96*AG96),0),0)+IF(TbTradesBinance[[#This Row],[Tipo]]="SELL",IF(ISNUMBER(FIND(MID(AG$1,10,5),TbTradesBinance[[#This Row],[Par]])),IF(FIND(MID(AG$1,10,5),TbTradesBinance[[#This Row],[Par]])=1, -(AF96-AF97)/AF96*AG96,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Row],[Par]])),(-(AF96-AF97)/AF96*AG96)+IF(TbTradesBinance[[#This Row],[Resultado]]&gt;0,0,TbTradesBinance[[#This Row],[Taxa]]),0),0))</f>
        <v>124.04182758073662</v>
      </c>
      <c r="AH97" s="145">
        <f t="shared" si="26"/>
        <v>6.2082996787155462</v>
      </c>
      <c r="AI9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Row],[Tipo]]="DROP"),AI96+TbTradesBinance[[#This Row],[Qtt]],AI96-TbTradesBinance[[#This Row],[Qtt]]),IF(TbTradesBinance[[#This Row],[Tipo]]="BUY",AI96-TbTradesBinance[[#This Row],[Qtt]]*TbTradesBinance[[#This Row],[Preço]],AI96+TbTradesBinance[[#This Row],[Qtt]]*TbTradesBinance[[#This Row],[Preço]])),AI96)-IF(TbTradesBinance[[#This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Row],[Tipo]]="DROP"),AI96+TbTradesBinance[[#This Row],[Qtt]],AI96-TbTradesBinance[[#This Row],[Qtt]]),IF(TbTradesBinance[[#This Row],[Tipo]]="BUY",AI96-TbTradesBinance[[#This Row],[Qtt]]*TbTradesBinance[[#This Row],[Preço]],AI96+TbTradesBinance[[#This Row],[Qtt]]*TbTradesBinance[[#This Row],[Preço]])),AI96)-IF(TbTradesBinance[[#This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Row],[Tipo]]="DROP"),AI96+TbTradesBinance[[#This Row],[Qtt]],AI96-TbTradesBinance[[#This Row],[Qtt]]),IF(TbTradesBinance[[#This Row],[Tipo]]="BUY",AI96-TbTradesBinance[[#This Row],[Qtt]]*TbTradesBinance[[#This Row],[Preço]],AI96+TbTradesBinance[[#This Row],[Qtt]]*TbTradesBinance[[#This Row],[Preço]])),AI96)-IF(TbTradesBinance[[#This Row],[Moeda da Taxa]]=MID(AI$1,9,5),TbTradesBinance[[#This Row],[Taxa]],0),8)))</f>
        <v>0</v>
      </c>
      <c r="AJ97" s="145" cm="1">
        <f t="array" ref="AJ97">IF(TbTradesBinance[[#This Row],[Tipo]]="EMPTY",0,AJ96+IF(TbTradesBinance[[#This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Row],[Par]]))),$1:$1,0)),-(AI96-AI97)/AI96*AJ96),0),0)+IF(TbTradesBinance[[#This Row],[Tipo]]="SELL",IF(ISNUMBER(FIND(MID(AJ$1,10,5),TbTradesBinance[[#This Row],[Par]])),IF(FIND(MID(AJ$1,10,5),TbTradesBinance[[#This Row],[Par]])=1, -(AI96-AI97)/AI96*AJ96,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Row],[Par]])),(-(AI96-AI97)/AI96*AJ96)+IF(TbTradesBinance[[#This Row],[Resultado]]&gt;0,0,TbTradesBinance[[#This Row],[Taxa]]),0),0))</f>
        <v>0</v>
      </c>
      <c r="AK97" s="145">
        <f t="shared" si="27"/>
        <v>0</v>
      </c>
      <c r="AL9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Row],[Tipo]]="DROP"),AL96+TbTradesBinance[[#This Row],[Qtt]],AL96-TbTradesBinance[[#This Row],[Qtt]]),IF(TbTradesBinance[[#This Row],[Tipo]]="BUY",AL96-TbTradesBinance[[#This Row],[Qtt]]*TbTradesBinance[[#This Row],[Preço]],AL96+TbTradesBinance[[#This Row],[Qtt]]*TbTradesBinance[[#This Row],[Preço]])),AL96)-IF(TbTradesBinance[[#This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Row],[Tipo]]="DROP"),AL96+TbTradesBinance[[#This Row],[Qtt]],AL96-TbTradesBinance[[#This Row],[Qtt]]),IF(TbTradesBinance[[#This Row],[Tipo]]="BUY",AL96-TbTradesBinance[[#This Row],[Qtt]]*TbTradesBinance[[#This Row],[Preço]],AL96+TbTradesBinance[[#This Row],[Qtt]]*TbTradesBinance[[#This Row],[Preço]])),AL96)-IF(TbTradesBinance[[#This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Row],[Tipo]]="DROP"),AL96+TbTradesBinance[[#This Row],[Qtt]],AL96-TbTradesBinance[[#This Row],[Qtt]]),IF(TbTradesBinance[[#This Row],[Tipo]]="BUY",AL96-TbTradesBinance[[#This Row],[Qtt]]*TbTradesBinance[[#This Row],[Preço]],AL96+TbTradesBinance[[#This Row],[Qtt]]*TbTradesBinance[[#This Row],[Preço]])),AL96)-IF(TbTradesBinance[[#This Row],[Moeda da Taxa]]=MID(AL$1,9,5),TbTradesBinance[[#This Row],[Taxa]],0),8)))</f>
        <v>1.75824</v>
      </c>
      <c r="AM97" s="145" cm="1">
        <f t="array" ref="AM97">IF(TbTradesBinance[[#This Row],[Tipo]]="EMPTY",0,AM96+IF(TbTradesBinance[[#This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Row],[Par]]))),$1:$1,0)),-(AL96-AL97)/AL96*AM96),0),0)+IF(TbTradesBinance[[#This Row],[Tipo]]="SELL",IF(ISNUMBER(FIND(MID(AM$1,10,5),TbTradesBinance[[#This Row],[Par]])),IF(FIND(MID(AM$1,10,5),TbTradesBinance[[#This Row],[Par]])=1, -(AL96-AL97)/AL96*AM96,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Row],[Par]])),(-(AL96-AL97)/AL96*AM96)+IF(TbTradesBinance[[#This Row],[Resultado]]&gt;0,0,TbTradesBinance[[#This Row],[Taxa]]),0),0))</f>
        <v>144.56635471393039</v>
      </c>
      <c r="AN97" s="145">
        <f t="shared" si="28"/>
        <v>82.222196465744375</v>
      </c>
      <c r="AO9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Row],[Tipo]]="DROP"),AO96+TbTradesBinance[[#This Row],[Qtt]],AO96-TbTradesBinance[[#This Row],[Qtt]]),IF(TbTradesBinance[[#This Row],[Tipo]]="BUY",AO96-TbTradesBinance[[#This Row],[Qtt]]*TbTradesBinance[[#This Row],[Preço]],AO96+TbTradesBinance[[#This Row],[Qtt]]*TbTradesBinance[[#This Row],[Preço]])),AO96)-IF(TbTradesBinance[[#This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Row],[Tipo]]="DROP"),AO96+TbTradesBinance[[#This Row],[Qtt]],AO96-TbTradesBinance[[#This Row],[Qtt]]),IF(TbTradesBinance[[#This Row],[Tipo]]="BUY",AO96-TbTradesBinance[[#This Row],[Qtt]]*TbTradesBinance[[#This Row],[Preço]],AO96+TbTradesBinance[[#This Row],[Qtt]]*TbTradesBinance[[#This Row],[Preço]])),AO96)-IF(TbTradesBinance[[#This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Row],[Tipo]]="DROP"),AO96+TbTradesBinance[[#This Row],[Qtt]],AO96-TbTradesBinance[[#This Row],[Qtt]]),IF(TbTradesBinance[[#This Row],[Tipo]]="BUY",AO96-TbTradesBinance[[#This Row],[Qtt]]*TbTradesBinance[[#This Row],[Preço]],AO96+TbTradesBinance[[#This Row],[Qtt]]*TbTradesBinance[[#This Row],[Preço]])),AO96)-IF(TbTradesBinance[[#This Row],[Moeda da Taxa]]=MID(AO$1,9,5),TbTradesBinance[[#This Row],[Taxa]],0),8)))</f>
        <v>3.9907299999999996E-3</v>
      </c>
      <c r="AP97" s="145" cm="1">
        <f t="array" ref="AP97">IF(TbTradesBinance[[#This Row],[Tipo]]="EMPTY",0,AP96+IF(TbTradesBinance[[#This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Row],[Par]]))),$1:$1,0)),-(AO96-AO97)/AO96*AP96),0),0)+IF(TbTradesBinance[[#This Row],[Tipo]]="SELL",IF(ISNUMBER(FIND(MID(AP$1,10,5),TbTradesBinance[[#This Row],[Par]])),IF(FIND(MID(AP$1,10,5),TbTradesBinance[[#This Row],[Par]])=1, -(AO96-AO97)/AO96*AP96,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Row],[Par]])),(-(AO96-AO97)/AO96*AP96)+IF(TbTradesBinance[[#This Row],[Resultado]]&gt;0,0,TbTradesBinance[[#This Row],[Taxa]]),0),0))</f>
        <v>7.3360959318006032</v>
      </c>
      <c r="AQ97" s="145">
        <f t="shared" si="29"/>
        <v>1838.2842065989439</v>
      </c>
      <c r="AR9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Row],[Tipo]]="DROP"),AR96+TbTradesBinance[[#This Row],[Qtt]],AR96-TbTradesBinance[[#This Row],[Qtt]]),IF(TbTradesBinance[[#This Row],[Tipo]]="BUY",AR96-TbTradesBinance[[#This Row],[Qtt]]*TbTradesBinance[[#This Row],[Preço]],AR96+TbTradesBinance[[#This Row],[Qtt]]*TbTradesBinance[[#This Row],[Preço]])),AR96)-IF(TbTradesBinance[[#This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Row],[Tipo]]="DROP"),AR96+TbTradesBinance[[#This Row],[Qtt]],AR96-TbTradesBinance[[#This Row],[Qtt]]),IF(TbTradesBinance[[#This Row],[Tipo]]="BUY",AR96-TbTradesBinance[[#This Row],[Qtt]]*TbTradesBinance[[#This Row],[Preço]],AR96+TbTradesBinance[[#This Row],[Qtt]]*TbTradesBinance[[#This Row],[Preço]])),AR96)-IF(TbTradesBinance[[#This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Row],[Tipo]]="DROP"),AR96+TbTradesBinance[[#This Row],[Qtt]],AR96-TbTradesBinance[[#This Row],[Qtt]]),IF(TbTradesBinance[[#This Row],[Tipo]]="BUY",AR96-TbTradesBinance[[#This Row],[Qtt]]*TbTradesBinance[[#This Row],[Preço]],AR96+TbTradesBinance[[#This Row],[Qtt]]*TbTradesBinance[[#This Row],[Preço]])),AR96)-IF(TbTradesBinance[[#This Row],[Moeda da Taxa]]=MID(AR$1,9,5),TbTradesBinance[[#This Row],[Taxa]],0),8)))</f>
        <v>12.5</v>
      </c>
      <c r="AS97" s="145" cm="1">
        <f t="array" ref="AS97">IF(TbTradesBinance[[#This Row],[Tipo]]="EMPTY",0,AS96+IF(TbTradesBinance[[#This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Row],[Par]]))),$1:$1,0)),-(AR96-AR97)/AR96*AS96),0),0)+IF(TbTradesBinance[[#This Row],[Tipo]]="SELL",IF(ISNUMBER(FIND(MID(AS$1,10,5),TbTradesBinance[[#This Row],[Par]])),IF(FIND(MID(AS$1,10,5),TbTradesBinance[[#This Row],[Par]])=1, -(AR96-AR97)/AR96*AS96,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Row],[Par]])),(-(AR96-AR97)/AR96*AS96)+IF(TbTradesBinance[[#This Row],[Resultado]]&gt;0,0,TbTradesBinance[[#This Row],[Taxa]]),0),0))</f>
        <v>49.995041157672304</v>
      </c>
      <c r="AT97" s="145">
        <f t="shared" si="30"/>
        <v>3.9996032926137843</v>
      </c>
      <c r="AU9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Row],[Tipo]]="DROP"),AU96+TbTradesBinance[[#This Row],[Qtt]],AU96-TbTradesBinance[[#This Row],[Qtt]]),IF(TbTradesBinance[[#This Row],[Tipo]]="BUY",AU96-TbTradesBinance[[#This Row],[Qtt]]*TbTradesBinance[[#This Row],[Preço]],AU96+TbTradesBinance[[#This Row],[Qtt]]*TbTradesBinance[[#This Row],[Preço]])),AU96)-IF(TbTradesBinance[[#This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Row],[Tipo]]="DROP"),AU96+TbTradesBinance[[#This Row],[Qtt]],AU96-TbTradesBinance[[#This Row],[Qtt]]),IF(TbTradesBinance[[#This Row],[Tipo]]="BUY",AU96-TbTradesBinance[[#This Row],[Qtt]]*TbTradesBinance[[#This Row],[Preço]],AU96+TbTradesBinance[[#This Row],[Qtt]]*TbTradesBinance[[#This Row],[Preço]])),AU96)-IF(TbTradesBinance[[#This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Row],[Tipo]]="DROP"),AU96+TbTradesBinance[[#This Row],[Qtt]],AU96-TbTradesBinance[[#This Row],[Qtt]]),IF(TbTradesBinance[[#This Row],[Tipo]]="BUY",AU96-TbTradesBinance[[#This Row],[Qtt]]*TbTradesBinance[[#This Row],[Preço]],AU96+TbTradesBinance[[#This Row],[Qtt]]*TbTradesBinance[[#This Row],[Preço]])),AU96)-IF(TbTradesBinance[[#This Row],[Moeda da Taxa]]=MID(AU$1,9,5),TbTradesBinance[[#This Row],[Taxa]],0),8)))</f>
        <v>0</v>
      </c>
      <c r="AV97" s="145" cm="1">
        <f t="array" ref="AV97">IF(TbTradesBinance[[#This Row],[Tipo]]="EMPTY",0,AV96+IF(TbTradesBinance[[#This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Row],[Par]]))),$1:$1,0)),-(AU96-AU97)/AU96*AV96),0),0)+IF(TbTradesBinance[[#This Row],[Tipo]]="SELL",IF(ISNUMBER(FIND(MID(AV$1,10,5),TbTradesBinance[[#This Row],[Par]])),IF(FIND(MID(AV$1,10,5),TbTradesBinance[[#This Row],[Par]])=1, -(AU96-AU97)/AU96*AV96,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Row],[Par]])),(-(AU96-AU97)/AU96*AV96)+IF(TbTradesBinance[[#This Row],[Resultado]]&gt;0,0,TbTradesBinance[[#This Row],[Taxa]]),0),0))</f>
        <v>0</v>
      </c>
      <c r="AW97" s="145">
        <f t="shared" si="31"/>
        <v>0</v>
      </c>
      <c r="AX9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Row],[Tipo]]="DROP"),AX96+TbTradesBinance[[#This Row],[Qtt]],AX96-TbTradesBinance[[#This Row],[Qtt]]),IF(TbTradesBinance[[#This Row],[Tipo]]="BUY",AX96-TbTradesBinance[[#This Row],[Qtt]]*TbTradesBinance[[#This Row],[Preço]],AX96+TbTradesBinance[[#This Row],[Qtt]]*TbTradesBinance[[#This Row],[Preço]])),AX96)-IF(TbTradesBinance[[#This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Row],[Tipo]]="DROP"),AX96+TbTradesBinance[[#This Row],[Qtt]],AX96-TbTradesBinance[[#This Row],[Qtt]]),IF(TbTradesBinance[[#This Row],[Tipo]]="BUY",AX96-TbTradesBinance[[#This Row],[Qtt]]*TbTradesBinance[[#This Row],[Preço]],AX96+TbTradesBinance[[#This Row],[Qtt]]*TbTradesBinance[[#This Row],[Preço]])),AX96)-IF(TbTradesBinance[[#This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Row],[Tipo]]="DROP"),AX96+TbTradesBinance[[#This Row],[Qtt]],AX96-TbTradesBinance[[#This Row],[Qtt]]),IF(TbTradesBinance[[#This Row],[Tipo]]="BUY",AX96-TbTradesBinance[[#This Row],[Qtt]]*TbTradesBinance[[#This Row],[Preço]],AX96+TbTradesBinance[[#This Row],[Qtt]]*TbTradesBinance[[#This Row],[Preço]])),AX96)-IF(TbTradesBinance[[#This Row],[Moeda da Taxa]]=MID(AX$1,9,5),TbTradesBinance[[#This Row],[Taxa]],0),8)))</f>
        <v>0.22636999999999999</v>
      </c>
      <c r="AY97" s="145" cm="1">
        <f t="array" ref="AY97">IF(TbTradesBinance[[#This Row],[Tipo]]="EMPTY",0,AY96+IF(TbTradesBinance[[#This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Row],[Par]]))),$1:$1,0)),-(AX96-AX97)/AX96*AY96),0),0)+IF(TbTradesBinance[[#This Row],[Tipo]]="SELL",IF(ISNUMBER(FIND(MID(AY$1,10,5),TbTradesBinance[[#This Row],[Par]])),IF(FIND(MID(AY$1,10,5),TbTradesBinance[[#This Row],[Par]])=1, -(AX96-AX97)/AX96*AY96,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Row],[Par]])),(-(AX96-AX97)/AX96*AY96)+IF(TbTradesBinance[[#This Row],[Resultado]]&gt;0,0,TbTradesBinance[[#This Row],[Taxa]]),0),0))</f>
        <v>40.781337593356859</v>
      </c>
      <c r="AZ97" s="145">
        <f t="shared" si="32"/>
        <v>180.15345493376711</v>
      </c>
      <c r="BA9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Row],[Tipo]]="DROP"),BA96+TbTradesBinance[[#This Row],[Qtt]],BA96-TbTradesBinance[[#This Row],[Qtt]]),IF(TbTradesBinance[[#This Row],[Tipo]]="BUY",BA96-TbTradesBinance[[#This Row],[Qtt]]*TbTradesBinance[[#This Row],[Preço]],BA96+TbTradesBinance[[#This Row],[Qtt]]*TbTradesBinance[[#This Row],[Preço]])),BA96)-IF(TbTradesBinance[[#This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Row],[Tipo]]="DROP"),BA96+TbTradesBinance[[#This Row],[Qtt]],BA96-TbTradesBinance[[#This Row],[Qtt]]),IF(TbTradesBinance[[#This Row],[Tipo]]="BUY",BA96-TbTradesBinance[[#This Row],[Qtt]]*TbTradesBinance[[#This Row],[Preço]],BA96+TbTradesBinance[[#This Row],[Qtt]]*TbTradesBinance[[#This Row],[Preço]])),BA96)-IF(TbTradesBinance[[#This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Row],[Tipo]]="DROP"),BA96+TbTradesBinance[[#This Row],[Qtt]],BA96-TbTradesBinance[[#This Row],[Qtt]]),IF(TbTradesBinance[[#This Row],[Tipo]]="BUY",BA96-TbTradesBinance[[#This Row],[Qtt]]*TbTradesBinance[[#This Row],[Preço]],BA96+TbTradesBinance[[#This Row],[Qtt]]*TbTradesBinance[[#This Row],[Preço]])),BA96)-IF(TbTradesBinance[[#This Row],[Moeda da Taxa]]=MID(BA$1,9,5),TbTradesBinance[[#This Row],[Taxa]],0),8)))</f>
        <v>0</v>
      </c>
      <c r="BB97" s="145" cm="1">
        <f t="array" ref="BB97">IF(TbTradesBinance[[#This Row],[Tipo]]="EMPTY",0,BB96+IF(TbTradesBinance[[#This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Row],[Par]]))),$1:$1,0)),-(BA96-BA97)/BA96*BB96),0),0)+IF(TbTradesBinance[[#This Row],[Tipo]]="SELL",IF(ISNUMBER(FIND(MID(BB$1,10,5),TbTradesBinance[[#This Row],[Par]])),IF(FIND(MID(BB$1,10,5),TbTradesBinance[[#This Row],[Par]])=1, -(BA96-BA97)/BA96*BB96,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Row],[Par]])),(-(BA96-BA97)/BA96*BB96)+IF(TbTradesBinance[[#This Row],[Resultado]]&gt;0,0,TbTradesBinance[[#This Row],[Taxa]]),0),0))</f>
        <v>0</v>
      </c>
      <c r="BC97" s="145">
        <f t="shared" si="33"/>
        <v>0</v>
      </c>
      <c r="BD9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Row],[Tipo]]="DROP"),BD96+TbTradesBinance[[#This Row],[Qtt]],BD96-TbTradesBinance[[#This Row],[Qtt]]),IF(TbTradesBinance[[#This Row],[Tipo]]="BUY",BD96-TbTradesBinance[[#This Row],[Qtt]]*TbTradesBinance[[#This Row],[Preço]],BD96+TbTradesBinance[[#This Row],[Qtt]]*TbTradesBinance[[#This Row],[Preço]])),BD96)-IF(TbTradesBinance[[#This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Row],[Tipo]]="DROP"),BD96+TbTradesBinance[[#This Row],[Qtt]],BD96-TbTradesBinance[[#This Row],[Qtt]]),IF(TbTradesBinance[[#This Row],[Tipo]]="BUY",BD96-TbTradesBinance[[#This Row],[Qtt]]*TbTradesBinance[[#This Row],[Preço]],BD96+TbTradesBinance[[#This Row],[Qtt]]*TbTradesBinance[[#This Row],[Preço]])),BD96)-IF(TbTradesBinance[[#This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Row],[Tipo]]="DROP"),BD96+TbTradesBinance[[#This Row],[Qtt]],BD96-TbTradesBinance[[#This Row],[Qtt]]),IF(TbTradesBinance[[#This Row],[Tipo]]="BUY",BD96-TbTradesBinance[[#This Row],[Qtt]]*TbTradesBinance[[#This Row],[Preço]],BD96+TbTradesBinance[[#This Row],[Qtt]]*TbTradesBinance[[#This Row],[Preço]])),BD96)-IF(TbTradesBinance[[#This Row],[Moeda da Taxa]]=MID(BD$1,9,5),TbTradesBinance[[#This Row],[Taxa]],0),8)))</f>
        <v>0.56906000000000001</v>
      </c>
      <c r="BE97" s="145" cm="1">
        <f t="array" ref="BE97">IF(TbTradesBinance[[#This Row],[Tipo]]="EMPTY",0,BE96+IF(TbTradesBinance[[#This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Row],[Par]]))),$1:$1,0)),-(BD96-BD97)/BD96*BE96),0),0)+IF(TbTradesBinance[[#This Row],[Tipo]]="SELL",IF(ISNUMBER(FIND(MID(BE$1,10,5),TbTradesBinance[[#This Row],[Par]])),IF(FIND(MID(BE$1,10,5),TbTradesBinance[[#This Row],[Par]])=1, -(BD96-BD97)/BD96*BE96,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Row],[Par]])),(-(BD96-BD97)/BD96*BE96)+IF(TbTradesBinance[[#This Row],[Resultado]]&gt;0,0,TbTradesBinance[[#This Row],[Taxa]]),0),0))</f>
        <v>105.81619120195663</v>
      </c>
      <c r="BF97" s="145">
        <f t="shared" si="34"/>
        <v>185.94909359638109</v>
      </c>
      <c r="BG9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Row],[Tipo]]="DROP"),BG96+TbTradesBinance[[#This Row],[Qtt]],BG96-TbTradesBinance[[#This Row],[Qtt]]),IF(TbTradesBinance[[#This Row],[Tipo]]="BUY",BG96-TbTradesBinance[[#This Row],[Qtt]]*TbTradesBinance[[#This Row],[Preço]],BG96+TbTradesBinance[[#This Row],[Qtt]]*TbTradesBinance[[#This Row],[Preço]])),BG96)-IF(TbTradesBinance[[#This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Row],[Tipo]]="DROP"),BG96+TbTradesBinance[[#This Row],[Qtt]],BG96-TbTradesBinance[[#This Row],[Qtt]]),IF(TbTradesBinance[[#This Row],[Tipo]]="BUY",BG96-TbTradesBinance[[#This Row],[Qtt]]*TbTradesBinance[[#This Row],[Preço]],BG96+TbTradesBinance[[#This Row],[Qtt]]*TbTradesBinance[[#This Row],[Preço]])),BG96)-IF(TbTradesBinance[[#This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Row],[Tipo]]="DROP"),BG96+TbTradesBinance[[#This Row],[Qtt]],BG96-TbTradesBinance[[#This Row],[Qtt]]),IF(TbTradesBinance[[#This Row],[Tipo]]="BUY",BG96-TbTradesBinance[[#This Row],[Qtt]]*TbTradesBinance[[#This Row],[Preço]],BG96+TbTradesBinance[[#This Row],[Qtt]]*TbTradesBinance[[#This Row],[Preço]])),BG96)-IF(TbTradesBinance[[#This Row],[Moeda da Taxa]]=MID(BG$1,9,5),TbTradesBinance[[#This Row],[Taxa]],0),8)))</f>
        <v>0</v>
      </c>
      <c r="BH97" s="145" cm="1">
        <f t="array" ref="BH97">IF(TbTradesBinance[[#This Row],[Tipo]]="EMPTY",0,BH96+IF(TbTradesBinance[[#This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Row],[Par]]))),$1:$1,0)),-(BG96-BG97)/BG96*BH96),0),0)+IF(TbTradesBinance[[#This Row],[Tipo]]="SELL",IF(ISNUMBER(FIND(MID(BH$1,10,5),TbTradesBinance[[#This Row],[Par]])),IF(FIND(MID(BH$1,10,5),TbTradesBinance[[#This Row],[Par]])=1, -(BG96-BG97)/BG96*BH96,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Row],[Par]])),(-(BG96-BG97)/BG96*BH96)+IF(TbTradesBinance[[#This Row],[Resultado]]&gt;0,0,TbTradesBinance[[#This Row],[Taxa]]),0),0))</f>
        <v>0</v>
      </c>
      <c r="BI97" s="145">
        <f t="shared" si="35"/>
        <v>0</v>
      </c>
      <c r="BJ9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Row],[Tipo]]="DROP"),BJ96+TbTradesBinance[[#This Row],[Qtt]],BJ96-TbTradesBinance[[#This Row],[Qtt]]),IF(TbTradesBinance[[#This Row],[Tipo]]="BUY",BJ96-TbTradesBinance[[#This Row],[Qtt]]*TbTradesBinance[[#This Row],[Preço]],BJ96+TbTradesBinance[[#This Row],[Qtt]]*TbTradesBinance[[#This Row],[Preço]])),BJ96)-IF(TbTradesBinance[[#This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Row],[Tipo]]="DROP"),BJ96+TbTradesBinance[[#This Row],[Qtt]],BJ96-TbTradesBinance[[#This Row],[Qtt]]),IF(TbTradesBinance[[#This Row],[Tipo]]="BUY",BJ96-TbTradesBinance[[#This Row],[Qtt]]*TbTradesBinance[[#This Row],[Preço]],BJ96+TbTradesBinance[[#This Row],[Qtt]]*TbTradesBinance[[#This Row],[Preço]])),BJ96)-IF(TbTradesBinance[[#This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Row],[Tipo]]="DROP"),BJ96+TbTradesBinance[[#This Row],[Qtt]],BJ96-TbTradesBinance[[#This Row],[Qtt]]),IF(TbTradesBinance[[#This Row],[Tipo]]="BUY",BJ96-TbTradesBinance[[#This Row],[Qtt]]*TbTradesBinance[[#This Row],[Preço]],BJ96+TbTradesBinance[[#This Row],[Qtt]]*TbTradesBinance[[#This Row],[Preço]])),BJ96)-IF(TbTradesBinance[[#This Row],[Moeda da Taxa]]=MID(BJ$1,9,5),TbTradesBinance[[#This Row],[Taxa]],0),8)))</f>
        <v>0</v>
      </c>
      <c r="BK97" s="145" cm="1">
        <f t="array" ref="BK97">IF(TbTradesBinance[[#This Row],[Tipo]]="EMPTY",0,BK96+IF(TbTradesBinance[[#This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Row],[Par]]))),$1:$1,0)),-(BJ96-BJ97)/BJ96*BK96),0),0)+IF(TbTradesBinance[[#This Row],[Tipo]]="SELL",IF(ISNUMBER(FIND(MID(BK$1,10,5),TbTradesBinance[[#This Row],[Par]])),IF(FIND(MID(BK$1,10,5),TbTradesBinance[[#This Row],[Par]])=1, -(BJ96-BJ97)/BJ96*BK96,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Row],[Par]])),(-(BJ96-BJ97)/BJ96*BK96)+IF(TbTradesBinance[[#This Row],[Resultado]]&gt;0,0,TbTradesBinance[[#This Row],[Taxa]]),0),0))</f>
        <v>0</v>
      </c>
      <c r="BL97" s="145">
        <f t="shared" si="36"/>
        <v>0</v>
      </c>
      <c r="BM9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Row],[Tipo]]="DROP"),BM96+TbTradesBinance[[#This Row],[Qtt]],BM96-TbTradesBinance[[#This Row],[Qtt]]),IF(TbTradesBinance[[#This Row],[Tipo]]="BUY",BM96-TbTradesBinance[[#This Row],[Qtt]]*TbTradesBinance[[#This Row],[Preço]],BM96+TbTradesBinance[[#This Row],[Qtt]]*TbTradesBinance[[#This Row],[Preço]])),BM96)-IF(TbTradesBinance[[#This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Row],[Tipo]]="DROP"),BM96+TbTradesBinance[[#This Row],[Qtt]],BM96-TbTradesBinance[[#This Row],[Qtt]]),IF(TbTradesBinance[[#This Row],[Tipo]]="BUY",BM96-TbTradesBinance[[#This Row],[Qtt]]*TbTradesBinance[[#This Row],[Preço]],BM96+TbTradesBinance[[#This Row],[Qtt]]*TbTradesBinance[[#This Row],[Preço]])),BM96)-IF(TbTradesBinance[[#This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Row],[Tipo]]="DROP"),BM96+TbTradesBinance[[#This Row],[Qtt]],BM96-TbTradesBinance[[#This Row],[Qtt]]),IF(TbTradesBinance[[#This Row],[Tipo]]="BUY",BM96-TbTradesBinance[[#This Row],[Qtt]]*TbTradesBinance[[#This Row],[Preço]],BM96+TbTradesBinance[[#This Row],[Qtt]]*TbTradesBinance[[#This Row],[Preço]])),BM96)-IF(TbTradesBinance[[#This Row],[Moeda da Taxa]]=MID(BM$1,9,5),TbTradesBinance[[#This Row],[Taxa]],0),8)))</f>
        <v>0</v>
      </c>
      <c r="BN97" s="145" cm="1">
        <f t="array" ref="BN97">IF(TbTradesBinance[[#This Row],[Tipo]]="EMPTY",0,BN96+IF(TbTradesBinance[[#This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Row],[Par]]))),$1:$1,0)),-(BM96-BM97)/BM96*BN96),0),0)+IF(TbTradesBinance[[#This Row],[Tipo]]="SELL",IF(ISNUMBER(FIND(MID(BN$1,10,5),TbTradesBinance[[#This Row],[Par]])),IF(FIND(MID(BN$1,10,5),TbTradesBinance[[#This Row],[Par]])=1, -(BM96-BM97)/BM96*BN96,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Row],[Par]])),(-(BM96-BM97)/BM96*BN96)+IF(TbTradesBinance[[#This Row],[Resultado]]&gt;0,0,TbTradesBinance[[#This Row],[Taxa]]),0),0))</f>
        <v>0</v>
      </c>
      <c r="BO97" s="145">
        <f t="shared" si="37"/>
        <v>0</v>
      </c>
    </row>
    <row r="98" spans="2:67" x14ac:dyDescent="0.3">
      <c r="B98" s="51"/>
      <c r="C98" s="40">
        <f>TRUNC(IF(AND(TbTradesBinance[[#This Row],[Tipo]]="SEND",TbTradesBinance[[#This Row],[Par]]="BRL"),TbTradesBinance[[#This Row],[Qtt]]*(1-P96)-IF(TbTradesBinance[[#This Row],[Moeda da Taxa]]="BRL",TbTradesBinance[[#This Row],[Taxa]],0),0)+IF(AND(TbTradesBinance[[#This Row],[Tipo]]="BURN",TbTradesBinance[[#This Row],[Par]]="BRL"),-TbTradesBinance[[#This Row],[Qtt]]*P96,0),2)</f>
        <v>0</v>
      </c>
      <c r="D98" s="53">
        <v>44268.674201388887</v>
      </c>
      <c r="E98" s="37" t="s">
        <v>138</v>
      </c>
      <c r="F98" s="47" t="s">
        <v>139</v>
      </c>
      <c r="G98" s="38">
        <v>338597</v>
      </c>
      <c r="H98" s="38">
        <v>8.8500000000000004E-4</v>
      </c>
      <c r="I98" s="38">
        <v>0</v>
      </c>
      <c r="J98" s="37" t="s">
        <v>45</v>
      </c>
      <c r="K98" s="52">
        <v>1</v>
      </c>
      <c r="L98" s="40">
        <f t="shared" si="19"/>
        <v>338597</v>
      </c>
      <c r="M98" s="40">
        <f>IF(OR(TbTradesBinance[[#This Row],[Tipo]]="BUY",TbTradesBinance[[#This Row],[Tipo]]="RECEIVE",TbTradesBinance[[#This Row],[Tipo]]="DROP"),L98*H98,-L98*H98)</f>
        <v>299.658345</v>
      </c>
      <c r="N9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Row],[Tipo]]="DROP"),N97+TbTradesBinance[[#This Row],[Qtt]],N97-TbTradesBinance[[#This Row],[Qtt]]),IF(TbTradesBinance[[#This Row],[Tipo]]="BUY",N97-TbTradesBinance[[#This Row],[Qtt]]*TbTradesBinance[[#This Row],[Preço]],N97+TbTradesBinance[[#This Row],[Qtt]]*TbTradesBinance[[#This Row],[Preço]])),N97)-IF(TbTradesBinance[[#This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Row],[Tipo]]="DROP"),N97+TbTradesBinance[[#This Row],[Qtt]],N97-TbTradesBinance[[#This Row],[Qtt]]),IF(TbTradesBinance[[#This Row],[Tipo]]="BUY",N97-TbTradesBinance[[#This Row],[Qtt]]*TbTradesBinance[[#This Row],[Preço]],N97+TbTradesBinance[[#This Row],[Qtt]]*TbTradesBinance[[#This Row],[Preço]])),N97)-IF(TbTradesBinance[[#This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Row],[Tipo]]="DROP"),N97+TbTradesBinance[[#This Row],[Qtt]],N97-TbTradesBinance[[#This Row],[Qtt]]),IF(TbTradesBinance[[#This Row],[Tipo]]="BUY",N97-TbTradesBinance[[#This Row],[Qtt]]*TbTradesBinance[[#This Row],[Preço]],N97+TbTradesBinance[[#This Row],[Qtt]]*TbTradesBinance[[#This Row],[Preço]])),N97)-IF(TbTradesBinance[[#This Row],[Moeda da Taxa]]=MID(N$1,9,5),TbTradesBinance[[#This Row],[Taxa]],0),8)))</f>
        <v>119745.70050707999</v>
      </c>
      <c r="O98" s="145" cm="1">
        <f t="array" ref="O98">IF(TbTradesBinance[[#This Row],[Tipo]]="EMPTY",0,O97+IF(TbTradesBinance[[#This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Row],[Par]]))),$1:$1,0)),-(N97-N98)/N97*O97),0),0)+IF(TbTradesBinance[[#This Row],[Tipo]]="SELL",IF(ISNUMBER(FIND(MID(O$1,10,5),TbTradesBinance[[#This Row],[Par]])),IF(FIND(MID(O$1,10,5),TbTradesBinance[[#This Row],[Par]])=1, -(N97-N98)/N97*O97,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Row],[Par]])),(-(N97-N98)/N97*O97)+IF(TbTradesBinance[[#This Row],[Resultado]]&gt;0,0,TbTradesBinance[[#This Row],[Taxa]]),0),0))</f>
        <v>119733.82450611531</v>
      </c>
      <c r="P98" s="145">
        <f t="shared" si="20"/>
        <v>0.99990082315344608</v>
      </c>
      <c r="Q9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Row],[Tipo]]="DROP"),Q97+TbTradesBinance[[#This Row],[Qtt]],Q97-TbTradesBinance[[#This Row],[Qtt]]),IF(TbTradesBinance[[#This Row],[Tipo]]="BUY",Q97-TbTradesBinance[[#This Row],[Qtt]]*TbTradesBinance[[#This Row],[Preço]],Q97+TbTradesBinance[[#This Row],[Qtt]]*TbTradesBinance[[#This Row],[Preço]])),Q97)-IF(TbTradesBinance[[#This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Row],[Tipo]]="DROP"),Q97+TbTradesBinance[[#This Row],[Qtt]],Q97-TbTradesBinance[[#This Row],[Qtt]]),IF(TbTradesBinance[[#This Row],[Tipo]]="BUY",Q97-TbTradesBinance[[#This Row],[Qtt]]*TbTradesBinance[[#This Row],[Preço]],Q97+TbTradesBinance[[#This Row],[Qtt]]*TbTradesBinance[[#This Row],[Preço]])),Q97)-IF(TbTradesBinance[[#This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Row],[Tipo]]="DROP"),Q97+TbTradesBinance[[#This Row],[Qtt]],Q97-TbTradesBinance[[#This Row],[Qtt]]),IF(TbTradesBinance[[#This Row],[Tipo]]="BUY",Q97-TbTradesBinance[[#This Row],[Qtt]]*TbTradesBinance[[#This Row],[Preço]],Q97+TbTradesBinance[[#This Row],[Qtt]]*TbTradesBinance[[#This Row],[Preço]])),Q97)-IF(TbTradesBinance[[#This Row],[Moeda da Taxa]]=MID(Q$1,9,5),TbTradesBinance[[#This Row],[Taxa]],0),8)))</f>
        <v>72.863381610000005</v>
      </c>
      <c r="R98" s="145" cm="1">
        <f t="array" ref="R98">IF(TbTradesBinance[[#This Row],[Tipo]]="EMPTY",0,R97+IF(TbTradesBinance[[#This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Row],[Par]]))),$1:$1,0)),-(Q97-Q98)/Q97*R97),0),0)+IF(TbTradesBinance[[#This Row],[Tipo]]="SELL",IF(ISNUMBER(FIND(MID(R$1,10,5),TbTradesBinance[[#This Row],[Par]])),IF(FIND(MID(R$1,10,5),TbTradesBinance[[#This Row],[Par]])=1, -(Q97-Q98)/Q97*R97,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Row],[Par]])),(-(Q97-Q98)/Q97*R97)+IF(TbTradesBinance[[#This Row],[Resultado]]&gt;0,0,TbTradesBinance[[#This Row],[Taxa]]),0),0))</f>
        <v>407.12022803878085</v>
      </c>
      <c r="S98" s="145">
        <f t="shared" si="21"/>
        <v>5.58744624587814</v>
      </c>
      <c r="T9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Row],[Tipo]]="DROP"),T97+TbTradesBinance[[#This Row],[Qtt]],T97-TbTradesBinance[[#This Row],[Qtt]]),IF(TbTradesBinance[[#This Row],[Tipo]]="BUY",T97-TbTradesBinance[[#This Row],[Qtt]]*TbTradesBinance[[#This Row],[Preço]],T97+TbTradesBinance[[#This Row],[Qtt]]*TbTradesBinance[[#This Row],[Preço]])),T97)-IF(TbTradesBinance[[#This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Row],[Tipo]]="DROP"),T97+TbTradesBinance[[#This Row],[Qtt]],T97-TbTradesBinance[[#This Row],[Qtt]]),IF(TbTradesBinance[[#This Row],[Tipo]]="BUY",T97-TbTradesBinance[[#This Row],[Qtt]]*TbTradesBinance[[#This Row],[Preço]],T97+TbTradesBinance[[#This Row],[Qtt]]*TbTradesBinance[[#This Row],[Preço]])),T97)-IF(TbTradesBinance[[#This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Row],[Tipo]]="DROP"),T97+TbTradesBinance[[#This Row],[Qtt]],T97-TbTradesBinance[[#This Row],[Qtt]]),IF(TbTradesBinance[[#This Row],[Tipo]]="BUY",T97-TbTradesBinance[[#This Row],[Qtt]]*TbTradesBinance[[#This Row],[Preço]],T97+TbTradesBinance[[#This Row],[Qtt]]*TbTradesBinance[[#This Row],[Preço]])),T97)-IF(TbTradesBinance[[#This Row],[Moeda da Taxa]]=MID(T$1,9,5),TbTradesBinance[[#This Row],[Taxa]],0),8)))</f>
        <v>199735.32000169999</v>
      </c>
      <c r="U98" s="145" cm="1">
        <f t="array" ref="U98">IF(TbTradesBinance[[#This Row],[Tipo]]="EMPTY",0,U97+IF(TbTradesBinance[[#This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Row],[Par]]))),$1:$1,0)),-(T97-T98)/T97*U97),0),0)+IF(TbTradesBinance[[#This Row],[Tipo]]="SELL",IF(ISNUMBER(FIND(MID(U$1,10,5),TbTradesBinance[[#This Row],[Par]])),IF(FIND(MID(U$1,10,5),TbTradesBinance[[#This Row],[Par]])=1, -(T97-T98)/T97*U97,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Row],[Par]])),(-(T97-T98)/T97*U97)+IF(TbTradesBinance[[#This Row],[Resultado]]&gt;0,0,TbTradesBinance[[#This Row],[Taxa]]),0),0))</f>
        <v>1328239.8809817513</v>
      </c>
      <c r="V98" s="145">
        <f t="shared" si="22"/>
        <v>6.6500000148719129</v>
      </c>
      <c r="W9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Row],[Tipo]]="DROP"),W97+TbTradesBinance[[#This Row],[Qtt]],W97-TbTradesBinance[[#This Row],[Qtt]]),IF(TbTradesBinance[[#This Row],[Tipo]]="BUY",W97-TbTradesBinance[[#This Row],[Qtt]]*TbTradesBinance[[#This Row],[Preço]],W97+TbTradesBinance[[#This Row],[Qtt]]*TbTradesBinance[[#This Row],[Preço]])),W97)-IF(TbTradesBinance[[#This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Row],[Tipo]]="DROP"),W97+TbTradesBinance[[#This Row],[Qtt]],W97-TbTradesBinance[[#This Row],[Qtt]]),IF(TbTradesBinance[[#This Row],[Tipo]]="BUY",W97-TbTradesBinance[[#This Row],[Qtt]]*TbTradesBinance[[#This Row],[Preço]],W97+TbTradesBinance[[#This Row],[Qtt]]*TbTradesBinance[[#This Row],[Preço]])),W97)-IF(TbTradesBinance[[#This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Row],[Tipo]]="DROP"),W97+TbTradesBinance[[#This Row],[Qtt]],W97-TbTradesBinance[[#This Row],[Qtt]]),IF(TbTradesBinance[[#This Row],[Tipo]]="BUY",W97-TbTradesBinance[[#This Row],[Qtt]]*TbTradesBinance[[#This Row],[Preço]],W97+TbTradesBinance[[#This Row],[Qtt]]*TbTradesBinance[[#This Row],[Preço]])),W97)-IF(TbTradesBinance[[#This Row],[Moeda da Taxa]]=MID(W$1,9,5),TbTradesBinance[[#This Row],[Taxa]],0),8)))</f>
        <v>2.4807000000000002E-3</v>
      </c>
      <c r="X98" s="145" cm="1">
        <f t="array" ref="X98">IF(TbTradesBinance[[#This Row],[Tipo]]="EMPTY",0,X97+IF(TbTradesBinance[[#This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Row],[Par]]))),$1:$1,0)),-(W97-W98)/W97*X97),0),0)+IF(TbTradesBinance[[#This Row],[Tipo]]="SELL",IF(ISNUMBER(FIND(MID(X$1,10,5),TbTradesBinance[[#This Row],[Par]])),IF(FIND(MID(X$1,10,5),TbTradesBinance[[#This Row],[Par]])=1, -(W97-W98)/W97*X97,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Row],[Par]])),(-(W97-W98)/W97*X97)+IF(TbTradesBinance[[#This Row],[Resultado]]&gt;0,0,TbTradesBinance[[#This Row],[Taxa]]),0),0))</f>
        <v>833.51530608966118</v>
      </c>
      <c r="Y98" s="145">
        <f t="shared" si="23"/>
        <v>336000.04276601813</v>
      </c>
      <c r="Z9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Row],[Tipo]]="DROP"),Z97+TbTradesBinance[[#This Row],[Qtt]],Z97-TbTradesBinance[[#This Row],[Qtt]]),IF(TbTradesBinance[[#This Row],[Tipo]]="BUY",Z97-TbTradesBinance[[#This Row],[Qtt]]*TbTradesBinance[[#This Row],[Preço]],Z97+TbTradesBinance[[#This Row],[Qtt]]*TbTradesBinance[[#This Row],[Preço]])),Z97)-IF(TbTradesBinance[[#This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Row],[Tipo]]="DROP"),Z97+TbTradesBinance[[#This Row],[Qtt]],Z97-TbTradesBinance[[#This Row],[Qtt]]),IF(TbTradesBinance[[#This Row],[Tipo]]="BUY",Z97-TbTradesBinance[[#This Row],[Qtt]]*TbTradesBinance[[#This Row],[Preço]],Z97+TbTradesBinance[[#This Row],[Qtt]]*TbTradesBinance[[#This Row],[Preço]])),Z97)-IF(TbTradesBinance[[#This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Row],[Tipo]]="DROP"),Z97+TbTradesBinance[[#This Row],[Qtt]],Z97-TbTradesBinance[[#This Row],[Qtt]]),IF(TbTradesBinance[[#This Row],[Tipo]]="BUY",Z97-TbTradesBinance[[#This Row],[Qtt]]*TbTradesBinance[[#This Row],[Preço]],Z97+TbTradesBinance[[#This Row],[Qtt]]*TbTradesBinance[[#This Row],[Preço]])),Z97)-IF(TbTradesBinance[[#This Row],[Moeda da Taxa]]=MID(Z$1,9,5),TbTradesBinance[[#This Row],[Taxa]],0),8)))</f>
        <v>0</v>
      </c>
      <c r="AA98" s="145" cm="1">
        <f t="array" ref="AA98">IF(TbTradesBinance[[#This Row],[Tipo]]="EMPTY",0,AA97+IF(TbTradesBinance[[#This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Row],[Par]]))),$1:$1,0)),-(Z97-Z98)/Z97*AA97),0),0)+IF(TbTradesBinance[[#This Row],[Tipo]]="SELL",IF(ISNUMBER(FIND(MID(AA$1,10,5),TbTradesBinance[[#This Row],[Par]])),IF(FIND(MID(AA$1,10,5),TbTradesBinance[[#This Row],[Par]])=1, -(Z97-Z98)/Z97*AA97,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Row],[Par]])),(-(Z97-Z98)/Z97*AA97)+IF(TbTradesBinance[[#This Row],[Resultado]]&gt;0,0,TbTradesBinance[[#This Row],[Taxa]]),0),0))</f>
        <v>0</v>
      </c>
      <c r="AB98" s="145">
        <f t="shared" si="24"/>
        <v>0</v>
      </c>
      <c r="AC9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Row],[Tipo]]="DROP"),AC97+TbTradesBinance[[#This Row],[Qtt]],AC97-TbTradesBinance[[#This Row],[Qtt]]),IF(TbTradesBinance[[#This Row],[Tipo]]="BUY",AC97-TbTradesBinance[[#This Row],[Qtt]]*TbTradesBinance[[#This Row],[Preço]],AC97+TbTradesBinance[[#This Row],[Qtt]]*TbTradesBinance[[#This Row],[Preço]])),AC97)-IF(TbTradesBinance[[#This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Row],[Tipo]]="DROP"),AC97+TbTradesBinance[[#This Row],[Qtt]],AC97-TbTradesBinance[[#This Row],[Qtt]]),IF(TbTradesBinance[[#This Row],[Tipo]]="BUY",AC97-TbTradesBinance[[#This Row],[Qtt]]*TbTradesBinance[[#This Row],[Preço]],AC97+TbTradesBinance[[#This Row],[Qtt]]*TbTradesBinance[[#This Row],[Preço]])),AC97)-IF(TbTradesBinance[[#This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Row],[Tipo]]="DROP"),AC97+TbTradesBinance[[#This Row],[Qtt]],AC97-TbTradesBinance[[#This Row],[Qtt]]),IF(TbTradesBinance[[#This Row],[Tipo]]="BUY",AC97-TbTradesBinance[[#This Row],[Qtt]]*TbTradesBinance[[#This Row],[Preço]],AC97+TbTradesBinance[[#This Row],[Qtt]]*TbTradesBinance[[#This Row],[Preço]])),AC97)-IF(TbTradesBinance[[#This Row],[Moeda da Taxa]]=MID(AC$1,9,5),TbTradesBinance[[#This Row],[Taxa]],0),8)))</f>
        <v>2.997E-2</v>
      </c>
      <c r="AD98" s="145" cm="1">
        <f t="array" ref="AD98">IF(TbTradesBinance[[#This Row],[Tipo]]="EMPTY",0,AD97+IF(TbTradesBinance[[#This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Row],[Par]]))),$1:$1,0)),-(AC97-AC98)/AC97*AD97),0),0)+IF(TbTradesBinance[[#This Row],[Tipo]]="SELL",IF(ISNUMBER(FIND(MID(AD$1,10,5),TbTradesBinance[[#This Row],[Par]])),IF(FIND(MID(AD$1,10,5),TbTradesBinance[[#This Row],[Par]])=1, -(AC97-AC98)/AC97*AD97,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Row],[Par]])),(-(AC97-AC98)/AC97*AD97)+IF(TbTradesBinance[[#This Row],[Resultado]]&gt;0,0,TbTradesBinance[[#This Row],[Taxa]]),0),0))</f>
        <v>60.199749701148171</v>
      </c>
      <c r="AE98" s="145">
        <f t="shared" si="25"/>
        <v>2008.6669903619677</v>
      </c>
      <c r="AF9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Row],[Tipo]]="DROP"),AF97+TbTradesBinance[[#This Row],[Qtt]],AF97-TbTradesBinance[[#This Row],[Qtt]]),IF(TbTradesBinance[[#This Row],[Tipo]]="BUY",AF97-TbTradesBinance[[#This Row],[Qtt]]*TbTradesBinance[[#This Row],[Preço]],AF97+TbTradesBinance[[#This Row],[Qtt]]*TbTradesBinance[[#This Row],[Preço]])),AF97)-IF(TbTradesBinance[[#This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Row],[Tipo]]="DROP"),AF97+TbTradesBinance[[#This Row],[Qtt]],AF97-TbTradesBinance[[#This Row],[Qtt]]),IF(TbTradesBinance[[#This Row],[Tipo]]="BUY",AF97-TbTradesBinance[[#This Row],[Qtt]]*TbTradesBinance[[#This Row],[Preço]],AF97+TbTradesBinance[[#This Row],[Qtt]]*TbTradesBinance[[#This Row],[Preço]])),AF97)-IF(TbTradesBinance[[#This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Row],[Tipo]]="DROP"),AF97+TbTradesBinance[[#This Row],[Qtt]],AF97-TbTradesBinance[[#This Row],[Qtt]]),IF(TbTradesBinance[[#This Row],[Tipo]]="BUY",AF97-TbTradesBinance[[#This Row],[Qtt]]*TbTradesBinance[[#This Row],[Preço]],AF97+TbTradesBinance[[#This Row],[Qtt]]*TbTradesBinance[[#This Row],[Preço]])),AF97)-IF(TbTradesBinance[[#This Row],[Moeda da Taxa]]=MID(AF$1,9,5),TbTradesBinance[[#This Row],[Taxa]],0),8)))</f>
        <v>19.98</v>
      </c>
      <c r="AG98" s="145" cm="1">
        <f t="array" ref="AG98">IF(TbTradesBinance[[#This Row],[Tipo]]="EMPTY",0,AG97+IF(TbTradesBinance[[#This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Row],[Par]]))),$1:$1,0)),-(AF97-AF98)/AF97*AG97),0),0)+IF(TbTradesBinance[[#This Row],[Tipo]]="SELL",IF(ISNUMBER(FIND(MID(AG$1,10,5),TbTradesBinance[[#This Row],[Par]])),IF(FIND(MID(AG$1,10,5),TbTradesBinance[[#This Row],[Par]])=1, -(AF97-AF98)/AF97*AG97,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Row],[Par]])),(-(AF97-AF98)/AF97*AG97)+IF(TbTradesBinance[[#This Row],[Resultado]]&gt;0,0,TbTradesBinance[[#This Row],[Taxa]]),0),0))</f>
        <v>124.04182758073662</v>
      </c>
      <c r="AH98" s="145">
        <f t="shared" si="26"/>
        <v>6.2082996787155462</v>
      </c>
      <c r="AI9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Row],[Tipo]]="DROP"),AI97+TbTradesBinance[[#This Row],[Qtt]],AI97-TbTradesBinance[[#This Row],[Qtt]]),IF(TbTradesBinance[[#This Row],[Tipo]]="BUY",AI97-TbTradesBinance[[#This Row],[Qtt]]*TbTradesBinance[[#This Row],[Preço]],AI97+TbTradesBinance[[#This Row],[Qtt]]*TbTradesBinance[[#This Row],[Preço]])),AI97)-IF(TbTradesBinance[[#This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Row],[Tipo]]="DROP"),AI97+TbTradesBinance[[#This Row],[Qtt]],AI97-TbTradesBinance[[#This Row],[Qtt]]),IF(TbTradesBinance[[#This Row],[Tipo]]="BUY",AI97-TbTradesBinance[[#This Row],[Qtt]]*TbTradesBinance[[#This Row],[Preço]],AI97+TbTradesBinance[[#This Row],[Qtt]]*TbTradesBinance[[#This Row],[Preço]])),AI97)-IF(TbTradesBinance[[#This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Row],[Tipo]]="DROP"),AI97+TbTradesBinance[[#This Row],[Qtt]],AI97-TbTradesBinance[[#This Row],[Qtt]]),IF(TbTradesBinance[[#This Row],[Tipo]]="BUY",AI97-TbTradesBinance[[#This Row],[Qtt]]*TbTradesBinance[[#This Row],[Preço]],AI97+TbTradesBinance[[#This Row],[Qtt]]*TbTradesBinance[[#This Row],[Preço]])),AI97)-IF(TbTradesBinance[[#This Row],[Moeda da Taxa]]=MID(AI$1,9,5),TbTradesBinance[[#This Row],[Taxa]],0),8)))</f>
        <v>0</v>
      </c>
      <c r="AJ98" s="145" cm="1">
        <f t="array" ref="AJ98">IF(TbTradesBinance[[#This Row],[Tipo]]="EMPTY",0,AJ97+IF(TbTradesBinance[[#This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Row],[Par]]))),$1:$1,0)),-(AI97-AI98)/AI97*AJ97),0),0)+IF(TbTradesBinance[[#This Row],[Tipo]]="SELL",IF(ISNUMBER(FIND(MID(AJ$1,10,5),TbTradesBinance[[#This Row],[Par]])),IF(FIND(MID(AJ$1,10,5),TbTradesBinance[[#This Row],[Par]])=1, -(AI97-AI98)/AI97*AJ97,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Row],[Par]])),(-(AI97-AI98)/AI97*AJ97)+IF(TbTradesBinance[[#This Row],[Resultado]]&gt;0,0,TbTradesBinance[[#This Row],[Taxa]]),0),0))</f>
        <v>0</v>
      </c>
      <c r="AK98" s="145">
        <f t="shared" si="27"/>
        <v>0</v>
      </c>
      <c r="AL9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Row],[Tipo]]="DROP"),AL97+TbTradesBinance[[#This Row],[Qtt]],AL97-TbTradesBinance[[#This Row],[Qtt]]),IF(TbTradesBinance[[#This Row],[Tipo]]="BUY",AL97-TbTradesBinance[[#This Row],[Qtt]]*TbTradesBinance[[#This Row],[Preço]],AL97+TbTradesBinance[[#This Row],[Qtt]]*TbTradesBinance[[#This Row],[Preço]])),AL97)-IF(TbTradesBinance[[#This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Row],[Tipo]]="DROP"),AL97+TbTradesBinance[[#This Row],[Qtt]],AL97-TbTradesBinance[[#This Row],[Qtt]]),IF(TbTradesBinance[[#This Row],[Tipo]]="BUY",AL97-TbTradesBinance[[#This Row],[Qtt]]*TbTradesBinance[[#This Row],[Preço]],AL97+TbTradesBinance[[#This Row],[Qtt]]*TbTradesBinance[[#This Row],[Preço]])),AL97)-IF(TbTradesBinance[[#This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Row],[Tipo]]="DROP"),AL97+TbTradesBinance[[#This Row],[Qtt]],AL97-TbTradesBinance[[#This Row],[Qtt]]),IF(TbTradesBinance[[#This Row],[Tipo]]="BUY",AL97-TbTradesBinance[[#This Row],[Qtt]]*TbTradesBinance[[#This Row],[Preço]],AL97+TbTradesBinance[[#This Row],[Qtt]]*TbTradesBinance[[#This Row],[Preço]])),AL97)-IF(TbTradesBinance[[#This Row],[Moeda da Taxa]]=MID(AL$1,9,5),TbTradesBinance[[#This Row],[Taxa]],0),8)))</f>
        <v>1.75824</v>
      </c>
      <c r="AM98" s="145" cm="1">
        <f t="array" ref="AM98">IF(TbTradesBinance[[#This Row],[Tipo]]="EMPTY",0,AM97+IF(TbTradesBinance[[#This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Row],[Par]]))),$1:$1,0)),-(AL97-AL98)/AL97*AM97),0),0)+IF(TbTradesBinance[[#This Row],[Tipo]]="SELL",IF(ISNUMBER(FIND(MID(AM$1,10,5),TbTradesBinance[[#This Row],[Par]])),IF(FIND(MID(AM$1,10,5),TbTradesBinance[[#This Row],[Par]])=1, -(AL97-AL98)/AL97*AM97,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Row],[Par]])),(-(AL97-AL98)/AL97*AM97)+IF(TbTradesBinance[[#This Row],[Resultado]]&gt;0,0,TbTradesBinance[[#This Row],[Taxa]]),0),0))</f>
        <v>144.56635471393039</v>
      </c>
      <c r="AN98" s="145">
        <f t="shared" si="28"/>
        <v>82.222196465744375</v>
      </c>
      <c r="AO9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Row],[Tipo]]="DROP"),AO97+TbTradesBinance[[#This Row],[Qtt]],AO97-TbTradesBinance[[#This Row],[Qtt]]),IF(TbTradesBinance[[#This Row],[Tipo]]="BUY",AO97-TbTradesBinance[[#This Row],[Qtt]]*TbTradesBinance[[#This Row],[Preço]],AO97+TbTradesBinance[[#This Row],[Qtt]]*TbTradesBinance[[#This Row],[Preço]])),AO97)-IF(TbTradesBinance[[#This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Row],[Tipo]]="DROP"),AO97+TbTradesBinance[[#This Row],[Qtt]],AO97-TbTradesBinance[[#This Row],[Qtt]]),IF(TbTradesBinance[[#This Row],[Tipo]]="BUY",AO97-TbTradesBinance[[#This Row],[Qtt]]*TbTradesBinance[[#This Row],[Preço]],AO97+TbTradesBinance[[#This Row],[Qtt]]*TbTradesBinance[[#This Row],[Preço]])),AO97)-IF(TbTradesBinance[[#This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Row],[Tipo]]="DROP"),AO97+TbTradesBinance[[#This Row],[Qtt]],AO97-TbTradesBinance[[#This Row],[Qtt]]),IF(TbTradesBinance[[#This Row],[Tipo]]="BUY",AO97-TbTradesBinance[[#This Row],[Qtt]]*TbTradesBinance[[#This Row],[Preço]],AO97+TbTradesBinance[[#This Row],[Qtt]]*TbTradesBinance[[#This Row],[Preço]])),AO97)-IF(TbTradesBinance[[#This Row],[Moeda da Taxa]]=MID(AO$1,9,5),TbTradesBinance[[#This Row],[Taxa]],0),8)))</f>
        <v>3.9907299999999996E-3</v>
      </c>
      <c r="AP98" s="145" cm="1">
        <f t="array" ref="AP98">IF(TbTradesBinance[[#This Row],[Tipo]]="EMPTY",0,AP97+IF(TbTradesBinance[[#This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Row],[Par]]))),$1:$1,0)),-(AO97-AO98)/AO97*AP97),0),0)+IF(TbTradesBinance[[#This Row],[Tipo]]="SELL",IF(ISNUMBER(FIND(MID(AP$1,10,5),TbTradesBinance[[#This Row],[Par]])),IF(FIND(MID(AP$1,10,5),TbTradesBinance[[#This Row],[Par]])=1, -(AO97-AO98)/AO97*AP97,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Row],[Par]])),(-(AO97-AO98)/AO97*AP97)+IF(TbTradesBinance[[#This Row],[Resultado]]&gt;0,0,TbTradesBinance[[#This Row],[Taxa]]),0),0))</f>
        <v>7.3360959318006032</v>
      </c>
      <c r="AQ98" s="145">
        <f t="shared" si="29"/>
        <v>1838.2842065989439</v>
      </c>
      <c r="AR9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Row],[Tipo]]="DROP"),AR97+TbTradesBinance[[#This Row],[Qtt]],AR97-TbTradesBinance[[#This Row],[Qtt]]),IF(TbTradesBinance[[#This Row],[Tipo]]="BUY",AR97-TbTradesBinance[[#This Row],[Qtt]]*TbTradesBinance[[#This Row],[Preço]],AR97+TbTradesBinance[[#This Row],[Qtt]]*TbTradesBinance[[#This Row],[Preço]])),AR97)-IF(TbTradesBinance[[#This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Row],[Tipo]]="DROP"),AR97+TbTradesBinance[[#This Row],[Qtt]],AR97-TbTradesBinance[[#This Row],[Qtt]]),IF(TbTradesBinance[[#This Row],[Tipo]]="BUY",AR97-TbTradesBinance[[#This Row],[Qtt]]*TbTradesBinance[[#This Row],[Preço]],AR97+TbTradesBinance[[#This Row],[Qtt]]*TbTradesBinance[[#This Row],[Preço]])),AR97)-IF(TbTradesBinance[[#This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Row],[Tipo]]="DROP"),AR97+TbTradesBinance[[#This Row],[Qtt]],AR97-TbTradesBinance[[#This Row],[Qtt]]),IF(TbTradesBinance[[#This Row],[Tipo]]="BUY",AR97-TbTradesBinance[[#This Row],[Qtt]]*TbTradesBinance[[#This Row],[Preço]],AR97+TbTradesBinance[[#This Row],[Qtt]]*TbTradesBinance[[#This Row],[Preço]])),AR97)-IF(TbTradesBinance[[#This Row],[Moeda da Taxa]]=MID(AR$1,9,5),TbTradesBinance[[#This Row],[Taxa]],0),8)))</f>
        <v>12.5</v>
      </c>
      <c r="AS98" s="145" cm="1">
        <f t="array" ref="AS98">IF(TbTradesBinance[[#This Row],[Tipo]]="EMPTY",0,AS97+IF(TbTradesBinance[[#This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Row],[Par]]))),$1:$1,0)),-(AR97-AR98)/AR97*AS97),0),0)+IF(TbTradesBinance[[#This Row],[Tipo]]="SELL",IF(ISNUMBER(FIND(MID(AS$1,10,5),TbTradesBinance[[#This Row],[Par]])),IF(FIND(MID(AS$1,10,5),TbTradesBinance[[#This Row],[Par]])=1, -(AR97-AR98)/AR97*AS97,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Row],[Par]])),(-(AR97-AR98)/AR97*AS97)+IF(TbTradesBinance[[#This Row],[Resultado]]&gt;0,0,TbTradesBinance[[#This Row],[Taxa]]),0),0))</f>
        <v>49.995041157672304</v>
      </c>
      <c r="AT98" s="145">
        <f t="shared" si="30"/>
        <v>3.9996032926137843</v>
      </c>
      <c r="AU9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Row],[Tipo]]="DROP"),AU97+TbTradesBinance[[#This Row],[Qtt]],AU97-TbTradesBinance[[#This Row],[Qtt]]),IF(TbTradesBinance[[#This Row],[Tipo]]="BUY",AU97-TbTradesBinance[[#This Row],[Qtt]]*TbTradesBinance[[#This Row],[Preço]],AU97+TbTradesBinance[[#This Row],[Qtt]]*TbTradesBinance[[#This Row],[Preço]])),AU97)-IF(TbTradesBinance[[#This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Row],[Tipo]]="DROP"),AU97+TbTradesBinance[[#This Row],[Qtt]],AU97-TbTradesBinance[[#This Row],[Qtt]]),IF(TbTradesBinance[[#This Row],[Tipo]]="BUY",AU97-TbTradesBinance[[#This Row],[Qtt]]*TbTradesBinance[[#This Row],[Preço]],AU97+TbTradesBinance[[#This Row],[Qtt]]*TbTradesBinance[[#This Row],[Preço]])),AU97)-IF(TbTradesBinance[[#This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Row],[Tipo]]="DROP"),AU97+TbTradesBinance[[#This Row],[Qtt]],AU97-TbTradesBinance[[#This Row],[Qtt]]),IF(TbTradesBinance[[#This Row],[Tipo]]="BUY",AU97-TbTradesBinance[[#This Row],[Qtt]]*TbTradesBinance[[#This Row],[Preço]],AU97+TbTradesBinance[[#This Row],[Qtt]]*TbTradesBinance[[#This Row],[Preço]])),AU97)-IF(TbTradesBinance[[#This Row],[Moeda da Taxa]]=MID(AU$1,9,5),TbTradesBinance[[#This Row],[Taxa]],0),8)))</f>
        <v>0</v>
      </c>
      <c r="AV98" s="145" cm="1">
        <f t="array" ref="AV98">IF(TbTradesBinance[[#This Row],[Tipo]]="EMPTY",0,AV97+IF(TbTradesBinance[[#This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Row],[Par]]))),$1:$1,0)),-(AU97-AU98)/AU97*AV97),0),0)+IF(TbTradesBinance[[#This Row],[Tipo]]="SELL",IF(ISNUMBER(FIND(MID(AV$1,10,5),TbTradesBinance[[#This Row],[Par]])),IF(FIND(MID(AV$1,10,5),TbTradesBinance[[#This Row],[Par]])=1, -(AU97-AU98)/AU97*AV97,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Row],[Par]])),(-(AU97-AU98)/AU97*AV97)+IF(TbTradesBinance[[#This Row],[Resultado]]&gt;0,0,TbTradesBinance[[#This Row],[Taxa]]),0),0))</f>
        <v>0</v>
      </c>
      <c r="AW98" s="145">
        <f t="shared" si="31"/>
        <v>0</v>
      </c>
      <c r="AX9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Row],[Tipo]]="DROP"),AX97+TbTradesBinance[[#This Row],[Qtt]],AX97-TbTradesBinance[[#This Row],[Qtt]]),IF(TbTradesBinance[[#This Row],[Tipo]]="BUY",AX97-TbTradesBinance[[#This Row],[Qtt]]*TbTradesBinance[[#This Row],[Preço]],AX97+TbTradesBinance[[#This Row],[Qtt]]*TbTradesBinance[[#This Row],[Preço]])),AX97)-IF(TbTradesBinance[[#This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Row],[Tipo]]="DROP"),AX97+TbTradesBinance[[#This Row],[Qtt]],AX97-TbTradesBinance[[#This Row],[Qtt]]),IF(TbTradesBinance[[#This Row],[Tipo]]="BUY",AX97-TbTradesBinance[[#This Row],[Qtt]]*TbTradesBinance[[#This Row],[Preço]],AX97+TbTradesBinance[[#This Row],[Qtt]]*TbTradesBinance[[#This Row],[Preço]])),AX97)-IF(TbTradesBinance[[#This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Row],[Tipo]]="DROP"),AX97+TbTradesBinance[[#This Row],[Qtt]],AX97-TbTradesBinance[[#This Row],[Qtt]]),IF(TbTradesBinance[[#This Row],[Tipo]]="BUY",AX97-TbTradesBinance[[#This Row],[Qtt]]*TbTradesBinance[[#This Row],[Preço]],AX97+TbTradesBinance[[#This Row],[Qtt]]*TbTradesBinance[[#This Row],[Preço]])),AX97)-IF(TbTradesBinance[[#This Row],[Moeda da Taxa]]=MID(AX$1,9,5),TbTradesBinance[[#This Row],[Taxa]],0),8)))</f>
        <v>0.22636999999999999</v>
      </c>
      <c r="AY98" s="145" cm="1">
        <f t="array" ref="AY98">IF(TbTradesBinance[[#This Row],[Tipo]]="EMPTY",0,AY97+IF(TbTradesBinance[[#This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Row],[Par]]))),$1:$1,0)),-(AX97-AX98)/AX97*AY97),0),0)+IF(TbTradesBinance[[#This Row],[Tipo]]="SELL",IF(ISNUMBER(FIND(MID(AY$1,10,5),TbTradesBinance[[#This Row],[Par]])),IF(FIND(MID(AY$1,10,5),TbTradesBinance[[#This Row],[Par]])=1, -(AX97-AX98)/AX97*AY97,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Row],[Par]])),(-(AX97-AX98)/AX97*AY97)+IF(TbTradesBinance[[#This Row],[Resultado]]&gt;0,0,TbTradesBinance[[#This Row],[Taxa]]),0),0))</f>
        <v>40.781337593356859</v>
      </c>
      <c r="AZ98" s="145">
        <f t="shared" si="32"/>
        <v>180.15345493376711</v>
      </c>
      <c r="BA9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Row],[Tipo]]="DROP"),BA97+TbTradesBinance[[#This Row],[Qtt]],BA97-TbTradesBinance[[#This Row],[Qtt]]),IF(TbTradesBinance[[#This Row],[Tipo]]="BUY",BA97-TbTradesBinance[[#This Row],[Qtt]]*TbTradesBinance[[#This Row],[Preço]],BA97+TbTradesBinance[[#This Row],[Qtt]]*TbTradesBinance[[#This Row],[Preço]])),BA97)-IF(TbTradesBinance[[#This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Row],[Tipo]]="DROP"),BA97+TbTradesBinance[[#This Row],[Qtt]],BA97-TbTradesBinance[[#This Row],[Qtt]]),IF(TbTradesBinance[[#This Row],[Tipo]]="BUY",BA97-TbTradesBinance[[#This Row],[Qtt]]*TbTradesBinance[[#This Row],[Preço]],BA97+TbTradesBinance[[#This Row],[Qtt]]*TbTradesBinance[[#This Row],[Preço]])),BA97)-IF(TbTradesBinance[[#This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Row],[Tipo]]="DROP"),BA97+TbTradesBinance[[#This Row],[Qtt]],BA97-TbTradesBinance[[#This Row],[Qtt]]),IF(TbTradesBinance[[#This Row],[Tipo]]="BUY",BA97-TbTradesBinance[[#This Row],[Qtt]]*TbTradesBinance[[#This Row],[Preço]],BA97+TbTradesBinance[[#This Row],[Qtt]]*TbTradesBinance[[#This Row],[Preço]])),BA97)-IF(TbTradesBinance[[#This Row],[Moeda da Taxa]]=MID(BA$1,9,5),TbTradesBinance[[#This Row],[Taxa]],0),8)))</f>
        <v>0</v>
      </c>
      <c r="BB98" s="145" cm="1">
        <f t="array" ref="BB98">IF(TbTradesBinance[[#This Row],[Tipo]]="EMPTY",0,BB97+IF(TbTradesBinance[[#This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Row],[Par]]))),$1:$1,0)),-(BA97-BA98)/BA97*BB97),0),0)+IF(TbTradesBinance[[#This Row],[Tipo]]="SELL",IF(ISNUMBER(FIND(MID(BB$1,10,5),TbTradesBinance[[#This Row],[Par]])),IF(FIND(MID(BB$1,10,5),TbTradesBinance[[#This Row],[Par]])=1, -(BA97-BA98)/BA97*BB97,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Row],[Par]])),(-(BA97-BA98)/BA97*BB97)+IF(TbTradesBinance[[#This Row],[Resultado]]&gt;0,0,TbTradesBinance[[#This Row],[Taxa]]),0),0))</f>
        <v>0</v>
      </c>
      <c r="BC98" s="145">
        <f t="shared" si="33"/>
        <v>0</v>
      </c>
      <c r="BD9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Row],[Tipo]]="DROP"),BD97+TbTradesBinance[[#This Row],[Qtt]],BD97-TbTradesBinance[[#This Row],[Qtt]]),IF(TbTradesBinance[[#This Row],[Tipo]]="BUY",BD97-TbTradesBinance[[#This Row],[Qtt]]*TbTradesBinance[[#This Row],[Preço]],BD97+TbTradesBinance[[#This Row],[Qtt]]*TbTradesBinance[[#This Row],[Preço]])),BD97)-IF(TbTradesBinance[[#This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Row],[Tipo]]="DROP"),BD97+TbTradesBinance[[#This Row],[Qtt]],BD97-TbTradesBinance[[#This Row],[Qtt]]),IF(TbTradesBinance[[#This Row],[Tipo]]="BUY",BD97-TbTradesBinance[[#This Row],[Qtt]]*TbTradesBinance[[#This Row],[Preço]],BD97+TbTradesBinance[[#This Row],[Qtt]]*TbTradesBinance[[#This Row],[Preço]])),BD97)-IF(TbTradesBinance[[#This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Row],[Tipo]]="DROP"),BD97+TbTradesBinance[[#This Row],[Qtt]],BD97-TbTradesBinance[[#This Row],[Qtt]]),IF(TbTradesBinance[[#This Row],[Tipo]]="BUY",BD97-TbTradesBinance[[#This Row],[Qtt]]*TbTradesBinance[[#This Row],[Preço]],BD97+TbTradesBinance[[#This Row],[Qtt]]*TbTradesBinance[[#This Row],[Preço]])),BD97)-IF(TbTradesBinance[[#This Row],[Moeda da Taxa]]=MID(BD$1,9,5),TbTradesBinance[[#This Row],[Taxa]],0),8)))</f>
        <v>0.56906000000000001</v>
      </c>
      <c r="BE98" s="145" cm="1">
        <f t="array" ref="BE98">IF(TbTradesBinance[[#This Row],[Tipo]]="EMPTY",0,BE97+IF(TbTradesBinance[[#This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Row],[Par]]))),$1:$1,0)),-(BD97-BD98)/BD97*BE97),0),0)+IF(TbTradesBinance[[#This Row],[Tipo]]="SELL",IF(ISNUMBER(FIND(MID(BE$1,10,5),TbTradesBinance[[#This Row],[Par]])),IF(FIND(MID(BE$1,10,5),TbTradesBinance[[#This Row],[Par]])=1, -(BD97-BD98)/BD97*BE97,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Row],[Par]])),(-(BD97-BD98)/BD97*BE97)+IF(TbTradesBinance[[#This Row],[Resultado]]&gt;0,0,TbTradesBinance[[#This Row],[Taxa]]),0),0))</f>
        <v>105.81619120195663</v>
      </c>
      <c r="BF98" s="145">
        <f t="shared" si="34"/>
        <v>185.94909359638109</v>
      </c>
      <c r="BG9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Row],[Tipo]]="DROP"),BG97+TbTradesBinance[[#This Row],[Qtt]],BG97-TbTradesBinance[[#This Row],[Qtt]]),IF(TbTradesBinance[[#This Row],[Tipo]]="BUY",BG97-TbTradesBinance[[#This Row],[Qtt]]*TbTradesBinance[[#This Row],[Preço]],BG97+TbTradesBinance[[#This Row],[Qtt]]*TbTradesBinance[[#This Row],[Preço]])),BG97)-IF(TbTradesBinance[[#This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Row],[Tipo]]="DROP"),BG97+TbTradesBinance[[#This Row],[Qtt]],BG97-TbTradesBinance[[#This Row],[Qtt]]),IF(TbTradesBinance[[#This Row],[Tipo]]="BUY",BG97-TbTradesBinance[[#This Row],[Qtt]]*TbTradesBinance[[#This Row],[Preço]],BG97+TbTradesBinance[[#This Row],[Qtt]]*TbTradesBinance[[#This Row],[Preço]])),BG97)-IF(TbTradesBinance[[#This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Row],[Tipo]]="DROP"),BG97+TbTradesBinance[[#This Row],[Qtt]],BG97-TbTradesBinance[[#This Row],[Qtt]]),IF(TbTradesBinance[[#This Row],[Tipo]]="BUY",BG97-TbTradesBinance[[#This Row],[Qtt]]*TbTradesBinance[[#This Row],[Preço]],BG97+TbTradesBinance[[#This Row],[Qtt]]*TbTradesBinance[[#This Row],[Preço]])),BG97)-IF(TbTradesBinance[[#This Row],[Moeda da Taxa]]=MID(BG$1,9,5),TbTradesBinance[[#This Row],[Taxa]],0),8)))</f>
        <v>0</v>
      </c>
      <c r="BH98" s="145" cm="1">
        <f t="array" ref="BH98">IF(TbTradesBinance[[#This Row],[Tipo]]="EMPTY",0,BH97+IF(TbTradesBinance[[#This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Row],[Par]]))),$1:$1,0)),-(BG97-BG98)/BG97*BH97),0),0)+IF(TbTradesBinance[[#This Row],[Tipo]]="SELL",IF(ISNUMBER(FIND(MID(BH$1,10,5),TbTradesBinance[[#This Row],[Par]])),IF(FIND(MID(BH$1,10,5),TbTradesBinance[[#This Row],[Par]])=1, -(BG97-BG98)/BG97*BH97,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Row],[Par]])),(-(BG97-BG98)/BG97*BH97)+IF(TbTradesBinance[[#This Row],[Resultado]]&gt;0,0,TbTradesBinance[[#This Row],[Taxa]]),0),0))</f>
        <v>0</v>
      </c>
      <c r="BI98" s="145">
        <f t="shared" si="35"/>
        <v>0</v>
      </c>
      <c r="BJ9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Row],[Tipo]]="DROP"),BJ97+TbTradesBinance[[#This Row],[Qtt]],BJ97-TbTradesBinance[[#This Row],[Qtt]]),IF(TbTradesBinance[[#This Row],[Tipo]]="BUY",BJ97-TbTradesBinance[[#This Row],[Qtt]]*TbTradesBinance[[#This Row],[Preço]],BJ97+TbTradesBinance[[#This Row],[Qtt]]*TbTradesBinance[[#This Row],[Preço]])),BJ97)-IF(TbTradesBinance[[#This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Row],[Tipo]]="DROP"),BJ97+TbTradesBinance[[#This Row],[Qtt]],BJ97-TbTradesBinance[[#This Row],[Qtt]]),IF(TbTradesBinance[[#This Row],[Tipo]]="BUY",BJ97-TbTradesBinance[[#This Row],[Qtt]]*TbTradesBinance[[#This Row],[Preço]],BJ97+TbTradesBinance[[#This Row],[Qtt]]*TbTradesBinance[[#This Row],[Preço]])),BJ97)-IF(TbTradesBinance[[#This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Row],[Tipo]]="DROP"),BJ97+TbTradesBinance[[#This Row],[Qtt]],BJ97-TbTradesBinance[[#This Row],[Qtt]]),IF(TbTradesBinance[[#This Row],[Tipo]]="BUY",BJ97-TbTradesBinance[[#This Row],[Qtt]]*TbTradesBinance[[#This Row],[Preço]],BJ97+TbTradesBinance[[#This Row],[Qtt]]*TbTradesBinance[[#This Row],[Preço]])),BJ97)-IF(TbTradesBinance[[#This Row],[Moeda da Taxa]]=MID(BJ$1,9,5),TbTradesBinance[[#This Row],[Taxa]],0),8)))</f>
        <v>0</v>
      </c>
      <c r="BK98" s="145" cm="1">
        <f t="array" ref="BK98">IF(TbTradesBinance[[#This Row],[Tipo]]="EMPTY",0,BK97+IF(TbTradesBinance[[#This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Row],[Par]]))),$1:$1,0)),-(BJ97-BJ98)/BJ97*BK97),0),0)+IF(TbTradesBinance[[#This Row],[Tipo]]="SELL",IF(ISNUMBER(FIND(MID(BK$1,10,5),TbTradesBinance[[#This Row],[Par]])),IF(FIND(MID(BK$1,10,5),TbTradesBinance[[#This Row],[Par]])=1, -(BJ97-BJ98)/BJ97*BK97,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Row],[Par]])),(-(BJ97-BJ98)/BJ97*BK97)+IF(TbTradesBinance[[#This Row],[Resultado]]&gt;0,0,TbTradesBinance[[#This Row],[Taxa]]),0),0))</f>
        <v>0</v>
      </c>
      <c r="BL98" s="145">
        <f t="shared" si="36"/>
        <v>0</v>
      </c>
      <c r="BM9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Row],[Tipo]]="DROP"),BM97+TbTradesBinance[[#This Row],[Qtt]],BM97-TbTradesBinance[[#This Row],[Qtt]]),IF(TbTradesBinance[[#This Row],[Tipo]]="BUY",BM97-TbTradesBinance[[#This Row],[Qtt]]*TbTradesBinance[[#This Row],[Preço]],BM97+TbTradesBinance[[#This Row],[Qtt]]*TbTradesBinance[[#This Row],[Preço]])),BM97)-IF(TbTradesBinance[[#This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Row],[Tipo]]="DROP"),BM97+TbTradesBinance[[#This Row],[Qtt]],BM97-TbTradesBinance[[#This Row],[Qtt]]),IF(TbTradesBinance[[#This Row],[Tipo]]="BUY",BM97-TbTradesBinance[[#This Row],[Qtt]]*TbTradesBinance[[#This Row],[Preço]],BM97+TbTradesBinance[[#This Row],[Qtt]]*TbTradesBinance[[#This Row],[Preço]])),BM97)-IF(TbTradesBinance[[#This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Row],[Tipo]]="DROP"),BM97+TbTradesBinance[[#This Row],[Qtt]],BM97-TbTradesBinance[[#This Row],[Qtt]]),IF(TbTradesBinance[[#This Row],[Tipo]]="BUY",BM97-TbTradesBinance[[#This Row],[Qtt]]*TbTradesBinance[[#This Row],[Preço]],BM97+TbTradesBinance[[#This Row],[Qtt]]*TbTradesBinance[[#This Row],[Preço]])),BM97)-IF(TbTradesBinance[[#This Row],[Moeda da Taxa]]=MID(BM$1,9,5),TbTradesBinance[[#This Row],[Taxa]],0),8)))</f>
        <v>0</v>
      </c>
      <c r="BN98" s="145" cm="1">
        <f t="array" ref="BN98">IF(TbTradesBinance[[#This Row],[Tipo]]="EMPTY",0,BN97+IF(TbTradesBinance[[#This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Row],[Par]]))),$1:$1,0)),-(BM97-BM98)/BM97*BN97),0),0)+IF(TbTradesBinance[[#This Row],[Tipo]]="SELL",IF(ISNUMBER(FIND(MID(BN$1,10,5),TbTradesBinance[[#This Row],[Par]])),IF(FIND(MID(BN$1,10,5),TbTradesBinance[[#This Row],[Par]])=1, -(BM97-BM98)/BM97*BN97,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Row],[Par]])),(-(BM97-BM98)/BM97*BN97)+IF(TbTradesBinance[[#This Row],[Resultado]]&gt;0,0,TbTradesBinance[[#This Row],[Taxa]]),0),0))</f>
        <v>0</v>
      </c>
      <c r="BO98" s="145">
        <f t="shared" si="37"/>
        <v>0</v>
      </c>
    </row>
    <row r="99" spans="2:67" x14ac:dyDescent="0.3">
      <c r="B99" s="51"/>
      <c r="C99" s="40">
        <f>TRUNC(IF(AND(TbTradesBinance[[#This Row],[Tipo]]="SEND",TbTradesBinance[[#This Row],[Par]]="BRL"),TbTradesBinance[[#This Row],[Qtt]]*(1-P97)-IF(TbTradesBinance[[#This Row],[Moeda da Taxa]]="BRL",TbTradesBinance[[#This Row],[Taxa]],0),0)+IF(AND(TbTradesBinance[[#This Row],[Tipo]]="BURN",TbTradesBinance[[#This Row],[Par]]="BRL"),-TbTradesBinance[[#This Row],[Qtt]]*P97,0),2)</f>
        <v>0</v>
      </c>
      <c r="D99" s="53">
        <v>44268.686203703706</v>
      </c>
      <c r="E99" s="37" t="s">
        <v>258</v>
      </c>
      <c r="F99" s="47" t="s">
        <v>139</v>
      </c>
      <c r="G99" s="38">
        <v>0.68147000000000002</v>
      </c>
      <c r="H99" s="38">
        <v>29.9</v>
      </c>
      <c r="I99" s="38">
        <v>2.9899999999999999E-2</v>
      </c>
      <c r="J99" s="37" t="s">
        <v>54</v>
      </c>
      <c r="K99" s="52">
        <v>5.6</v>
      </c>
      <c r="L99" s="40">
        <f t="shared" si="19"/>
        <v>3.81</v>
      </c>
      <c r="M99" s="40">
        <f>IF(OR(TbTradesBinance[[#This Row],[Tipo]]="BUY",TbTradesBinance[[#This Row],[Tipo]]="RECEIVE",TbTradesBinance[[#This Row],[Tipo]]="DROP"),L99*H99,-L99*H99)</f>
        <v>113.919</v>
      </c>
      <c r="N9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Row],[Tipo]]="DROP"),N98+TbTradesBinance[[#This Row],[Qtt]],N98-TbTradesBinance[[#This Row],[Qtt]]),IF(TbTradesBinance[[#This Row],[Tipo]]="BUY",N98-TbTradesBinance[[#This Row],[Qtt]]*TbTradesBinance[[#This Row],[Preço]],N98+TbTradesBinance[[#This Row],[Qtt]]*TbTradesBinance[[#This Row],[Preço]])),N98)-IF(TbTradesBinance[[#This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Row],[Tipo]]="DROP"),N98+TbTradesBinance[[#This Row],[Qtt]],N98-TbTradesBinance[[#This Row],[Qtt]]),IF(TbTradesBinance[[#This Row],[Tipo]]="BUY",N98-TbTradesBinance[[#This Row],[Qtt]]*TbTradesBinance[[#This Row],[Preço]],N98+TbTradesBinance[[#This Row],[Qtt]]*TbTradesBinance[[#This Row],[Preço]])),N98)-IF(TbTradesBinance[[#This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Row],[Tipo]]="DROP"),N98+TbTradesBinance[[#This Row],[Qtt]],N98-TbTradesBinance[[#This Row],[Qtt]]),IF(TbTradesBinance[[#This Row],[Tipo]]="BUY",N98-TbTradesBinance[[#This Row],[Qtt]]*TbTradesBinance[[#This Row],[Preço]],N98+TbTradesBinance[[#This Row],[Qtt]]*TbTradesBinance[[#This Row],[Preço]])),N98)-IF(TbTradesBinance[[#This Row],[Moeda da Taxa]]=MID(N$1,9,5),TbTradesBinance[[#This Row],[Taxa]],0),8)))</f>
        <v>119745.70050707999</v>
      </c>
      <c r="O99" s="145" cm="1">
        <f t="array" ref="O99">IF(TbTradesBinance[[#This Row],[Tipo]]="EMPTY",0,O98+IF(TbTradesBinance[[#This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Row],[Par]]))),$1:$1,0)),-(N98-N99)/N98*O98),0),0)+IF(TbTradesBinance[[#This Row],[Tipo]]="SELL",IF(ISNUMBER(FIND(MID(O$1,10,5),TbTradesBinance[[#This Row],[Par]])),IF(FIND(MID(O$1,10,5),TbTradesBinance[[#This Row],[Par]])=1, -(N98-N99)/N98*O98,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Row],[Par]])),(-(N98-N99)/N98*O98)+IF(TbTradesBinance[[#This Row],[Resultado]]&gt;0,0,TbTradesBinance[[#This Row],[Taxa]]),0),0))</f>
        <v>119733.82450611531</v>
      </c>
      <c r="P99" s="145">
        <f t="shared" si="20"/>
        <v>0.99990082315344608</v>
      </c>
      <c r="Q9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Row],[Tipo]]="DROP"),Q98+TbTradesBinance[[#This Row],[Qtt]],Q98-TbTradesBinance[[#This Row],[Qtt]]),IF(TbTradesBinance[[#This Row],[Tipo]]="BUY",Q98-TbTradesBinance[[#This Row],[Qtt]]*TbTradesBinance[[#This Row],[Preço]],Q98+TbTradesBinance[[#This Row],[Qtt]]*TbTradesBinance[[#This Row],[Preço]])),Q98)-IF(TbTradesBinance[[#This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Row],[Tipo]]="DROP"),Q98+TbTradesBinance[[#This Row],[Qtt]],Q98-TbTradesBinance[[#This Row],[Qtt]]),IF(TbTradesBinance[[#This Row],[Tipo]]="BUY",Q98-TbTradesBinance[[#This Row],[Qtt]]*TbTradesBinance[[#This Row],[Preço]],Q98+TbTradesBinance[[#This Row],[Qtt]]*TbTradesBinance[[#This Row],[Preço]])),Q98)-IF(TbTradesBinance[[#This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Row],[Tipo]]="DROP"),Q98+TbTradesBinance[[#This Row],[Qtt]],Q98-TbTradesBinance[[#This Row],[Qtt]]),IF(TbTradesBinance[[#This Row],[Tipo]]="BUY",Q98-TbTradesBinance[[#This Row],[Qtt]]*TbTradesBinance[[#This Row],[Preço]],Q98+TbTradesBinance[[#This Row],[Qtt]]*TbTradesBinance[[#This Row],[Preço]])),Q98)-IF(TbTradesBinance[[#This Row],[Moeda da Taxa]]=MID(Q$1,9,5),TbTradesBinance[[#This Row],[Taxa]],0),8)))</f>
        <v>52.487428610000002</v>
      </c>
      <c r="R99" s="145" cm="1">
        <f t="array" ref="R99">IF(TbTradesBinance[[#This Row],[Tipo]]="EMPTY",0,R98+IF(TbTradesBinance[[#This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Row],[Par]]))),$1:$1,0)),-(Q98-Q99)/Q98*R98),0),0)+IF(TbTradesBinance[[#This Row],[Tipo]]="SELL",IF(ISNUMBER(FIND(MID(R$1,10,5),TbTradesBinance[[#This Row],[Par]])),IF(FIND(MID(R$1,10,5),TbTradesBinance[[#This Row],[Par]])=1, -(Q98-Q99)/Q98*R98,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Row],[Par]])),(-(Q98-Q99)/Q98*R98)+IF(TbTradesBinance[[#This Row],[Resultado]]&gt;0,0,TbTradesBinance[[#This Row],[Taxa]]),0),0))</f>
        <v>293.27068594274141</v>
      </c>
      <c r="S99" s="145">
        <f t="shared" si="21"/>
        <v>5.58744624587814</v>
      </c>
      <c r="T9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Row],[Tipo]]="DROP"),T98+TbTradesBinance[[#This Row],[Qtt]],T98-TbTradesBinance[[#This Row],[Qtt]]),IF(TbTradesBinance[[#This Row],[Tipo]]="BUY",T98-TbTradesBinance[[#This Row],[Qtt]]*TbTradesBinance[[#This Row],[Preço]],T98+TbTradesBinance[[#This Row],[Qtt]]*TbTradesBinance[[#This Row],[Preço]])),T98)-IF(TbTradesBinance[[#This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Row],[Tipo]]="DROP"),T98+TbTradesBinance[[#This Row],[Qtt]],T98-TbTradesBinance[[#This Row],[Qtt]]),IF(TbTradesBinance[[#This Row],[Tipo]]="BUY",T98-TbTradesBinance[[#This Row],[Qtt]]*TbTradesBinance[[#This Row],[Preço]],T98+TbTradesBinance[[#This Row],[Qtt]]*TbTradesBinance[[#This Row],[Preço]])),T98)-IF(TbTradesBinance[[#This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Row],[Tipo]]="DROP"),T98+TbTradesBinance[[#This Row],[Qtt]],T98-TbTradesBinance[[#This Row],[Qtt]]),IF(TbTradesBinance[[#This Row],[Tipo]]="BUY",T98-TbTradesBinance[[#This Row],[Qtt]]*TbTradesBinance[[#This Row],[Preço]],T98+TbTradesBinance[[#This Row],[Qtt]]*TbTradesBinance[[#This Row],[Preço]])),T98)-IF(TbTradesBinance[[#This Row],[Moeda da Taxa]]=MID(T$1,9,5),TbTradesBinance[[#This Row],[Taxa]],0),8)))</f>
        <v>199735.32000169999</v>
      </c>
      <c r="U99" s="145" cm="1">
        <f t="array" ref="U99">IF(TbTradesBinance[[#This Row],[Tipo]]="EMPTY",0,U98+IF(TbTradesBinance[[#This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Row],[Par]]))),$1:$1,0)),-(T98-T99)/T98*U98),0),0)+IF(TbTradesBinance[[#This Row],[Tipo]]="SELL",IF(ISNUMBER(FIND(MID(U$1,10,5),TbTradesBinance[[#This Row],[Par]])),IF(FIND(MID(U$1,10,5),TbTradesBinance[[#This Row],[Par]])=1, -(T98-T99)/T98*U98,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Row],[Par]])),(-(T98-T99)/T98*U98)+IF(TbTradesBinance[[#This Row],[Resultado]]&gt;0,0,TbTradesBinance[[#This Row],[Taxa]]),0),0))</f>
        <v>1328239.8809817513</v>
      </c>
      <c r="V99" s="145">
        <f t="shared" si="22"/>
        <v>6.6500000148719129</v>
      </c>
      <c r="W9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Row],[Tipo]]="DROP"),W98+TbTradesBinance[[#This Row],[Qtt]],W98-TbTradesBinance[[#This Row],[Qtt]]),IF(TbTradesBinance[[#This Row],[Tipo]]="BUY",W98-TbTradesBinance[[#This Row],[Qtt]]*TbTradesBinance[[#This Row],[Preço]],W98+TbTradesBinance[[#This Row],[Qtt]]*TbTradesBinance[[#This Row],[Preço]])),W98)-IF(TbTradesBinance[[#This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Row],[Tipo]]="DROP"),W98+TbTradesBinance[[#This Row],[Qtt]],W98-TbTradesBinance[[#This Row],[Qtt]]),IF(TbTradesBinance[[#This Row],[Tipo]]="BUY",W98-TbTradesBinance[[#This Row],[Qtt]]*TbTradesBinance[[#This Row],[Preço]],W98+TbTradesBinance[[#This Row],[Qtt]]*TbTradesBinance[[#This Row],[Preço]])),W98)-IF(TbTradesBinance[[#This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Row],[Tipo]]="DROP"),W98+TbTradesBinance[[#This Row],[Qtt]],W98-TbTradesBinance[[#This Row],[Qtt]]),IF(TbTradesBinance[[#This Row],[Tipo]]="BUY",W98-TbTradesBinance[[#This Row],[Qtt]]*TbTradesBinance[[#This Row],[Preço]],W98+TbTradesBinance[[#This Row],[Qtt]]*TbTradesBinance[[#This Row],[Preço]])),W98)-IF(TbTradesBinance[[#This Row],[Moeda da Taxa]]=MID(W$1,9,5),TbTradesBinance[[#This Row],[Taxa]],0),8)))</f>
        <v>2.4807000000000002E-3</v>
      </c>
      <c r="X99" s="145" cm="1">
        <f t="array" ref="X99">IF(TbTradesBinance[[#This Row],[Tipo]]="EMPTY",0,X98+IF(TbTradesBinance[[#This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Row],[Par]]))),$1:$1,0)),-(W98-W99)/W98*X98),0),0)+IF(TbTradesBinance[[#This Row],[Tipo]]="SELL",IF(ISNUMBER(FIND(MID(X$1,10,5),TbTradesBinance[[#This Row],[Par]])),IF(FIND(MID(X$1,10,5),TbTradesBinance[[#This Row],[Par]])=1, -(W98-W99)/W98*X98,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Row],[Par]])),(-(W98-W99)/W98*X98)+IF(TbTradesBinance[[#This Row],[Resultado]]&gt;0,0,TbTradesBinance[[#This Row],[Taxa]]),0),0))</f>
        <v>833.51530608966118</v>
      </c>
      <c r="Y99" s="145">
        <f t="shared" si="23"/>
        <v>336000.04276601813</v>
      </c>
      <c r="Z9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Row],[Tipo]]="DROP"),Z98+TbTradesBinance[[#This Row],[Qtt]],Z98-TbTradesBinance[[#This Row],[Qtt]]),IF(TbTradesBinance[[#This Row],[Tipo]]="BUY",Z98-TbTradesBinance[[#This Row],[Qtt]]*TbTradesBinance[[#This Row],[Preço]],Z98+TbTradesBinance[[#This Row],[Qtt]]*TbTradesBinance[[#This Row],[Preço]])),Z98)-IF(TbTradesBinance[[#This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Row],[Tipo]]="DROP"),Z98+TbTradesBinance[[#This Row],[Qtt]],Z98-TbTradesBinance[[#This Row],[Qtt]]),IF(TbTradesBinance[[#This Row],[Tipo]]="BUY",Z98-TbTradesBinance[[#This Row],[Qtt]]*TbTradesBinance[[#This Row],[Preço]],Z98+TbTradesBinance[[#This Row],[Qtt]]*TbTradesBinance[[#This Row],[Preço]])),Z98)-IF(TbTradesBinance[[#This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Row],[Tipo]]="DROP"),Z98+TbTradesBinance[[#This Row],[Qtt]],Z98-TbTradesBinance[[#This Row],[Qtt]]),IF(TbTradesBinance[[#This Row],[Tipo]]="BUY",Z98-TbTradesBinance[[#This Row],[Qtt]]*TbTradesBinance[[#This Row],[Preço]],Z98+TbTradesBinance[[#This Row],[Qtt]]*TbTradesBinance[[#This Row],[Preço]])),Z98)-IF(TbTradesBinance[[#This Row],[Moeda da Taxa]]=MID(Z$1,9,5),TbTradesBinance[[#This Row],[Taxa]],0),8)))</f>
        <v>0</v>
      </c>
      <c r="AA99" s="145" cm="1">
        <f t="array" ref="AA99">IF(TbTradesBinance[[#This Row],[Tipo]]="EMPTY",0,AA98+IF(TbTradesBinance[[#This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Row],[Par]]))),$1:$1,0)),-(Z98-Z99)/Z98*AA98),0),0)+IF(TbTradesBinance[[#This Row],[Tipo]]="SELL",IF(ISNUMBER(FIND(MID(AA$1,10,5),TbTradesBinance[[#This Row],[Par]])),IF(FIND(MID(AA$1,10,5),TbTradesBinance[[#This Row],[Par]])=1, -(Z98-Z99)/Z98*AA98,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Row],[Par]])),(-(Z98-Z99)/Z98*AA98)+IF(TbTradesBinance[[#This Row],[Resultado]]&gt;0,0,TbTradesBinance[[#This Row],[Taxa]]),0),0))</f>
        <v>0</v>
      </c>
      <c r="AB99" s="145">
        <f t="shared" si="24"/>
        <v>0</v>
      </c>
      <c r="AC9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Row],[Tipo]]="DROP"),AC98+TbTradesBinance[[#This Row],[Qtt]],AC98-TbTradesBinance[[#This Row],[Qtt]]),IF(TbTradesBinance[[#This Row],[Tipo]]="BUY",AC98-TbTradesBinance[[#This Row],[Qtt]]*TbTradesBinance[[#This Row],[Preço]],AC98+TbTradesBinance[[#This Row],[Qtt]]*TbTradesBinance[[#This Row],[Preço]])),AC98)-IF(TbTradesBinance[[#This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Row],[Tipo]]="DROP"),AC98+TbTradesBinance[[#This Row],[Qtt]],AC98-TbTradesBinance[[#This Row],[Qtt]]),IF(TbTradesBinance[[#This Row],[Tipo]]="BUY",AC98-TbTradesBinance[[#This Row],[Qtt]]*TbTradesBinance[[#This Row],[Preço]],AC98+TbTradesBinance[[#This Row],[Qtt]]*TbTradesBinance[[#This Row],[Preço]])),AC98)-IF(TbTradesBinance[[#This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Row],[Tipo]]="DROP"),AC98+TbTradesBinance[[#This Row],[Qtt]],AC98-TbTradesBinance[[#This Row],[Qtt]]),IF(TbTradesBinance[[#This Row],[Tipo]]="BUY",AC98-TbTradesBinance[[#This Row],[Qtt]]*TbTradesBinance[[#This Row],[Preço]],AC98+TbTradesBinance[[#This Row],[Qtt]]*TbTradesBinance[[#This Row],[Preço]])),AC98)-IF(TbTradesBinance[[#This Row],[Moeda da Taxa]]=MID(AC$1,9,5),TbTradesBinance[[#This Row],[Taxa]],0),8)))</f>
        <v>2.997E-2</v>
      </c>
      <c r="AD99" s="145" cm="1">
        <f t="array" ref="AD99">IF(TbTradesBinance[[#This Row],[Tipo]]="EMPTY",0,AD98+IF(TbTradesBinance[[#This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Row],[Par]]))),$1:$1,0)),-(AC98-AC99)/AC98*AD98),0),0)+IF(TbTradesBinance[[#This Row],[Tipo]]="SELL",IF(ISNUMBER(FIND(MID(AD$1,10,5),TbTradesBinance[[#This Row],[Par]])),IF(FIND(MID(AD$1,10,5),TbTradesBinance[[#This Row],[Par]])=1, -(AC98-AC99)/AC98*AD98,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Row],[Par]])),(-(AC98-AC99)/AC98*AD98)+IF(TbTradesBinance[[#This Row],[Resultado]]&gt;0,0,TbTradesBinance[[#This Row],[Taxa]]),0),0))</f>
        <v>60.199749701148171</v>
      </c>
      <c r="AE99" s="145">
        <f t="shared" si="25"/>
        <v>2008.6669903619677</v>
      </c>
      <c r="AF9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Row],[Tipo]]="DROP"),AF98+TbTradesBinance[[#This Row],[Qtt]],AF98-TbTradesBinance[[#This Row],[Qtt]]),IF(TbTradesBinance[[#This Row],[Tipo]]="BUY",AF98-TbTradesBinance[[#This Row],[Qtt]]*TbTradesBinance[[#This Row],[Preço]],AF98+TbTradesBinance[[#This Row],[Qtt]]*TbTradesBinance[[#This Row],[Preço]])),AF98)-IF(TbTradesBinance[[#This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Row],[Tipo]]="DROP"),AF98+TbTradesBinance[[#This Row],[Qtt]],AF98-TbTradesBinance[[#This Row],[Qtt]]),IF(TbTradesBinance[[#This Row],[Tipo]]="BUY",AF98-TbTradesBinance[[#This Row],[Qtt]]*TbTradesBinance[[#This Row],[Preço]],AF98+TbTradesBinance[[#This Row],[Qtt]]*TbTradesBinance[[#This Row],[Preço]])),AF98)-IF(TbTradesBinance[[#This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Row],[Tipo]]="DROP"),AF98+TbTradesBinance[[#This Row],[Qtt]],AF98-TbTradesBinance[[#This Row],[Qtt]]),IF(TbTradesBinance[[#This Row],[Tipo]]="BUY",AF98-TbTradesBinance[[#This Row],[Qtt]]*TbTradesBinance[[#This Row],[Preço]],AF98+TbTradesBinance[[#This Row],[Qtt]]*TbTradesBinance[[#This Row],[Preço]])),AF98)-IF(TbTradesBinance[[#This Row],[Moeda da Taxa]]=MID(AF$1,9,5),TbTradesBinance[[#This Row],[Taxa]],0),8)))</f>
        <v>19.98</v>
      </c>
      <c r="AG99" s="145" cm="1">
        <f t="array" ref="AG99">IF(TbTradesBinance[[#This Row],[Tipo]]="EMPTY",0,AG98+IF(TbTradesBinance[[#This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Row],[Par]]))),$1:$1,0)),-(AF98-AF99)/AF98*AG98),0),0)+IF(TbTradesBinance[[#This Row],[Tipo]]="SELL",IF(ISNUMBER(FIND(MID(AG$1,10,5),TbTradesBinance[[#This Row],[Par]])),IF(FIND(MID(AG$1,10,5),TbTradesBinance[[#This Row],[Par]])=1, -(AF98-AF99)/AF98*AG98,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Row],[Par]])),(-(AF98-AF99)/AF98*AG98)+IF(TbTradesBinance[[#This Row],[Resultado]]&gt;0,0,TbTradesBinance[[#This Row],[Taxa]]),0),0))</f>
        <v>124.04182758073662</v>
      </c>
      <c r="AH99" s="145">
        <f t="shared" si="26"/>
        <v>6.2082996787155462</v>
      </c>
      <c r="AI9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Row],[Tipo]]="DROP"),AI98+TbTradesBinance[[#This Row],[Qtt]],AI98-TbTradesBinance[[#This Row],[Qtt]]),IF(TbTradesBinance[[#This Row],[Tipo]]="BUY",AI98-TbTradesBinance[[#This Row],[Qtt]]*TbTradesBinance[[#This Row],[Preço]],AI98+TbTradesBinance[[#This Row],[Qtt]]*TbTradesBinance[[#This Row],[Preço]])),AI98)-IF(TbTradesBinance[[#This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Row],[Tipo]]="DROP"),AI98+TbTradesBinance[[#This Row],[Qtt]],AI98-TbTradesBinance[[#This Row],[Qtt]]),IF(TbTradesBinance[[#This Row],[Tipo]]="BUY",AI98-TbTradesBinance[[#This Row],[Qtt]]*TbTradesBinance[[#This Row],[Preço]],AI98+TbTradesBinance[[#This Row],[Qtt]]*TbTradesBinance[[#This Row],[Preço]])),AI98)-IF(TbTradesBinance[[#This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Row],[Tipo]]="DROP"),AI98+TbTradesBinance[[#This Row],[Qtt]],AI98-TbTradesBinance[[#This Row],[Qtt]]),IF(TbTradesBinance[[#This Row],[Tipo]]="BUY",AI98-TbTradesBinance[[#This Row],[Qtt]]*TbTradesBinance[[#This Row],[Preço]],AI98+TbTradesBinance[[#This Row],[Qtt]]*TbTradesBinance[[#This Row],[Preço]])),AI98)-IF(TbTradesBinance[[#This Row],[Moeda da Taxa]]=MID(AI$1,9,5),TbTradesBinance[[#This Row],[Taxa]],0),8)))</f>
        <v>0</v>
      </c>
      <c r="AJ99" s="145" cm="1">
        <f t="array" ref="AJ99">IF(TbTradesBinance[[#This Row],[Tipo]]="EMPTY",0,AJ98+IF(TbTradesBinance[[#This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Row],[Par]]))),$1:$1,0)),-(AI98-AI99)/AI98*AJ98),0),0)+IF(TbTradesBinance[[#This Row],[Tipo]]="SELL",IF(ISNUMBER(FIND(MID(AJ$1,10,5),TbTradesBinance[[#This Row],[Par]])),IF(FIND(MID(AJ$1,10,5),TbTradesBinance[[#This Row],[Par]])=1, -(AI98-AI99)/AI98*AJ98,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Row],[Par]])),(-(AI98-AI99)/AI98*AJ98)+IF(TbTradesBinance[[#This Row],[Resultado]]&gt;0,0,TbTradesBinance[[#This Row],[Taxa]]),0),0))</f>
        <v>0</v>
      </c>
      <c r="AK99" s="145">
        <f t="shared" si="27"/>
        <v>0</v>
      </c>
      <c r="AL9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Row],[Tipo]]="DROP"),AL98+TbTradesBinance[[#This Row],[Qtt]],AL98-TbTradesBinance[[#This Row],[Qtt]]),IF(TbTradesBinance[[#This Row],[Tipo]]="BUY",AL98-TbTradesBinance[[#This Row],[Qtt]]*TbTradesBinance[[#This Row],[Preço]],AL98+TbTradesBinance[[#This Row],[Qtt]]*TbTradesBinance[[#This Row],[Preço]])),AL98)-IF(TbTradesBinance[[#This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Row],[Tipo]]="DROP"),AL98+TbTradesBinance[[#This Row],[Qtt]],AL98-TbTradesBinance[[#This Row],[Qtt]]),IF(TbTradesBinance[[#This Row],[Tipo]]="BUY",AL98-TbTradesBinance[[#This Row],[Qtt]]*TbTradesBinance[[#This Row],[Preço]],AL98+TbTradesBinance[[#This Row],[Qtt]]*TbTradesBinance[[#This Row],[Preço]])),AL98)-IF(TbTradesBinance[[#This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Row],[Tipo]]="DROP"),AL98+TbTradesBinance[[#This Row],[Qtt]],AL98-TbTradesBinance[[#This Row],[Qtt]]),IF(TbTradesBinance[[#This Row],[Tipo]]="BUY",AL98-TbTradesBinance[[#This Row],[Qtt]]*TbTradesBinance[[#This Row],[Preço]],AL98+TbTradesBinance[[#This Row],[Qtt]]*TbTradesBinance[[#This Row],[Preço]])),AL98)-IF(TbTradesBinance[[#This Row],[Moeda da Taxa]]=MID(AL$1,9,5),TbTradesBinance[[#This Row],[Taxa]],0),8)))</f>
        <v>1.75824</v>
      </c>
      <c r="AM99" s="145" cm="1">
        <f t="array" ref="AM99">IF(TbTradesBinance[[#This Row],[Tipo]]="EMPTY",0,AM98+IF(TbTradesBinance[[#This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Row],[Par]]))),$1:$1,0)),-(AL98-AL99)/AL98*AM98),0),0)+IF(TbTradesBinance[[#This Row],[Tipo]]="SELL",IF(ISNUMBER(FIND(MID(AM$1,10,5),TbTradesBinance[[#This Row],[Par]])),IF(FIND(MID(AM$1,10,5),TbTradesBinance[[#This Row],[Par]])=1, -(AL98-AL99)/AL98*AM98,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Row],[Par]])),(-(AL98-AL99)/AL98*AM98)+IF(TbTradesBinance[[#This Row],[Resultado]]&gt;0,0,TbTradesBinance[[#This Row],[Taxa]]),0),0))</f>
        <v>144.56635471393039</v>
      </c>
      <c r="AN99" s="145">
        <f t="shared" si="28"/>
        <v>82.222196465744375</v>
      </c>
      <c r="AO9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Row],[Tipo]]="DROP"),AO98+TbTradesBinance[[#This Row],[Qtt]],AO98-TbTradesBinance[[#This Row],[Qtt]]),IF(TbTradesBinance[[#This Row],[Tipo]]="BUY",AO98-TbTradesBinance[[#This Row],[Qtt]]*TbTradesBinance[[#This Row],[Preço]],AO98+TbTradesBinance[[#This Row],[Qtt]]*TbTradesBinance[[#This Row],[Preço]])),AO98)-IF(TbTradesBinance[[#This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Row],[Tipo]]="DROP"),AO98+TbTradesBinance[[#This Row],[Qtt]],AO98-TbTradesBinance[[#This Row],[Qtt]]),IF(TbTradesBinance[[#This Row],[Tipo]]="BUY",AO98-TbTradesBinance[[#This Row],[Qtt]]*TbTradesBinance[[#This Row],[Preço]],AO98+TbTradesBinance[[#This Row],[Qtt]]*TbTradesBinance[[#This Row],[Preço]])),AO98)-IF(TbTradesBinance[[#This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Row],[Tipo]]="DROP"),AO98+TbTradesBinance[[#This Row],[Qtt]],AO98-TbTradesBinance[[#This Row],[Qtt]]),IF(TbTradesBinance[[#This Row],[Tipo]]="BUY",AO98-TbTradesBinance[[#This Row],[Qtt]]*TbTradesBinance[[#This Row],[Preço]],AO98+TbTradesBinance[[#This Row],[Qtt]]*TbTradesBinance[[#This Row],[Preço]])),AO98)-IF(TbTradesBinance[[#This Row],[Moeda da Taxa]]=MID(AO$1,9,5),TbTradesBinance[[#This Row],[Taxa]],0),8)))</f>
        <v>3.9907299999999996E-3</v>
      </c>
      <c r="AP99" s="145" cm="1">
        <f t="array" ref="AP99">IF(TbTradesBinance[[#This Row],[Tipo]]="EMPTY",0,AP98+IF(TbTradesBinance[[#This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Row],[Par]]))),$1:$1,0)),-(AO98-AO99)/AO98*AP98),0),0)+IF(TbTradesBinance[[#This Row],[Tipo]]="SELL",IF(ISNUMBER(FIND(MID(AP$1,10,5),TbTradesBinance[[#This Row],[Par]])),IF(FIND(MID(AP$1,10,5),TbTradesBinance[[#This Row],[Par]])=1, -(AO98-AO99)/AO98*AP98,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Row],[Par]])),(-(AO98-AO99)/AO98*AP98)+IF(TbTradesBinance[[#This Row],[Resultado]]&gt;0,0,TbTradesBinance[[#This Row],[Taxa]]),0),0))</f>
        <v>7.3360959318006032</v>
      </c>
      <c r="AQ99" s="145">
        <f t="shared" si="29"/>
        <v>1838.2842065989439</v>
      </c>
      <c r="AR9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Row],[Tipo]]="DROP"),AR98+TbTradesBinance[[#This Row],[Qtt]],AR98-TbTradesBinance[[#This Row],[Qtt]]),IF(TbTradesBinance[[#This Row],[Tipo]]="BUY",AR98-TbTradesBinance[[#This Row],[Qtt]]*TbTradesBinance[[#This Row],[Preço]],AR98+TbTradesBinance[[#This Row],[Qtt]]*TbTradesBinance[[#This Row],[Preço]])),AR98)-IF(TbTradesBinance[[#This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Row],[Tipo]]="DROP"),AR98+TbTradesBinance[[#This Row],[Qtt]],AR98-TbTradesBinance[[#This Row],[Qtt]]),IF(TbTradesBinance[[#This Row],[Tipo]]="BUY",AR98-TbTradesBinance[[#This Row],[Qtt]]*TbTradesBinance[[#This Row],[Preço]],AR98+TbTradesBinance[[#This Row],[Qtt]]*TbTradesBinance[[#This Row],[Preço]])),AR98)-IF(TbTradesBinance[[#This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Row],[Tipo]]="DROP"),AR98+TbTradesBinance[[#This Row],[Qtt]],AR98-TbTradesBinance[[#This Row],[Qtt]]),IF(TbTradesBinance[[#This Row],[Tipo]]="BUY",AR98-TbTradesBinance[[#This Row],[Qtt]]*TbTradesBinance[[#This Row],[Preço]],AR98+TbTradesBinance[[#This Row],[Qtt]]*TbTradesBinance[[#This Row],[Preço]])),AR98)-IF(TbTradesBinance[[#This Row],[Moeda da Taxa]]=MID(AR$1,9,5),TbTradesBinance[[#This Row],[Taxa]],0),8)))</f>
        <v>42.370100000000001</v>
      </c>
      <c r="AS99" s="145" cm="1">
        <f t="array" ref="AS99">IF(TbTradesBinance[[#This Row],[Tipo]]="EMPTY",0,AS98+IF(TbTradesBinance[[#This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Row],[Par]]))),$1:$1,0)),-(AR98-AR99)/AR98*AS98),0),0)+IF(TbTradesBinance[[#This Row],[Tipo]]="SELL",IF(ISNUMBER(FIND(MID(AS$1,10,5),TbTradesBinance[[#This Row],[Par]])),IF(FIND(MID(AS$1,10,5),TbTradesBinance[[#This Row],[Par]])=1, -(AR98-AR99)/AR98*AS98,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Row],[Par]])),(-(AR98-AR99)/AR98*AS98)+IF(TbTradesBinance[[#This Row],[Resultado]]&gt;0,0,TbTradesBinance[[#This Row],[Taxa]]),0),0))</f>
        <v>163.84458325371173</v>
      </c>
      <c r="AT99" s="145">
        <f t="shared" si="30"/>
        <v>3.8669859937482265</v>
      </c>
      <c r="AU9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Row],[Tipo]]="DROP"),AU98+TbTradesBinance[[#This Row],[Qtt]],AU98-TbTradesBinance[[#This Row],[Qtt]]),IF(TbTradesBinance[[#This Row],[Tipo]]="BUY",AU98-TbTradesBinance[[#This Row],[Qtt]]*TbTradesBinance[[#This Row],[Preço]],AU98+TbTradesBinance[[#This Row],[Qtt]]*TbTradesBinance[[#This Row],[Preço]])),AU98)-IF(TbTradesBinance[[#This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Row],[Tipo]]="DROP"),AU98+TbTradesBinance[[#This Row],[Qtt]],AU98-TbTradesBinance[[#This Row],[Qtt]]),IF(TbTradesBinance[[#This Row],[Tipo]]="BUY",AU98-TbTradesBinance[[#This Row],[Qtt]]*TbTradesBinance[[#This Row],[Preço]],AU98+TbTradesBinance[[#This Row],[Qtt]]*TbTradesBinance[[#This Row],[Preço]])),AU98)-IF(TbTradesBinance[[#This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Row],[Tipo]]="DROP"),AU98+TbTradesBinance[[#This Row],[Qtt]],AU98-TbTradesBinance[[#This Row],[Qtt]]),IF(TbTradesBinance[[#This Row],[Tipo]]="BUY",AU98-TbTradesBinance[[#This Row],[Qtt]]*TbTradesBinance[[#This Row],[Preço]],AU98+TbTradesBinance[[#This Row],[Qtt]]*TbTradesBinance[[#This Row],[Preço]])),AU98)-IF(TbTradesBinance[[#This Row],[Moeda da Taxa]]=MID(AU$1,9,5),TbTradesBinance[[#This Row],[Taxa]],0),8)))</f>
        <v>0</v>
      </c>
      <c r="AV99" s="145" cm="1">
        <f t="array" ref="AV99">IF(TbTradesBinance[[#This Row],[Tipo]]="EMPTY",0,AV98+IF(TbTradesBinance[[#This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Row],[Par]]))),$1:$1,0)),-(AU98-AU99)/AU98*AV98),0),0)+IF(TbTradesBinance[[#This Row],[Tipo]]="SELL",IF(ISNUMBER(FIND(MID(AV$1,10,5),TbTradesBinance[[#This Row],[Par]])),IF(FIND(MID(AV$1,10,5),TbTradesBinance[[#This Row],[Par]])=1, -(AU98-AU99)/AU98*AV98,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Row],[Par]])),(-(AU98-AU99)/AU98*AV98)+IF(TbTradesBinance[[#This Row],[Resultado]]&gt;0,0,TbTradesBinance[[#This Row],[Taxa]]),0),0))</f>
        <v>0</v>
      </c>
      <c r="AW99" s="145">
        <f t="shared" si="31"/>
        <v>0</v>
      </c>
      <c r="AX9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Row],[Tipo]]="DROP"),AX98+TbTradesBinance[[#This Row],[Qtt]],AX98-TbTradesBinance[[#This Row],[Qtt]]),IF(TbTradesBinance[[#This Row],[Tipo]]="BUY",AX98-TbTradesBinance[[#This Row],[Qtt]]*TbTradesBinance[[#This Row],[Preço]],AX98+TbTradesBinance[[#This Row],[Qtt]]*TbTradesBinance[[#This Row],[Preço]])),AX98)-IF(TbTradesBinance[[#This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Row],[Tipo]]="DROP"),AX98+TbTradesBinance[[#This Row],[Qtt]],AX98-TbTradesBinance[[#This Row],[Qtt]]),IF(TbTradesBinance[[#This Row],[Tipo]]="BUY",AX98-TbTradesBinance[[#This Row],[Qtt]]*TbTradesBinance[[#This Row],[Preço]],AX98+TbTradesBinance[[#This Row],[Qtt]]*TbTradesBinance[[#This Row],[Preço]])),AX98)-IF(TbTradesBinance[[#This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Row],[Tipo]]="DROP"),AX98+TbTradesBinance[[#This Row],[Qtt]],AX98-TbTradesBinance[[#This Row],[Qtt]]),IF(TbTradesBinance[[#This Row],[Tipo]]="BUY",AX98-TbTradesBinance[[#This Row],[Qtt]]*TbTradesBinance[[#This Row],[Preço]],AX98+TbTradesBinance[[#This Row],[Qtt]]*TbTradesBinance[[#This Row],[Preço]])),AX98)-IF(TbTradesBinance[[#This Row],[Moeda da Taxa]]=MID(AX$1,9,5),TbTradesBinance[[#This Row],[Taxa]],0),8)))</f>
        <v>0.22636999999999999</v>
      </c>
      <c r="AY99" s="145" cm="1">
        <f t="array" ref="AY99">IF(TbTradesBinance[[#This Row],[Tipo]]="EMPTY",0,AY98+IF(TbTradesBinance[[#This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Row],[Par]]))),$1:$1,0)),-(AX98-AX99)/AX98*AY98),0),0)+IF(TbTradesBinance[[#This Row],[Tipo]]="SELL",IF(ISNUMBER(FIND(MID(AY$1,10,5),TbTradesBinance[[#This Row],[Par]])),IF(FIND(MID(AY$1,10,5),TbTradesBinance[[#This Row],[Par]])=1, -(AX98-AX99)/AX98*AY98,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Row],[Par]])),(-(AX98-AX99)/AX98*AY98)+IF(TbTradesBinance[[#This Row],[Resultado]]&gt;0,0,TbTradesBinance[[#This Row],[Taxa]]),0),0))</f>
        <v>40.781337593356859</v>
      </c>
      <c r="AZ99" s="145">
        <f t="shared" si="32"/>
        <v>180.15345493376711</v>
      </c>
      <c r="BA9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Row],[Tipo]]="DROP"),BA98+TbTradesBinance[[#This Row],[Qtt]],BA98-TbTradesBinance[[#This Row],[Qtt]]),IF(TbTradesBinance[[#This Row],[Tipo]]="BUY",BA98-TbTradesBinance[[#This Row],[Qtt]]*TbTradesBinance[[#This Row],[Preço]],BA98+TbTradesBinance[[#This Row],[Qtt]]*TbTradesBinance[[#This Row],[Preço]])),BA98)-IF(TbTradesBinance[[#This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Row],[Tipo]]="DROP"),BA98+TbTradesBinance[[#This Row],[Qtt]],BA98-TbTradesBinance[[#This Row],[Qtt]]),IF(TbTradesBinance[[#This Row],[Tipo]]="BUY",BA98-TbTradesBinance[[#This Row],[Qtt]]*TbTradesBinance[[#This Row],[Preço]],BA98+TbTradesBinance[[#This Row],[Qtt]]*TbTradesBinance[[#This Row],[Preço]])),BA98)-IF(TbTradesBinance[[#This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Row],[Tipo]]="DROP"),BA98+TbTradesBinance[[#This Row],[Qtt]],BA98-TbTradesBinance[[#This Row],[Qtt]]),IF(TbTradesBinance[[#This Row],[Tipo]]="BUY",BA98-TbTradesBinance[[#This Row],[Qtt]]*TbTradesBinance[[#This Row],[Preço]],BA98+TbTradesBinance[[#This Row],[Qtt]]*TbTradesBinance[[#This Row],[Preço]])),BA98)-IF(TbTradesBinance[[#This Row],[Moeda da Taxa]]=MID(BA$1,9,5),TbTradesBinance[[#This Row],[Taxa]],0),8)))</f>
        <v>0</v>
      </c>
      <c r="BB99" s="145" cm="1">
        <f t="array" ref="BB99">IF(TbTradesBinance[[#This Row],[Tipo]]="EMPTY",0,BB98+IF(TbTradesBinance[[#This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Row],[Par]]))),$1:$1,0)),-(BA98-BA99)/BA98*BB98),0),0)+IF(TbTradesBinance[[#This Row],[Tipo]]="SELL",IF(ISNUMBER(FIND(MID(BB$1,10,5),TbTradesBinance[[#This Row],[Par]])),IF(FIND(MID(BB$1,10,5),TbTradesBinance[[#This Row],[Par]])=1, -(BA98-BA99)/BA98*BB98,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Row],[Par]])),(-(BA98-BA99)/BA98*BB98)+IF(TbTradesBinance[[#This Row],[Resultado]]&gt;0,0,TbTradesBinance[[#This Row],[Taxa]]),0),0))</f>
        <v>0</v>
      </c>
      <c r="BC99" s="145">
        <f t="shared" si="33"/>
        <v>0</v>
      </c>
      <c r="BD9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Row],[Tipo]]="DROP"),BD98+TbTradesBinance[[#This Row],[Qtt]],BD98-TbTradesBinance[[#This Row],[Qtt]]),IF(TbTradesBinance[[#This Row],[Tipo]]="BUY",BD98-TbTradesBinance[[#This Row],[Qtt]]*TbTradesBinance[[#This Row],[Preço]],BD98+TbTradesBinance[[#This Row],[Qtt]]*TbTradesBinance[[#This Row],[Preço]])),BD98)-IF(TbTradesBinance[[#This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Row],[Tipo]]="DROP"),BD98+TbTradesBinance[[#This Row],[Qtt]],BD98-TbTradesBinance[[#This Row],[Qtt]]),IF(TbTradesBinance[[#This Row],[Tipo]]="BUY",BD98-TbTradesBinance[[#This Row],[Qtt]]*TbTradesBinance[[#This Row],[Preço]],BD98+TbTradesBinance[[#This Row],[Qtt]]*TbTradesBinance[[#This Row],[Preço]])),BD98)-IF(TbTradesBinance[[#This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Row],[Tipo]]="DROP"),BD98+TbTradesBinance[[#This Row],[Qtt]],BD98-TbTradesBinance[[#This Row],[Qtt]]),IF(TbTradesBinance[[#This Row],[Tipo]]="BUY",BD98-TbTradesBinance[[#This Row],[Qtt]]*TbTradesBinance[[#This Row],[Preço]],BD98+TbTradesBinance[[#This Row],[Qtt]]*TbTradesBinance[[#This Row],[Preço]])),BD98)-IF(TbTradesBinance[[#This Row],[Moeda da Taxa]]=MID(BD$1,9,5),TbTradesBinance[[#This Row],[Taxa]],0),8)))</f>
        <v>0.56906000000000001</v>
      </c>
      <c r="BE99" s="145" cm="1">
        <f t="array" ref="BE99">IF(TbTradesBinance[[#This Row],[Tipo]]="EMPTY",0,BE98+IF(TbTradesBinance[[#This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Row],[Par]]))),$1:$1,0)),-(BD98-BD99)/BD98*BE98),0),0)+IF(TbTradesBinance[[#This Row],[Tipo]]="SELL",IF(ISNUMBER(FIND(MID(BE$1,10,5),TbTradesBinance[[#This Row],[Par]])),IF(FIND(MID(BE$1,10,5),TbTradesBinance[[#This Row],[Par]])=1, -(BD98-BD99)/BD98*BE98,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Row],[Par]])),(-(BD98-BD99)/BD98*BE98)+IF(TbTradesBinance[[#This Row],[Resultado]]&gt;0,0,TbTradesBinance[[#This Row],[Taxa]]),0),0))</f>
        <v>105.81619120195663</v>
      </c>
      <c r="BF99" s="145">
        <f t="shared" si="34"/>
        <v>185.94909359638109</v>
      </c>
      <c r="BG9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Row],[Tipo]]="DROP"),BG98+TbTradesBinance[[#This Row],[Qtt]],BG98-TbTradesBinance[[#This Row],[Qtt]]),IF(TbTradesBinance[[#This Row],[Tipo]]="BUY",BG98-TbTradesBinance[[#This Row],[Qtt]]*TbTradesBinance[[#This Row],[Preço]],BG98+TbTradesBinance[[#This Row],[Qtt]]*TbTradesBinance[[#This Row],[Preço]])),BG98)-IF(TbTradesBinance[[#This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Row],[Tipo]]="DROP"),BG98+TbTradesBinance[[#This Row],[Qtt]],BG98-TbTradesBinance[[#This Row],[Qtt]]),IF(TbTradesBinance[[#This Row],[Tipo]]="BUY",BG98-TbTradesBinance[[#This Row],[Qtt]]*TbTradesBinance[[#This Row],[Preço]],BG98+TbTradesBinance[[#This Row],[Qtt]]*TbTradesBinance[[#This Row],[Preço]])),BG98)-IF(TbTradesBinance[[#This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Row],[Tipo]]="DROP"),BG98+TbTradesBinance[[#This Row],[Qtt]],BG98-TbTradesBinance[[#This Row],[Qtt]]),IF(TbTradesBinance[[#This Row],[Tipo]]="BUY",BG98-TbTradesBinance[[#This Row],[Qtt]]*TbTradesBinance[[#This Row],[Preço]],BG98+TbTradesBinance[[#This Row],[Qtt]]*TbTradesBinance[[#This Row],[Preço]])),BG98)-IF(TbTradesBinance[[#This Row],[Moeda da Taxa]]=MID(BG$1,9,5),TbTradesBinance[[#This Row],[Taxa]],0),8)))</f>
        <v>0</v>
      </c>
      <c r="BH99" s="145" cm="1">
        <f t="array" ref="BH99">IF(TbTradesBinance[[#This Row],[Tipo]]="EMPTY",0,BH98+IF(TbTradesBinance[[#This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Row],[Par]]))),$1:$1,0)),-(BG98-BG99)/BG98*BH98),0),0)+IF(TbTradesBinance[[#This Row],[Tipo]]="SELL",IF(ISNUMBER(FIND(MID(BH$1,10,5),TbTradesBinance[[#This Row],[Par]])),IF(FIND(MID(BH$1,10,5),TbTradesBinance[[#This Row],[Par]])=1, -(BG98-BG99)/BG98*BH98,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Row],[Par]])),(-(BG98-BG99)/BG98*BH98)+IF(TbTradesBinance[[#This Row],[Resultado]]&gt;0,0,TbTradesBinance[[#This Row],[Taxa]]),0),0))</f>
        <v>0</v>
      </c>
      <c r="BI99" s="145">
        <f t="shared" si="35"/>
        <v>0</v>
      </c>
      <c r="BJ9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Row],[Tipo]]="DROP"),BJ98+TbTradesBinance[[#This Row],[Qtt]],BJ98-TbTradesBinance[[#This Row],[Qtt]]),IF(TbTradesBinance[[#This Row],[Tipo]]="BUY",BJ98-TbTradesBinance[[#This Row],[Qtt]]*TbTradesBinance[[#This Row],[Preço]],BJ98+TbTradesBinance[[#This Row],[Qtt]]*TbTradesBinance[[#This Row],[Preço]])),BJ98)-IF(TbTradesBinance[[#This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Row],[Tipo]]="DROP"),BJ98+TbTradesBinance[[#This Row],[Qtt]],BJ98-TbTradesBinance[[#This Row],[Qtt]]),IF(TbTradesBinance[[#This Row],[Tipo]]="BUY",BJ98-TbTradesBinance[[#This Row],[Qtt]]*TbTradesBinance[[#This Row],[Preço]],BJ98+TbTradesBinance[[#This Row],[Qtt]]*TbTradesBinance[[#This Row],[Preço]])),BJ98)-IF(TbTradesBinance[[#This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Row],[Tipo]]="DROP"),BJ98+TbTradesBinance[[#This Row],[Qtt]],BJ98-TbTradesBinance[[#This Row],[Qtt]]),IF(TbTradesBinance[[#This Row],[Tipo]]="BUY",BJ98-TbTradesBinance[[#This Row],[Qtt]]*TbTradesBinance[[#This Row],[Preço]],BJ98+TbTradesBinance[[#This Row],[Qtt]]*TbTradesBinance[[#This Row],[Preço]])),BJ98)-IF(TbTradesBinance[[#This Row],[Moeda da Taxa]]=MID(BJ$1,9,5),TbTradesBinance[[#This Row],[Taxa]],0),8)))</f>
        <v>0</v>
      </c>
      <c r="BK99" s="145" cm="1">
        <f t="array" ref="BK99">IF(TbTradesBinance[[#This Row],[Tipo]]="EMPTY",0,BK98+IF(TbTradesBinance[[#This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Row],[Par]]))),$1:$1,0)),-(BJ98-BJ99)/BJ98*BK98),0),0)+IF(TbTradesBinance[[#This Row],[Tipo]]="SELL",IF(ISNUMBER(FIND(MID(BK$1,10,5),TbTradesBinance[[#This Row],[Par]])),IF(FIND(MID(BK$1,10,5),TbTradesBinance[[#This Row],[Par]])=1, -(BJ98-BJ99)/BJ98*BK98,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Row],[Par]])),(-(BJ98-BJ99)/BJ98*BK98)+IF(TbTradesBinance[[#This Row],[Resultado]]&gt;0,0,TbTradesBinance[[#This Row],[Taxa]]),0),0))</f>
        <v>0</v>
      </c>
      <c r="BL99" s="145">
        <f t="shared" si="36"/>
        <v>0</v>
      </c>
      <c r="BM9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Row],[Tipo]]="DROP"),BM98+TbTradesBinance[[#This Row],[Qtt]],BM98-TbTradesBinance[[#This Row],[Qtt]]),IF(TbTradesBinance[[#This Row],[Tipo]]="BUY",BM98-TbTradesBinance[[#This Row],[Qtt]]*TbTradesBinance[[#This Row],[Preço]],BM98+TbTradesBinance[[#This Row],[Qtt]]*TbTradesBinance[[#This Row],[Preço]])),BM98)-IF(TbTradesBinance[[#This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Row],[Tipo]]="DROP"),BM98+TbTradesBinance[[#This Row],[Qtt]],BM98-TbTradesBinance[[#This Row],[Qtt]]),IF(TbTradesBinance[[#This Row],[Tipo]]="BUY",BM98-TbTradesBinance[[#This Row],[Qtt]]*TbTradesBinance[[#This Row],[Preço]],BM98+TbTradesBinance[[#This Row],[Qtt]]*TbTradesBinance[[#This Row],[Preço]])),BM98)-IF(TbTradesBinance[[#This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Row],[Tipo]]="DROP"),BM98+TbTradesBinance[[#This Row],[Qtt]],BM98-TbTradesBinance[[#This Row],[Qtt]]),IF(TbTradesBinance[[#This Row],[Tipo]]="BUY",BM98-TbTradesBinance[[#This Row],[Qtt]]*TbTradesBinance[[#This Row],[Preço]],BM98+TbTradesBinance[[#This Row],[Qtt]]*TbTradesBinance[[#This Row],[Preço]])),BM98)-IF(TbTradesBinance[[#This Row],[Moeda da Taxa]]=MID(BM$1,9,5),TbTradesBinance[[#This Row],[Taxa]],0),8)))</f>
        <v>0</v>
      </c>
      <c r="BN99" s="145" cm="1">
        <f t="array" ref="BN99">IF(TbTradesBinance[[#This Row],[Tipo]]="EMPTY",0,BN98+IF(TbTradesBinance[[#This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Row],[Par]]))),$1:$1,0)),-(BM98-BM99)/BM98*BN98),0),0)+IF(TbTradesBinance[[#This Row],[Tipo]]="SELL",IF(ISNUMBER(FIND(MID(BN$1,10,5),TbTradesBinance[[#This Row],[Par]])),IF(FIND(MID(BN$1,10,5),TbTradesBinance[[#This Row],[Par]])=1, -(BM98-BM99)/BM98*BN98,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Row],[Par]])),(-(BM98-BM99)/BM98*BN98)+IF(TbTradesBinance[[#This Row],[Resultado]]&gt;0,0,TbTradesBinance[[#This Row],[Taxa]]),0),0))</f>
        <v>0</v>
      </c>
      <c r="BO99" s="145">
        <f t="shared" si="37"/>
        <v>0</v>
      </c>
    </row>
    <row r="100" spans="2:67" x14ac:dyDescent="0.3">
      <c r="B100" s="51"/>
      <c r="C100" s="40">
        <f>TRUNC(IF(AND(TbTradesBinance[[#This Row],[Tipo]]="SEND",TbTradesBinance[[#This Row],[Par]]="BRL"),TbTradesBinance[[#This Row],[Qtt]]*(1-P98)-IF(TbTradesBinance[[#This Row],[Moeda da Taxa]]="BRL",TbTradesBinance[[#This Row],[Taxa]],0),0)+IF(AND(TbTradesBinance[[#This Row],[Tipo]]="BURN",TbTradesBinance[[#This Row],[Par]]="BRL"),-TbTradesBinance[[#This Row],[Qtt]]*P98,0),2)</f>
        <v>0</v>
      </c>
      <c r="D100" s="53">
        <v>44268.709814814814</v>
      </c>
      <c r="E100" s="37" t="s">
        <v>258</v>
      </c>
      <c r="F100" s="47" t="s">
        <v>139</v>
      </c>
      <c r="G100" s="38">
        <v>0.63441000000000003</v>
      </c>
      <c r="H100" s="38">
        <v>18.899999999999999</v>
      </c>
      <c r="I100" s="38">
        <v>1.89E-2</v>
      </c>
      <c r="J100" s="37" t="s">
        <v>54</v>
      </c>
      <c r="K100" s="52">
        <v>5.6</v>
      </c>
      <c r="L100" s="40">
        <f t="shared" si="19"/>
        <v>3.55</v>
      </c>
      <c r="M100" s="40">
        <f>IF(OR(TbTradesBinance[[#This Row],[Tipo]]="BUY",TbTradesBinance[[#This Row],[Tipo]]="RECEIVE",TbTradesBinance[[#This Row],[Tipo]]="DROP"),L100*H100,-L100*H100)</f>
        <v>67.094999999999985</v>
      </c>
      <c r="N10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Row],[Tipo]]="DROP"),N99+TbTradesBinance[[#This Row],[Qtt]],N99-TbTradesBinance[[#This Row],[Qtt]]),IF(TbTradesBinance[[#This Row],[Tipo]]="BUY",N99-TbTradesBinance[[#This Row],[Qtt]]*TbTradesBinance[[#This Row],[Preço]],N99+TbTradesBinance[[#This Row],[Qtt]]*TbTradesBinance[[#This Row],[Preço]])),N99)-IF(TbTradesBinance[[#This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Row],[Tipo]]="DROP"),N99+TbTradesBinance[[#This Row],[Qtt]],N99-TbTradesBinance[[#This Row],[Qtt]]),IF(TbTradesBinance[[#This Row],[Tipo]]="BUY",N99-TbTradesBinance[[#This Row],[Qtt]]*TbTradesBinance[[#This Row],[Preço]],N99+TbTradesBinance[[#This Row],[Qtt]]*TbTradesBinance[[#This Row],[Preço]])),N99)-IF(TbTradesBinance[[#This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Row],[Tipo]]="DROP"),N99+TbTradesBinance[[#This Row],[Qtt]],N99-TbTradesBinance[[#This Row],[Qtt]]),IF(TbTradesBinance[[#This Row],[Tipo]]="BUY",N99-TbTradesBinance[[#This Row],[Qtt]]*TbTradesBinance[[#This Row],[Preço]],N99+TbTradesBinance[[#This Row],[Qtt]]*TbTradesBinance[[#This Row],[Preço]])),N99)-IF(TbTradesBinance[[#This Row],[Moeda da Taxa]]=MID(N$1,9,5),TbTradesBinance[[#This Row],[Taxa]],0),8)))</f>
        <v>119745.70050707999</v>
      </c>
      <c r="O100" s="145" cm="1">
        <f t="array" ref="O100">IF(TbTradesBinance[[#This Row],[Tipo]]="EMPTY",0,O99+IF(TbTradesBinance[[#This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Row],[Par]]))),$1:$1,0)),-(N99-N100)/N99*O99),0),0)+IF(TbTradesBinance[[#This Row],[Tipo]]="SELL",IF(ISNUMBER(FIND(MID(O$1,10,5),TbTradesBinance[[#This Row],[Par]])),IF(FIND(MID(O$1,10,5),TbTradesBinance[[#This Row],[Par]])=1, -(N99-N100)/N99*O99,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Row],[Par]])),(-(N99-N100)/N99*O99)+IF(TbTradesBinance[[#This Row],[Resultado]]&gt;0,0,TbTradesBinance[[#This Row],[Taxa]]),0),0))</f>
        <v>119733.82450611531</v>
      </c>
      <c r="P100" s="145">
        <f t="shared" si="20"/>
        <v>0.99990082315344608</v>
      </c>
      <c r="Q10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Row],[Tipo]]="DROP"),Q99+TbTradesBinance[[#This Row],[Qtt]],Q99-TbTradesBinance[[#This Row],[Qtt]]),IF(TbTradesBinance[[#This Row],[Tipo]]="BUY",Q99-TbTradesBinance[[#This Row],[Qtt]]*TbTradesBinance[[#This Row],[Preço]],Q99+TbTradesBinance[[#This Row],[Qtt]]*TbTradesBinance[[#This Row],[Preço]])),Q99)-IF(TbTradesBinance[[#This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Row],[Tipo]]="DROP"),Q99+TbTradesBinance[[#This Row],[Qtt]],Q99-TbTradesBinance[[#This Row],[Qtt]]),IF(TbTradesBinance[[#This Row],[Tipo]]="BUY",Q99-TbTradesBinance[[#This Row],[Qtt]]*TbTradesBinance[[#This Row],[Preço]],Q99+TbTradesBinance[[#This Row],[Qtt]]*TbTradesBinance[[#This Row],[Preço]])),Q99)-IF(TbTradesBinance[[#This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Row],[Tipo]]="DROP"),Q99+TbTradesBinance[[#This Row],[Qtt]],Q99-TbTradesBinance[[#This Row],[Qtt]]),IF(TbTradesBinance[[#This Row],[Tipo]]="BUY",Q99-TbTradesBinance[[#This Row],[Qtt]]*TbTradesBinance[[#This Row],[Preço]],Q99+TbTradesBinance[[#This Row],[Qtt]]*TbTradesBinance[[#This Row],[Preço]])),Q99)-IF(TbTradesBinance[[#This Row],[Moeda da Taxa]]=MID(Q$1,9,5),TbTradesBinance[[#This Row],[Taxa]],0),8)))</f>
        <v>40.49707961</v>
      </c>
      <c r="R100" s="145" cm="1">
        <f t="array" ref="R100">IF(TbTradesBinance[[#This Row],[Tipo]]="EMPTY",0,R99+IF(TbTradesBinance[[#This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Row],[Par]]))),$1:$1,0)),-(Q99-Q100)/Q99*R99),0),0)+IF(TbTradesBinance[[#This Row],[Tipo]]="SELL",IF(ISNUMBER(FIND(MID(R$1,10,5),TbTradesBinance[[#This Row],[Par]])),IF(FIND(MID(R$1,10,5),TbTradesBinance[[#This Row],[Par]])=1, -(Q99-Q100)/Q99*R99,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Row],[Par]])),(-(Q99-Q100)/Q99*R99)+IF(TbTradesBinance[[#This Row],[Resultado]]&gt;0,0,TbTradesBinance[[#This Row],[Taxa]]),0),0))</f>
        <v>226.2752554359227</v>
      </c>
      <c r="S100" s="145">
        <f t="shared" si="21"/>
        <v>5.5874462458781409</v>
      </c>
      <c r="T10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Row],[Tipo]]="DROP"),T99+TbTradesBinance[[#This Row],[Qtt]],T99-TbTradesBinance[[#This Row],[Qtt]]),IF(TbTradesBinance[[#This Row],[Tipo]]="BUY",T99-TbTradesBinance[[#This Row],[Qtt]]*TbTradesBinance[[#This Row],[Preço]],T99+TbTradesBinance[[#This Row],[Qtt]]*TbTradesBinance[[#This Row],[Preço]])),T99)-IF(TbTradesBinance[[#This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Row],[Tipo]]="DROP"),T99+TbTradesBinance[[#This Row],[Qtt]],T99-TbTradesBinance[[#This Row],[Qtt]]),IF(TbTradesBinance[[#This Row],[Tipo]]="BUY",T99-TbTradesBinance[[#This Row],[Qtt]]*TbTradesBinance[[#This Row],[Preço]],T99+TbTradesBinance[[#This Row],[Qtt]]*TbTradesBinance[[#This Row],[Preço]])),T99)-IF(TbTradesBinance[[#This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Row],[Tipo]]="DROP"),T99+TbTradesBinance[[#This Row],[Qtt]],T99-TbTradesBinance[[#This Row],[Qtt]]),IF(TbTradesBinance[[#This Row],[Tipo]]="BUY",T99-TbTradesBinance[[#This Row],[Qtt]]*TbTradesBinance[[#This Row],[Preço]],T99+TbTradesBinance[[#This Row],[Qtt]]*TbTradesBinance[[#This Row],[Preço]])),T99)-IF(TbTradesBinance[[#This Row],[Moeda da Taxa]]=MID(T$1,9,5),TbTradesBinance[[#This Row],[Taxa]],0),8)))</f>
        <v>199735.32000169999</v>
      </c>
      <c r="U100" s="145" cm="1">
        <f t="array" ref="U100">IF(TbTradesBinance[[#This Row],[Tipo]]="EMPTY",0,U99+IF(TbTradesBinance[[#This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Row],[Par]]))),$1:$1,0)),-(T99-T100)/T99*U99),0),0)+IF(TbTradesBinance[[#This Row],[Tipo]]="SELL",IF(ISNUMBER(FIND(MID(U$1,10,5),TbTradesBinance[[#This Row],[Par]])),IF(FIND(MID(U$1,10,5),TbTradesBinance[[#This Row],[Par]])=1, -(T99-T100)/T99*U99,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Row],[Par]])),(-(T99-T100)/T99*U99)+IF(TbTradesBinance[[#This Row],[Resultado]]&gt;0,0,TbTradesBinance[[#This Row],[Taxa]]),0),0))</f>
        <v>1328239.8809817513</v>
      </c>
      <c r="V100" s="145">
        <f t="shared" si="22"/>
        <v>6.6500000148719129</v>
      </c>
      <c r="W10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Row],[Tipo]]="DROP"),W99+TbTradesBinance[[#This Row],[Qtt]],W99-TbTradesBinance[[#This Row],[Qtt]]),IF(TbTradesBinance[[#This Row],[Tipo]]="BUY",W99-TbTradesBinance[[#This Row],[Qtt]]*TbTradesBinance[[#This Row],[Preço]],W99+TbTradesBinance[[#This Row],[Qtt]]*TbTradesBinance[[#This Row],[Preço]])),W99)-IF(TbTradesBinance[[#This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Row],[Tipo]]="DROP"),W99+TbTradesBinance[[#This Row],[Qtt]],W99-TbTradesBinance[[#This Row],[Qtt]]),IF(TbTradesBinance[[#This Row],[Tipo]]="BUY",W99-TbTradesBinance[[#This Row],[Qtt]]*TbTradesBinance[[#This Row],[Preço]],W99+TbTradesBinance[[#This Row],[Qtt]]*TbTradesBinance[[#This Row],[Preço]])),W99)-IF(TbTradesBinance[[#This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Row],[Tipo]]="DROP"),W99+TbTradesBinance[[#This Row],[Qtt]],W99-TbTradesBinance[[#This Row],[Qtt]]),IF(TbTradesBinance[[#This Row],[Tipo]]="BUY",W99-TbTradesBinance[[#This Row],[Qtt]]*TbTradesBinance[[#This Row],[Preço]],W99+TbTradesBinance[[#This Row],[Qtt]]*TbTradesBinance[[#This Row],[Preço]])),W99)-IF(TbTradesBinance[[#This Row],[Moeda da Taxa]]=MID(W$1,9,5),TbTradesBinance[[#This Row],[Taxa]],0),8)))</f>
        <v>2.4807000000000002E-3</v>
      </c>
      <c r="X100" s="145" cm="1">
        <f t="array" ref="X100">IF(TbTradesBinance[[#This Row],[Tipo]]="EMPTY",0,X99+IF(TbTradesBinance[[#This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Row],[Par]]))),$1:$1,0)),-(W99-W100)/W99*X99),0),0)+IF(TbTradesBinance[[#This Row],[Tipo]]="SELL",IF(ISNUMBER(FIND(MID(X$1,10,5),TbTradesBinance[[#This Row],[Par]])),IF(FIND(MID(X$1,10,5),TbTradesBinance[[#This Row],[Par]])=1, -(W99-W100)/W99*X99,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Row],[Par]])),(-(W99-W100)/W99*X99)+IF(TbTradesBinance[[#This Row],[Resultado]]&gt;0,0,TbTradesBinance[[#This Row],[Taxa]]),0),0))</f>
        <v>833.51530608966118</v>
      </c>
      <c r="Y100" s="145">
        <f t="shared" si="23"/>
        <v>336000.04276601813</v>
      </c>
      <c r="Z10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Row],[Tipo]]="DROP"),Z99+TbTradesBinance[[#This Row],[Qtt]],Z99-TbTradesBinance[[#This Row],[Qtt]]),IF(TbTradesBinance[[#This Row],[Tipo]]="BUY",Z99-TbTradesBinance[[#This Row],[Qtt]]*TbTradesBinance[[#This Row],[Preço]],Z99+TbTradesBinance[[#This Row],[Qtt]]*TbTradesBinance[[#This Row],[Preço]])),Z99)-IF(TbTradesBinance[[#This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Row],[Tipo]]="DROP"),Z99+TbTradesBinance[[#This Row],[Qtt]],Z99-TbTradesBinance[[#This Row],[Qtt]]),IF(TbTradesBinance[[#This Row],[Tipo]]="BUY",Z99-TbTradesBinance[[#This Row],[Qtt]]*TbTradesBinance[[#This Row],[Preço]],Z99+TbTradesBinance[[#This Row],[Qtt]]*TbTradesBinance[[#This Row],[Preço]])),Z99)-IF(TbTradesBinance[[#This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Row],[Tipo]]="DROP"),Z99+TbTradesBinance[[#This Row],[Qtt]],Z99-TbTradesBinance[[#This Row],[Qtt]]),IF(TbTradesBinance[[#This Row],[Tipo]]="BUY",Z99-TbTradesBinance[[#This Row],[Qtt]]*TbTradesBinance[[#This Row],[Preço]],Z99+TbTradesBinance[[#This Row],[Qtt]]*TbTradesBinance[[#This Row],[Preço]])),Z99)-IF(TbTradesBinance[[#This Row],[Moeda da Taxa]]=MID(Z$1,9,5),TbTradesBinance[[#This Row],[Taxa]],0),8)))</f>
        <v>0</v>
      </c>
      <c r="AA100" s="145" cm="1">
        <f t="array" ref="AA100">IF(TbTradesBinance[[#This Row],[Tipo]]="EMPTY",0,AA99+IF(TbTradesBinance[[#This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Row],[Par]]))),$1:$1,0)),-(Z99-Z100)/Z99*AA99),0),0)+IF(TbTradesBinance[[#This Row],[Tipo]]="SELL",IF(ISNUMBER(FIND(MID(AA$1,10,5),TbTradesBinance[[#This Row],[Par]])),IF(FIND(MID(AA$1,10,5),TbTradesBinance[[#This Row],[Par]])=1, -(Z99-Z100)/Z99*AA99,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Row],[Par]])),(-(Z99-Z100)/Z99*AA99)+IF(TbTradesBinance[[#This Row],[Resultado]]&gt;0,0,TbTradesBinance[[#This Row],[Taxa]]),0),0))</f>
        <v>0</v>
      </c>
      <c r="AB100" s="145">
        <f t="shared" si="24"/>
        <v>0</v>
      </c>
      <c r="AC10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Row],[Tipo]]="DROP"),AC99+TbTradesBinance[[#This Row],[Qtt]],AC99-TbTradesBinance[[#This Row],[Qtt]]),IF(TbTradesBinance[[#This Row],[Tipo]]="BUY",AC99-TbTradesBinance[[#This Row],[Qtt]]*TbTradesBinance[[#This Row],[Preço]],AC99+TbTradesBinance[[#This Row],[Qtt]]*TbTradesBinance[[#This Row],[Preço]])),AC99)-IF(TbTradesBinance[[#This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Row],[Tipo]]="DROP"),AC99+TbTradesBinance[[#This Row],[Qtt]],AC99-TbTradesBinance[[#This Row],[Qtt]]),IF(TbTradesBinance[[#This Row],[Tipo]]="BUY",AC99-TbTradesBinance[[#This Row],[Qtt]]*TbTradesBinance[[#This Row],[Preço]],AC99+TbTradesBinance[[#This Row],[Qtt]]*TbTradesBinance[[#This Row],[Preço]])),AC99)-IF(TbTradesBinance[[#This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Row],[Tipo]]="DROP"),AC99+TbTradesBinance[[#This Row],[Qtt]],AC99-TbTradesBinance[[#This Row],[Qtt]]),IF(TbTradesBinance[[#This Row],[Tipo]]="BUY",AC99-TbTradesBinance[[#This Row],[Qtt]]*TbTradesBinance[[#This Row],[Preço]],AC99+TbTradesBinance[[#This Row],[Qtt]]*TbTradesBinance[[#This Row],[Preço]])),AC99)-IF(TbTradesBinance[[#This Row],[Moeda da Taxa]]=MID(AC$1,9,5),TbTradesBinance[[#This Row],[Taxa]],0),8)))</f>
        <v>2.997E-2</v>
      </c>
      <c r="AD100" s="145" cm="1">
        <f t="array" ref="AD100">IF(TbTradesBinance[[#This Row],[Tipo]]="EMPTY",0,AD99+IF(TbTradesBinance[[#This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Row],[Par]]))),$1:$1,0)),-(AC99-AC100)/AC99*AD99),0),0)+IF(TbTradesBinance[[#This Row],[Tipo]]="SELL",IF(ISNUMBER(FIND(MID(AD$1,10,5),TbTradesBinance[[#This Row],[Par]])),IF(FIND(MID(AD$1,10,5),TbTradesBinance[[#This Row],[Par]])=1, -(AC99-AC100)/AC99*AD99,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Row],[Par]])),(-(AC99-AC100)/AC99*AD99)+IF(TbTradesBinance[[#This Row],[Resultado]]&gt;0,0,TbTradesBinance[[#This Row],[Taxa]]),0),0))</f>
        <v>60.199749701148171</v>
      </c>
      <c r="AE100" s="145">
        <f t="shared" si="25"/>
        <v>2008.6669903619677</v>
      </c>
      <c r="AF10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Row],[Tipo]]="DROP"),AF99+TbTradesBinance[[#This Row],[Qtt]],AF99-TbTradesBinance[[#This Row],[Qtt]]),IF(TbTradesBinance[[#This Row],[Tipo]]="BUY",AF99-TbTradesBinance[[#This Row],[Qtt]]*TbTradesBinance[[#This Row],[Preço]],AF99+TbTradesBinance[[#This Row],[Qtt]]*TbTradesBinance[[#This Row],[Preço]])),AF99)-IF(TbTradesBinance[[#This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Row],[Tipo]]="DROP"),AF99+TbTradesBinance[[#This Row],[Qtt]],AF99-TbTradesBinance[[#This Row],[Qtt]]),IF(TbTradesBinance[[#This Row],[Tipo]]="BUY",AF99-TbTradesBinance[[#This Row],[Qtt]]*TbTradesBinance[[#This Row],[Preço]],AF99+TbTradesBinance[[#This Row],[Qtt]]*TbTradesBinance[[#This Row],[Preço]])),AF99)-IF(TbTradesBinance[[#This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Row],[Tipo]]="DROP"),AF99+TbTradesBinance[[#This Row],[Qtt]],AF99-TbTradesBinance[[#This Row],[Qtt]]),IF(TbTradesBinance[[#This Row],[Tipo]]="BUY",AF99-TbTradesBinance[[#This Row],[Qtt]]*TbTradesBinance[[#This Row],[Preço]],AF99+TbTradesBinance[[#This Row],[Qtt]]*TbTradesBinance[[#This Row],[Preço]])),AF99)-IF(TbTradesBinance[[#This Row],[Moeda da Taxa]]=MID(AF$1,9,5),TbTradesBinance[[#This Row],[Taxa]],0),8)))</f>
        <v>19.98</v>
      </c>
      <c r="AG100" s="145" cm="1">
        <f t="array" ref="AG100">IF(TbTradesBinance[[#This Row],[Tipo]]="EMPTY",0,AG99+IF(TbTradesBinance[[#This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Row],[Par]]))),$1:$1,0)),-(AF99-AF100)/AF99*AG99),0),0)+IF(TbTradesBinance[[#This Row],[Tipo]]="SELL",IF(ISNUMBER(FIND(MID(AG$1,10,5),TbTradesBinance[[#This Row],[Par]])),IF(FIND(MID(AG$1,10,5),TbTradesBinance[[#This Row],[Par]])=1, -(AF99-AF100)/AF99*AG99,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Row],[Par]])),(-(AF99-AF100)/AF99*AG99)+IF(TbTradesBinance[[#This Row],[Resultado]]&gt;0,0,TbTradesBinance[[#This Row],[Taxa]]),0),0))</f>
        <v>124.04182758073662</v>
      </c>
      <c r="AH100" s="145">
        <f t="shared" si="26"/>
        <v>6.2082996787155462</v>
      </c>
      <c r="AI10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Row],[Tipo]]="DROP"),AI99+TbTradesBinance[[#This Row],[Qtt]],AI99-TbTradesBinance[[#This Row],[Qtt]]),IF(TbTradesBinance[[#This Row],[Tipo]]="BUY",AI99-TbTradesBinance[[#This Row],[Qtt]]*TbTradesBinance[[#This Row],[Preço]],AI99+TbTradesBinance[[#This Row],[Qtt]]*TbTradesBinance[[#This Row],[Preço]])),AI99)-IF(TbTradesBinance[[#This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Row],[Tipo]]="DROP"),AI99+TbTradesBinance[[#This Row],[Qtt]],AI99-TbTradesBinance[[#This Row],[Qtt]]),IF(TbTradesBinance[[#This Row],[Tipo]]="BUY",AI99-TbTradesBinance[[#This Row],[Qtt]]*TbTradesBinance[[#This Row],[Preço]],AI99+TbTradesBinance[[#This Row],[Qtt]]*TbTradesBinance[[#This Row],[Preço]])),AI99)-IF(TbTradesBinance[[#This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Row],[Tipo]]="DROP"),AI99+TbTradesBinance[[#This Row],[Qtt]],AI99-TbTradesBinance[[#This Row],[Qtt]]),IF(TbTradesBinance[[#This Row],[Tipo]]="BUY",AI99-TbTradesBinance[[#This Row],[Qtt]]*TbTradesBinance[[#This Row],[Preço]],AI99+TbTradesBinance[[#This Row],[Qtt]]*TbTradesBinance[[#This Row],[Preço]])),AI99)-IF(TbTradesBinance[[#This Row],[Moeda da Taxa]]=MID(AI$1,9,5),TbTradesBinance[[#This Row],[Taxa]],0),8)))</f>
        <v>0</v>
      </c>
      <c r="AJ100" s="145" cm="1">
        <f t="array" ref="AJ100">IF(TbTradesBinance[[#This Row],[Tipo]]="EMPTY",0,AJ99+IF(TbTradesBinance[[#This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Row],[Par]]))),$1:$1,0)),-(AI99-AI100)/AI99*AJ99),0),0)+IF(TbTradesBinance[[#This Row],[Tipo]]="SELL",IF(ISNUMBER(FIND(MID(AJ$1,10,5),TbTradesBinance[[#This Row],[Par]])),IF(FIND(MID(AJ$1,10,5),TbTradesBinance[[#This Row],[Par]])=1, -(AI99-AI100)/AI99*AJ99,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Row],[Par]])),(-(AI99-AI100)/AI99*AJ99)+IF(TbTradesBinance[[#This Row],[Resultado]]&gt;0,0,TbTradesBinance[[#This Row],[Taxa]]),0),0))</f>
        <v>0</v>
      </c>
      <c r="AK100" s="145">
        <f t="shared" si="27"/>
        <v>0</v>
      </c>
      <c r="AL10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Row],[Tipo]]="DROP"),AL99+TbTradesBinance[[#This Row],[Qtt]],AL99-TbTradesBinance[[#This Row],[Qtt]]),IF(TbTradesBinance[[#This Row],[Tipo]]="BUY",AL99-TbTradesBinance[[#This Row],[Qtt]]*TbTradesBinance[[#This Row],[Preço]],AL99+TbTradesBinance[[#This Row],[Qtt]]*TbTradesBinance[[#This Row],[Preço]])),AL99)-IF(TbTradesBinance[[#This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Row],[Tipo]]="DROP"),AL99+TbTradesBinance[[#This Row],[Qtt]],AL99-TbTradesBinance[[#This Row],[Qtt]]),IF(TbTradesBinance[[#This Row],[Tipo]]="BUY",AL99-TbTradesBinance[[#This Row],[Qtt]]*TbTradesBinance[[#This Row],[Preço]],AL99+TbTradesBinance[[#This Row],[Qtt]]*TbTradesBinance[[#This Row],[Preço]])),AL99)-IF(TbTradesBinance[[#This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Row],[Tipo]]="DROP"),AL99+TbTradesBinance[[#This Row],[Qtt]],AL99-TbTradesBinance[[#This Row],[Qtt]]),IF(TbTradesBinance[[#This Row],[Tipo]]="BUY",AL99-TbTradesBinance[[#This Row],[Qtt]]*TbTradesBinance[[#This Row],[Preço]],AL99+TbTradesBinance[[#This Row],[Qtt]]*TbTradesBinance[[#This Row],[Preço]])),AL99)-IF(TbTradesBinance[[#This Row],[Moeda da Taxa]]=MID(AL$1,9,5),TbTradesBinance[[#This Row],[Taxa]],0),8)))</f>
        <v>1.75824</v>
      </c>
      <c r="AM100" s="145" cm="1">
        <f t="array" ref="AM100">IF(TbTradesBinance[[#This Row],[Tipo]]="EMPTY",0,AM99+IF(TbTradesBinance[[#This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Row],[Par]]))),$1:$1,0)),-(AL99-AL100)/AL99*AM99),0),0)+IF(TbTradesBinance[[#This Row],[Tipo]]="SELL",IF(ISNUMBER(FIND(MID(AM$1,10,5),TbTradesBinance[[#This Row],[Par]])),IF(FIND(MID(AM$1,10,5),TbTradesBinance[[#This Row],[Par]])=1, -(AL99-AL100)/AL99*AM99,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Row],[Par]])),(-(AL99-AL100)/AL99*AM99)+IF(TbTradesBinance[[#This Row],[Resultado]]&gt;0,0,TbTradesBinance[[#This Row],[Taxa]]),0),0))</f>
        <v>144.56635471393039</v>
      </c>
      <c r="AN100" s="145">
        <f t="shared" si="28"/>
        <v>82.222196465744375</v>
      </c>
      <c r="AO10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Row],[Tipo]]="DROP"),AO99+TbTradesBinance[[#This Row],[Qtt]],AO99-TbTradesBinance[[#This Row],[Qtt]]),IF(TbTradesBinance[[#This Row],[Tipo]]="BUY",AO99-TbTradesBinance[[#This Row],[Qtt]]*TbTradesBinance[[#This Row],[Preço]],AO99+TbTradesBinance[[#This Row],[Qtt]]*TbTradesBinance[[#This Row],[Preço]])),AO99)-IF(TbTradesBinance[[#This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Row],[Tipo]]="DROP"),AO99+TbTradesBinance[[#This Row],[Qtt]],AO99-TbTradesBinance[[#This Row],[Qtt]]),IF(TbTradesBinance[[#This Row],[Tipo]]="BUY",AO99-TbTradesBinance[[#This Row],[Qtt]]*TbTradesBinance[[#This Row],[Preço]],AO99+TbTradesBinance[[#This Row],[Qtt]]*TbTradesBinance[[#This Row],[Preço]])),AO99)-IF(TbTradesBinance[[#This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Row],[Tipo]]="DROP"),AO99+TbTradesBinance[[#This Row],[Qtt]],AO99-TbTradesBinance[[#This Row],[Qtt]]),IF(TbTradesBinance[[#This Row],[Tipo]]="BUY",AO99-TbTradesBinance[[#This Row],[Qtt]]*TbTradesBinance[[#This Row],[Preço]],AO99+TbTradesBinance[[#This Row],[Qtt]]*TbTradesBinance[[#This Row],[Preço]])),AO99)-IF(TbTradesBinance[[#This Row],[Moeda da Taxa]]=MID(AO$1,9,5),TbTradesBinance[[#This Row],[Taxa]],0),8)))</f>
        <v>3.9907299999999996E-3</v>
      </c>
      <c r="AP100" s="145" cm="1">
        <f t="array" ref="AP100">IF(TbTradesBinance[[#This Row],[Tipo]]="EMPTY",0,AP99+IF(TbTradesBinance[[#This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Row],[Par]]))),$1:$1,0)),-(AO99-AO100)/AO99*AP99),0),0)+IF(TbTradesBinance[[#This Row],[Tipo]]="SELL",IF(ISNUMBER(FIND(MID(AP$1,10,5),TbTradesBinance[[#This Row],[Par]])),IF(FIND(MID(AP$1,10,5),TbTradesBinance[[#This Row],[Par]])=1, -(AO99-AO100)/AO99*AP99,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Row],[Par]])),(-(AO99-AO100)/AO99*AP99)+IF(TbTradesBinance[[#This Row],[Resultado]]&gt;0,0,TbTradesBinance[[#This Row],[Taxa]]),0),0))</f>
        <v>7.3360959318006032</v>
      </c>
      <c r="AQ100" s="145">
        <f t="shared" si="29"/>
        <v>1838.2842065989439</v>
      </c>
      <c r="AR10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Row],[Tipo]]="DROP"),AR99+TbTradesBinance[[#This Row],[Qtt]],AR99-TbTradesBinance[[#This Row],[Qtt]]),IF(TbTradesBinance[[#This Row],[Tipo]]="BUY",AR99-TbTradesBinance[[#This Row],[Qtt]]*TbTradesBinance[[#This Row],[Preço]],AR99+TbTradesBinance[[#This Row],[Qtt]]*TbTradesBinance[[#This Row],[Preço]])),AR99)-IF(TbTradesBinance[[#This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Row],[Tipo]]="DROP"),AR99+TbTradesBinance[[#This Row],[Qtt]],AR99-TbTradesBinance[[#This Row],[Qtt]]),IF(TbTradesBinance[[#This Row],[Tipo]]="BUY",AR99-TbTradesBinance[[#This Row],[Qtt]]*TbTradesBinance[[#This Row],[Preço]],AR99+TbTradesBinance[[#This Row],[Qtt]]*TbTradesBinance[[#This Row],[Preço]])),AR99)-IF(TbTradesBinance[[#This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Row],[Tipo]]="DROP"),AR99+TbTradesBinance[[#This Row],[Qtt]],AR99-TbTradesBinance[[#This Row],[Qtt]]),IF(TbTradesBinance[[#This Row],[Tipo]]="BUY",AR99-TbTradesBinance[[#This Row],[Qtt]]*TbTradesBinance[[#This Row],[Preço]],AR99+TbTradesBinance[[#This Row],[Qtt]]*TbTradesBinance[[#This Row],[Preço]])),AR99)-IF(TbTradesBinance[[#This Row],[Moeda da Taxa]]=MID(AR$1,9,5),TbTradesBinance[[#This Row],[Taxa]],0),8)))</f>
        <v>61.251199999999997</v>
      </c>
      <c r="AS100" s="145" cm="1">
        <f t="array" ref="AS100">IF(TbTradesBinance[[#This Row],[Tipo]]="EMPTY",0,AS99+IF(TbTradesBinance[[#This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Row],[Par]]))),$1:$1,0)),-(AR99-AR100)/AR99*AS99),0),0)+IF(TbTradesBinance[[#This Row],[Tipo]]="SELL",IF(ISNUMBER(FIND(MID(AS$1,10,5),TbTradesBinance[[#This Row],[Par]])),IF(FIND(MID(AS$1,10,5),TbTradesBinance[[#This Row],[Par]])=1, -(AR99-AR100)/AR99*AS99,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Row],[Par]])),(-(AR99-AR100)/AR99*AS99)+IF(TbTradesBinance[[#This Row],[Resultado]]&gt;0,0,TbTradesBinance[[#This Row],[Taxa]]),0),0))</f>
        <v>230.84001376053044</v>
      </c>
      <c r="AT100" s="145">
        <f t="shared" si="30"/>
        <v>3.7687427146003745</v>
      </c>
      <c r="AU10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Row],[Tipo]]="DROP"),AU99+TbTradesBinance[[#This Row],[Qtt]],AU99-TbTradesBinance[[#This Row],[Qtt]]),IF(TbTradesBinance[[#This Row],[Tipo]]="BUY",AU99-TbTradesBinance[[#This Row],[Qtt]]*TbTradesBinance[[#This Row],[Preço]],AU99+TbTradesBinance[[#This Row],[Qtt]]*TbTradesBinance[[#This Row],[Preço]])),AU99)-IF(TbTradesBinance[[#This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Row],[Tipo]]="DROP"),AU99+TbTradesBinance[[#This Row],[Qtt]],AU99-TbTradesBinance[[#This Row],[Qtt]]),IF(TbTradesBinance[[#This Row],[Tipo]]="BUY",AU99-TbTradesBinance[[#This Row],[Qtt]]*TbTradesBinance[[#This Row],[Preço]],AU99+TbTradesBinance[[#This Row],[Qtt]]*TbTradesBinance[[#This Row],[Preço]])),AU99)-IF(TbTradesBinance[[#This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Row],[Tipo]]="DROP"),AU99+TbTradesBinance[[#This Row],[Qtt]],AU99-TbTradesBinance[[#This Row],[Qtt]]),IF(TbTradesBinance[[#This Row],[Tipo]]="BUY",AU99-TbTradesBinance[[#This Row],[Qtt]]*TbTradesBinance[[#This Row],[Preço]],AU99+TbTradesBinance[[#This Row],[Qtt]]*TbTradesBinance[[#This Row],[Preço]])),AU99)-IF(TbTradesBinance[[#This Row],[Moeda da Taxa]]=MID(AU$1,9,5),TbTradesBinance[[#This Row],[Taxa]],0),8)))</f>
        <v>0</v>
      </c>
      <c r="AV100" s="145" cm="1">
        <f t="array" ref="AV100">IF(TbTradesBinance[[#This Row],[Tipo]]="EMPTY",0,AV99+IF(TbTradesBinance[[#This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Row],[Par]]))),$1:$1,0)),-(AU99-AU100)/AU99*AV99),0),0)+IF(TbTradesBinance[[#This Row],[Tipo]]="SELL",IF(ISNUMBER(FIND(MID(AV$1,10,5),TbTradesBinance[[#This Row],[Par]])),IF(FIND(MID(AV$1,10,5),TbTradesBinance[[#This Row],[Par]])=1, -(AU99-AU100)/AU99*AV99,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Row],[Par]])),(-(AU99-AU100)/AU99*AV99)+IF(TbTradesBinance[[#This Row],[Resultado]]&gt;0,0,TbTradesBinance[[#This Row],[Taxa]]),0),0))</f>
        <v>0</v>
      </c>
      <c r="AW100" s="145">
        <f t="shared" si="31"/>
        <v>0</v>
      </c>
      <c r="AX10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Row],[Tipo]]="DROP"),AX99+TbTradesBinance[[#This Row],[Qtt]],AX99-TbTradesBinance[[#This Row],[Qtt]]),IF(TbTradesBinance[[#This Row],[Tipo]]="BUY",AX99-TbTradesBinance[[#This Row],[Qtt]]*TbTradesBinance[[#This Row],[Preço]],AX99+TbTradesBinance[[#This Row],[Qtt]]*TbTradesBinance[[#This Row],[Preço]])),AX99)-IF(TbTradesBinance[[#This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Row],[Tipo]]="DROP"),AX99+TbTradesBinance[[#This Row],[Qtt]],AX99-TbTradesBinance[[#This Row],[Qtt]]),IF(TbTradesBinance[[#This Row],[Tipo]]="BUY",AX99-TbTradesBinance[[#This Row],[Qtt]]*TbTradesBinance[[#This Row],[Preço]],AX99+TbTradesBinance[[#This Row],[Qtt]]*TbTradesBinance[[#This Row],[Preço]])),AX99)-IF(TbTradesBinance[[#This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Row],[Tipo]]="DROP"),AX99+TbTradesBinance[[#This Row],[Qtt]],AX99-TbTradesBinance[[#This Row],[Qtt]]),IF(TbTradesBinance[[#This Row],[Tipo]]="BUY",AX99-TbTradesBinance[[#This Row],[Qtt]]*TbTradesBinance[[#This Row],[Preço]],AX99+TbTradesBinance[[#This Row],[Qtt]]*TbTradesBinance[[#This Row],[Preço]])),AX99)-IF(TbTradesBinance[[#This Row],[Moeda da Taxa]]=MID(AX$1,9,5),TbTradesBinance[[#This Row],[Taxa]],0),8)))</f>
        <v>0.22636999999999999</v>
      </c>
      <c r="AY100" s="145" cm="1">
        <f t="array" ref="AY100">IF(TbTradesBinance[[#This Row],[Tipo]]="EMPTY",0,AY99+IF(TbTradesBinance[[#This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Row],[Par]]))),$1:$1,0)),-(AX99-AX100)/AX99*AY99),0),0)+IF(TbTradesBinance[[#This Row],[Tipo]]="SELL",IF(ISNUMBER(FIND(MID(AY$1,10,5),TbTradesBinance[[#This Row],[Par]])),IF(FIND(MID(AY$1,10,5),TbTradesBinance[[#This Row],[Par]])=1, -(AX99-AX100)/AX99*AY99,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Row],[Par]])),(-(AX99-AX100)/AX99*AY99)+IF(TbTradesBinance[[#This Row],[Resultado]]&gt;0,0,TbTradesBinance[[#This Row],[Taxa]]),0),0))</f>
        <v>40.781337593356859</v>
      </c>
      <c r="AZ100" s="145">
        <f t="shared" si="32"/>
        <v>180.15345493376711</v>
      </c>
      <c r="BA10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Row],[Tipo]]="DROP"),BA99+TbTradesBinance[[#This Row],[Qtt]],BA99-TbTradesBinance[[#This Row],[Qtt]]),IF(TbTradesBinance[[#This Row],[Tipo]]="BUY",BA99-TbTradesBinance[[#This Row],[Qtt]]*TbTradesBinance[[#This Row],[Preço]],BA99+TbTradesBinance[[#This Row],[Qtt]]*TbTradesBinance[[#This Row],[Preço]])),BA99)-IF(TbTradesBinance[[#This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Row],[Tipo]]="DROP"),BA99+TbTradesBinance[[#This Row],[Qtt]],BA99-TbTradesBinance[[#This Row],[Qtt]]),IF(TbTradesBinance[[#This Row],[Tipo]]="BUY",BA99-TbTradesBinance[[#This Row],[Qtt]]*TbTradesBinance[[#This Row],[Preço]],BA99+TbTradesBinance[[#This Row],[Qtt]]*TbTradesBinance[[#This Row],[Preço]])),BA99)-IF(TbTradesBinance[[#This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Row],[Tipo]]="DROP"),BA99+TbTradesBinance[[#This Row],[Qtt]],BA99-TbTradesBinance[[#This Row],[Qtt]]),IF(TbTradesBinance[[#This Row],[Tipo]]="BUY",BA99-TbTradesBinance[[#This Row],[Qtt]]*TbTradesBinance[[#This Row],[Preço]],BA99+TbTradesBinance[[#This Row],[Qtt]]*TbTradesBinance[[#This Row],[Preço]])),BA99)-IF(TbTradesBinance[[#This Row],[Moeda da Taxa]]=MID(BA$1,9,5),TbTradesBinance[[#This Row],[Taxa]],0),8)))</f>
        <v>0</v>
      </c>
      <c r="BB100" s="145" cm="1">
        <f t="array" ref="BB100">IF(TbTradesBinance[[#This Row],[Tipo]]="EMPTY",0,BB99+IF(TbTradesBinance[[#This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Row],[Par]]))),$1:$1,0)),-(BA99-BA100)/BA99*BB99),0),0)+IF(TbTradesBinance[[#This Row],[Tipo]]="SELL",IF(ISNUMBER(FIND(MID(BB$1,10,5),TbTradesBinance[[#This Row],[Par]])),IF(FIND(MID(BB$1,10,5),TbTradesBinance[[#This Row],[Par]])=1, -(BA99-BA100)/BA99*BB99,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Row],[Par]])),(-(BA99-BA100)/BA99*BB99)+IF(TbTradesBinance[[#This Row],[Resultado]]&gt;0,0,TbTradesBinance[[#This Row],[Taxa]]),0),0))</f>
        <v>0</v>
      </c>
      <c r="BC100" s="145">
        <f t="shared" si="33"/>
        <v>0</v>
      </c>
      <c r="BD10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Row],[Tipo]]="DROP"),BD99+TbTradesBinance[[#This Row],[Qtt]],BD99-TbTradesBinance[[#This Row],[Qtt]]),IF(TbTradesBinance[[#This Row],[Tipo]]="BUY",BD99-TbTradesBinance[[#This Row],[Qtt]]*TbTradesBinance[[#This Row],[Preço]],BD99+TbTradesBinance[[#This Row],[Qtt]]*TbTradesBinance[[#This Row],[Preço]])),BD99)-IF(TbTradesBinance[[#This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Row],[Tipo]]="DROP"),BD99+TbTradesBinance[[#This Row],[Qtt]],BD99-TbTradesBinance[[#This Row],[Qtt]]),IF(TbTradesBinance[[#This Row],[Tipo]]="BUY",BD99-TbTradesBinance[[#This Row],[Qtt]]*TbTradesBinance[[#This Row],[Preço]],BD99+TbTradesBinance[[#This Row],[Qtt]]*TbTradesBinance[[#This Row],[Preço]])),BD99)-IF(TbTradesBinance[[#This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Row],[Tipo]]="DROP"),BD99+TbTradesBinance[[#This Row],[Qtt]],BD99-TbTradesBinance[[#This Row],[Qtt]]),IF(TbTradesBinance[[#This Row],[Tipo]]="BUY",BD99-TbTradesBinance[[#This Row],[Qtt]]*TbTradesBinance[[#This Row],[Preço]],BD99+TbTradesBinance[[#This Row],[Qtt]]*TbTradesBinance[[#This Row],[Preço]])),BD99)-IF(TbTradesBinance[[#This Row],[Moeda da Taxa]]=MID(BD$1,9,5),TbTradesBinance[[#This Row],[Taxa]],0),8)))</f>
        <v>0.56906000000000001</v>
      </c>
      <c r="BE100" s="145" cm="1">
        <f t="array" ref="BE100">IF(TbTradesBinance[[#This Row],[Tipo]]="EMPTY",0,BE99+IF(TbTradesBinance[[#This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Row],[Par]]))),$1:$1,0)),-(BD99-BD100)/BD99*BE99),0),0)+IF(TbTradesBinance[[#This Row],[Tipo]]="SELL",IF(ISNUMBER(FIND(MID(BE$1,10,5),TbTradesBinance[[#This Row],[Par]])),IF(FIND(MID(BE$1,10,5),TbTradesBinance[[#This Row],[Par]])=1, -(BD99-BD100)/BD99*BE99,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Row],[Par]])),(-(BD99-BD100)/BD99*BE99)+IF(TbTradesBinance[[#This Row],[Resultado]]&gt;0,0,TbTradesBinance[[#This Row],[Taxa]]),0),0))</f>
        <v>105.81619120195663</v>
      </c>
      <c r="BF100" s="145">
        <f t="shared" si="34"/>
        <v>185.94909359638109</v>
      </c>
      <c r="BG10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Row],[Tipo]]="DROP"),BG99+TbTradesBinance[[#This Row],[Qtt]],BG99-TbTradesBinance[[#This Row],[Qtt]]),IF(TbTradesBinance[[#This Row],[Tipo]]="BUY",BG99-TbTradesBinance[[#This Row],[Qtt]]*TbTradesBinance[[#This Row],[Preço]],BG99+TbTradesBinance[[#This Row],[Qtt]]*TbTradesBinance[[#This Row],[Preço]])),BG99)-IF(TbTradesBinance[[#This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Row],[Tipo]]="DROP"),BG99+TbTradesBinance[[#This Row],[Qtt]],BG99-TbTradesBinance[[#This Row],[Qtt]]),IF(TbTradesBinance[[#This Row],[Tipo]]="BUY",BG99-TbTradesBinance[[#This Row],[Qtt]]*TbTradesBinance[[#This Row],[Preço]],BG99+TbTradesBinance[[#This Row],[Qtt]]*TbTradesBinance[[#This Row],[Preço]])),BG99)-IF(TbTradesBinance[[#This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Row],[Tipo]]="DROP"),BG99+TbTradesBinance[[#This Row],[Qtt]],BG99-TbTradesBinance[[#This Row],[Qtt]]),IF(TbTradesBinance[[#This Row],[Tipo]]="BUY",BG99-TbTradesBinance[[#This Row],[Qtt]]*TbTradesBinance[[#This Row],[Preço]],BG99+TbTradesBinance[[#This Row],[Qtt]]*TbTradesBinance[[#This Row],[Preço]])),BG99)-IF(TbTradesBinance[[#This Row],[Moeda da Taxa]]=MID(BG$1,9,5),TbTradesBinance[[#This Row],[Taxa]],0),8)))</f>
        <v>0</v>
      </c>
      <c r="BH100" s="145" cm="1">
        <f t="array" ref="BH100">IF(TbTradesBinance[[#This Row],[Tipo]]="EMPTY",0,BH99+IF(TbTradesBinance[[#This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Row],[Par]]))),$1:$1,0)),-(BG99-BG100)/BG99*BH99),0),0)+IF(TbTradesBinance[[#This Row],[Tipo]]="SELL",IF(ISNUMBER(FIND(MID(BH$1,10,5),TbTradesBinance[[#This Row],[Par]])),IF(FIND(MID(BH$1,10,5),TbTradesBinance[[#This Row],[Par]])=1, -(BG99-BG100)/BG99*BH99,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Row],[Par]])),(-(BG99-BG100)/BG99*BH99)+IF(TbTradesBinance[[#This Row],[Resultado]]&gt;0,0,TbTradesBinance[[#This Row],[Taxa]]),0),0))</f>
        <v>0</v>
      </c>
      <c r="BI100" s="145">
        <f t="shared" si="35"/>
        <v>0</v>
      </c>
      <c r="BJ10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Row],[Tipo]]="DROP"),BJ99+TbTradesBinance[[#This Row],[Qtt]],BJ99-TbTradesBinance[[#This Row],[Qtt]]),IF(TbTradesBinance[[#This Row],[Tipo]]="BUY",BJ99-TbTradesBinance[[#This Row],[Qtt]]*TbTradesBinance[[#This Row],[Preço]],BJ99+TbTradesBinance[[#This Row],[Qtt]]*TbTradesBinance[[#This Row],[Preço]])),BJ99)-IF(TbTradesBinance[[#This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Row],[Tipo]]="DROP"),BJ99+TbTradesBinance[[#This Row],[Qtt]],BJ99-TbTradesBinance[[#This Row],[Qtt]]),IF(TbTradesBinance[[#This Row],[Tipo]]="BUY",BJ99-TbTradesBinance[[#This Row],[Qtt]]*TbTradesBinance[[#This Row],[Preço]],BJ99+TbTradesBinance[[#This Row],[Qtt]]*TbTradesBinance[[#This Row],[Preço]])),BJ99)-IF(TbTradesBinance[[#This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Row],[Tipo]]="DROP"),BJ99+TbTradesBinance[[#This Row],[Qtt]],BJ99-TbTradesBinance[[#This Row],[Qtt]]),IF(TbTradesBinance[[#This Row],[Tipo]]="BUY",BJ99-TbTradesBinance[[#This Row],[Qtt]]*TbTradesBinance[[#This Row],[Preço]],BJ99+TbTradesBinance[[#This Row],[Qtt]]*TbTradesBinance[[#This Row],[Preço]])),BJ99)-IF(TbTradesBinance[[#This Row],[Moeda da Taxa]]=MID(BJ$1,9,5),TbTradesBinance[[#This Row],[Taxa]],0),8)))</f>
        <v>0</v>
      </c>
      <c r="BK100" s="145" cm="1">
        <f t="array" ref="BK100">IF(TbTradesBinance[[#This Row],[Tipo]]="EMPTY",0,BK99+IF(TbTradesBinance[[#This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Row],[Par]]))),$1:$1,0)),-(BJ99-BJ100)/BJ99*BK99),0),0)+IF(TbTradesBinance[[#This Row],[Tipo]]="SELL",IF(ISNUMBER(FIND(MID(BK$1,10,5),TbTradesBinance[[#This Row],[Par]])),IF(FIND(MID(BK$1,10,5),TbTradesBinance[[#This Row],[Par]])=1, -(BJ99-BJ100)/BJ99*BK99,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Row],[Par]])),(-(BJ99-BJ100)/BJ99*BK99)+IF(TbTradesBinance[[#This Row],[Resultado]]&gt;0,0,TbTradesBinance[[#This Row],[Taxa]]),0),0))</f>
        <v>0</v>
      </c>
      <c r="BL100" s="145">
        <f t="shared" si="36"/>
        <v>0</v>
      </c>
      <c r="BM10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Row],[Tipo]]="DROP"),BM99+TbTradesBinance[[#This Row],[Qtt]],BM99-TbTradesBinance[[#This Row],[Qtt]]),IF(TbTradesBinance[[#This Row],[Tipo]]="BUY",BM99-TbTradesBinance[[#This Row],[Qtt]]*TbTradesBinance[[#This Row],[Preço]],BM99+TbTradesBinance[[#This Row],[Qtt]]*TbTradesBinance[[#This Row],[Preço]])),BM99)-IF(TbTradesBinance[[#This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Row],[Tipo]]="DROP"),BM99+TbTradesBinance[[#This Row],[Qtt]],BM99-TbTradesBinance[[#This Row],[Qtt]]),IF(TbTradesBinance[[#This Row],[Tipo]]="BUY",BM99-TbTradesBinance[[#This Row],[Qtt]]*TbTradesBinance[[#This Row],[Preço]],BM99+TbTradesBinance[[#This Row],[Qtt]]*TbTradesBinance[[#This Row],[Preço]])),BM99)-IF(TbTradesBinance[[#This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Row],[Tipo]]="DROP"),BM99+TbTradesBinance[[#This Row],[Qtt]],BM99-TbTradesBinance[[#This Row],[Qtt]]),IF(TbTradesBinance[[#This Row],[Tipo]]="BUY",BM99-TbTradesBinance[[#This Row],[Qtt]]*TbTradesBinance[[#This Row],[Preço]],BM99+TbTradesBinance[[#This Row],[Qtt]]*TbTradesBinance[[#This Row],[Preço]])),BM99)-IF(TbTradesBinance[[#This Row],[Moeda da Taxa]]=MID(BM$1,9,5),TbTradesBinance[[#This Row],[Taxa]],0),8)))</f>
        <v>0</v>
      </c>
      <c r="BN100" s="145" cm="1">
        <f t="array" ref="BN100">IF(TbTradesBinance[[#This Row],[Tipo]]="EMPTY",0,BN99+IF(TbTradesBinance[[#This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Row],[Par]]))),$1:$1,0)),-(BM99-BM100)/BM99*BN99),0),0)+IF(TbTradesBinance[[#This Row],[Tipo]]="SELL",IF(ISNUMBER(FIND(MID(BN$1,10,5),TbTradesBinance[[#This Row],[Par]])),IF(FIND(MID(BN$1,10,5),TbTradesBinance[[#This Row],[Par]])=1, -(BM99-BM100)/BM99*BN99,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Row],[Par]])),(-(BM99-BM100)/BM99*BN99)+IF(TbTradesBinance[[#This Row],[Resultado]]&gt;0,0,TbTradesBinance[[#This Row],[Taxa]]),0),0))</f>
        <v>0</v>
      </c>
      <c r="BO100" s="145">
        <f t="shared" si="37"/>
        <v>0</v>
      </c>
    </row>
    <row r="101" spans="2:67" x14ac:dyDescent="0.3">
      <c r="B101" s="51"/>
      <c r="C101" s="40">
        <f>TRUNC(IF(AND(TbTradesBinance[[#This Row],[Tipo]]="SEND",TbTradesBinance[[#This Row],[Par]]="BRL"),TbTradesBinance[[#This Row],[Qtt]]*(1-P99)-IF(TbTradesBinance[[#This Row],[Moeda da Taxa]]="BRL",TbTradesBinance[[#This Row],[Taxa]],0),0)+IF(AND(TbTradesBinance[[#This Row],[Tipo]]="BURN",TbTradesBinance[[#This Row],[Par]]="BRL"),-TbTradesBinance[[#This Row],[Qtt]]*P99,0),2)</f>
        <v>0</v>
      </c>
      <c r="D101" s="53">
        <v>44269.890879629631</v>
      </c>
      <c r="E101" s="37" t="s">
        <v>249</v>
      </c>
      <c r="F101" s="47" t="s">
        <v>139</v>
      </c>
      <c r="G101" s="38">
        <v>59550</v>
      </c>
      <c r="H101" s="38">
        <v>3.3500000000000001E-4</v>
      </c>
      <c r="I101" s="38">
        <v>3.3999999999999997E-7</v>
      </c>
      <c r="J101" s="37" t="s">
        <v>6</v>
      </c>
      <c r="K101" s="52">
        <v>5.64</v>
      </c>
      <c r="L101" s="40">
        <f t="shared" si="19"/>
        <v>335862</v>
      </c>
      <c r="M101" s="40">
        <f>IF(OR(TbTradesBinance[[#This Row],[Tipo]]="BUY",TbTradesBinance[[#This Row],[Tipo]]="RECEIVE",TbTradesBinance[[#This Row],[Tipo]]="DROP"),L101*H101,-L101*H101)</f>
        <v>112.51377000000001</v>
      </c>
      <c r="N10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Row],[Tipo]]="DROP"),N100+TbTradesBinance[[#This Row],[Qtt]],N100-TbTradesBinance[[#This Row],[Qtt]]),IF(TbTradesBinance[[#This Row],[Tipo]]="BUY",N100-TbTradesBinance[[#This Row],[Qtt]]*TbTradesBinance[[#This Row],[Preço]],N100+TbTradesBinance[[#This Row],[Qtt]]*TbTradesBinance[[#This Row],[Preço]])),N100)-IF(TbTradesBinance[[#This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Row],[Tipo]]="DROP"),N100+TbTradesBinance[[#This Row],[Qtt]],N100-TbTradesBinance[[#This Row],[Qtt]]),IF(TbTradesBinance[[#This Row],[Tipo]]="BUY",N100-TbTradesBinance[[#This Row],[Qtt]]*TbTradesBinance[[#This Row],[Preço]],N100+TbTradesBinance[[#This Row],[Qtt]]*TbTradesBinance[[#This Row],[Preço]])),N100)-IF(TbTradesBinance[[#This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Row],[Tipo]]="DROP"),N100+TbTradesBinance[[#This Row],[Qtt]],N100-TbTradesBinance[[#This Row],[Qtt]]),IF(TbTradesBinance[[#This Row],[Tipo]]="BUY",N100-TbTradesBinance[[#This Row],[Qtt]]*TbTradesBinance[[#This Row],[Preço]],N100+TbTradesBinance[[#This Row],[Qtt]]*TbTradesBinance[[#This Row],[Preço]])),N100)-IF(TbTradesBinance[[#This Row],[Moeda da Taxa]]=MID(N$1,9,5),TbTradesBinance[[#This Row],[Taxa]],0),8)))</f>
        <v>119745.70050707999</v>
      </c>
      <c r="O101" s="145" cm="1">
        <f t="array" ref="O101">IF(TbTradesBinance[[#This Row],[Tipo]]="EMPTY",0,O100+IF(TbTradesBinance[[#This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Row],[Par]]))),$1:$1,0)),-(N100-N101)/N100*O100),0),0)+IF(TbTradesBinance[[#This Row],[Tipo]]="SELL",IF(ISNUMBER(FIND(MID(O$1,10,5),TbTradesBinance[[#This Row],[Par]])),IF(FIND(MID(O$1,10,5),TbTradesBinance[[#This Row],[Par]])=1, -(N100-N101)/N100*O100,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Row],[Par]])),(-(N100-N101)/N100*O100)+IF(TbTradesBinance[[#This Row],[Resultado]]&gt;0,0,TbTradesBinance[[#This Row],[Taxa]]),0),0))</f>
        <v>119733.82450611531</v>
      </c>
      <c r="P101" s="145">
        <f t="shared" si="20"/>
        <v>0.99990082315344608</v>
      </c>
      <c r="Q10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Row],[Tipo]]="DROP"),Q100+TbTradesBinance[[#This Row],[Qtt]],Q100-TbTradesBinance[[#This Row],[Qtt]]),IF(TbTradesBinance[[#This Row],[Tipo]]="BUY",Q100-TbTradesBinance[[#This Row],[Qtt]]*TbTradesBinance[[#This Row],[Preço]],Q100+TbTradesBinance[[#This Row],[Qtt]]*TbTradesBinance[[#This Row],[Preço]])),Q100)-IF(TbTradesBinance[[#This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Row],[Tipo]]="DROP"),Q100+TbTradesBinance[[#This Row],[Qtt]],Q100-TbTradesBinance[[#This Row],[Qtt]]),IF(TbTradesBinance[[#This Row],[Tipo]]="BUY",Q100-TbTradesBinance[[#This Row],[Qtt]]*TbTradesBinance[[#This Row],[Preço]],Q100+TbTradesBinance[[#This Row],[Qtt]]*TbTradesBinance[[#This Row],[Preço]])),Q100)-IF(TbTradesBinance[[#This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Row],[Tipo]]="DROP"),Q100+TbTradesBinance[[#This Row],[Qtt]],Q100-TbTradesBinance[[#This Row],[Qtt]]),IF(TbTradesBinance[[#This Row],[Tipo]]="BUY",Q100-TbTradesBinance[[#This Row],[Qtt]]*TbTradesBinance[[#This Row],[Preço]],Q100+TbTradesBinance[[#This Row],[Qtt]]*TbTradesBinance[[#This Row],[Preço]])),Q100)-IF(TbTradesBinance[[#This Row],[Moeda da Taxa]]=MID(Q$1,9,5),TbTradesBinance[[#This Row],[Taxa]],0),8)))</f>
        <v>20.547829610000001</v>
      </c>
      <c r="R101" s="145" cm="1">
        <f t="array" ref="R101">IF(TbTradesBinance[[#This Row],[Tipo]]="EMPTY",0,R100+IF(TbTradesBinance[[#This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Row],[Par]]))),$1:$1,0)),-(Q100-Q101)/Q100*R100),0),0)+IF(TbTradesBinance[[#This Row],[Tipo]]="SELL",IF(ISNUMBER(FIND(MID(R$1,10,5),TbTradesBinance[[#This Row],[Par]])),IF(FIND(MID(R$1,10,5),TbTradesBinance[[#This Row],[Par]])=1, -(Q100-Q101)/Q100*R100,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Row],[Par]])),(-(Q100-Q101)/Q100*R100)+IF(TbTradesBinance[[#This Row],[Resultado]]&gt;0,0,TbTradesBinance[[#This Row],[Taxa]]),0),0))</f>
        <v>114.80989341533819</v>
      </c>
      <c r="S101" s="145">
        <f t="shared" si="21"/>
        <v>5.58744624587814</v>
      </c>
      <c r="T10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Row],[Tipo]]="DROP"),T100+TbTradesBinance[[#This Row],[Qtt]],T100-TbTradesBinance[[#This Row],[Qtt]]),IF(TbTradesBinance[[#This Row],[Tipo]]="BUY",T100-TbTradesBinance[[#This Row],[Qtt]]*TbTradesBinance[[#This Row],[Preço]],T100+TbTradesBinance[[#This Row],[Qtt]]*TbTradesBinance[[#This Row],[Preço]])),T100)-IF(TbTradesBinance[[#This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Row],[Tipo]]="DROP"),T100+TbTradesBinance[[#This Row],[Qtt]],T100-TbTradesBinance[[#This Row],[Qtt]]),IF(TbTradesBinance[[#This Row],[Tipo]]="BUY",T100-TbTradesBinance[[#This Row],[Qtt]]*TbTradesBinance[[#This Row],[Preço]],T100+TbTradesBinance[[#This Row],[Qtt]]*TbTradesBinance[[#This Row],[Preço]])),T100)-IF(TbTradesBinance[[#This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Row],[Tipo]]="DROP"),T100+TbTradesBinance[[#This Row],[Qtt]],T100-TbTradesBinance[[#This Row],[Qtt]]),IF(TbTradesBinance[[#This Row],[Tipo]]="BUY",T100-TbTradesBinance[[#This Row],[Qtt]]*TbTradesBinance[[#This Row],[Preço]],T100+TbTradesBinance[[#This Row],[Qtt]]*TbTradesBinance[[#This Row],[Preço]])),T100)-IF(TbTradesBinance[[#This Row],[Moeda da Taxa]]=MID(T$1,9,5),TbTradesBinance[[#This Row],[Taxa]],0),8)))</f>
        <v>199735.32000169999</v>
      </c>
      <c r="U101" s="145" cm="1">
        <f t="array" ref="U101">IF(TbTradesBinance[[#This Row],[Tipo]]="EMPTY",0,U100+IF(TbTradesBinance[[#This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Row],[Par]]))),$1:$1,0)),-(T100-T101)/T100*U100),0),0)+IF(TbTradesBinance[[#This Row],[Tipo]]="SELL",IF(ISNUMBER(FIND(MID(U$1,10,5),TbTradesBinance[[#This Row],[Par]])),IF(FIND(MID(U$1,10,5),TbTradesBinance[[#This Row],[Par]])=1, -(T100-T101)/T100*U100,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Row],[Par]])),(-(T100-T101)/T100*U100)+IF(TbTradesBinance[[#This Row],[Resultado]]&gt;0,0,TbTradesBinance[[#This Row],[Taxa]]),0),0))</f>
        <v>1328239.8809817513</v>
      </c>
      <c r="V101" s="145">
        <f t="shared" si="22"/>
        <v>6.6500000148719129</v>
      </c>
      <c r="W10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Row],[Tipo]]="DROP"),W100+TbTradesBinance[[#This Row],[Qtt]],W100-TbTradesBinance[[#This Row],[Qtt]]),IF(TbTradesBinance[[#This Row],[Tipo]]="BUY",W100-TbTradesBinance[[#This Row],[Qtt]]*TbTradesBinance[[#This Row],[Preço]],W100+TbTradesBinance[[#This Row],[Qtt]]*TbTradesBinance[[#This Row],[Preço]])),W100)-IF(TbTradesBinance[[#This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Row],[Tipo]]="DROP"),W100+TbTradesBinance[[#This Row],[Qtt]],W100-TbTradesBinance[[#This Row],[Qtt]]),IF(TbTradesBinance[[#This Row],[Tipo]]="BUY",W100-TbTradesBinance[[#This Row],[Qtt]]*TbTradesBinance[[#This Row],[Preço]],W100+TbTradesBinance[[#This Row],[Qtt]]*TbTradesBinance[[#This Row],[Preço]])),W100)-IF(TbTradesBinance[[#This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Row],[Tipo]]="DROP"),W100+TbTradesBinance[[#This Row],[Qtt]],W100-TbTradesBinance[[#This Row],[Qtt]]),IF(TbTradesBinance[[#This Row],[Tipo]]="BUY",W100-TbTradesBinance[[#This Row],[Qtt]]*TbTradesBinance[[#This Row],[Preço]],W100+TbTradesBinance[[#This Row],[Qtt]]*TbTradesBinance[[#This Row],[Preço]])),W100)-IF(TbTradesBinance[[#This Row],[Moeda da Taxa]]=MID(W$1,9,5),TbTradesBinance[[#This Row],[Taxa]],0),8)))</f>
        <v>2.8153599999999998E-3</v>
      </c>
      <c r="X101" s="145" cm="1">
        <f t="array" ref="X101">IF(TbTradesBinance[[#This Row],[Tipo]]="EMPTY",0,X100+IF(TbTradesBinance[[#This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Row],[Par]]))),$1:$1,0)),-(W100-W101)/W100*X100),0),0)+IF(TbTradesBinance[[#This Row],[Tipo]]="SELL",IF(ISNUMBER(FIND(MID(X$1,10,5),TbTradesBinance[[#This Row],[Par]])),IF(FIND(MID(X$1,10,5),TbTradesBinance[[#This Row],[Par]])=1, -(W100-W101)/W100*X100,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Row],[Par]])),(-(W100-W101)/W100*X100)+IF(TbTradesBinance[[#This Row],[Resultado]]&gt;0,0,TbTradesBinance[[#This Row],[Taxa]]),0),0))</f>
        <v>944.98066811024569</v>
      </c>
      <c r="Y101" s="145">
        <f t="shared" si="23"/>
        <v>335651.8058472969</v>
      </c>
      <c r="Z10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Row],[Tipo]]="DROP"),Z100+TbTradesBinance[[#This Row],[Qtt]],Z100-TbTradesBinance[[#This Row],[Qtt]]),IF(TbTradesBinance[[#This Row],[Tipo]]="BUY",Z100-TbTradesBinance[[#This Row],[Qtt]]*TbTradesBinance[[#This Row],[Preço]],Z100+TbTradesBinance[[#This Row],[Qtt]]*TbTradesBinance[[#This Row],[Preço]])),Z100)-IF(TbTradesBinance[[#This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Row],[Tipo]]="DROP"),Z100+TbTradesBinance[[#This Row],[Qtt]],Z100-TbTradesBinance[[#This Row],[Qtt]]),IF(TbTradesBinance[[#This Row],[Tipo]]="BUY",Z100-TbTradesBinance[[#This Row],[Qtt]]*TbTradesBinance[[#This Row],[Preço]],Z100+TbTradesBinance[[#This Row],[Qtt]]*TbTradesBinance[[#This Row],[Preço]])),Z100)-IF(TbTradesBinance[[#This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Row],[Tipo]]="DROP"),Z100+TbTradesBinance[[#This Row],[Qtt]],Z100-TbTradesBinance[[#This Row],[Qtt]]),IF(TbTradesBinance[[#This Row],[Tipo]]="BUY",Z100-TbTradesBinance[[#This Row],[Qtt]]*TbTradesBinance[[#This Row],[Preço]],Z100+TbTradesBinance[[#This Row],[Qtt]]*TbTradesBinance[[#This Row],[Preço]])),Z100)-IF(TbTradesBinance[[#This Row],[Moeda da Taxa]]=MID(Z$1,9,5),TbTradesBinance[[#This Row],[Taxa]],0),8)))</f>
        <v>0</v>
      </c>
      <c r="AA101" s="145" cm="1">
        <f t="array" ref="AA101">IF(TbTradesBinance[[#This Row],[Tipo]]="EMPTY",0,AA100+IF(TbTradesBinance[[#This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Row],[Par]]))),$1:$1,0)),-(Z100-Z101)/Z100*AA100),0),0)+IF(TbTradesBinance[[#This Row],[Tipo]]="SELL",IF(ISNUMBER(FIND(MID(AA$1,10,5),TbTradesBinance[[#This Row],[Par]])),IF(FIND(MID(AA$1,10,5),TbTradesBinance[[#This Row],[Par]])=1, -(Z100-Z101)/Z100*AA100,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Row],[Par]])),(-(Z100-Z101)/Z100*AA100)+IF(TbTradesBinance[[#This Row],[Resultado]]&gt;0,0,TbTradesBinance[[#This Row],[Taxa]]),0),0))</f>
        <v>0</v>
      </c>
      <c r="AB101" s="145">
        <f t="shared" si="24"/>
        <v>0</v>
      </c>
      <c r="AC10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Row],[Tipo]]="DROP"),AC100+TbTradesBinance[[#This Row],[Qtt]],AC100-TbTradesBinance[[#This Row],[Qtt]]),IF(TbTradesBinance[[#This Row],[Tipo]]="BUY",AC100-TbTradesBinance[[#This Row],[Qtt]]*TbTradesBinance[[#This Row],[Preço]],AC100+TbTradesBinance[[#This Row],[Qtt]]*TbTradesBinance[[#This Row],[Preço]])),AC100)-IF(TbTradesBinance[[#This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Row],[Tipo]]="DROP"),AC100+TbTradesBinance[[#This Row],[Qtt]],AC100-TbTradesBinance[[#This Row],[Qtt]]),IF(TbTradesBinance[[#This Row],[Tipo]]="BUY",AC100-TbTradesBinance[[#This Row],[Qtt]]*TbTradesBinance[[#This Row],[Preço]],AC100+TbTradesBinance[[#This Row],[Qtt]]*TbTradesBinance[[#This Row],[Preço]])),AC100)-IF(TbTradesBinance[[#This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Row],[Tipo]]="DROP"),AC100+TbTradesBinance[[#This Row],[Qtt]],AC100-TbTradesBinance[[#This Row],[Qtt]]),IF(TbTradesBinance[[#This Row],[Tipo]]="BUY",AC100-TbTradesBinance[[#This Row],[Qtt]]*TbTradesBinance[[#This Row],[Preço]],AC100+TbTradesBinance[[#This Row],[Qtt]]*TbTradesBinance[[#This Row],[Preço]])),AC100)-IF(TbTradesBinance[[#This Row],[Moeda da Taxa]]=MID(AC$1,9,5),TbTradesBinance[[#This Row],[Taxa]],0),8)))</f>
        <v>2.997E-2</v>
      </c>
      <c r="AD101" s="145" cm="1">
        <f t="array" ref="AD101">IF(TbTradesBinance[[#This Row],[Tipo]]="EMPTY",0,AD100+IF(TbTradesBinance[[#This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Row],[Par]]))),$1:$1,0)),-(AC100-AC101)/AC100*AD100),0),0)+IF(TbTradesBinance[[#This Row],[Tipo]]="SELL",IF(ISNUMBER(FIND(MID(AD$1,10,5),TbTradesBinance[[#This Row],[Par]])),IF(FIND(MID(AD$1,10,5),TbTradesBinance[[#This Row],[Par]])=1, -(AC100-AC101)/AC100*AD100,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Row],[Par]])),(-(AC100-AC101)/AC100*AD100)+IF(TbTradesBinance[[#This Row],[Resultado]]&gt;0,0,TbTradesBinance[[#This Row],[Taxa]]),0),0))</f>
        <v>60.199749701148171</v>
      </c>
      <c r="AE101" s="145">
        <f t="shared" si="25"/>
        <v>2008.6669903619677</v>
      </c>
      <c r="AF10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Row],[Tipo]]="DROP"),AF100+TbTradesBinance[[#This Row],[Qtt]],AF100-TbTradesBinance[[#This Row],[Qtt]]),IF(TbTradesBinance[[#This Row],[Tipo]]="BUY",AF100-TbTradesBinance[[#This Row],[Qtt]]*TbTradesBinance[[#This Row],[Preço]],AF100+TbTradesBinance[[#This Row],[Qtt]]*TbTradesBinance[[#This Row],[Preço]])),AF100)-IF(TbTradesBinance[[#This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Row],[Tipo]]="DROP"),AF100+TbTradesBinance[[#This Row],[Qtt]],AF100-TbTradesBinance[[#This Row],[Qtt]]),IF(TbTradesBinance[[#This Row],[Tipo]]="BUY",AF100-TbTradesBinance[[#This Row],[Qtt]]*TbTradesBinance[[#This Row],[Preço]],AF100+TbTradesBinance[[#This Row],[Qtt]]*TbTradesBinance[[#This Row],[Preço]])),AF100)-IF(TbTradesBinance[[#This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Row],[Tipo]]="DROP"),AF100+TbTradesBinance[[#This Row],[Qtt]],AF100-TbTradesBinance[[#This Row],[Qtt]]),IF(TbTradesBinance[[#This Row],[Tipo]]="BUY",AF100-TbTradesBinance[[#This Row],[Qtt]]*TbTradesBinance[[#This Row],[Preço]],AF100+TbTradesBinance[[#This Row],[Qtt]]*TbTradesBinance[[#This Row],[Preço]])),AF100)-IF(TbTradesBinance[[#This Row],[Moeda da Taxa]]=MID(AF$1,9,5),TbTradesBinance[[#This Row],[Taxa]],0),8)))</f>
        <v>19.98</v>
      </c>
      <c r="AG101" s="145" cm="1">
        <f t="array" ref="AG101">IF(TbTradesBinance[[#This Row],[Tipo]]="EMPTY",0,AG100+IF(TbTradesBinance[[#This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Row],[Par]]))),$1:$1,0)),-(AF100-AF101)/AF100*AG100),0),0)+IF(TbTradesBinance[[#This Row],[Tipo]]="SELL",IF(ISNUMBER(FIND(MID(AG$1,10,5),TbTradesBinance[[#This Row],[Par]])),IF(FIND(MID(AG$1,10,5),TbTradesBinance[[#This Row],[Par]])=1, -(AF100-AF101)/AF100*AG100,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Row],[Par]])),(-(AF100-AF101)/AF100*AG100)+IF(TbTradesBinance[[#This Row],[Resultado]]&gt;0,0,TbTradesBinance[[#This Row],[Taxa]]),0),0))</f>
        <v>124.04182758073662</v>
      </c>
      <c r="AH101" s="145">
        <f t="shared" si="26"/>
        <v>6.2082996787155462</v>
      </c>
      <c r="AI10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Row],[Tipo]]="DROP"),AI100+TbTradesBinance[[#This Row],[Qtt]],AI100-TbTradesBinance[[#This Row],[Qtt]]),IF(TbTradesBinance[[#This Row],[Tipo]]="BUY",AI100-TbTradesBinance[[#This Row],[Qtt]]*TbTradesBinance[[#This Row],[Preço]],AI100+TbTradesBinance[[#This Row],[Qtt]]*TbTradesBinance[[#This Row],[Preço]])),AI100)-IF(TbTradesBinance[[#This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Row],[Tipo]]="DROP"),AI100+TbTradesBinance[[#This Row],[Qtt]],AI100-TbTradesBinance[[#This Row],[Qtt]]),IF(TbTradesBinance[[#This Row],[Tipo]]="BUY",AI100-TbTradesBinance[[#This Row],[Qtt]]*TbTradesBinance[[#This Row],[Preço]],AI100+TbTradesBinance[[#This Row],[Qtt]]*TbTradesBinance[[#This Row],[Preço]])),AI100)-IF(TbTradesBinance[[#This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Row],[Tipo]]="DROP"),AI100+TbTradesBinance[[#This Row],[Qtt]],AI100-TbTradesBinance[[#This Row],[Qtt]]),IF(TbTradesBinance[[#This Row],[Tipo]]="BUY",AI100-TbTradesBinance[[#This Row],[Qtt]]*TbTradesBinance[[#This Row],[Preço]],AI100+TbTradesBinance[[#This Row],[Qtt]]*TbTradesBinance[[#This Row],[Preço]])),AI100)-IF(TbTradesBinance[[#This Row],[Moeda da Taxa]]=MID(AI$1,9,5),TbTradesBinance[[#This Row],[Taxa]],0),8)))</f>
        <v>0</v>
      </c>
      <c r="AJ101" s="145" cm="1">
        <f t="array" ref="AJ101">IF(TbTradesBinance[[#This Row],[Tipo]]="EMPTY",0,AJ100+IF(TbTradesBinance[[#This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Row],[Par]]))),$1:$1,0)),-(AI100-AI101)/AI100*AJ100),0),0)+IF(TbTradesBinance[[#This Row],[Tipo]]="SELL",IF(ISNUMBER(FIND(MID(AJ$1,10,5),TbTradesBinance[[#This Row],[Par]])),IF(FIND(MID(AJ$1,10,5),TbTradesBinance[[#This Row],[Par]])=1, -(AI100-AI101)/AI100*AJ100,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Row],[Par]])),(-(AI100-AI101)/AI100*AJ100)+IF(TbTradesBinance[[#This Row],[Resultado]]&gt;0,0,TbTradesBinance[[#This Row],[Taxa]]),0),0))</f>
        <v>0</v>
      </c>
      <c r="AK101" s="145">
        <f t="shared" si="27"/>
        <v>0</v>
      </c>
      <c r="AL10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Row],[Tipo]]="DROP"),AL100+TbTradesBinance[[#This Row],[Qtt]],AL100-TbTradesBinance[[#This Row],[Qtt]]),IF(TbTradesBinance[[#This Row],[Tipo]]="BUY",AL100-TbTradesBinance[[#This Row],[Qtt]]*TbTradesBinance[[#This Row],[Preço]],AL100+TbTradesBinance[[#This Row],[Qtt]]*TbTradesBinance[[#This Row],[Preço]])),AL100)-IF(TbTradesBinance[[#This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Row],[Tipo]]="DROP"),AL100+TbTradesBinance[[#This Row],[Qtt]],AL100-TbTradesBinance[[#This Row],[Qtt]]),IF(TbTradesBinance[[#This Row],[Tipo]]="BUY",AL100-TbTradesBinance[[#This Row],[Qtt]]*TbTradesBinance[[#This Row],[Preço]],AL100+TbTradesBinance[[#This Row],[Qtt]]*TbTradesBinance[[#This Row],[Preço]])),AL100)-IF(TbTradesBinance[[#This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Row],[Tipo]]="DROP"),AL100+TbTradesBinance[[#This Row],[Qtt]],AL100-TbTradesBinance[[#This Row],[Qtt]]),IF(TbTradesBinance[[#This Row],[Tipo]]="BUY",AL100-TbTradesBinance[[#This Row],[Qtt]]*TbTradesBinance[[#This Row],[Preço]],AL100+TbTradesBinance[[#This Row],[Qtt]]*TbTradesBinance[[#This Row],[Preço]])),AL100)-IF(TbTradesBinance[[#This Row],[Moeda da Taxa]]=MID(AL$1,9,5),TbTradesBinance[[#This Row],[Taxa]],0),8)))</f>
        <v>1.75824</v>
      </c>
      <c r="AM101" s="145" cm="1">
        <f t="array" ref="AM101">IF(TbTradesBinance[[#This Row],[Tipo]]="EMPTY",0,AM100+IF(TbTradesBinance[[#This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Row],[Par]]))),$1:$1,0)),-(AL100-AL101)/AL100*AM100),0),0)+IF(TbTradesBinance[[#This Row],[Tipo]]="SELL",IF(ISNUMBER(FIND(MID(AM$1,10,5),TbTradesBinance[[#This Row],[Par]])),IF(FIND(MID(AM$1,10,5),TbTradesBinance[[#This Row],[Par]])=1, -(AL100-AL101)/AL100*AM100,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Row],[Par]])),(-(AL100-AL101)/AL100*AM100)+IF(TbTradesBinance[[#This Row],[Resultado]]&gt;0,0,TbTradesBinance[[#This Row],[Taxa]]),0),0))</f>
        <v>144.56635471393039</v>
      </c>
      <c r="AN101" s="145">
        <f t="shared" si="28"/>
        <v>82.222196465744375</v>
      </c>
      <c r="AO10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Row],[Tipo]]="DROP"),AO100+TbTradesBinance[[#This Row],[Qtt]],AO100-TbTradesBinance[[#This Row],[Qtt]]),IF(TbTradesBinance[[#This Row],[Tipo]]="BUY",AO100-TbTradesBinance[[#This Row],[Qtt]]*TbTradesBinance[[#This Row],[Preço]],AO100+TbTradesBinance[[#This Row],[Qtt]]*TbTradesBinance[[#This Row],[Preço]])),AO100)-IF(TbTradesBinance[[#This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Row],[Tipo]]="DROP"),AO100+TbTradesBinance[[#This Row],[Qtt]],AO100-TbTradesBinance[[#This Row],[Qtt]]),IF(TbTradesBinance[[#This Row],[Tipo]]="BUY",AO100-TbTradesBinance[[#This Row],[Qtt]]*TbTradesBinance[[#This Row],[Preço]],AO100+TbTradesBinance[[#This Row],[Qtt]]*TbTradesBinance[[#This Row],[Preço]])),AO100)-IF(TbTradesBinance[[#This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Row],[Tipo]]="DROP"),AO100+TbTradesBinance[[#This Row],[Qtt]],AO100-TbTradesBinance[[#This Row],[Qtt]]),IF(TbTradesBinance[[#This Row],[Tipo]]="BUY",AO100-TbTradesBinance[[#This Row],[Qtt]]*TbTradesBinance[[#This Row],[Preço]],AO100+TbTradesBinance[[#This Row],[Qtt]]*TbTradesBinance[[#This Row],[Preço]])),AO100)-IF(TbTradesBinance[[#This Row],[Moeda da Taxa]]=MID(AO$1,9,5),TbTradesBinance[[#This Row],[Taxa]],0),8)))</f>
        <v>3.9907299999999996E-3</v>
      </c>
      <c r="AP101" s="145" cm="1">
        <f t="array" ref="AP101">IF(TbTradesBinance[[#This Row],[Tipo]]="EMPTY",0,AP100+IF(TbTradesBinance[[#This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Row],[Par]]))),$1:$1,0)),-(AO100-AO101)/AO100*AP100),0),0)+IF(TbTradesBinance[[#This Row],[Tipo]]="SELL",IF(ISNUMBER(FIND(MID(AP$1,10,5),TbTradesBinance[[#This Row],[Par]])),IF(FIND(MID(AP$1,10,5),TbTradesBinance[[#This Row],[Par]])=1, -(AO100-AO101)/AO100*AP100,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Row],[Par]])),(-(AO100-AO101)/AO100*AP100)+IF(TbTradesBinance[[#This Row],[Resultado]]&gt;0,0,TbTradesBinance[[#This Row],[Taxa]]),0),0))</f>
        <v>7.3360959318006032</v>
      </c>
      <c r="AQ101" s="145">
        <f t="shared" si="29"/>
        <v>1838.2842065989439</v>
      </c>
      <c r="AR10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Row],[Tipo]]="DROP"),AR100+TbTradesBinance[[#This Row],[Qtt]],AR100-TbTradesBinance[[#This Row],[Qtt]]),IF(TbTradesBinance[[#This Row],[Tipo]]="BUY",AR100-TbTradesBinance[[#This Row],[Qtt]]*TbTradesBinance[[#This Row],[Preço]],AR100+TbTradesBinance[[#This Row],[Qtt]]*TbTradesBinance[[#This Row],[Preço]])),AR100)-IF(TbTradesBinance[[#This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Row],[Tipo]]="DROP"),AR100+TbTradesBinance[[#This Row],[Qtt]],AR100-TbTradesBinance[[#This Row],[Qtt]]),IF(TbTradesBinance[[#This Row],[Tipo]]="BUY",AR100-TbTradesBinance[[#This Row],[Qtt]]*TbTradesBinance[[#This Row],[Preço]],AR100+TbTradesBinance[[#This Row],[Qtt]]*TbTradesBinance[[#This Row],[Preço]])),AR100)-IF(TbTradesBinance[[#This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Row],[Tipo]]="DROP"),AR100+TbTradesBinance[[#This Row],[Qtt]],AR100-TbTradesBinance[[#This Row],[Qtt]]),IF(TbTradesBinance[[#This Row],[Tipo]]="BUY",AR100-TbTradesBinance[[#This Row],[Qtt]]*TbTradesBinance[[#This Row],[Preço]],AR100+TbTradesBinance[[#This Row],[Qtt]]*TbTradesBinance[[#This Row],[Preço]])),AR100)-IF(TbTradesBinance[[#This Row],[Moeda da Taxa]]=MID(AR$1,9,5),TbTradesBinance[[#This Row],[Taxa]],0),8)))</f>
        <v>61.251199999999997</v>
      </c>
      <c r="AS101" s="145" cm="1">
        <f t="array" ref="AS101">IF(TbTradesBinance[[#This Row],[Tipo]]="EMPTY",0,AS100+IF(TbTradesBinance[[#This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Row],[Par]]))),$1:$1,0)),-(AR100-AR101)/AR100*AS100),0),0)+IF(TbTradesBinance[[#This Row],[Tipo]]="SELL",IF(ISNUMBER(FIND(MID(AS$1,10,5),TbTradesBinance[[#This Row],[Par]])),IF(FIND(MID(AS$1,10,5),TbTradesBinance[[#This Row],[Par]])=1, -(AR100-AR101)/AR100*AS100,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Row],[Par]])),(-(AR100-AR101)/AR100*AS100)+IF(TbTradesBinance[[#This Row],[Resultado]]&gt;0,0,TbTradesBinance[[#This Row],[Taxa]]),0),0))</f>
        <v>230.84001376053044</v>
      </c>
      <c r="AT101" s="145">
        <f t="shared" si="30"/>
        <v>3.7687427146003745</v>
      </c>
      <c r="AU10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Row],[Tipo]]="DROP"),AU100+TbTradesBinance[[#This Row],[Qtt]],AU100-TbTradesBinance[[#This Row],[Qtt]]),IF(TbTradesBinance[[#This Row],[Tipo]]="BUY",AU100-TbTradesBinance[[#This Row],[Qtt]]*TbTradesBinance[[#This Row],[Preço]],AU100+TbTradesBinance[[#This Row],[Qtt]]*TbTradesBinance[[#This Row],[Preço]])),AU100)-IF(TbTradesBinance[[#This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Row],[Tipo]]="DROP"),AU100+TbTradesBinance[[#This Row],[Qtt]],AU100-TbTradesBinance[[#This Row],[Qtt]]),IF(TbTradesBinance[[#This Row],[Tipo]]="BUY",AU100-TbTradesBinance[[#This Row],[Qtt]]*TbTradesBinance[[#This Row],[Preço]],AU100+TbTradesBinance[[#This Row],[Qtt]]*TbTradesBinance[[#This Row],[Preço]])),AU100)-IF(TbTradesBinance[[#This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Row],[Tipo]]="DROP"),AU100+TbTradesBinance[[#This Row],[Qtt]],AU100-TbTradesBinance[[#This Row],[Qtt]]),IF(TbTradesBinance[[#This Row],[Tipo]]="BUY",AU100-TbTradesBinance[[#This Row],[Qtt]]*TbTradesBinance[[#This Row],[Preço]],AU100+TbTradesBinance[[#This Row],[Qtt]]*TbTradesBinance[[#This Row],[Preço]])),AU100)-IF(TbTradesBinance[[#This Row],[Moeda da Taxa]]=MID(AU$1,9,5),TbTradesBinance[[#This Row],[Taxa]],0),8)))</f>
        <v>0</v>
      </c>
      <c r="AV101" s="145" cm="1">
        <f t="array" ref="AV101">IF(TbTradesBinance[[#This Row],[Tipo]]="EMPTY",0,AV100+IF(TbTradesBinance[[#This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Row],[Par]]))),$1:$1,0)),-(AU100-AU101)/AU100*AV100),0),0)+IF(TbTradesBinance[[#This Row],[Tipo]]="SELL",IF(ISNUMBER(FIND(MID(AV$1,10,5),TbTradesBinance[[#This Row],[Par]])),IF(FIND(MID(AV$1,10,5),TbTradesBinance[[#This Row],[Par]])=1, -(AU100-AU101)/AU100*AV100,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Row],[Par]])),(-(AU100-AU101)/AU100*AV100)+IF(TbTradesBinance[[#This Row],[Resultado]]&gt;0,0,TbTradesBinance[[#This Row],[Taxa]]),0),0))</f>
        <v>0</v>
      </c>
      <c r="AW101" s="145">
        <f t="shared" si="31"/>
        <v>0</v>
      </c>
      <c r="AX10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Row],[Tipo]]="DROP"),AX100+TbTradesBinance[[#This Row],[Qtt]],AX100-TbTradesBinance[[#This Row],[Qtt]]),IF(TbTradesBinance[[#This Row],[Tipo]]="BUY",AX100-TbTradesBinance[[#This Row],[Qtt]]*TbTradesBinance[[#This Row],[Preço]],AX100+TbTradesBinance[[#This Row],[Qtt]]*TbTradesBinance[[#This Row],[Preço]])),AX100)-IF(TbTradesBinance[[#This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Row],[Tipo]]="DROP"),AX100+TbTradesBinance[[#This Row],[Qtt]],AX100-TbTradesBinance[[#This Row],[Qtt]]),IF(TbTradesBinance[[#This Row],[Tipo]]="BUY",AX100-TbTradesBinance[[#This Row],[Qtt]]*TbTradesBinance[[#This Row],[Preço]],AX100+TbTradesBinance[[#This Row],[Qtt]]*TbTradesBinance[[#This Row],[Preço]])),AX100)-IF(TbTradesBinance[[#This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Row],[Tipo]]="DROP"),AX100+TbTradesBinance[[#This Row],[Qtt]],AX100-TbTradesBinance[[#This Row],[Qtt]]),IF(TbTradesBinance[[#This Row],[Tipo]]="BUY",AX100-TbTradesBinance[[#This Row],[Qtt]]*TbTradesBinance[[#This Row],[Preço]],AX100+TbTradesBinance[[#This Row],[Qtt]]*TbTradesBinance[[#This Row],[Preço]])),AX100)-IF(TbTradesBinance[[#This Row],[Moeda da Taxa]]=MID(AX$1,9,5),TbTradesBinance[[#This Row],[Taxa]],0),8)))</f>
        <v>0.22636999999999999</v>
      </c>
      <c r="AY101" s="145" cm="1">
        <f t="array" ref="AY101">IF(TbTradesBinance[[#This Row],[Tipo]]="EMPTY",0,AY100+IF(TbTradesBinance[[#This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Row],[Par]]))),$1:$1,0)),-(AX100-AX101)/AX100*AY100),0),0)+IF(TbTradesBinance[[#This Row],[Tipo]]="SELL",IF(ISNUMBER(FIND(MID(AY$1,10,5),TbTradesBinance[[#This Row],[Par]])),IF(FIND(MID(AY$1,10,5),TbTradesBinance[[#This Row],[Par]])=1, -(AX100-AX101)/AX100*AY100,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Row],[Par]])),(-(AX100-AX101)/AX100*AY100)+IF(TbTradesBinance[[#This Row],[Resultado]]&gt;0,0,TbTradesBinance[[#This Row],[Taxa]]),0),0))</f>
        <v>40.781337593356859</v>
      </c>
      <c r="AZ101" s="145">
        <f t="shared" si="32"/>
        <v>180.15345493376711</v>
      </c>
      <c r="BA10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Row],[Tipo]]="DROP"),BA100+TbTradesBinance[[#This Row],[Qtt]],BA100-TbTradesBinance[[#This Row],[Qtt]]),IF(TbTradesBinance[[#This Row],[Tipo]]="BUY",BA100-TbTradesBinance[[#This Row],[Qtt]]*TbTradesBinance[[#This Row],[Preço]],BA100+TbTradesBinance[[#This Row],[Qtt]]*TbTradesBinance[[#This Row],[Preço]])),BA100)-IF(TbTradesBinance[[#This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Row],[Tipo]]="DROP"),BA100+TbTradesBinance[[#This Row],[Qtt]],BA100-TbTradesBinance[[#This Row],[Qtt]]),IF(TbTradesBinance[[#This Row],[Tipo]]="BUY",BA100-TbTradesBinance[[#This Row],[Qtt]]*TbTradesBinance[[#This Row],[Preço]],BA100+TbTradesBinance[[#This Row],[Qtt]]*TbTradesBinance[[#This Row],[Preço]])),BA100)-IF(TbTradesBinance[[#This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Row],[Tipo]]="DROP"),BA100+TbTradesBinance[[#This Row],[Qtt]],BA100-TbTradesBinance[[#This Row],[Qtt]]),IF(TbTradesBinance[[#This Row],[Tipo]]="BUY",BA100-TbTradesBinance[[#This Row],[Qtt]]*TbTradesBinance[[#This Row],[Preço]],BA100+TbTradesBinance[[#This Row],[Qtt]]*TbTradesBinance[[#This Row],[Preço]])),BA100)-IF(TbTradesBinance[[#This Row],[Moeda da Taxa]]=MID(BA$1,9,5),TbTradesBinance[[#This Row],[Taxa]],0),8)))</f>
        <v>0</v>
      </c>
      <c r="BB101" s="145" cm="1">
        <f t="array" ref="BB101">IF(TbTradesBinance[[#This Row],[Tipo]]="EMPTY",0,BB100+IF(TbTradesBinance[[#This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Row],[Par]]))),$1:$1,0)),-(BA100-BA101)/BA100*BB100),0),0)+IF(TbTradesBinance[[#This Row],[Tipo]]="SELL",IF(ISNUMBER(FIND(MID(BB$1,10,5),TbTradesBinance[[#This Row],[Par]])),IF(FIND(MID(BB$1,10,5),TbTradesBinance[[#This Row],[Par]])=1, -(BA100-BA101)/BA100*BB100,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Row],[Par]])),(-(BA100-BA101)/BA100*BB100)+IF(TbTradesBinance[[#This Row],[Resultado]]&gt;0,0,TbTradesBinance[[#This Row],[Taxa]]),0),0))</f>
        <v>0</v>
      </c>
      <c r="BC101" s="145">
        <f t="shared" si="33"/>
        <v>0</v>
      </c>
      <c r="BD10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Row],[Tipo]]="DROP"),BD100+TbTradesBinance[[#This Row],[Qtt]],BD100-TbTradesBinance[[#This Row],[Qtt]]),IF(TbTradesBinance[[#This Row],[Tipo]]="BUY",BD100-TbTradesBinance[[#This Row],[Qtt]]*TbTradesBinance[[#This Row],[Preço]],BD100+TbTradesBinance[[#This Row],[Qtt]]*TbTradesBinance[[#This Row],[Preço]])),BD100)-IF(TbTradesBinance[[#This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Row],[Tipo]]="DROP"),BD100+TbTradesBinance[[#This Row],[Qtt]],BD100-TbTradesBinance[[#This Row],[Qtt]]),IF(TbTradesBinance[[#This Row],[Tipo]]="BUY",BD100-TbTradesBinance[[#This Row],[Qtt]]*TbTradesBinance[[#This Row],[Preço]],BD100+TbTradesBinance[[#This Row],[Qtt]]*TbTradesBinance[[#This Row],[Preço]])),BD100)-IF(TbTradesBinance[[#This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Row],[Tipo]]="DROP"),BD100+TbTradesBinance[[#This Row],[Qtt]],BD100-TbTradesBinance[[#This Row],[Qtt]]),IF(TbTradesBinance[[#This Row],[Tipo]]="BUY",BD100-TbTradesBinance[[#This Row],[Qtt]]*TbTradesBinance[[#This Row],[Preço]],BD100+TbTradesBinance[[#This Row],[Qtt]]*TbTradesBinance[[#This Row],[Preço]])),BD100)-IF(TbTradesBinance[[#This Row],[Moeda da Taxa]]=MID(BD$1,9,5),TbTradesBinance[[#This Row],[Taxa]],0),8)))</f>
        <v>0.56906000000000001</v>
      </c>
      <c r="BE101" s="145" cm="1">
        <f t="array" ref="BE101">IF(TbTradesBinance[[#This Row],[Tipo]]="EMPTY",0,BE100+IF(TbTradesBinance[[#This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Row],[Par]]))),$1:$1,0)),-(BD100-BD101)/BD100*BE100),0),0)+IF(TbTradesBinance[[#This Row],[Tipo]]="SELL",IF(ISNUMBER(FIND(MID(BE$1,10,5),TbTradesBinance[[#This Row],[Par]])),IF(FIND(MID(BE$1,10,5),TbTradesBinance[[#This Row],[Par]])=1, -(BD100-BD101)/BD100*BE100,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Row],[Par]])),(-(BD100-BD101)/BD100*BE100)+IF(TbTradesBinance[[#This Row],[Resultado]]&gt;0,0,TbTradesBinance[[#This Row],[Taxa]]),0),0))</f>
        <v>105.81619120195663</v>
      </c>
      <c r="BF101" s="145">
        <f t="shared" si="34"/>
        <v>185.94909359638109</v>
      </c>
      <c r="BG10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Row],[Tipo]]="DROP"),BG100+TbTradesBinance[[#This Row],[Qtt]],BG100-TbTradesBinance[[#This Row],[Qtt]]),IF(TbTradesBinance[[#This Row],[Tipo]]="BUY",BG100-TbTradesBinance[[#This Row],[Qtt]]*TbTradesBinance[[#This Row],[Preço]],BG100+TbTradesBinance[[#This Row],[Qtt]]*TbTradesBinance[[#This Row],[Preço]])),BG100)-IF(TbTradesBinance[[#This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Row],[Tipo]]="DROP"),BG100+TbTradesBinance[[#This Row],[Qtt]],BG100-TbTradesBinance[[#This Row],[Qtt]]),IF(TbTradesBinance[[#This Row],[Tipo]]="BUY",BG100-TbTradesBinance[[#This Row],[Qtt]]*TbTradesBinance[[#This Row],[Preço]],BG100+TbTradesBinance[[#This Row],[Qtt]]*TbTradesBinance[[#This Row],[Preço]])),BG100)-IF(TbTradesBinance[[#This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Row],[Tipo]]="DROP"),BG100+TbTradesBinance[[#This Row],[Qtt]],BG100-TbTradesBinance[[#This Row],[Qtt]]),IF(TbTradesBinance[[#This Row],[Tipo]]="BUY",BG100-TbTradesBinance[[#This Row],[Qtt]]*TbTradesBinance[[#This Row],[Preço]],BG100+TbTradesBinance[[#This Row],[Qtt]]*TbTradesBinance[[#This Row],[Preço]])),BG100)-IF(TbTradesBinance[[#This Row],[Moeda da Taxa]]=MID(BG$1,9,5),TbTradesBinance[[#This Row],[Taxa]],0),8)))</f>
        <v>0</v>
      </c>
      <c r="BH101" s="145" cm="1">
        <f t="array" ref="BH101">IF(TbTradesBinance[[#This Row],[Tipo]]="EMPTY",0,BH100+IF(TbTradesBinance[[#This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Row],[Par]]))),$1:$1,0)),-(BG100-BG101)/BG100*BH100),0),0)+IF(TbTradesBinance[[#This Row],[Tipo]]="SELL",IF(ISNUMBER(FIND(MID(BH$1,10,5),TbTradesBinance[[#This Row],[Par]])),IF(FIND(MID(BH$1,10,5),TbTradesBinance[[#This Row],[Par]])=1, -(BG100-BG101)/BG100*BH100,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Row],[Par]])),(-(BG100-BG101)/BG100*BH100)+IF(TbTradesBinance[[#This Row],[Resultado]]&gt;0,0,TbTradesBinance[[#This Row],[Taxa]]),0),0))</f>
        <v>0</v>
      </c>
      <c r="BI101" s="145">
        <f t="shared" si="35"/>
        <v>0</v>
      </c>
      <c r="BJ10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Row],[Tipo]]="DROP"),BJ100+TbTradesBinance[[#This Row],[Qtt]],BJ100-TbTradesBinance[[#This Row],[Qtt]]),IF(TbTradesBinance[[#This Row],[Tipo]]="BUY",BJ100-TbTradesBinance[[#This Row],[Qtt]]*TbTradesBinance[[#This Row],[Preço]],BJ100+TbTradesBinance[[#This Row],[Qtt]]*TbTradesBinance[[#This Row],[Preço]])),BJ100)-IF(TbTradesBinance[[#This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Row],[Tipo]]="DROP"),BJ100+TbTradesBinance[[#This Row],[Qtt]],BJ100-TbTradesBinance[[#This Row],[Qtt]]),IF(TbTradesBinance[[#This Row],[Tipo]]="BUY",BJ100-TbTradesBinance[[#This Row],[Qtt]]*TbTradesBinance[[#This Row],[Preço]],BJ100+TbTradesBinance[[#This Row],[Qtt]]*TbTradesBinance[[#This Row],[Preço]])),BJ100)-IF(TbTradesBinance[[#This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Row],[Tipo]]="DROP"),BJ100+TbTradesBinance[[#This Row],[Qtt]],BJ100-TbTradesBinance[[#This Row],[Qtt]]),IF(TbTradesBinance[[#This Row],[Tipo]]="BUY",BJ100-TbTradesBinance[[#This Row],[Qtt]]*TbTradesBinance[[#This Row],[Preço]],BJ100+TbTradesBinance[[#This Row],[Qtt]]*TbTradesBinance[[#This Row],[Preço]])),BJ100)-IF(TbTradesBinance[[#This Row],[Moeda da Taxa]]=MID(BJ$1,9,5),TbTradesBinance[[#This Row],[Taxa]],0),8)))</f>
        <v>0</v>
      </c>
      <c r="BK101" s="145" cm="1">
        <f t="array" ref="BK101">IF(TbTradesBinance[[#This Row],[Tipo]]="EMPTY",0,BK100+IF(TbTradesBinance[[#This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Row],[Par]]))),$1:$1,0)),-(BJ100-BJ101)/BJ100*BK100),0),0)+IF(TbTradesBinance[[#This Row],[Tipo]]="SELL",IF(ISNUMBER(FIND(MID(BK$1,10,5),TbTradesBinance[[#This Row],[Par]])),IF(FIND(MID(BK$1,10,5),TbTradesBinance[[#This Row],[Par]])=1, -(BJ100-BJ101)/BJ100*BK100,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Row],[Par]])),(-(BJ100-BJ101)/BJ100*BK100)+IF(TbTradesBinance[[#This Row],[Resultado]]&gt;0,0,TbTradesBinance[[#This Row],[Taxa]]),0),0))</f>
        <v>0</v>
      </c>
      <c r="BL101" s="145">
        <f t="shared" si="36"/>
        <v>0</v>
      </c>
      <c r="BM10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Row],[Tipo]]="DROP"),BM100+TbTradesBinance[[#This Row],[Qtt]],BM100-TbTradesBinance[[#This Row],[Qtt]]),IF(TbTradesBinance[[#This Row],[Tipo]]="BUY",BM100-TbTradesBinance[[#This Row],[Qtt]]*TbTradesBinance[[#This Row],[Preço]],BM100+TbTradesBinance[[#This Row],[Qtt]]*TbTradesBinance[[#This Row],[Preço]])),BM100)-IF(TbTradesBinance[[#This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Row],[Tipo]]="DROP"),BM100+TbTradesBinance[[#This Row],[Qtt]],BM100-TbTradesBinance[[#This Row],[Qtt]]),IF(TbTradesBinance[[#This Row],[Tipo]]="BUY",BM100-TbTradesBinance[[#This Row],[Qtt]]*TbTradesBinance[[#This Row],[Preço]],BM100+TbTradesBinance[[#This Row],[Qtt]]*TbTradesBinance[[#This Row],[Preço]])),BM100)-IF(TbTradesBinance[[#This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Row],[Tipo]]="DROP"),BM100+TbTradesBinance[[#This Row],[Qtt]],BM100-TbTradesBinance[[#This Row],[Qtt]]),IF(TbTradesBinance[[#This Row],[Tipo]]="BUY",BM100-TbTradesBinance[[#This Row],[Qtt]]*TbTradesBinance[[#This Row],[Preço]],BM100+TbTradesBinance[[#This Row],[Qtt]]*TbTradesBinance[[#This Row],[Preço]])),BM100)-IF(TbTradesBinance[[#This Row],[Moeda da Taxa]]=MID(BM$1,9,5),TbTradesBinance[[#This Row],[Taxa]],0),8)))</f>
        <v>0</v>
      </c>
      <c r="BN101" s="145" cm="1">
        <f t="array" ref="BN101">IF(TbTradesBinance[[#This Row],[Tipo]]="EMPTY",0,BN100+IF(TbTradesBinance[[#This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Row],[Par]]))),$1:$1,0)),-(BM100-BM101)/BM100*BN100),0),0)+IF(TbTradesBinance[[#This Row],[Tipo]]="SELL",IF(ISNUMBER(FIND(MID(BN$1,10,5),TbTradesBinance[[#This Row],[Par]])),IF(FIND(MID(BN$1,10,5),TbTradesBinance[[#This Row],[Par]])=1, -(BM100-BM101)/BM100*BN100,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Row],[Par]])),(-(BM100-BM101)/BM100*BN100)+IF(TbTradesBinance[[#This Row],[Resultado]]&gt;0,0,TbTradesBinance[[#This Row],[Taxa]]),0),0))</f>
        <v>0</v>
      </c>
      <c r="BO101" s="145">
        <f t="shared" si="37"/>
        <v>0</v>
      </c>
    </row>
    <row r="102" spans="2:67" x14ac:dyDescent="0.3">
      <c r="B102" s="51"/>
      <c r="C102" s="40">
        <f>TRUNC(IF(AND(TbTradesBinance[[#This Row],[Tipo]]="SEND",TbTradesBinance[[#This Row],[Par]]="BRL"),TbTradesBinance[[#This Row],[Qtt]]*(1-P100)-IF(TbTradesBinance[[#This Row],[Moeda da Taxa]]="BRL",TbTradesBinance[[#This Row],[Taxa]],0),0)+IF(AND(TbTradesBinance[[#This Row],[Tipo]]="BURN",TbTradesBinance[[#This Row],[Par]]="BRL"),-TbTradesBinance[[#This Row],[Qtt]]*P100,0),2)</f>
        <v>0</v>
      </c>
      <c r="D102" s="53">
        <v>44270.266631944447</v>
      </c>
      <c r="E102" s="37" t="s">
        <v>249</v>
      </c>
      <c r="F102" s="47" t="s">
        <v>140</v>
      </c>
      <c r="G102" s="38">
        <v>56285.71</v>
      </c>
      <c r="H102" s="38">
        <v>3.3500000000000001E-4</v>
      </c>
      <c r="I102" s="38">
        <v>1.8855710000000001E-2</v>
      </c>
      <c r="J102" s="37" t="s">
        <v>42</v>
      </c>
      <c r="K102" s="52">
        <v>5.64</v>
      </c>
      <c r="L102" s="40">
        <f t="shared" si="19"/>
        <v>317451.40000000002</v>
      </c>
      <c r="M102" s="40">
        <f>IF(OR(TbTradesBinance[[#This Row],[Tipo]]="BUY",TbTradesBinance[[#This Row],[Tipo]]="RECEIVE",TbTradesBinance[[#This Row],[Tipo]]="DROP"),L102*H102,-L102*H102)</f>
        <v>-106.346219</v>
      </c>
      <c r="N10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Row],[Tipo]]="DROP"),N101+TbTradesBinance[[#This Row],[Qtt]],N101-TbTradesBinance[[#This Row],[Qtt]]),IF(TbTradesBinance[[#This Row],[Tipo]]="BUY",N101-TbTradesBinance[[#This Row],[Qtt]]*TbTradesBinance[[#This Row],[Preço]],N101+TbTradesBinance[[#This Row],[Qtt]]*TbTradesBinance[[#This Row],[Preço]])),N101)-IF(TbTradesBinance[[#This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Row],[Tipo]]="DROP"),N101+TbTradesBinance[[#This Row],[Qtt]],N101-TbTradesBinance[[#This Row],[Qtt]]),IF(TbTradesBinance[[#This Row],[Tipo]]="BUY",N101-TbTradesBinance[[#This Row],[Qtt]]*TbTradesBinance[[#This Row],[Preço]],N101+TbTradesBinance[[#This Row],[Qtt]]*TbTradesBinance[[#This Row],[Preço]])),N101)-IF(TbTradesBinance[[#This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Row],[Tipo]]="DROP"),N101+TbTradesBinance[[#This Row],[Qtt]],N101-TbTradesBinance[[#This Row],[Qtt]]),IF(TbTradesBinance[[#This Row],[Tipo]]="BUY",N101-TbTradesBinance[[#This Row],[Qtt]]*TbTradesBinance[[#This Row],[Preço]],N101+TbTradesBinance[[#This Row],[Qtt]]*TbTradesBinance[[#This Row],[Preço]])),N101)-IF(TbTradesBinance[[#This Row],[Moeda da Taxa]]=MID(N$1,9,5),TbTradesBinance[[#This Row],[Taxa]],0),8)))</f>
        <v>119745.70050707999</v>
      </c>
      <c r="O102" s="145" cm="1">
        <f t="array" ref="O102">IF(TbTradesBinance[[#This Row],[Tipo]]="EMPTY",0,O101+IF(TbTradesBinance[[#This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Row],[Par]]))),$1:$1,0)),-(N101-N102)/N101*O101),0),0)+IF(TbTradesBinance[[#This Row],[Tipo]]="SELL",IF(ISNUMBER(FIND(MID(O$1,10,5),TbTradesBinance[[#This Row],[Par]])),IF(FIND(MID(O$1,10,5),TbTradesBinance[[#This Row],[Par]])=1, -(N101-N102)/N101*O101,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Row],[Par]])),(-(N101-N102)/N101*O101)+IF(TbTradesBinance[[#This Row],[Resultado]]&gt;0,0,TbTradesBinance[[#This Row],[Taxa]]),0),0))</f>
        <v>119733.82450611531</v>
      </c>
      <c r="P102" s="145">
        <f t="shared" si="20"/>
        <v>0.99990082315344608</v>
      </c>
      <c r="Q10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Row],[Tipo]]="DROP"),Q101+TbTradesBinance[[#This Row],[Qtt]],Q101-TbTradesBinance[[#This Row],[Qtt]]),IF(TbTradesBinance[[#This Row],[Tipo]]="BUY",Q101-TbTradesBinance[[#This Row],[Qtt]]*TbTradesBinance[[#This Row],[Preço]],Q101+TbTradesBinance[[#This Row],[Qtt]]*TbTradesBinance[[#This Row],[Preço]])),Q101)-IF(TbTradesBinance[[#This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Row],[Tipo]]="DROP"),Q101+TbTradesBinance[[#This Row],[Qtt]],Q101-TbTradesBinance[[#This Row],[Qtt]]),IF(TbTradesBinance[[#This Row],[Tipo]]="BUY",Q101-TbTradesBinance[[#This Row],[Qtt]]*TbTradesBinance[[#This Row],[Preço]],Q101+TbTradesBinance[[#This Row],[Qtt]]*TbTradesBinance[[#This Row],[Preço]])),Q101)-IF(TbTradesBinance[[#This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Row],[Tipo]]="DROP"),Q101+TbTradesBinance[[#This Row],[Qtt]],Q101-TbTradesBinance[[#This Row],[Qtt]]),IF(TbTradesBinance[[#This Row],[Tipo]]="BUY",Q101-TbTradesBinance[[#This Row],[Qtt]]*TbTradesBinance[[#This Row],[Preço]],Q101+TbTradesBinance[[#This Row],[Qtt]]*TbTradesBinance[[#This Row],[Preço]])),Q101)-IF(TbTradesBinance[[#This Row],[Moeda da Taxa]]=MID(Q$1,9,5),TbTradesBinance[[#This Row],[Taxa]],0),8)))</f>
        <v>39.38468675</v>
      </c>
      <c r="R102" s="145" cm="1">
        <f t="array" ref="R102">IF(TbTradesBinance[[#This Row],[Tipo]]="EMPTY",0,R101+IF(TbTradesBinance[[#This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Row],[Par]]))),$1:$1,0)),-(Q101-Q102)/Q101*R101),0),0)+IF(TbTradesBinance[[#This Row],[Tipo]]="SELL",IF(ISNUMBER(FIND(MID(R$1,10,5),TbTradesBinance[[#This Row],[Par]])),IF(FIND(MID(R$1,10,5),TbTradesBinance[[#This Row],[Par]])=1, -(Q101-Q102)/Q101*R101,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Row],[Par]])),(-(Q101-Q102)/Q101*R101)+IF(TbTradesBinance[[#This Row],[Resultado]]&gt;0,0,TbTradesBinance[[#This Row],[Taxa]]),0),0))</f>
        <v>227.25324837418259</v>
      </c>
      <c r="S102" s="145">
        <f t="shared" si="21"/>
        <v>5.770091554027216</v>
      </c>
      <c r="T10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Row],[Tipo]]="DROP"),T101+TbTradesBinance[[#This Row],[Qtt]],T101-TbTradesBinance[[#This Row],[Qtt]]),IF(TbTradesBinance[[#This Row],[Tipo]]="BUY",T101-TbTradesBinance[[#This Row],[Qtt]]*TbTradesBinance[[#This Row],[Preço]],T101+TbTradesBinance[[#This Row],[Qtt]]*TbTradesBinance[[#This Row],[Preço]])),T101)-IF(TbTradesBinance[[#This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Row],[Tipo]]="DROP"),T101+TbTradesBinance[[#This Row],[Qtt]],T101-TbTradesBinance[[#This Row],[Qtt]]),IF(TbTradesBinance[[#This Row],[Tipo]]="BUY",T101-TbTradesBinance[[#This Row],[Qtt]]*TbTradesBinance[[#This Row],[Preço]],T101+TbTradesBinance[[#This Row],[Qtt]]*TbTradesBinance[[#This Row],[Preço]])),T101)-IF(TbTradesBinance[[#This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Row],[Tipo]]="DROP"),T101+TbTradesBinance[[#This Row],[Qtt]],T101-TbTradesBinance[[#This Row],[Qtt]]),IF(TbTradesBinance[[#This Row],[Tipo]]="BUY",T101-TbTradesBinance[[#This Row],[Qtt]]*TbTradesBinance[[#This Row],[Preço]],T101+TbTradesBinance[[#This Row],[Qtt]]*TbTradesBinance[[#This Row],[Preço]])),T101)-IF(TbTradesBinance[[#This Row],[Moeda da Taxa]]=MID(T$1,9,5),TbTradesBinance[[#This Row],[Taxa]],0),8)))</f>
        <v>199735.32000169999</v>
      </c>
      <c r="U102" s="145" cm="1">
        <f t="array" ref="U102">IF(TbTradesBinance[[#This Row],[Tipo]]="EMPTY",0,U101+IF(TbTradesBinance[[#This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Row],[Par]]))),$1:$1,0)),-(T101-T102)/T101*U101),0),0)+IF(TbTradesBinance[[#This Row],[Tipo]]="SELL",IF(ISNUMBER(FIND(MID(U$1,10,5),TbTradesBinance[[#This Row],[Par]])),IF(FIND(MID(U$1,10,5),TbTradesBinance[[#This Row],[Par]])=1, -(T101-T102)/T101*U101,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Row],[Par]])),(-(T101-T102)/T101*U101)+IF(TbTradesBinance[[#This Row],[Resultado]]&gt;0,0,TbTradesBinance[[#This Row],[Taxa]]),0),0))</f>
        <v>1328239.8809817513</v>
      </c>
      <c r="V102" s="145">
        <f t="shared" si="22"/>
        <v>6.6500000148719129</v>
      </c>
      <c r="W10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Row],[Tipo]]="DROP"),W101+TbTradesBinance[[#This Row],[Qtt]],W101-TbTradesBinance[[#This Row],[Qtt]]),IF(TbTradesBinance[[#This Row],[Tipo]]="BUY",W101-TbTradesBinance[[#This Row],[Qtt]]*TbTradesBinance[[#This Row],[Preço]],W101+TbTradesBinance[[#This Row],[Qtt]]*TbTradesBinance[[#This Row],[Preço]])),W101)-IF(TbTradesBinance[[#This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Row],[Tipo]]="DROP"),W101+TbTradesBinance[[#This Row],[Qtt]],W101-TbTradesBinance[[#This Row],[Qtt]]),IF(TbTradesBinance[[#This Row],[Tipo]]="BUY",W101-TbTradesBinance[[#This Row],[Qtt]]*TbTradesBinance[[#This Row],[Preço]],W101+TbTradesBinance[[#This Row],[Qtt]]*TbTradesBinance[[#This Row],[Preço]])),W101)-IF(TbTradesBinance[[#This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Row],[Tipo]]="DROP"),W101+TbTradesBinance[[#This Row],[Qtt]],W101-TbTradesBinance[[#This Row],[Qtt]]),IF(TbTradesBinance[[#This Row],[Tipo]]="BUY",W101-TbTradesBinance[[#This Row],[Qtt]]*TbTradesBinance[[#This Row],[Preço]],W101+TbTradesBinance[[#This Row],[Qtt]]*TbTradesBinance[[#This Row],[Preço]])),W101)-IF(TbTradesBinance[[#This Row],[Moeda da Taxa]]=MID(W$1,9,5),TbTradesBinance[[#This Row],[Taxa]],0),8)))</f>
        <v>2.48036E-3</v>
      </c>
      <c r="X102" s="145" cm="1">
        <f t="array" ref="X102">IF(TbTradesBinance[[#This Row],[Tipo]]="EMPTY",0,X101+IF(TbTradesBinance[[#This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Row],[Par]]))),$1:$1,0)),-(W101-W102)/W101*X101),0),0)+IF(TbTradesBinance[[#This Row],[Tipo]]="SELL",IF(ISNUMBER(FIND(MID(X$1,10,5),TbTradesBinance[[#This Row],[Par]])),IF(FIND(MID(X$1,10,5),TbTradesBinance[[#This Row],[Par]])=1, -(W101-W102)/W101*X101,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Row],[Par]])),(-(W101-W102)/W101*X101)+IF(TbTradesBinance[[#This Row],[Resultado]]&gt;0,0,TbTradesBinance[[#This Row],[Taxa]]),0),0))</f>
        <v>832.53731315140135</v>
      </c>
      <c r="Y102" s="145">
        <f t="shared" si="23"/>
        <v>335651.8058472969</v>
      </c>
      <c r="Z10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Row],[Tipo]]="DROP"),Z101+TbTradesBinance[[#This Row],[Qtt]],Z101-TbTradesBinance[[#This Row],[Qtt]]),IF(TbTradesBinance[[#This Row],[Tipo]]="BUY",Z101-TbTradesBinance[[#This Row],[Qtt]]*TbTradesBinance[[#This Row],[Preço]],Z101+TbTradesBinance[[#This Row],[Qtt]]*TbTradesBinance[[#This Row],[Preço]])),Z101)-IF(TbTradesBinance[[#This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Row],[Tipo]]="DROP"),Z101+TbTradesBinance[[#This Row],[Qtt]],Z101-TbTradesBinance[[#This Row],[Qtt]]),IF(TbTradesBinance[[#This Row],[Tipo]]="BUY",Z101-TbTradesBinance[[#This Row],[Qtt]]*TbTradesBinance[[#This Row],[Preço]],Z101+TbTradesBinance[[#This Row],[Qtt]]*TbTradesBinance[[#This Row],[Preço]])),Z101)-IF(TbTradesBinance[[#This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Row],[Tipo]]="DROP"),Z101+TbTradesBinance[[#This Row],[Qtt]],Z101-TbTradesBinance[[#This Row],[Qtt]]),IF(TbTradesBinance[[#This Row],[Tipo]]="BUY",Z101-TbTradesBinance[[#This Row],[Qtt]]*TbTradesBinance[[#This Row],[Preço]],Z101+TbTradesBinance[[#This Row],[Qtt]]*TbTradesBinance[[#This Row],[Preço]])),Z101)-IF(TbTradesBinance[[#This Row],[Moeda da Taxa]]=MID(Z$1,9,5),TbTradesBinance[[#This Row],[Taxa]],0),8)))</f>
        <v>0</v>
      </c>
      <c r="AA102" s="145" cm="1">
        <f t="array" ref="AA102">IF(TbTradesBinance[[#This Row],[Tipo]]="EMPTY",0,AA101+IF(TbTradesBinance[[#This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Row],[Par]]))),$1:$1,0)),-(Z101-Z102)/Z101*AA101),0),0)+IF(TbTradesBinance[[#This Row],[Tipo]]="SELL",IF(ISNUMBER(FIND(MID(AA$1,10,5),TbTradesBinance[[#This Row],[Par]])),IF(FIND(MID(AA$1,10,5),TbTradesBinance[[#This Row],[Par]])=1, -(Z101-Z102)/Z101*AA101,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Row],[Par]])),(-(Z101-Z102)/Z101*AA101)+IF(TbTradesBinance[[#This Row],[Resultado]]&gt;0,0,TbTradesBinance[[#This Row],[Taxa]]),0),0))</f>
        <v>0</v>
      </c>
      <c r="AB102" s="145">
        <f t="shared" si="24"/>
        <v>0</v>
      </c>
      <c r="AC10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Row],[Tipo]]="DROP"),AC101+TbTradesBinance[[#This Row],[Qtt]],AC101-TbTradesBinance[[#This Row],[Qtt]]),IF(TbTradesBinance[[#This Row],[Tipo]]="BUY",AC101-TbTradesBinance[[#This Row],[Qtt]]*TbTradesBinance[[#This Row],[Preço]],AC101+TbTradesBinance[[#This Row],[Qtt]]*TbTradesBinance[[#This Row],[Preço]])),AC101)-IF(TbTradesBinance[[#This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Row],[Tipo]]="DROP"),AC101+TbTradesBinance[[#This Row],[Qtt]],AC101-TbTradesBinance[[#This Row],[Qtt]]),IF(TbTradesBinance[[#This Row],[Tipo]]="BUY",AC101-TbTradesBinance[[#This Row],[Qtt]]*TbTradesBinance[[#This Row],[Preço]],AC101+TbTradesBinance[[#This Row],[Qtt]]*TbTradesBinance[[#This Row],[Preço]])),AC101)-IF(TbTradesBinance[[#This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Row],[Tipo]]="DROP"),AC101+TbTradesBinance[[#This Row],[Qtt]],AC101-TbTradesBinance[[#This Row],[Qtt]]),IF(TbTradesBinance[[#This Row],[Tipo]]="BUY",AC101-TbTradesBinance[[#This Row],[Qtt]]*TbTradesBinance[[#This Row],[Preço]],AC101+TbTradesBinance[[#This Row],[Qtt]]*TbTradesBinance[[#This Row],[Preço]])),AC101)-IF(TbTradesBinance[[#This Row],[Moeda da Taxa]]=MID(AC$1,9,5),TbTradesBinance[[#This Row],[Taxa]],0),8)))</f>
        <v>2.997E-2</v>
      </c>
      <c r="AD102" s="145" cm="1">
        <f t="array" ref="AD102">IF(TbTradesBinance[[#This Row],[Tipo]]="EMPTY",0,AD101+IF(TbTradesBinance[[#This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Row],[Par]]))),$1:$1,0)),-(AC101-AC102)/AC101*AD101),0),0)+IF(TbTradesBinance[[#This Row],[Tipo]]="SELL",IF(ISNUMBER(FIND(MID(AD$1,10,5),TbTradesBinance[[#This Row],[Par]])),IF(FIND(MID(AD$1,10,5),TbTradesBinance[[#This Row],[Par]])=1, -(AC101-AC102)/AC101*AD101,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Row],[Par]])),(-(AC101-AC102)/AC101*AD101)+IF(TbTradesBinance[[#This Row],[Resultado]]&gt;0,0,TbTradesBinance[[#This Row],[Taxa]]),0),0))</f>
        <v>60.199749701148171</v>
      </c>
      <c r="AE102" s="145">
        <f t="shared" si="25"/>
        <v>2008.6669903619677</v>
      </c>
      <c r="AF10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Row],[Tipo]]="DROP"),AF101+TbTradesBinance[[#This Row],[Qtt]],AF101-TbTradesBinance[[#This Row],[Qtt]]),IF(TbTradesBinance[[#This Row],[Tipo]]="BUY",AF101-TbTradesBinance[[#This Row],[Qtt]]*TbTradesBinance[[#This Row],[Preço]],AF101+TbTradesBinance[[#This Row],[Qtt]]*TbTradesBinance[[#This Row],[Preço]])),AF101)-IF(TbTradesBinance[[#This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Row],[Tipo]]="DROP"),AF101+TbTradesBinance[[#This Row],[Qtt]],AF101-TbTradesBinance[[#This Row],[Qtt]]),IF(TbTradesBinance[[#This Row],[Tipo]]="BUY",AF101-TbTradesBinance[[#This Row],[Qtt]]*TbTradesBinance[[#This Row],[Preço]],AF101+TbTradesBinance[[#This Row],[Qtt]]*TbTradesBinance[[#This Row],[Preço]])),AF101)-IF(TbTradesBinance[[#This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Row],[Tipo]]="DROP"),AF101+TbTradesBinance[[#This Row],[Qtt]],AF101-TbTradesBinance[[#This Row],[Qtt]]),IF(TbTradesBinance[[#This Row],[Tipo]]="BUY",AF101-TbTradesBinance[[#This Row],[Qtt]]*TbTradesBinance[[#This Row],[Preço]],AF101+TbTradesBinance[[#This Row],[Qtt]]*TbTradesBinance[[#This Row],[Preço]])),AF101)-IF(TbTradesBinance[[#This Row],[Moeda da Taxa]]=MID(AF$1,9,5),TbTradesBinance[[#This Row],[Taxa]],0),8)))</f>
        <v>19.98</v>
      </c>
      <c r="AG102" s="145" cm="1">
        <f t="array" ref="AG102">IF(TbTradesBinance[[#This Row],[Tipo]]="EMPTY",0,AG101+IF(TbTradesBinance[[#This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Row],[Par]]))),$1:$1,0)),-(AF101-AF102)/AF101*AG101),0),0)+IF(TbTradesBinance[[#This Row],[Tipo]]="SELL",IF(ISNUMBER(FIND(MID(AG$1,10,5),TbTradesBinance[[#This Row],[Par]])),IF(FIND(MID(AG$1,10,5),TbTradesBinance[[#This Row],[Par]])=1, -(AF101-AF102)/AF101*AG101,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Row],[Par]])),(-(AF101-AF102)/AF101*AG101)+IF(TbTradesBinance[[#This Row],[Resultado]]&gt;0,0,TbTradesBinance[[#This Row],[Taxa]]),0),0))</f>
        <v>124.04182758073662</v>
      </c>
      <c r="AH102" s="145">
        <f t="shared" si="26"/>
        <v>6.2082996787155462</v>
      </c>
      <c r="AI10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Row],[Tipo]]="DROP"),AI101+TbTradesBinance[[#This Row],[Qtt]],AI101-TbTradesBinance[[#This Row],[Qtt]]),IF(TbTradesBinance[[#This Row],[Tipo]]="BUY",AI101-TbTradesBinance[[#This Row],[Qtt]]*TbTradesBinance[[#This Row],[Preço]],AI101+TbTradesBinance[[#This Row],[Qtt]]*TbTradesBinance[[#This Row],[Preço]])),AI101)-IF(TbTradesBinance[[#This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Row],[Tipo]]="DROP"),AI101+TbTradesBinance[[#This Row],[Qtt]],AI101-TbTradesBinance[[#This Row],[Qtt]]),IF(TbTradesBinance[[#This Row],[Tipo]]="BUY",AI101-TbTradesBinance[[#This Row],[Qtt]]*TbTradesBinance[[#This Row],[Preço]],AI101+TbTradesBinance[[#This Row],[Qtt]]*TbTradesBinance[[#This Row],[Preço]])),AI101)-IF(TbTradesBinance[[#This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Row],[Tipo]]="DROP"),AI101+TbTradesBinance[[#This Row],[Qtt]],AI101-TbTradesBinance[[#This Row],[Qtt]]),IF(TbTradesBinance[[#This Row],[Tipo]]="BUY",AI101-TbTradesBinance[[#This Row],[Qtt]]*TbTradesBinance[[#This Row],[Preço]],AI101+TbTradesBinance[[#This Row],[Qtt]]*TbTradesBinance[[#This Row],[Preço]])),AI101)-IF(TbTradesBinance[[#This Row],[Moeda da Taxa]]=MID(AI$1,9,5),TbTradesBinance[[#This Row],[Taxa]],0),8)))</f>
        <v>0</v>
      </c>
      <c r="AJ102" s="145" cm="1">
        <f t="array" ref="AJ102">IF(TbTradesBinance[[#This Row],[Tipo]]="EMPTY",0,AJ101+IF(TbTradesBinance[[#This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Row],[Par]]))),$1:$1,0)),-(AI101-AI102)/AI101*AJ101),0),0)+IF(TbTradesBinance[[#This Row],[Tipo]]="SELL",IF(ISNUMBER(FIND(MID(AJ$1,10,5),TbTradesBinance[[#This Row],[Par]])),IF(FIND(MID(AJ$1,10,5),TbTradesBinance[[#This Row],[Par]])=1, -(AI101-AI102)/AI101*AJ101,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Row],[Par]])),(-(AI101-AI102)/AI101*AJ101)+IF(TbTradesBinance[[#This Row],[Resultado]]&gt;0,0,TbTradesBinance[[#This Row],[Taxa]]),0),0))</f>
        <v>0</v>
      </c>
      <c r="AK102" s="145">
        <f t="shared" si="27"/>
        <v>0</v>
      </c>
      <c r="AL10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Row],[Tipo]]="DROP"),AL101+TbTradesBinance[[#This Row],[Qtt]],AL101-TbTradesBinance[[#This Row],[Qtt]]),IF(TbTradesBinance[[#This Row],[Tipo]]="BUY",AL101-TbTradesBinance[[#This Row],[Qtt]]*TbTradesBinance[[#This Row],[Preço]],AL101+TbTradesBinance[[#This Row],[Qtt]]*TbTradesBinance[[#This Row],[Preço]])),AL101)-IF(TbTradesBinance[[#This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Row],[Tipo]]="DROP"),AL101+TbTradesBinance[[#This Row],[Qtt]],AL101-TbTradesBinance[[#This Row],[Qtt]]),IF(TbTradesBinance[[#This Row],[Tipo]]="BUY",AL101-TbTradesBinance[[#This Row],[Qtt]]*TbTradesBinance[[#This Row],[Preço]],AL101+TbTradesBinance[[#This Row],[Qtt]]*TbTradesBinance[[#This Row],[Preço]])),AL101)-IF(TbTradesBinance[[#This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Row],[Tipo]]="DROP"),AL101+TbTradesBinance[[#This Row],[Qtt]],AL101-TbTradesBinance[[#This Row],[Qtt]]),IF(TbTradesBinance[[#This Row],[Tipo]]="BUY",AL101-TbTradesBinance[[#This Row],[Qtt]]*TbTradesBinance[[#This Row],[Preço]],AL101+TbTradesBinance[[#This Row],[Qtt]]*TbTradesBinance[[#This Row],[Preço]])),AL101)-IF(TbTradesBinance[[#This Row],[Moeda da Taxa]]=MID(AL$1,9,5),TbTradesBinance[[#This Row],[Taxa]],0),8)))</f>
        <v>1.75824</v>
      </c>
      <c r="AM102" s="145" cm="1">
        <f t="array" ref="AM102">IF(TbTradesBinance[[#This Row],[Tipo]]="EMPTY",0,AM101+IF(TbTradesBinance[[#This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Row],[Par]]))),$1:$1,0)),-(AL101-AL102)/AL101*AM101),0),0)+IF(TbTradesBinance[[#This Row],[Tipo]]="SELL",IF(ISNUMBER(FIND(MID(AM$1,10,5),TbTradesBinance[[#This Row],[Par]])),IF(FIND(MID(AM$1,10,5),TbTradesBinance[[#This Row],[Par]])=1, -(AL101-AL102)/AL101*AM101,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Row],[Par]])),(-(AL101-AL102)/AL101*AM101)+IF(TbTradesBinance[[#This Row],[Resultado]]&gt;0,0,TbTradesBinance[[#This Row],[Taxa]]),0),0))</f>
        <v>144.56635471393039</v>
      </c>
      <c r="AN102" s="145">
        <f t="shared" si="28"/>
        <v>82.222196465744375</v>
      </c>
      <c r="AO10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Row],[Tipo]]="DROP"),AO101+TbTradesBinance[[#This Row],[Qtt]],AO101-TbTradesBinance[[#This Row],[Qtt]]),IF(TbTradesBinance[[#This Row],[Tipo]]="BUY",AO101-TbTradesBinance[[#This Row],[Qtt]]*TbTradesBinance[[#This Row],[Preço]],AO101+TbTradesBinance[[#This Row],[Qtt]]*TbTradesBinance[[#This Row],[Preço]])),AO101)-IF(TbTradesBinance[[#This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Row],[Tipo]]="DROP"),AO101+TbTradesBinance[[#This Row],[Qtt]],AO101-TbTradesBinance[[#This Row],[Qtt]]),IF(TbTradesBinance[[#This Row],[Tipo]]="BUY",AO101-TbTradesBinance[[#This Row],[Qtt]]*TbTradesBinance[[#This Row],[Preço]],AO101+TbTradesBinance[[#This Row],[Qtt]]*TbTradesBinance[[#This Row],[Preço]])),AO101)-IF(TbTradesBinance[[#This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Row],[Tipo]]="DROP"),AO101+TbTradesBinance[[#This Row],[Qtt]],AO101-TbTradesBinance[[#This Row],[Qtt]]),IF(TbTradesBinance[[#This Row],[Tipo]]="BUY",AO101-TbTradesBinance[[#This Row],[Qtt]]*TbTradesBinance[[#This Row],[Preço]],AO101+TbTradesBinance[[#This Row],[Qtt]]*TbTradesBinance[[#This Row],[Preço]])),AO101)-IF(TbTradesBinance[[#This Row],[Moeda da Taxa]]=MID(AO$1,9,5),TbTradesBinance[[#This Row],[Taxa]],0),8)))</f>
        <v>3.9907299999999996E-3</v>
      </c>
      <c r="AP102" s="145" cm="1">
        <f t="array" ref="AP102">IF(TbTradesBinance[[#This Row],[Tipo]]="EMPTY",0,AP101+IF(TbTradesBinance[[#This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Row],[Par]]))),$1:$1,0)),-(AO101-AO102)/AO101*AP101),0),0)+IF(TbTradesBinance[[#This Row],[Tipo]]="SELL",IF(ISNUMBER(FIND(MID(AP$1,10,5),TbTradesBinance[[#This Row],[Par]])),IF(FIND(MID(AP$1,10,5),TbTradesBinance[[#This Row],[Par]])=1, -(AO101-AO102)/AO101*AP101,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Row],[Par]])),(-(AO101-AO102)/AO101*AP101)+IF(TbTradesBinance[[#This Row],[Resultado]]&gt;0,0,TbTradesBinance[[#This Row],[Taxa]]),0),0))</f>
        <v>7.3360959318006032</v>
      </c>
      <c r="AQ102" s="145">
        <f t="shared" si="29"/>
        <v>1838.2842065989439</v>
      </c>
      <c r="AR10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Row],[Tipo]]="DROP"),AR101+TbTradesBinance[[#This Row],[Qtt]],AR101-TbTradesBinance[[#This Row],[Qtt]]),IF(TbTradesBinance[[#This Row],[Tipo]]="BUY",AR101-TbTradesBinance[[#This Row],[Qtt]]*TbTradesBinance[[#This Row],[Preço]],AR101+TbTradesBinance[[#This Row],[Qtt]]*TbTradesBinance[[#This Row],[Preço]])),AR101)-IF(TbTradesBinance[[#This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Row],[Tipo]]="DROP"),AR101+TbTradesBinance[[#This Row],[Qtt]],AR101-TbTradesBinance[[#This Row],[Qtt]]),IF(TbTradesBinance[[#This Row],[Tipo]]="BUY",AR101-TbTradesBinance[[#This Row],[Qtt]]*TbTradesBinance[[#This Row],[Preço]],AR101+TbTradesBinance[[#This Row],[Qtt]]*TbTradesBinance[[#This Row],[Preço]])),AR101)-IF(TbTradesBinance[[#This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Row],[Tipo]]="DROP"),AR101+TbTradesBinance[[#This Row],[Qtt]],AR101-TbTradesBinance[[#This Row],[Qtt]]),IF(TbTradesBinance[[#This Row],[Tipo]]="BUY",AR101-TbTradesBinance[[#This Row],[Qtt]]*TbTradesBinance[[#This Row],[Preço]],AR101+TbTradesBinance[[#This Row],[Qtt]]*TbTradesBinance[[#This Row],[Preço]])),AR101)-IF(TbTradesBinance[[#This Row],[Moeda da Taxa]]=MID(AR$1,9,5),TbTradesBinance[[#This Row],[Taxa]],0),8)))</f>
        <v>61.251199999999997</v>
      </c>
      <c r="AS102" s="145" cm="1">
        <f t="array" ref="AS102">IF(TbTradesBinance[[#This Row],[Tipo]]="EMPTY",0,AS101+IF(TbTradesBinance[[#This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Row],[Par]]))),$1:$1,0)),-(AR101-AR102)/AR101*AS101),0),0)+IF(TbTradesBinance[[#This Row],[Tipo]]="SELL",IF(ISNUMBER(FIND(MID(AS$1,10,5),TbTradesBinance[[#This Row],[Par]])),IF(FIND(MID(AS$1,10,5),TbTradesBinance[[#This Row],[Par]])=1, -(AR101-AR102)/AR101*AS101,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Row],[Par]])),(-(AR101-AR102)/AR101*AS101)+IF(TbTradesBinance[[#This Row],[Resultado]]&gt;0,0,TbTradesBinance[[#This Row],[Taxa]]),0),0))</f>
        <v>230.84001376053044</v>
      </c>
      <c r="AT102" s="145">
        <f t="shared" si="30"/>
        <v>3.7687427146003745</v>
      </c>
      <c r="AU10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Row],[Tipo]]="DROP"),AU101+TbTradesBinance[[#This Row],[Qtt]],AU101-TbTradesBinance[[#This Row],[Qtt]]),IF(TbTradesBinance[[#This Row],[Tipo]]="BUY",AU101-TbTradesBinance[[#This Row],[Qtt]]*TbTradesBinance[[#This Row],[Preço]],AU101+TbTradesBinance[[#This Row],[Qtt]]*TbTradesBinance[[#This Row],[Preço]])),AU101)-IF(TbTradesBinance[[#This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Row],[Tipo]]="DROP"),AU101+TbTradesBinance[[#This Row],[Qtt]],AU101-TbTradesBinance[[#This Row],[Qtt]]),IF(TbTradesBinance[[#This Row],[Tipo]]="BUY",AU101-TbTradesBinance[[#This Row],[Qtt]]*TbTradesBinance[[#This Row],[Preço]],AU101+TbTradesBinance[[#This Row],[Qtt]]*TbTradesBinance[[#This Row],[Preço]])),AU101)-IF(TbTradesBinance[[#This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Row],[Tipo]]="DROP"),AU101+TbTradesBinance[[#This Row],[Qtt]],AU101-TbTradesBinance[[#This Row],[Qtt]]),IF(TbTradesBinance[[#This Row],[Tipo]]="BUY",AU101-TbTradesBinance[[#This Row],[Qtt]]*TbTradesBinance[[#This Row],[Preço]],AU101+TbTradesBinance[[#This Row],[Qtt]]*TbTradesBinance[[#This Row],[Preço]])),AU101)-IF(TbTradesBinance[[#This Row],[Moeda da Taxa]]=MID(AU$1,9,5),TbTradesBinance[[#This Row],[Taxa]],0),8)))</f>
        <v>0</v>
      </c>
      <c r="AV102" s="145" cm="1">
        <f t="array" ref="AV102">IF(TbTradesBinance[[#This Row],[Tipo]]="EMPTY",0,AV101+IF(TbTradesBinance[[#This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Row],[Par]]))),$1:$1,0)),-(AU101-AU102)/AU101*AV101),0),0)+IF(TbTradesBinance[[#This Row],[Tipo]]="SELL",IF(ISNUMBER(FIND(MID(AV$1,10,5),TbTradesBinance[[#This Row],[Par]])),IF(FIND(MID(AV$1,10,5),TbTradesBinance[[#This Row],[Par]])=1, -(AU101-AU102)/AU101*AV101,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Row],[Par]])),(-(AU101-AU102)/AU101*AV101)+IF(TbTradesBinance[[#This Row],[Resultado]]&gt;0,0,TbTradesBinance[[#This Row],[Taxa]]),0),0))</f>
        <v>0</v>
      </c>
      <c r="AW102" s="145">
        <f t="shared" si="31"/>
        <v>0</v>
      </c>
      <c r="AX10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Row],[Tipo]]="DROP"),AX101+TbTradesBinance[[#This Row],[Qtt]],AX101-TbTradesBinance[[#This Row],[Qtt]]),IF(TbTradesBinance[[#This Row],[Tipo]]="BUY",AX101-TbTradesBinance[[#This Row],[Qtt]]*TbTradesBinance[[#This Row],[Preço]],AX101+TbTradesBinance[[#This Row],[Qtt]]*TbTradesBinance[[#This Row],[Preço]])),AX101)-IF(TbTradesBinance[[#This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Row],[Tipo]]="DROP"),AX101+TbTradesBinance[[#This Row],[Qtt]],AX101-TbTradesBinance[[#This Row],[Qtt]]),IF(TbTradesBinance[[#This Row],[Tipo]]="BUY",AX101-TbTradesBinance[[#This Row],[Qtt]]*TbTradesBinance[[#This Row],[Preço]],AX101+TbTradesBinance[[#This Row],[Qtt]]*TbTradesBinance[[#This Row],[Preço]])),AX101)-IF(TbTradesBinance[[#This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Row],[Tipo]]="DROP"),AX101+TbTradesBinance[[#This Row],[Qtt]],AX101-TbTradesBinance[[#This Row],[Qtt]]),IF(TbTradesBinance[[#This Row],[Tipo]]="BUY",AX101-TbTradesBinance[[#This Row],[Qtt]]*TbTradesBinance[[#This Row],[Preço]],AX101+TbTradesBinance[[#This Row],[Qtt]]*TbTradesBinance[[#This Row],[Preço]])),AX101)-IF(TbTradesBinance[[#This Row],[Moeda da Taxa]]=MID(AX$1,9,5),TbTradesBinance[[#This Row],[Taxa]],0),8)))</f>
        <v>0.22636999999999999</v>
      </c>
      <c r="AY102" s="145" cm="1">
        <f t="array" ref="AY102">IF(TbTradesBinance[[#This Row],[Tipo]]="EMPTY",0,AY101+IF(TbTradesBinance[[#This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Row],[Par]]))),$1:$1,0)),-(AX101-AX102)/AX101*AY101),0),0)+IF(TbTradesBinance[[#This Row],[Tipo]]="SELL",IF(ISNUMBER(FIND(MID(AY$1,10,5),TbTradesBinance[[#This Row],[Par]])),IF(FIND(MID(AY$1,10,5),TbTradesBinance[[#This Row],[Par]])=1, -(AX101-AX102)/AX101*AY101,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Row],[Par]])),(-(AX101-AX102)/AX101*AY101)+IF(TbTradesBinance[[#This Row],[Resultado]]&gt;0,0,TbTradesBinance[[#This Row],[Taxa]]),0),0))</f>
        <v>40.781337593356859</v>
      </c>
      <c r="AZ102" s="145">
        <f t="shared" si="32"/>
        <v>180.15345493376711</v>
      </c>
      <c r="BA10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Row],[Tipo]]="DROP"),BA101+TbTradesBinance[[#This Row],[Qtt]],BA101-TbTradesBinance[[#This Row],[Qtt]]),IF(TbTradesBinance[[#This Row],[Tipo]]="BUY",BA101-TbTradesBinance[[#This Row],[Qtt]]*TbTradesBinance[[#This Row],[Preço]],BA101+TbTradesBinance[[#This Row],[Qtt]]*TbTradesBinance[[#This Row],[Preço]])),BA101)-IF(TbTradesBinance[[#This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Row],[Tipo]]="DROP"),BA101+TbTradesBinance[[#This Row],[Qtt]],BA101-TbTradesBinance[[#This Row],[Qtt]]),IF(TbTradesBinance[[#This Row],[Tipo]]="BUY",BA101-TbTradesBinance[[#This Row],[Qtt]]*TbTradesBinance[[#This Row],[Preço]],BA101+TbTradesBinance[[#This Row],[Qtt]]*TbTradesBinance[[#This Row],[Preço]])),BA101)-IF(TbTradesBinance[[#This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Row],[Tipo]]="DROP"),BA101+TbTradesBinance[[#This Row],[Qtt]],BA101-TbTradesBinance[[#This Row],[Qtt]]),IF(TbTradesBinance[[#This Row],[Tipo]]="BUY",BA101-TbTradesBinance[[#This Row],[Qtt]]*TbTradesBinance[[#This Row],[Preço]],BA101+TbTradesBinance[[#This Row],[Qtt]]*TbTradesBinance[[#This Row],[Preço]])),BA101)-IF(TbTradesBinance[[#This Row],[Moeda da Taxa]]=MID(BA$1,9,5),TbTradesBinance[[#This Row],[Taxa]],0),8)))</f>
        <v>0</v>
      </c>
      <c r="BB102" s="145" cm="1">
        <f t="array" ref="BB102">IF(TbTradesBinance[[#This Row],[Tipo]]="EMPTY",0,BB101+IF(TbTradesBinance[[#This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Row],[Par]]))),$1:$1,0)),-(BA101-BA102)/BA101*BB101),0),0)+IF(TbTradesBinance[[#This Row],[Tipo]]="SELL",IF(ISNUMBER(FIND(MID(BB$1,10,5),TbTradesBinance[[#This Row],[Par]])),IF(FIND(MID(BB$1,10,5),TbTradesBinance[[#This Row],[Par]])=1, -(BA101-BA102)/BA101*BB101,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Row],[Par]])),(-(BA101-BA102)/BA101*BB101)+IF(TbTradesBinance[[#This Row],[Resultado]]&gt;0,0,TbTradesBinance[[#This Row],[Taxa]]),0),0))</f>
        <v>0</v>
      </c>
      <c r="BC102" s="145">
        <f t="shared" si="33"/>
        <v>0</v>
      </c>
      <c r="BD10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Row],[Tipo]]="DROP"),BD101+TbTradesBinance[[#This Row],[Qtt]],BD101-TbTradesBinance[[#This Row],[Qtt]]),IF(TbTradesBinance[[#This Row],[Tipo]]="BUY",BD101-TbTradesBinance[[#This Row],[Qtt]]*TbTradesBinance[[#This Row],[Preço]],BD101+TbTradesBinance[[#This Row],[Qtt]]*TbTradesBinance[[#This Row],[Preço]])),BD101)-IF(TbTradesBinance[[#This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Row],[Tipo]]="DROP"),BD101+TbTradesBinance[[#This Row],[Qtt]],BD101-TbTradesBinance[[#This Row],[Qtt]]),IF(TbTradesBinance[[#This Row],[Tipo]]="BUY",BD101-TbTradesBinance[[#This Row],[Qtt]]*TbTradesBinance[[#This Row],[Preço]],BD101+TbTradesBinance[[#This Row],[Qtt]]*TbTradesBinance[[#This Row],[Preço]])),BD101)-IF(TbTradesBinance[[#This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Row],[Tipo]]="DROP"),BD101+TbTradesBinance[[#This Row],[Qtt]],BD101-TbTradesBinance[[#This Row],[Qtt]]),IF(TbTradesBinance[[#This Row],[Tipo]]="BUY",BD101-TbTradesBinance[[#This Row],[Qtt]]*TbTradesBinance[[#This Row],[Preço]],BD101+TbTradesBinance[[#This Row],[Qtt]]*TbTradesBinance[[#This Row],[Preço]])),BD101)-IF(TbTradesBinance[[#This Row],[Moeda da Taxa]]=MID(BD$1,9,5),TbTradesBinance[[#This Row],[Taxa]],0),8)))</f>
        <v>0.56906000000000001</v>
      </c>
      <c r="BE102" s="145" cm="1">
        <f t="array" ref="BE102">IF(TbTradesBinance[[#This Row],[Tipo]]="EMPTY",0,BE101+IF(TbTradesBinance[[#This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Row],[Par]]))),$1:$1,0)),-(BD101-BD102)/BD101*BE101),0),0)+IF(TbTradesBinance[[#This Row],[Tipo]]="SELL",IF(ISNUMBER(FIND(MID(BE$1,10,5),TbTradesBinance[[#This Row],[Par]])),IF(FIND(MID(BE$1,10,5),TbTradesBinance[[#This Row],[Par]])=1, -(BD101-BD102)/BD101*BE101,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Row],[Par]])),(-(BD101-BD102)/BD101*BE101)+IF(TbTradesBinance[[#This Row],[Resultado]]&gt;0,0,TbTradesBinance[[#This Row],[Taxa]]),0),0))</f>
        <v>105.81619120195663</v>
      </c>
      <c r="BF102" s="145">
        <f t="shared" si="34"/>
        <v>185.94909359638109</v>
      </c>
      <c r="BG10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Row],[Tipo]]="DROP"),BG101+TbTradesBinance[[#This Row],[Qtt]],BG101-TbTradesBinance[[#This Row],[Qtt]]),IF(TbTradesBinance[[#This Row],[Tipo]]="BUY",BG101-TbTradesBinance[[#This Row],[Qtt]]*TbTradesBinance[[#This Row],[Preço]],BG101+TbTradesBinance[[#This Row],[Qtt]]*TbTradesBinance[[#This Row],[Preço]])),BG101)-IF(TbTradesBinance[[#This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Row],[Tipo]]="DROP"),BG101+TbTradesBinance[[#This Row],[Qtt]],BG101-TbTradesBinance[[#This Row],[Qtt]]),IF(TbTradesBinance[[#This Row],[Tipo]]="BUY",BG101-TbTradesBinance[[#This Row],[Qtt]]*TbTradesBinance[[#This Row],[Preço]],BG101+TbTradesBinance[[#This Row],[Qtt]]*TbTradesBinance[[#This Row],[Preço]])),BG101)-IF(TbTradesBinance[[#This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Row],[Tipo]]="DROP"),BG101+TbTradesBinance[[#This Row],[Qtt]],BG101-TbTradesBinance[[#This Row],[Qtt]]),IF(TbTradesBinance[[#This Row],[Tipo]]="BUY",BG101-TbTradesBinance[[#This Row],[Qtt]]*TbTradesBinance[[#This Row],[Preço]],BG101+TbTradesBinance[[#This Row],[Qtt]]*TbTradesBinance[[#This Row],[Preço]])),BG101)-IF(TbTradesBinance[[#This Row],[Moeda da Taxa]]=MID(BG$1,9,5),TbTradesBinance[[#This Row],[Taxa]],0),8)))</f>
        <v>0</v>
      </c>
      <c r="BH102" s="145" cm="1">
        <f t="array" ref="BH102">IF(TbTradesBinance[[#This Row],[Tipo]]="EMPTY",0,BH101+IF(TbTradesBinance[[#This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Row],[Par]]))),$1:$1,0)),-(BG101-BG102)/BG101*BH101),0),0)+IF(TbTradesBinance[[#This Row],[Tipo]]="SELL",IF(ISNUMBER(FIND(MID(BH$1,10,5),TbTradesBinance[[#This Row],[Par]])),IF(FIND(MID(BH$1,10,5),TbTradesBinance[[#This Row],[Par]])=1, -(BG101-BG102)/BG101*BH101,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Row],[Par]])),(-(BG101-BG102)/BG101*BH101)+IF(TbTradesBinance[[#This Row],[Resultado]]&gt;0,0,TbTradesBinance[[#This Row],[Taxa]]),0),0))</f>
        <v>0</v>
      </c>
      <c r="BI102" s="145">
        <f t="shared" si="35"/>
        <v>0</v>
      </c>
      <c r="BJ10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Row],[Tipo]]="DROP"),BJ101+TbTradesBinance[[#This Row],[Qtt]],BJ101-TbTradesBinance[[#This Row],[Qtt]]),IF(TbTradesBinance[[#This Row],[Tipo]]="BUY",BJ101-TbTradesBinance[[#This Row],[Qtt]]*TbTradesBinance[[#This Row],[Preço]],BJ101+TbTradesBinance[[#This Row],[Qtt]]*TbTradesBinance[[#This Row],[Preço]])),BJ101)-IF(TbTradesBinance[[#This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Row],[Tipo]]="DROP"),BJ101+TbTradesBinance[[#This Row],[Qtt]],BJ101-TbTradesBinance[[#This Row],[Qtt]]),IF(TbTradesBinance[[#This Row],[Tipo]]="BUY",BJ101-TbTradesBinance[[#This Row],[Qtt]]*TbTradesBinance[[#This Row],[Preço]],BJ101+TbTradesBinance[[#This Row],[Qtt]]*TbTradesBinance[[#This Row],[Preço]])),BJ101)-IF(TbTradesBinance[[#This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Row],[Tipo]]="DROP"),BJ101+TbTradesBinance[[#This Row],[Qtt]],BJ101-TbTradesBinance[[#This Row],[Qtt]]),IF(TbTradesBinance[[#This Row],[Tipo]]="BUY",BJ101-TbTradesBinance[[#This Row],[Qtt]]*TbTradesBinance[[#This Row],[Preço]],BJ101+TbTradesBinance[[#This Row],[Qtt]]*TbTradesBinance[[#This Row],[Preço]])),BJ101)-IF(TbTradesBinance[[#This Row],[Moeda da Taxa]]=MID(BJ$1,9,5),TbTradesBinance[[#This Row],[Taxa]],0),8)))</f>
        <v>0</v>
      </c>
      <c r="BK102" s="145" cm="1">
        <f t="array" ref="BK102">IF(TbTradesBinance[[#This Row],[Tipo]]="EMPTY",0,BK101+IF(TbTradesBinance[[#This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Row],[Par]]))),$1:$1,0)),-(BJ101-BJ102)/BJ101*BK101),0),0)+IF(TbTradesBinance[[#This Row],[Tipo]]="SELL",IF(ISNUMBER(FIND(MID(BK$1,10,5),TbTradesBinance[[#This Row],[Par]])),IF(FIND(MID(BK$1,10,5),TbTradesBinance[[#This Row],[Par]])=1, -(BJ101-BJ102)/BJ101*BK101,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Row],[Par]])),(-(BJ101-BJ102)/BJ101*BK101)+IF(TbTradesBinance[[#This Row],[Resultado]]&gt;0,0,TbTradesBinance[[#This Row],[Taxa]]),0),0))</f>
        <v>0</v>
      </c>
      <c r="BL102" s="145">
        <f t="shared" si="36"/>
        <v>0</v>
      </c>
      <c r="BM10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Row],[Tipo]]="DROP"),BM101+TbTradesBinance[[#This Row],[Qtt]],BM101-TbTradesBinance[[#This Row],[Qtt]]),IF(TbTradesBinance[[#This Row],[Tipo]]="BUY",BM101-TbTradesBinance[[#This Row],[Qtt]]*TbTradesBinance[[#This Row],[Preço]],BM101+TbTradesBinance[[#This Row],[Qtt]]*TbTradesBinance[[#This Row],[Preço]])),BM101)-IF(TbTradesBinance[[#This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Row],[Tipo]]="DROP"),BM101+TbTradesBinance[[#This Row],[Qtt]],BM101-TbTradesBinance[[#This Row],[Qtt]]),IF(TbTradesBinance[[#This Row],[Tipo]]="BUY",BM101-TbTradesBinance[[#This Row],[Qtt]]*TbTradesBinance[[#This Row],[Preço]],BM101+TbTradesBinance[[#This Row],[Qtt]]*TbTradesBinance[[#This Row],[Preço]])),BM101)-IF(TbTradesBinance[[#This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Row],[Tipo]]="DROP"),BM101+TbTradesBinance[[#This Row],[Qtt]],BM101-TbTradesBinance[[#This Row],[Qtt]]),IF(TbTradesBinance[[#This Row],[Tipo]]="BUY",BM101-TbTradesBinance[[#This Row],[Qtt]]*TbTradesBinance[[#This Row],[Preço]],BM101+TbTradesBinance[[#This Row],[Qtt]]*TbTradesBinance[[#This Row],[Preço]])),BM101)-IF(TbTradesBinance[[#This Row],[Moeda da Taxa]]=MID(BM$1,9,5),TbTradesBinance[[#This Row],[Taxa]],0),8)))</f>
        <v>0</v>
      </c>
      <c r="BN102" s="145" cm="1">
        <f t="array" ref="BN102">IF(TbTradesBinance[[#This Row],[Tipo]]="EMPTY",0,BN101+IF(TbTradesBinance[[#This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Row],[Par]]))),$1:$1,0)),-(BM101-BM102)/BM101*BN101),0),0)+IF(TbTradesBinance[[#This Row],[Tipo]]="SELL",IF(ISNUMBER(FIND(MID(BN$1,10,5),TbTradesBinance[[#This Row],[Par]])),IF(FIND(MID(BN$1,10,5),TbTradesBinance[[#This Row],[Par]])=1, -(BM101-BM102)/BM101*BN101,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Row],[Par]])),(-(BM101-BM102)/BM101*BN101)+IF(TbTradesBinance[[#This Row],[Resultado]]&gt;0,0,TbTradesBinance[[#This Row],[Taxa]]),0),0))</f>
        <v>0</v>
      </c>
      <c r="BO102" s="145">
        <f t="shared" si="37"/>
        <v>0</v>
      </c>
    </row>
    <row r="103" spans="2:67" x14ac:dyDescent="0.3">
      <c r="B103" s="51"/>
      <c r="C103" s="40">
        <f>TRUNC(IF(AND(TbTradesBinance[[#This Row],[Tipo]]="SEND",TbTradesBinance[[#This Row],[Par]]="BRL"),TbTradesBinance[[#This Row],[Qtt]]*(1-P101)-IF(TbTradesBinance[[#This Row],[Moeda da Taxa]]="BRL",TbTradesBinance[[#This Row],[Taxa]],0),0)+IF(AND(TbTradesBinance[[#This Row],[Tipo]]="BURN",TbTradesBinance[[#This Row],[Par]]="BRL"),-TbTradesBinance[[#This Row],[Qtt]]*P101,0),2)</f>
        <v>0</v>
      </c>
      <c r="D103" s="53">
        <v>44270.91920138889</v>
      </c>
      <c r="E103" s="37" t="s">
        <v>256</v>
      </c>
      <c r="F103" s="47" t="s">
        <v>140</v>
      </c>
      <c r="G103" s="38">
        <v>351.58</v>
      </c>
      <c r="H103" s="38">
        <v>2.9000000000000001E-2</v>
      </c>
      <c r="I103" s="38">
        <v>1.019582E-2</v>
      </c>
      <c r="J103" s="37" t="s">
        <v>42</v>
      </c>
      <c r="K103" s="52">
        <v>5.6189999999999998</v>
      </c>
      <c r="L103" s="40">
        <f t="shared" si="19"/>
        <v>1975.52</v>
      </c>
      <c r="M103" s="40">
        <f>IF(OR(TbTradesBinance[[#This Row],[Tipo]]="BUY",TbTradesBinance[[#This Row],[Tipo]]="RECEIVE",TbTradesBinance[[#This Row],[Tipo]]="DROP"),L103*H103,-L103*H103)</f>
        <v>-57.290080000000003</v>
      </c>
      <c r="N10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Row],[Tipo]]="DROP"),N102+TbTradesBinance[[#This Row],[Qtt]],N102-TbTradesBinance[[#This Row],[Qtt]]),IF(TbTradesBinance[[#This Row],[Tipo]]="BUY",N102-TbTradesBinance[[#This Row],[Qtt]]*TbTradesBinance[[#This Row],[Preço]],N102+TbTradesBinance[[#This Row],[Qtt]]*TbTradesBinance[[#This Row],[Preço]])),N102)-IF(TbTradesBinance[[#This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Row],[Tipo]]="DROP"),N102+TbTradesBinance[[#This Row],[Qtt]],N102-TbTradesBinance[[#This Row],[Qtt]]),IF(TbTradesBinance[[#This Row],[Tipo]]="BUY",N102-TbTradesBinance[[#This Row],[Qtt]]*TbTradesBinance[[#This Row],[Preço]],N102+TbTradesBinance[[#This Row],[Qtt]]*TbTradesBinance[[#This Row],[Preço]])),N102)-IF(TbTradesBinance[[#This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Row],[Tipo]]="DROP"),N102+TbTradesBinance[[#This Row],[Qtt]],N102-TbTradesBinance[[#This Row],[Qtt]]),IF(TbTradesBinance[[#This Row],[Tipo]]="BUY",N102-TbTradesBinance[[#This Row],[Qtt]]*TbTradesBinance[[#This Row],[Preço]],N102+TbTradesBinance[[#This Row],[Qtt]]*TbTradesBinance[[#This Row],[Preço]])),N102)-IF(TbTradesBinance[[#This Row],[Moeda da Taxa]]=MID(N$1,9,5),TbTradesBinance[[#This Row],[Taxa]],0),8)))</f>
        <v>119745.70050707999</v>
      </c>
      <c r="O103" s="145" cm="1">
        <f t="array" ref="O103">IF(TbTradesBinance[[#This Row],[Tipo]]="EMPTY",0,O102+IF(TbTradesBinance[[#This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Row],[Par]]))),$1:$1,0)),-(N102-N103)/N102*O102),0),0)+IF(TbTradesBinance[[#This Row],[Tipo]]="SELL",IF(ISNUMBER(FIND(MID(O$1,10,5),TbTradesBinance[[#This Row],[Par]])),IF(FIND(MID(O$1,10,5),TbTradesBinance[[#This Row],[Par]])=1, -(N102-N103)/N102*O102,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Row],[Par]])),(-(N102-N103)/N102*O102)+IF(TbTradesBinance[[#This Row],[Resultado]]&gt;0,0,TbTradesBinance[[#This Row],[Taxa]]),0),0))</f>
        <v>119733.82450611531</v>
      </c>
      <c r="P103" s="145">
        <f t="shared" si="20"/>
        <v>0.99990082315344608</v>
      </c>
      <c r="Q10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Row],[Tipo]]="DROP"),Q102+TbTradesBinance[[#This Row],[Qtt]],Q102-TbTradesBinance[[#This Row],[Qtt]]),IF(TbTradesBinance[[#This Row],[Tipo]]="BUY",Q102-TbTradesBinance[[#This Row],[Qtt]]*TbTradesBinance[[#This Row],[Preço]],Q102+TbTradesBinance[[#This Row],[Qtt]]*TbTradesBinance[[#This Row],[Preço]])),Q102)-IF(TbTradesBinance[[#This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Row],[Tipo]]="DROP"),Q102+TbTradesBinance[[#This Row],[Qtt]],Q102-TbTradesBinance[[#This Row],[Qtt]]),IF(TbTradesBinance[[#This Row],[Tipo]]="BUY",Q102-TbTradesBinance[[#This Row],[Qtt]]*TbTradesBinance[[#This Row],[Preço]],Q102+TbTradesBinance[[#This Row],[Qtt]]*TbTradesBinance[[#This Row],[Preço]])),Q102)-IF(TbTradesBinance[[#This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Row],[Tipo]]="DROP"),Q102+TbTradesBinance[[#This Row],[Qtt]],Q102-TbTradesBinance[[#This Row],[Qtt]]),IF(TbTradesBinance[[#This Row],[Tipo]]="BUY",Q102-TbTradesBinance[[#This Row],[Qtt]]*TbTradesBinance[[#This Row],[Preço]],Q102+TbTradesBinance[[#This Row],[Qtt]]*TbTradesBinance[[#This Row],[Preço]])),Q102)-IF(TbTradesBinance[[#This Row],[Moeda da Taxa]]=MID(Q$1,9,5),TbTradesBinance[[#This Row],[Taxa]],0),8)))</f>
        <v>49.570310929999998</v>
      </c>
      <c r="R103" s="145" cm="1">
        <f t="array" ref="R103">IF(TbTradesBinance[[#This Row],[Tipo]]="EMPTY",0,R102+IF(TbTradesBinance[[#This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Row],[Par]]))),$1:$1,0)),-(Q102-Q103)/Q102*R102),0),0)+IF(TbTradesBinance[[#This Row],[Tipo]]="SELL",IF(ISNUMBER(FIND(MID(R$1,10,5),TbTradesBinance[[#This Row],[Par]])),IF(FIND(MID(R$1,10,5),TbTradesBinance[[#This Row],[Par]])=1, -(Q102-Q103)/Q102*R102,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Row],[Par]])),(-(Q102-Q103)/Q102*R102)+IF(TbTradesBinance[[#This Row],[Resultado]]&gt;0,0,TbTradesBinance[[#This Row],[Taxa]]),0),0))</f>
        <v>285.50461118134956</v>
      </c>
      <c r="S103" s="145">
        <f t="shared" si="21"/>
        <v>5.7595888713411698</v>
      </c>
      <c r="T10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Row],[Tipo]]="DROP"),T102+TbTradesBinance[[#This Row],[Qtt]],T102-TbTradesBinance[[#This Row],[Qtt]]),IF(TbTradesBinance[[#This Row],[Tipo]]="BUY",T102-TbTradesBinance[[#This Row],[Qtt]]*TbTradesBinance[[#This Row],[Preço]],T102+TbTradesBinance[[#This Row],[Qtt]]*TbTradesBinance[[#This Row],[Preço]])),T102)-IF(TbTradesBinance[[#This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Row],[Tipo]]="DROP"),T102+TbTradesBinance[[#This Row],[Qtt]],T102-TbTradesBinance[[#This Row],[Qtt]]),IF(TbTradesBinance[[#This Row],[Tipo]]="BUY",T102-TbTradesBinance[[#This Row],[Qtt]]*TbTradesBinance[[#This Row],[Preço]],T102+TbTradesBinance[[#This Row],[Qtt]]*TbTradesBinance[[#This Row],[Preço]])),T102)-IF(TbTradesBinance[[#This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Row],[Tipo]]="DROP"),T102+TbTradesBinance[[#This Row],[Qtt]],T102-TbTradesBinance[[#This Row],[Qtt]]),IF(TbTradesBinance[[#This Row],[Tipo]]="BUY",T102-TbTradesBinance[[#This Row],[Qtt]]*TbTradesBinance[[#This Row],[Preço]],T102+TbTradesBinance[[#This Row],[Qtt]]*TbTradesBinance[[#This Row],[Preço]])),T102)-IF(TbTradesBinance[[#This Row],[Moeda da Taxa]]=MID(T$1,9,5),TbTradesBinance[[#This Row],[Taxa]],0),8)))</f>
        <v>199735.32000169999</v>
      </c>
      <c r="U103" s="145" cm="1">
        <f t="array" ref="U103">IF(TbTradesBinance[[#This Row],[Tipo]]="EMPTY",0,U102+IF(TbTradesBinance[[#This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Row],[Par]]))),$1:$1,0)),-(T102-T103)/T102*U102),0),0)+IF(TbTradesBinance[[#This Row],[Tipo]]="SELL",IF(ISNUMBER(FIND(MID(U$1,10,5),TbTradesBinance[[#This Row],[Par]])),IF(FIND(MID(U$1,10,5),TbTradesBinance[[#This Row],[Par]])=1, -(T102-T103)/T102*U102,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Row],[Par]])),(-(T102-T103)/T102*U102)+IF(TbTradesBinance[[#This Row],[Resultado]]&gt;0,0,TbTradesBinance[[#This Row],[Taxa]]),0),0))</f>
        <v>1328239.8809817513</v>
      </c>
      <c r="V103" s="145">
        <f t="shared" si="22"/>
        <v>6.6500000148719129</v>
      </c>
      <c r="W10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Row],[Tipo]]="DROP"),W102+TbTradesBinance[[#This Row],[Qtt]],W102-TbTradesBinance[[#This Row],[Qtt]]),IF(TbTradesBinance[[#This Row],[Tipo]]="BUY",W102-TbTradesBinance[[#This Row],[Qtt]]*TbTradesBinance[[#This Row],[Preço]],W102+TbTradesBinance[[#This Row],[Qtt]]*TbTradesBinance[[#This Row],[Preço]])),W102)-IF(TbTradesBinance[[#This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Row],[Tipo]]="DROP"),W102+TbTradesBinance[[#This Row],[Qtt]],W102-TbTradesBinance[[#This Row],[Qtt]]),IF(TbTradesBinance[[#This Row],[Tipo]]="BUY",W102-TbTradesBinance[[#This Row],[Qtt]]*TbTradesBinance[[#This Row],[Preço]],W102+TbTradesBinance[[#This Row],[Qtt]]*TbTradesBinance[[#This Row],[Preço]])),W102)-IF(TbTradesBinance[[#This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Row],[Tipo]]="DROP"),W102+TbTradesBinance[[#This Row],[Qtt]],W102-TbTradesBinance[[#This Row],[Qtt]]),IF(TbTradesBinance[[#This Row],[Tipo]]="BUY",W102-TbTradesBinance[[#This Row],[Qtt]]*TbTradesBinance[[#This Row],[Preço]],W102+TbTradesBinance[[#This Row],[Qtt]]*TbTradesBinance[[#This Row],[Preço]])),W102)-IF(TbTradesBinance[[#This Row],[Moeda da Taxa]]=MID(W$1,9,5),TbTradesBinance[[#This Row],[Taxa]],0),8)))</f>
        <v>2.48036E-3</v>
      </c>
      <c r="X103" s="145" cm="1">
        <f t="array" ref="X103">IF(TbTradesBinance[[#This Row],[Tipo]]="EMPTY",0,X102+IF(TbTradesBinance[[#This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Row],[Par]]))),$1:$1,0)),-(W102-W103)/W102*X102),0),0)+IF(TbTradesBinance[[#This Row],[Tipo]]="SELL",IF(ISNUMBER(FIND(MID(X$1,10,5),TbTradesBinance[[#This Row],[Par]])),IF(FIND(MID(X$1,10,5),TbTradesBinance[[#This Row],[Par]])=1, -(W102-W103)/W102*X102,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Row],[Par]])),(-(W102-W103)/W102*X102)+IF(TbTradesBinance[[#This Row],[Resultado]]&gt;0,0,TbTradesBinance[[#This Row],[Taxa]]),0),0))</f>
        <v>832.53731315140135</v>
      </c>
      <c r="Y103" s="145">
        <f t="shared" si="23"/>
        <v>335651.8058472969</v>
      </c>
      <c r="Z10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Row],[Tipo]]="DROP"),Z102+TbTradesBinance[[#This Row],[Qtt]],Z102-TbTradesBinance[[#This Row],[Qtt]]),IF(TbTradesBinance[[#This Row],[Tipo]]="BUY",Z102-TbTradesBinance[[#This Row],[Qtt]]*TbTradesBinance[[#This Row],[Preço]],Z102+TbTradesBinance[[#This Row],[Qtt]]*TbTradesBinance[[#This Row],[Preço]])),Z102)-IF(TbTradesBinance[[#This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Row],[Tipo]]="DROP"),Z102+TbTradesBinance[[#This Row],[Qtt]],Z102-TbTradesBinance[[#This Row],[Qtt]]),IF(TbTradesBinance[[#This Row],[Tipo]]="BUY",Z102-TbTradesBinance[[#This Row],[Qtt]]*TbTradesBinance[[#This Row],[Preço]],Z102+TbTradesBinance[[#This Row],[Qtt]]*TbTradesBinance[[#This Row],[Preço]])),Z102)-IF(TbTradesBinance[[#This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Row],[Tipo]]="DROP"),Z102+TbTradesBinance[[#This Row],[Qtt]],Z102-TbTradesBinance[[#This Row],[Qtt]]),IF(TbTradesBinance[[#This Row],[Tipo]]="BUY",Z102-TbTradesBinance[[#This Row],[Qtt]]*TbTradesBinance[[#This Row],[Preço]],Z102+TbTradesBinance[[#This Row],[Qtt]]*TbTradesBinance[[#This Row],[Preço]])),Z102)-IF(TbTradesBinance[[#This Row],[Moeda da Taxa]]=MID(Z$1,9,5),TbTradesBinance[[#This Row],[Taxa]],0),8)))</f>
        <v>0</v>
      </c>
      <c r="AA103" s="145" cm="1">
        <f t="array" ref="AA103">IF(TbTradesBinance[[#This Row],[Tipo]]="EMPTY",0,AA102+IF(TbTradesBinance[[#This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Row],[Par]]))),$1:$1,0)),-(Z102-Z103)/Z102*AA102),0),0)+IF(TbTradesBinance[[#This Row],[Tipo]]="SELL",IF(ISNUMBER(FIND(MID(AA$1,10,5),TbTradesBinance[[#This Row],[Par]])),IF(FIND(MID(AA$1,10,5),TbTradesBinance[[#This Row],[Par]])=1, -(Z102-Z103)/Z102*AA102,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Row],[Par]])),(-(Z102-Z103)/Z102*AA102)+IF(TbTradesBinance[[#This Row],[Resultado]]&gt;0,0,TbTradesBinance[[#This Row],[Taxa]]),0),0))</f>
        <v>0</v>
      </c>
      <c r="AB103" s="145">
        <f t="shared" si="24"/>
        <v>0</v>
      </c>
      <c r="AC10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Row],[Tipo]]="DROP"),AC102+TbTradesBinance[[#This Row],[Qtt]],AC102-TbTradesBinance[[#This Row],[Qtt]]),IF(TbTradesBinance[[#This Row],[Tipo]]="BUY",AC102-TbTradesBinance[[#This Row],[Qtt]]*TbTradesBinance[[#This Row],[Preço]],AC102+TbTradesBinance[[#This Row],[Qtt]]*TbTradesBinance[[#This Row],[Preço]])),AC102)-IF(TbTradesBinance[[#This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Row],[Tipo]]="DROP"),AC102+TbTradesBinance[[#This Row],[Qtt]],AC102-TbTradesBinance[[#This Row],[Qtt]]),IF(TbTradesBinance[[#This Row],[Tipo]]="BUY",AC102-TbTradesBinance[[#This Row],[Qtt]]*TbTradesBinance[[#This Row],[Preço]],AC102+TbTradesBinance[[#This Row],[Qtt]]*TbTradesBinance[[#This Row],[Preço]])),AC102)-IF(TbTradesBinance[[#This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Row],[Tipo]]="DROP"),AC102+TbTradesBinance[[#This Row],[Qtt]],AC102-TbTradesBinance[[#This Row],[Qtt]]),IF(TbTradesBinance[[#This Row],[Tipo]]="BUY",AC102-TbTradesBinance[[#This Row],[Qtt]]*TbTradesBinance[[#This Row],[Preço]],AC102+TbTradesBinance[[#This Row],[Qtt]]*TbTradesBinance[[#This Row],[Preço]])),AC102)-IF(TbTradesBinance[[#This Row],[Moeda da Taxa]]=MID(AC$1,9,5),TbTradesBinance[[#This Row],[Taxa]],0),8)))</f>
        <v>9.6999E-4</v>
      </c>
      <c r="AD103" s="145" cm="1">
        <f t="array" ref="AD103">IF(TbTradesBinance[[#This Row],[Tipo]]="EMPTY",0,AD102+IF(TbTradesBinance[[#This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Row],[Par]]))),$1:$1,0)),-(AC102-AC103)/AC102*AD102),0),0)+IF(TbTradesBinance[[#This Row],[Tipo]]="SELL",IF(ISNUMBER(FIND(MID(AD$1,10,5),TbTradesBinance[[#This Row],[Par]])),IF(FIND(MID(AD$1,10,5),TbTradesBinance[[#This Row],[Par]])=1, -(AC102-AC103)/AC102*AD102,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Row],[Par]])),(-(AC102-AC103)/AC102*AD102)+IF(TbTradesBinance[[#This Row],[Resultado]]&gt;0,0,TbTradesBinance[[#This Row],[Taxa]]),0),0))</f>
        <v>1.9483868939812083</v>
      </c>
      <c r="AE103" s="145">
        <f t="shared" si="25"/>
        <v>2008.6669903619711</v>
      </c>
      <c r="AF10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Row],[Tipo]]="DROP"),AF102+TbTradesBinance[[#This Row],[Qtt]],AF102-TbTradesBinance[[#This Row],[Qtt]]),IF(TbTradesBinance[[#This Row],[Tipo]]="BUY",AF102-TbTradesBinance[[#This Row],[Qtt]]*TbTradesBinance[[#This Row],[Preço]],AF102+TbTradesBinance[[#This Row],[Qtt]]*TbTradesBinance[[#This Row],[Preço]])),AF102)-IF(TbTradesBinance[[#This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Row],[Tipo]]="DROP"),AF102+TbTradesBinance[[#This Row],[Qtt]],AF102-TbTradesBinance[[#This Row],[Qtt]]),IF(TbTradesBinance[[#This Row],[Tipo]]="BUY",AF102-TbTradesBinance[[#This Row],[Qtt]]*TbTradesBinance[[#This Row],[Preço]],AF102+TbTradesBinance[[#This Row],[Qtt]]*TbTradesBinance[[#This Row],[Preço]])),AF102)-IF(TbTradesBinance[[#This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Row],[Tipo]]="DROP"),AF102+TbTradesBinance[[#This Row],[Qtt]],AF102-TbTradesBinance[[#This Row],[Qtt]]),IF(TbTradesBinance[[#This Row],[Tipo]]="BUY",AF102-TbTradesBinance[[#This Row],[Qtt]]*TbTradesBinance[[#This Row],[Preço]],AF102+TbTradesBinance[[#This Row],[Qtt]]*TbTradesBinance[[#This Row],[Preço]])),AF102)-IF(TbTradesBinance[[#This Row],[Moeda da Taxa]]=MID(AF$1,9,5),TbTradesBinance[[#This Row],[Taxa]],0),8)))</f>
        <v>19.98</v>
      </c>
      <c r="AG103" s="145" cm="1">
        <f t="array" ref="AG103">IF(TbTradesBinance[[#This Row],[Tipo]]="EMPTY",0,AG102+IF(TbTradesBinance[[#This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Row],[Par]]))),$1:$1,0)),-(AF102-AF103)/AF102*AG102),0),0)+IF(TbTradesBinance[[#This Row],[Tipo]]="SELL",IF(ISNUMBER(FIND(MID(AG$1,10,5),TbTradesBinance[[#This Row],[Par]])),IF(FIND(MID(AG$1,10,5),TbTradesBinance[[#This Row],[Par]])=1, -(AF102-AF103)/AF102*AG102,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Row],[Par]])),(-(AF102-AF103)/AF102*AG102)+IF(TbTradesBinance[[#This Row],[Resultado]]&gt;0,0,TbTradesBinance[[#This Row],[Taxa]]),0),0))</f>
        <v>124.04182758073662</v>
      </c>
      <c r="AH103" s="145">
        <f t="shared" si="26"/>
        <v>6.2082996787155462</v>
      </c>
      <c r="AI10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Row],[Tipo]]="DROP"),AI102+TbTradesBinance[[#This Row],[Qtt]],AI102-TbTradesBinance[[#This Row],[Qtt]]),IF(TbTradesBinance[[#This Row],[Tipo]]="BUY",AI102-TbTradesBinance[[#This Row],[Qtt]]*TbTradesBinance[[#This Row],[Preço]],AI102+TbTradesBinance[[#This Row],[Qtt]]*TbTradesBinance[[#This Row],[Preço]])),AI102)-IF(TbTradesBinance[[#This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Row],[Tipo]]="DROP"),AI102+TbTradesBinance[[#This Row],[Qtt]],AI102-TbTradesBinance[[#This Row],[Qtt]]),IF(TbTradesBinance[[#This Row],[Tipo]]="BUY",AI102-TbTradesBinance[[#This Row],[Qtt]]*TbTradesBinance[[#This Row],[Preço]],AI102+TbTradesBinance[[#This Row],[Qtt]]*TbTradesBinance[[#This Row],[Preço]])),AI102)-IF(TbTradesBinance[[#This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Row],[Tipo]]="DROP"),AI102+TbTradesBinance[[#This Row],[Qtt]],AI102-TbTradesBinance[[#This Row],[Qtt]]),IF(TbTradesBinance[[#This Row],[Tipo]]="BUY",AI102-TbTradesBinance[[#This Row],[Qtt]]*TbTradesBinance[[#This Row],[Preço]],AI102+TbTradesBinance[[#This Row],[Qtt]]*TbTradesBinance[[#This Row],[Preço]])),AI102)-IF(TbTradesBinance[[#This Row],[Moeda da Taxa]]=MID(AI$1,9,5),TbTradesBinance[[#This Row],[Taxa]],0),8)))</f>
        <v>0</v>
      </c>
      <c r="AJ103" s="145" cm="1">
        <f t="array" ref="AJ103">IF(TbTradesBinance[[#This Row],[Tipo]]="EMPTY",0,AJ102+IF(TbTradesBinance[[#This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Row],[Par]]))),$1:$1,0)),-(AI102-AI103)/AI102*AJ102),0),0)+IF(TbTradesBinance[[#This Row],[Tipo]]="SELL",IF(ISNUMBER(FIND(MID(AJ$1,10,5),TbTradesBinance[[#This Row],[Par]])),IF(FIND(MID(AJ$1,10,5),TbTradesBinance[[#This Row],[Par]])=1, -(AI102-AI103)/AI102*AJ102,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Row],[Par]])),(-(AI102-AI103)/AI102*AJ102)+IF(TbTradesBinance[[#This Row],[Resultado]]&gt;0,0,TbTradesBinance[[#This Row],[Taxa]]),0),0))</f>
        <v>0</v>
      </c>
      <c r="AK103" s="145">
        <f t="shared" si="27"/>
        <v>0</v>
      </c>
      <c r="AL10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Row],[Tipo]]="DROP"),AL102+TbTradesBinance[[#This Row],[Qtt]],AL102-TbTradesBinance[[#This Row],[Qtt]]),IF(TbTradesBinance[[#This Row],[Tipo]]="BUY",AL102-TbTradesBinance[[#This Row],[Qtt]]*TbTradesBinance[[#This Row],[Preço]],AL102+TbTradesBinance[[#This Row],[Qtt]]*TbTradesBinance[[#This Row],[Preço]])),AL102)-IF(TbTradesBinance[[#This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Row],[Tipo]]="DROP"),AL102+TbTradesBinance[[#This Row],[Qtt]],AL102-TbTradesBinance[[#This Row],[Qtt]]),IF(TbTradesBinance[[#This Row],[Tipo]]="BUY",AL102-TbTradesBinance[[#This Row],[Qtt]]*TbTradesBinance[[#This Row],[Preço]],AL102+TbTradesBinance[[#This Row],[Qtt]]*TbTradesBinance[[#This Row],[Preço]])),AL102)-IF(TbTradesBinance[[#This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Row],[Tipo]]="DROP"),AL102+TbTradesBinance[[#This Row],[Qtt]],AL102-TbTradesBinance[[#This Row],[Qtt]]),IF(TbTradesBinance[[#This Row],[Tipo]]="BUY",AL102-TbTradesBinance[[#This Row],[Qtt]]*TbTradesBinance[[#This Row],[Preço]],AL102+TbTradesBinance[[#This Row],[Qtt]]*TbTradesBinance[[#This Row],[Preço]])),AL102)-IF(TbTradesBinance[[#This Row],[Moeda da Taxa]]=MID(AL$1,9,5),TbTradesBinance[[#This Row],[Taxa]],0),8)))</f>
        <v>1.75824</v>
      </c>
      <c r="AM103" s="145" cm="1">
        <f t="array" ref="AM103">IF(TbTradesBinance[[#This Row],[Tipo]]="EMPTY",0,AM102+IF(TbTradesBinance[[#This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Row],[Par]]))),$1:$1,0)),-(AL102-AL103)/AL102*AM102),0),0)+IF(TbTradesBinance[[#This Row],[Tipo]]="SELL",IF(ISNUMBER(FIND(MID(AM$1,10,5),TbTradesBinance[[#This Row],[Par]])),IF(FIND(MID(AM$1,10,5),TbTradesBinance[[#This Row],[Par]])=1, -(AL102-AL103)/AL102*AM102,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Row],[Par]])),(-(AL102-AL103)/AL102*AM102)+IF(TbTradesBinance[[#This Row],[Resultado]]&gt;0,0,TbTradesBinance[[#This Row],[Taxa]]),0),0))</f>
        <v>144.56635471393039</v>
      </c>
      <c r="AN103" s="145">
        <f t="shared" si="28"/>
        <v>82.222196465744375</v>
      </c>
      <c r="AO10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Row],[Tipo]]="DROP"),AO102+TbTradesBinance[[#This Row],[Qtt]],AO102-TbTradesBinance[[#This Row],[Qtt]]),IF(TbTradesBinance[[#This Row],[Tipo]]="BUY",AO102-TbTradesBinance[[#This Row],[Qtt]]*TbTradesBinance[[#This Row],[Preço]],AO102+TbTradesBinance[[#This Row],[Qtt]]*TbTradesBinance[[#This Row],[Preço]])),AO102)-IF(TbTradesBinance[[#This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Row],[Tipo]]="DROP"),AO102+TbTradesBinance[[#This Row],[Qtt]],AO102-TbTradesBinance[[#This Row],[Qtt]]),IF(TbTradesBinance[[#This Row],[Tipo]]="BUY",AO102-TbTradesBinance[[#This Row],[Qtt]]*TbTradesBinance[[#This Row],[Preço]],AO102+TbTradesBinance[[#This Row],[Qtt]]*TbTradesBinance[[#This Row],[Preço]])),AO102)-IF(TbTradesBinance[[#This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Row],[Tipo]]="DROP"),AO102+TbTradesBinance[[#This Row],[Qtt]],AO102-TbTradesBinance[[#This Row],[Qtt]]),IF(TbTradesBinance[[#This Row],[Tipo]]="BUY",AO102-TbTradesBinance[[#This Row],[Qtt]]*TbTradesBinance[[#This Row],[Preço]],AO102+TbTradesBinance[[#This Row],[Qtt]]*TbTradesBinance[[#This Row],[Preço]])),AO102)-IF(TbTradesBinance[[#This Row],[Moeda da Taxa]]=MID(AO$1,9,5),TbTradesBinance[[#This Row],[Taxa]],0),8)))</f>
        <v>3.9907299999999996E-3</v>
      </c>
      <c r="AP103" s="145" cm="1">
        <f t="array" ref="AP103">IF(TbTradesBinance[[#This Row],[Tipo]]="EMPTY",0,AP102+IF(TbTradesBinance[[#This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Row],[Par]]))),$1:$1,0)),-(AO102-AO103)/AO102*AP102),0),0)+IF(TbTradesBinance[[#This Row],[Tipo]]="SELL",IF(ISNUMBER(FIND(MID(AP$1,10,5),TbTradesBinance[[#This Row],[Par]])),IF(FIND(MID(AP$1,10,5),TbTradesBinance[[#This Row],[Par]])=1, -(AO102-AO103)/AO102*AP102,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Row],[Par]])),(-(AO102-AO103)/AO102*AP102)+IF(TbTradesBinance[[#This Row],[Resultado]]&gt;0,0,TbTradesBinance[[#This Row],[Taxa]]),0),0))</f>
        <v>7.3360959318006032</v>
      </c>
      <c r="AQ103" s="145">
        <f t="shared" si="29"/>
        <v>1838.2842065989439</v>
      </c>
      <c r="AR10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Row],[Tipo]]="DROP"),AR102+TbTradesBinance[[#This Row],[Qtt]],AR102-TbTradesBinance[[#This Row],[Qtt]]),IF(TbTradesBinance[[#This Row],[Tipo]]="BUY",AR102-TbTradesBinance[[#This Row],[Qtt]]*TbTradesBinance[[#This Row],[Preço]],AR102+TbTradesBinance[[#This Row],[Qtt]]*TbTradesBinance[[#This Row],[Preço]])),AR102)-IF(TbTradesBinance[[#This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Row],[Tipo]]="DROP"),AR102+TbTradesBinance[[#This Row],[Qtt]],AR102-TbTradesBinance[[#This Row],[Qtt]]),IF(TbTradesBinance[[#This Row],[Tipo]]="BUY",AR102-TbTradesBinance[[#This Row],[Qtt]]*TbTradesBinance[[#This Row],[Preço]],AR102+TbTradesBinance[[#This Row],[Qtt]]*TbTradesBinance[[#This Row],[Preço]])),AR102)-IF(TbTradesBinance[[#This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Row],[Tipo]]="DROP"),AR102+TbTradesBinance[[#This Row],[Qtt]],AR102-TbTradesBinance[[#This Row],[Qtt]]),IF(TbTradesBinance[[#This Row],[Tipo]]="BUY",AR102-TbTradesBinance[[#This Row],[Qtt]]*TbTradesBinance[[#This Row],[Preço]],AR102+TbTradesBinance[[#This Row],[Qtt]]*TbTradesBinance[[#This Row],[Preço]])),AR102)-IF(TbTradesBinance[[#This Row],[Moeda da Taxa]]=MID(AR$1,9,5),TbTradesBinance[[#This Row],[Taxa]],0),8)))</f>
        <v>61.251199999999997</v>
      </c>
      <c r="AS103" s="145" cm="1">
        <f t="array" ref="AS103">IF(TbTradesBinance[[#This Row],[Tipo]]="EMPTY",0,AS102+IF(TbTradesBinance[[#This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Row],[Par]]))),$1:$1,0)),-(AR102-AR103)/AR102*AS102),0),0)+IF(TbTradesBinance[[#This Row],[Tipo]]="SELL",IF(ISNUMBER(FIND(MID(AS$1,10,5),TbTradesBinance[[#This Row],[Par]])),IF(FIND(MID(AS$1,10,5),TbTradesBinance[[#This Row],[Par]])=1, -(AR102-AR103)/AR102*AS102,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Row],[Par]])),(-(AR102-AR103)/AR102*AS102)+IF(TbTradesBinance[[#This Row],[Resultado]]&gt;0,0,TbTradesBinance[[#This Row],[Taxa]]),0),0))</f>
        <v>230.84001376053044</v>
      </c>
      <c r="AT103" s="145">
        <f t="shared" si="30"/>
        <v>3.7687427146003745</v>
      </c>
      <c r="AU10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Row],[Tipo]]="DROP"),AU102+TbTradesBinance[[#This Row],[Qtt]],AU102-TbTradesBinance[[#This Row],[Qtt]]),IF(TbTradesBinance[[#This Row],[Tipo]]="BUY",AU102-TbTradesBinance[[#This Row],[Qtt]]*TbTradesBinance[[#This Row],[Preço]],AU102+TbTradesBinance[[#This Row],[Qtt]]*TbTradesBinance[[#This Row],[Preço]])),AU102)-IF(TbTradesBinance[[#This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Row],[Tipo]]="DROP"),AU102+TbTradesBinance[[#This Row],[Qtt]],AU102-TbTradesBinance[[#This Row],[Qtt]]),IF(TbTradesBinance[[#This Row],[Tipo]]="BUY",AU102-TbTradesBinance[[#This Row],[Qtt]]*TbTradesBinance[[#This Row],[Preço]],AU102+TbTradesBinance[[#This Row],[Qtt]]*TbTradesBinance[[#This Row],[Preço]])),AU102)-IF(TbTradesBinance[[#This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Row],[Tipo]]="DROP"),AU102+TbTradesBinance[[#This Row],[Qtt]],AU102-TbTradesBinance[[#This Row],[Qtt]]),IF(TbTradesBinance[[#This Row],[Tipo]]="BUY",AU102-TbTradesBinance[[#This Row],[Qtt]]*TbTradesBinance[[#This Row],[Preço]],AU102+TbTradesBinance[[#This Row],[Qtt]]*TbTradesBinance[[#This Row],[Preço]])),AU102)-IF(TbTradesBinance[[#This Row],[Moeda da Taxa]]=MID(AU$1,9,5),TbTradesBinance[[#This Row],[Taxa]],0),8)))</f>
        <v>0</v>
      </c>
      <c r="AV103" s="145" cm="1">
        <f t="array" ref="AV103">IF(TbTradesBinance[[#This Row],[Tipo]]="EMPTY",0,AV102+IF(TbTradesBinance[[#This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Row],[Par]]))),$1:$1,0)),-(AU102-AU103)/AU102*AV102),0),0)+IF(TbTradesBinance[[#This Row],[Tipo]]="SELL",IF(ISNUMBER(FIND(MID(AV$1,10,5),TbTradesBinance[[#This Row],[Par]])),IF(FIND(MID(AV$1,10,5),TbTradesBinance[[#This Row],[Par]])=1, -(AU102-AU103)/AU102*AV102,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Row],[Par]])),(-(AU102-AU103)/AU102*AV102)+IF(TbTradesBinance[[#This Row],[Resultado]]&gt;0,0,TbTradesBinance[[#This Row],[Taxa]]),0),0))</f>
        <v>0</v>
      </c>
      <c r="AW103" s="145">
        <f t="shared" si="31"/>
        <v>0</v>
      </c>
      <c r="AX10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Row],[Tipo]]="DROP"),AX102+TbTradesBinance[[#This Row],[Qtt]],AX102-TbTradesBinance[[#This Row],[Qtt]]),IF(TbTradesBinance[[#This Row],[Tipo]]="BUY",AX102-TbTradesBinance[[#This Row],[Qtt]]*TbTradesBinance[[#This Row],[Preço]],AX102+TbTradesBinance[[#This Row],[Qtt]]*TbTradesBinance[[#This Row],[Preço]])),AX102)-IF(TbTradesBinance[[#This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Row],[Tipo]]="DROP"),AX102+TbTradesBinance[[#This Row],[Qtt]],AX102-TbTradesBinance[[#This Row],[Qtt]]),IF(TbTradesBinance[[#This Row],[Tipo]]="BUY",AX102-TbTradesBinance[[#This Row],[Qtt]]*TbTradesBinance[[#This Row],[Preço]],AX102+TbTradesBinance[[#This Row],[Qtt]]*TbTradesBinance[[#This Row],[Preço]])),AX102)-IF(TbTradesBinance[[#This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Row],[Tipo]]="DROP"),AX102+TbTradesBinance[[#This Row],[Qtt]],AX102-TbTradesBinance[[#This Row],[Qtt]]),IF(TbTradesBinance[[#This Row],[Tipo]]="BUY",AX102-TbTradesBinance[[#This Row],[Qtt]]*TbTradesBinance[[#This Row],[Preço]],AX102+TbTradesBinance[[#This Row],[Qtt]]*TbTradesBinance[[#This Row],[Preço]])),AX102)-IF(TbTradesBinance[[#This Row],[Moeda da Taxa]]=MID(AX$1,9,5),TbTradesBinance[[#This Row],[Taxa]],0),8)))</f>
        <v>0.22636999999999999</v>
      </c>
      <c r="AY103" s="145" cm="1">
        <f t="array" ref="AY103">IF(TbTradesBinance[[#This Row],[Tipo]]="EMPTY",0,AY102+IF(TbTradesBinance[[#This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Row],[Par]]))),$1:$1,0)),-(AX102-AX103)/AX102*AY102),0),0)+IF(TbTradesBinance[[#This Row],[Tipo]]="SELL",IF(ISNUMBER(FIND(MID(AY$1,10,5),TbTradesBinance[[#This Row],[Par]])),IF(FIND(MID(AY$1,10,5),TbTradesBinance[[#This Row],[Par]])=1, -(AX102-AX103)/AX102*AY102,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Row],[Par]])),(-(AX102-AX103)/AX102*AY102)+IF(TbTradesBinance[[#This Row],[Resultado]]&gt;0,0,TbTradesBinance[[#This Row],[Taxa]]),0),0))</f>
        <v>40.781337593356859</v>
      </c>
      <c r="AZ103" s="145">
        <f t="shared" si="32"/>
        <v>180.15345493376711</v>
      </c>
      <c r="BA10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Row],[Tipo]]="DROP"),BA102+TbTradesBinance[[#This Row],[Qtt]],BA102-TbTradesBinance[[#This Row],[Qtt]]),IF(TbTradesBinance[[#This Row],[Tipo]]="BUY",BA102-TbTradesBinance[[#This Row],[Qtt]]*TbTradesBinance[[#This Row],[Preço]],BA102+TbTradesBinance[[#This Row],[Qtt]]*TbTradesBinance[[#This Row],[Preço]])),BA102)-IF(TbTradesBinance[[#This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Row],[Tipo]]="DROP"),BA102+TbTradesBinance[[#This Row],[Qtt]],BA102-TbTradesBinance[[#This Row],[Qtt]]),IF(TbTradesBinance[[#This Row],[Tipo]]="BUY",BA102-TbTradesBinance[[#This Row],[Qtt]]*TbTradesBinance[[#This Row],[Preço]],BA102+TbTradesBinance[[#This Row],[Qtt]]*TbTradesBinance[[#This Row],[Preço]])),BA102)-IF(TbTradesBinance[[#This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Row],[Tipo]]="DROP"),BA102+TbTradesBinance[[#This Row],[Qtt]],BA102-TbTradesBinance[[#This Row],[Qtt]]),IF(TbTradesBinance[[#This Row],[Tipo]]="BUY",BA102-TbTradesBinance[[#This Row],[Qtt]]*TbTradesBinance[[#This Row],[Preço]],BA102+TbTradesBinance[[#This Row],[Qtt]]*TbTradesBinance[[#This Row],[Preço]])),BA102)-IF(TbTradesBinance[[#This Row],[Moeda da Taxa]]=MID(BA$1,9,5),TbTradesBinance[[#This Row],[Taxa]],0),8)))</f>
        <v>0</v>
      </c>
      <c r="BB103" s="145" cm="1">
        <f t="array" ref="BB103">IF(TbTradesBinance[[#This Row],[Tipo]]="EMPTY",0,BB102+IF(TbTradesBinance[[#This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Row],[Par]]))),$1:$1,0)),-(BA102-BA103)/BA102*BB102),0),0)+IF(TbTradesBinance[[#This Row],[Tipo]]="SELL",IF(ISNUMBER(FIND(MID(BB$1,10,5),TbTradesBinance[[#This Row],[Par]])),IF(FIND(MID(BB$1,10,5),TbTradesBinance[[#This Row],[Par]])=1, -(BA102-BA103)/BA102*BB102,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Row],[Par]])),(-(BA102-BA103)/BA102*BB102)+IF(TbTradesBinance[[#This Row],[Resultado]]&gt;0,0,TbTradesBinance[[#This Row],[Taxa]]),0),0))</f>
        <v>0</v>
      </c>
      <c r="BC103" s="145">
        <f t="shared" si="33"/>
        <v>0</v>
      </c>
      <c r="BD10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Row],[Tipo]]="DROP"),BD102+TbTradesBinance[[#This Row],[Qtt]],BD102-TbTradesBinance[[#This Row],[Qtt]]),IF(TbTradesBinance[[#This Row],[Tipo]]="BUY",BD102-TbTradesBinance[[#This Row],[Qtt]]*TbTradesBinance[[#This Row],[Preço]],BD102+TbTradesBinance[[#This Row],[Qtt]]*TbTradesBinance[[#This Row],[Preço]])),BD102)-IF(TbTradesBinance[[#This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Row],[Tipo]]="DROP"),BD102+TbTradesBinance[[#This Row],[Qtt]],BD102-TbTradesBinance[[#This Row],[Qtt]]),IF(TbTradesBinance[[#This Row],[Tipo]]="BUY",BD102-TbTradesBinance[[#This Row],[Qtt]]*TbTradesBinance[[#This Row],[Preço]],BD102+TbTradesBinance[[#This Row],[Qtt]]*TbTradesBinance[[#This Row],[Preço]])),BD102)-IF(TbTradesBinance[[#This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Row],[Tipo]]="DROP"),BD102+TbTradesBinance[[#This Row],[Qtt]],BD102-TbTradesBinance[[#This Row],[Qtt]]),IF(TbTradesBinance[[#This Row],[Tipo]]="BUY",BD102-TbTradesBinance[[#This Row],[Qtt]]*TbTradesBinance[[#This Row],[Preço]],BD102+TbTradesBinance[[#This Row],[Qtt]]*TbTradesBinance[[#This Row],[Preço]])),BD102)-IF(TbTradesBinance[[#This Row],[Moeda da Taxa]]=MID(BD$1,9,5),TbTradesBinance[[#This Row],[Taxa]],0),8)))</f>
        <v>0.56906000000000001</v>
      </c>
      <c r="BE103" s="145" cm="1">
        <f t="array" ref="BE103">IF(TbTradesBinance[[#This Row],[Tipo]]="EMPTY",0,BE102+IF(TbTradesBinance[[#This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Row],[Par]]))),$1:$1,0)),-(BD102-BD103)/BD102*BE102),0),0)+IF(TbTradesBinance[[#This Row],[Tipo]]="SELL",IF(ISNUMBER(FIND(MID(BE$1,10,5),TbTradesBinance[[#This Row],[Par]])),IF(FIND(MID(BE$1,10,5),TbTradesBinance[[#This Row],[Par]])=1, -(BD102-BD103)/BD102*BE102,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Row],[Par]])),(-(BD102-BD103)/BD102*BE102)+IF(TbTradesBinance[[#This Row],[Resultado]]&gt;0,0,TbTradesBinance[[#This Row],[Taxa]]),0),0))</f>
        <v>105.81619120195663</v>
      </c>
      <c r="BF103" s="145">
        <f t="shared" si="34"/>
        <v>185.94909359638109</v>
      </c>
      <c r="BG10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Row],[Tipo]]="DROP"),BG102+TbTradesBinance[[#This Row],[Qtt]],BG102-TbTradesBinance[[#This Row],[Qtt]]),IF(TbTradesBinance[[#This Row],[Tipo]]="BUY",BG102-TbTradesBinance[[#This Row],[Qtt]]*TbTradesBinance[[#This Row],[Preço]],BG102+TbTradesBinance[[#This Row],[Qtt]]*TbTradesBinance[[#This Row],[Preço]])),BG102)-IF(TbTradesBinance[[#This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Row],[Tipo]]="DROP"),BG102+TbTradesBinance[[#This Row],[Qtt]],BG102-TbTradesBinance[[#This Row],[Qtt]]),IF(TbTradesBinance[[#This Row],[Tipo]]="BUY",BG102-TbTradesBinance[[#This Row],[Qtt]]*TbTradesBinance[[#This Row],[Preço]],BG102+TbTradesBinance[[#This Row],[Qtt]]*TbTradesBinance[[#This Row],[Preço]])),BG102)-IF(TbTradesBinance[[#This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Row],[Tipo]]="DROP"),BG102+TbTradesBinance[[#This Row],[Qtt]],BG102-TbTradesBinance[[#This Row],[Qtt]]),IF(TbTradesBinance[[#This Row],[Tipo]]="BUY",BG102-TbTradesBinance[[#This Row],[Qtt]]*TbTradesBinance[[#This Row],[Preço]],BG102+TbTradesBinance[[#This Row],[Qtt]]*TbTradesBinance[[#This Row],[Preço]])),BG102)-IF(TbTradesBinance[[#This Row],[Moeda da Taxa]]=MID(BG$1,9,5),TbTradesBinance[[#This Row],[Taxa]],0),8)))</f>
        <v>0</v>
      </c>
      <c r="BH103" s="145" cm="1">
        <f t="array" ref="BH103">IF(TbTradesBinance[[#This Row],[Tipo]]="EMPTY",0,BH102+IF(TbTradesBinance[[#This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Row],[Par]]))),$1:$1,0)),-(BG102-BG103)/BG102*BH102),0),0)+IF(TbTradesBinance[[#This Row],[Tipo]]="SELL",IF(ISNUMBER(FIND(MID(BH$1,10,5),TbTradesBinance[[#This Row],[Par]])),IF(FIND(MID(BH$1,10,5),TbTradesBinance[[#This Row],[Par]])=1, -(BG102-BG103)/BG102*BH102,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Row],[Par]])),(-(BG102-BG103)/BG102*BH102)+IF(TbTradesBinance[[#This Row],[Resultado]]&gt;0,0,TbTradesBinance[[#This Row],[Taxa]]),0),0))</f>
        <v>0</v>
      </c>
      <c r="BI103" s="145">
        <f t="shared" si="35"/>
        <v>0</v>
      </c>
      <c r="BJ10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Row],[Tipo]]="DROP"),BJ102+TbTradesBinance[[#This Row],[Qtt]],BJ102-TbTradesBinance[[#This Row],[Qtt]]),IF(TbTradesBinance[[#This Row],[Tipo]]="BUY",BJ102-TbTradesBinance[[#This Row],[Qtt]]*TbTradesBinance[[#This Row],[Preço]],BJ102+TbTradesBinance[[#This Row],[Qtt]]*TbTradesBinance[[#This Row],[Preço]])),BJ102)-IF(TbTradesBinance[[#This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Row],[Tipo]]="DROP"),BJ102+TbTradesBinance[[#This Row],[Qtt]],BJ102-TbTradesBinance[[#This Row],[Qtt]]),IF(TbTradesBinance[[#This Row],[Tipo]]="BUY",BJ102-TbTradesBinance[[#This Row],[Qtt]]*TbTradesBinance[[#This Row],[Preço]],BJ102+TbTradesBinance[[#This Row],[Qtt]]*TbTradesBinance[[#This Row],[Preço]])),BJ102)-IF(TbTradesBinance[[#This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Row],[Tipo]]="DROP"),BJ102+TbTradesBinance[[#This Row],[Qtt]],BJ102-TbTradesBinance[[#This Row],[Qtt]]),IF(TbTradesBinance[[#This Row],[Tipo]]="BUY",BJ102-TbTradesBinance[[#This Row],[Qtt]]*TbTradesBinance[[#This Row],[Preço]],BJ102+TbTradesBinance[[#This Row],[Qtt]]*TbTradesBinance[[#This Row],[Preço]])),BJ102)-IF(TbTradesBinance[[#This Row],[Moeda da Taxa]]=MID(BJ$1,9,5),TbTradesBinance[[#This Row],[Taxa]],0),8)))</f>
        <v>0</v>
      </c>
      <c r="BK103" s="145" cm="1">
        <f t="array" ref="BK103">IF(TbTradesBinance[[#This Row],[Tipo]]="EMPTY",0,BK102+IF(TbTradesBinance[[#This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Row],[Par]]))),$1:$1,0)),-(BJ102-BJ103)/BJ102*BK102),0),0)+IF(TbTradesBinance[[#This Row],[Tipo]]="SELL",IF(ISNUMBER(FIND(MID(BK$1,10,5),TbTradesBinance[[#This Row],[Par]])),IF(FIND(MID(BK$1,10,5),TbTradesBinance[[#This Row],[Par]])=1, -(BJ102-BJ103)/BJ102*BK102,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Row],[Par]])),(-(BJ102-BJ103)/BJ102*BK102)+IF(TbTradesBinance[[#This Row],[Resultado]]&gt;0,0,TbTradesBinance[[#This Row],[Taxa]]),0),0))</f>
        <v>0</v>
      </c>
      <c r="BL103" s="145">
        <f t="shared" si="36"/>
        <v>0</v>
      </c>
      <c r="BM10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Row],[Tipo]]="DROP"),BM102+TbTradesBinance[[#This Row],[Qtt]],BM102-TbTradesBinance[[#This Row],[Qtt]]),IF(TbTradesBinance[[#This Row],[Tipo]]="BUY",BM102-TbTradesBinance[[#This Row],[Qtt]]*TbTradesBinance[[#This Row],[Preço]],BM102+TbTradesBinance[[#This Row],[Qtt]]*TbTradesBinance[[#This Row],[Preço]])),BM102)-IF(TbTradesBinance[[#This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Row],[Tipo]]="DROP"),BM102+TbTradesBinance[[#This Row],[Qtt]],BM102-TbTradesBinance[[#This Row],[Qtt]]),IF(TbTradesBinance[[#This Row],[Tipo]]="BUY",BM102-TbTradesBinance[[#This Row],[Qtt]]*TbTradesBinance[[#This Row],[Preço]],BM102+TbTradesBinance[[#This Row],[Qtt]]*TbTradesBinance[[#This Row],[Preço]])),BM102)-IF(TbTradesBinance[[#This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Row],[Tipo]]="DROP"),BM102+TbTradesBinance[[#This Row],[Qtt]],BM102-TbTradesBinance[[#This Row],[Qtt]]),IF(TbTradesBinance[[#This Row],[Tipo]]="BUY",BM102-TbTradesBinance[[#This Row],[Qtt]]*TbTradesBinance[[#This Row],[Preço]],BM102+TbTradesBinance[[#This Row],[Qtt]]*TbTradesBinance[[#This Row],[Preço]])),BM102)-IF(TbTradesBinance[[#This Row],[Moeda da Taxa]]=MID(BM$1,9,5),TbTradesBinance[[#This Row],[Taxa]],0),8)))</f>
        <v>0</v>
      </c>
      <c r="BN103" s="145" cm="1">
        <f t="array" ref="BN103">IF(TbTradesBinance[[#This Row],[Tipo]]="EMPTY",0,BN102+IF(TbTradesBinance[[#This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Row],[Par]]))),$1:$1,0)),-(BM102-BM103)/BM102*BN102),0),0)+IF(TbTradesBinance[[#This Row],[Tipo]]="SELL",IF(ISNUMBER(FIND(MID(BN$1,10,5),TbTradesBinance[[#This Row],[Par]])),IF(FIND(MID(BN$1,10,5),TbTradesBinance[[#This Row],[Par]])=1, -(BM102-BM103)/BM102*BN102,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Row],[Par]])),(-(BM102-BM103)/BM102*BN102)+IF(TbTradesBinance[[#This Row],[Resultado]]&gt;0,0,TbTradesBinance[[#This Row],[Taxa]]),0),0))</f>
        <v>0</v>
      </c>
      <c r="BO103" s="145">
        <f t="shared" si="37"/>
        <v>0</v>
      </c>
    </row>
    <row r="104" spans="2:67" x14ac:dyDescent="0.3">
      <c r="B104" s="51"/>
      <c r="C104" s="40">
        <f>TRUNC(IF(AND(TbTradesBinance[[#This Row],[Tipo]]="SEND",TbTradesBinance[[#This Row],[Par]]="BRL"),TbTradesBinance[[#This Row],[Qtt]]*(1-P102)-IF(TbTradesBinance[[#This Row],[Moeda da Taxa]]="BRL",TbTradesBinance[[#This Row],[Taxa]],0),0)+IF(AND(TbTradesBinance[[#This Row],[Tipo]]="BURN",TbTradesBinance[[#This Row],[Par]]="BRL"),-TbTradesBinance[[#This Row],[Qtt]]*P102,0),2)</f>
        <v>0</v>
      </c>
      <c r="D104" s="53">
        <v>44271.936759259261</v>
      </c>
      <c r="E104" s="37" t="s">
        <v>250</v>
      </c>
      <c r="F104" s="47" t="s">
        <v>140</v>
      </c>
      <c r="G104" s="38">
        <v>13.427</v>
      </c>
      <c r="H104" s="38">
        <v>1.75</v>
      </c>
      <c r="I104" s="38">
        <v>2.3497250000000001E-2</v>
      </c>
      <c r="J104" s="37" t="s">
        <v>42</v>
      </c>
      <c r="K104" s="52">
        <v>5.5860000000000003</v>
      </c>
      <c r="L104" s="40">
        <f t="shared" si="19"/>
        <v>75</v>
      </c>
      <c r="M104" s="40">
        <f>IF(OR(TbTradesBinance[[#This Row],[Tipo]]="BUY",TbTradesBinance[[#This Row],[Tipo]]="RECEIVE",TbTradesBinance[[#This Row],[Tipo]]="DROP"),L104*H104,-L104*H104)</f>
        <v>-131.25</v>
      </c>
      <c r="N10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Row],[Tipo]]="DROP"),N103+TbTradesBinance[[#This Row],[Qtt]],N103-TbTradesBinance[[#This Row],[Qtt]]),IF(TbTradesBinance[[#This Row],[Tipo]]="BUY",N103-TbTradesBinance[[#This Row],[Qtt]]*TbTradesBinance[[#This Row],[Preço]],N103+TbTradesBinance[[#This Row],[Qtt]]*TbTradesBinance[[#This Row],[Preço]])),N103)-IF(TbTradesBinance[[#This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Row],[Tipo]]="DROP"),N103+TbTradesBinance[[#This Row],[Qtt]],N103-TbTradesBinance[[#This Row],[Qtt]]),IF(TbTradesBinance[[#This Row],[Tipo]]="BUY",N103-TbTradesBinance[[#This Row],[Qtt]]*TbTradesBinance[[#This Row],[Preço]],N103+TbTradesBinance[[#This Row],[Qtt]]*TbTradesBinance[[#This Row],[Preço]])),N103)-IF(TbTradesBinance[[#This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Row],[Tipo]]="DROP"),N103+TbTradesBinance[[#This Row],[Qtt]],N103-TbTradesBinance[[#This Row],[Qtt]]),IF(TbTradesBinance[[#This Row],[Tipo]]="BUY",N103-TbTradesBinance[[#This Row],[Qtt]]*TbTradesBinance[[#This Row],[Preço]],N103+TbTradesBinance[[#This Row],[Qtt]]*TbTradesBinance[[#This Row],[Preço]])),N103)-IF(TbTradesBinance[[#This Row],[Moeda da Taxa]]=MID(N$1,9,5),TbTradesBinance[[#This Row],[Taxa]],0),8)))</f>
        <v>119745.70050707999</v>
      </c>
      <c r="O104" s="145" cm="1">
        <f t="array" ref="O104">IF(TbTradesBinance[[#This Row],[Tipo]]="EMPTY",0,O103+IF(TbTradesBinance[[#This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Row],[Par]]))),$1:$1,0)),-(N103-N104)/N103*O103),0),0)+IF(TbTradesBinance[[#This Row],[Tipo]]="SELL",IF(ISNUMBER(FIND(MID(O$1,10,5),TbTradesBinance[[#This Row],[Par]])),IF(FIND(MID(O$1,10,5),TbTradesBinance[[#This Row],[Par]])=1, -(N103-N104)/N103*O103,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Row],[Par]])),(-(N103-N104)/N103*O103)+IF(TbTradesBinance[[#This Row],[Resultado]]&gt;0,0,TbTradesBinance[[#This Row],[Taxa]]),0),0))</f>
        <v>119733.82450611531</v>
      </c>
      <c r="P104" s="145">
        <f t="shared" si="20"/>
        <v>0.99990082315344608</v>
      </c>
      <c r="Q10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Row],[Tipo]]="DROP"),Q103+TbTradesBinance[[#This Row],[Qtt]],Q103-TbTradesBinance[[#This Row],[Qtt]]),IF(TbTradesBinance[[#This Row],[Tipo]]="BUY",Q103-TbTradesBinance[[#This Row],[Qtt]]*TbTradesBinance[[#This Row],[Preço]],Q103+TbTradesBinance[[#This Row],[Qtt]]*TbTradesBinance[[#This Row],[Preço]])),Q103)-IF(TbTradesBinance[[#This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Row],[Tipo]]="DROP"),Q103+TbTradesBinance[[#This Row],[Qtt]],Q103-TbTradesBinance[[#This Row],[Qtt]]),IF(TbTradesBinance[[#This Row],[Tipo]]="BUY",Q103-TbTradesBinance[[#This Row],[Qtt]]*TbTradesBinance[[#This Row],[Preço]],Q103+TbTradesBinance[[#This Row],[Qtt]]*TbTradesBinance[[#This Row],[Preço]])),Q103)-IF(TbTradesBinance[[#This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Row],[Tipo]]="DROP"),Q103+TbTradesBinance[[#This Row],[Qtt]],Q103-TbTradesBinance[[#This Row],[Qtt]]),IF(TbTradesBinance[[#This Row],[Tipo]]="BUY",Q103-TbTradesBinance[[#This Row],[Qtt]]*TbTradesBinance[[#This Row],[Preço]],Q103+TbTradesBinance[[#This Row],[Qtt]]*TbTradesBinance[[#This Row],[Preço]])),Q103)-IF(TbTradesBinance[[#This Row],[Moeda da Taxa]]=MID(Q$1,9,5),TbTradesBinance[[#This Row],[Taxa]],0),8)))</f>
        <v>73.044063679999994</v>
      </c>
      <c r="R104" s="145" cm="1">
        <f t="array" ref="R104">IF(TbTradesBinance[[#This Row],[Tipo]]="EMPTY",0,R103+IF(TbTradesBinance[[#This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Row],[Par]]))),$1:$1,0)),-(Q103-Q104)/Q103*R103),0),0)+IF(TbTradesBinance[[#This Row],[Tipo]]="SELL",IF(ISNUMBER(FIND(MID(R$1,10,5),TbTradesBinance[[#This Row],[Par]])),IF(FIND(MID(R$1,10,5),TbTradesBinance[[#This Row],[Par]])=1, -(Q103-Q104)/Q103*R103,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Row],[Par]])),(-(Q103-Q104)/Q103*R103)+IF(TbTradesBinance[[#This Row],[Resultado]]&gt;0,0,TbTradesBinance[[#This Row],[Taxa]]),0),0))</f>
        <v>429.39345499640223</v>
      </c>
      <c r="S104" s="145">
        <f t="shared" si="21"/>
        <v>5.8785537573257081</v>
      </c>
      <c r="T10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Row],[Tipo]]="DROP"),T103+TbTradesBinance[[#This Row],[Qtt]],T103-TbTradesBinance[[#This Row],[Qtt]]),IF(TbTradesBinance[[#This Row],[Tipo]]="BUY",T103-TbTradesBinance[[#This Row],[Qtt]]*TbTradesBinance[[#This Row],[Preço]],T103+TbTradesBinance[[#This Row],[Qtt]]*TbTradesBinance[[#This Row],[Preço]])),T103)-IF(TbTradesBinance[[#This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Row],[Tipo]]="DROP"),T103+TbTradesBinance[[#This Row],[Qtt]],T103-TbTradesBinance[[#This Row],[Qtt]]),IF(TbTradesBinance[[#This Row],[Tipo]]="BUY",T103-TbTradesBinance[[#This Row],[Qtt]]*TbTradesBinance[[#This Row],[Preço]],T103+TbTradesBinance[[#This Row],[Qtt]]*TbTradesBinance[[#This Row],[Preço]])),T103)-IF(TbTradesBinance[[#This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Row],[Tipo]]="DROP"),T103+TbTradesBinance[[#This Row],[Qtt]],T103-TbTradesBinance[[#This Row],[Qtt]]),IF(TbTradesBinance[[#This Row],[Tipo]]="BUY",T103-TbTradesBinance[[#This Row],[Qtt]]*TbTradesBinance[[#This Row],[Preço]],T103+TbTradesBinance[[#This Row],[Qtt]]*TbTradesBinance[[#This Row],[Preço]])),T103)-IF(TbTradesBinance[[#This Row],[Moeda da Taxa]]=MID(T$1,9,5),TbTradesBinance[[#This Row],[Taxa]],0),8)))</f>
        <v>199735.32000169999</v>
      </c>
      <c r="U104" s="145" cm="1">
        <f t="array" ref="U104">IF(TbTradesBinance[[#This Row],[Tipo]]="EMPTY",0,U103+IF(TbTradesBinance[[#This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Row],[Par]]))),$1:$1,0)),-(T103-T104)/T103*U103),0),0)+IF(TbTradesBinance[[#This Row],[Tipo]]="SELL",IF(ISNUMBER(FIND(MID(U$1,10,5),TbTradesBinance[[#This Row],[Par]])),IF(FIND(MID(U$1,10,5),TbTradesBinance[[#This Row],[Par]])=1, -(T103-T104)/T103*U103,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Row],[Par]])),(-(T103-T104)/T103*U103)+IF(TbTradesBinance[[#This Row],[Resultado]]&gt;0,0,TbTradesBinance[[#This Row],[Taxa]]),0),0))</f>
        <v>1328239.8809817513</v>
      </c>
      <c r="V104" s="145">
        <f t="shared" si="22"/>
        <v>6.6500000148719129</v>
      </c>
      <c r="W10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Row],[Tipo]]="DROP"),W103+TbTradesBinance[[#This Row],[Qtt]],W103-TbTradesBinance[[#This Row],[Qtt]]),IF(TbTradesBinance[[#This Row],[Tipo]]="BUY",W103-TbTradesBinance[[#This Row],[Qtt]]*TbTradesBinance[[#This Row],[Preço]],W103+TbTradesBinance[[#This Row],[Qtt]]*TbTradesBinance[[#This Row],[Preço]])),W103)-IF(TbTradesBinance[[#This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Row],[Tipo]]="DROP"),W103+TbTradesBinance[[#This Row],[Qtt]],W103-TbTradesBinance[[#This Row],[Qtt]]),IF(TbTradesBinance[[#This Row],[Tipo]]="BUY",W103-TbTradesBinance[[#This Row],[Qtt]]*TbTradesBinance[[#This Row],[Preço]],W103+TbTradesBinance[[#This Row],[Qtt]]*TbTradesBinance[[#This Row],[Preço]])),W103)-IF(TbTradesBinance[[#This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Row],[Tipo]]="DROP"),W103+TbTradesBinance[[#This Row],[Qtt]],W103-TbTradesBinance[[#This Row],[Qtt]]),IF(TbTradesBinance[[#This Row],[Tipo]]="BUY",W103-TbTradesBinance[[#This Row],[Qtt]]*TbTradesBinance[[#This Row],[Preço]],W103+TbTradesBinance[[#This Row],[Qtt]]*TbTradesBinance[[#This Row],[Preço]])),W103)-IF(TbTradesBinance[[#This Row],[Moeda da Taxa]]=MID(W$1,9,5),TbTradesBinance[[#This Row],[Taxa]],0),8)))</f>
        <v>2.48036E-3</v>
      </c>
      <c r="X104" s="145" cm="1">
        <f t="array" ref="X104">IF(TbTradesBinance[[#This Row],[Tipo]]="EMPTY",0,X103+IF(TbTradesBinance[[#This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Row],[Par]]))),$1:$1,0)),-(W103-W104)/W103*X103),0),0)+IF(TbTradesBinance[[#This Row],[Tipo]]="SELL",IF(ISNUMBER(FIND(MID(X$1,10,5),TbTradesBinance[[#This Row],[Par]])),IF(FIND(MID(X$1,10,5),TbTradesBinance[[#This Row],[Par]])=1, -(W103-W104)/W103*X103,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Row],[Par]])),(-(W103-W104)/W103*X103)+IF(TbTradesBinance[[#This Row],[Resultado]]&gt;0,0,TbTradesBinance[[#This Row],[Taxa]]),0),0))</f>
        <v>832.53731315140135</v>
      </c>
      <c r="Y104" s="145">
        <f t="shared" si="23"/>
        <v>335651.8058472969</v>
      </c>
      <c r="Z10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Row],[Tipo]]="DROP"),Z103+TbTradesBinance[[#This Row],[Qtt]],Z103-TbTradesBinance[[#This Row],[Qtt]]),IF(TbTradesBinance[[#This Row],[Tipo]]="BUY",Z103-TbTradesBinance[[#This Row],[Qtt]]*TbTradesBinance[[#This Row],[Preço]],Z103+TbTradesBinance[[#This Row],[Qtt]]*TbTradesBinance[[#This Row],[Preço]])),Z103)-IF(TbTradesBinance[[#This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Row],[Tipo]]="DROP"),Z103+TbTradesBinance[[#This Row],[Qtt]],Z103-TbTradesBinance[[#This Row],[Qtt]]),IF(TbTradesBinance[[#This Row],[Tipo]]="BUY",Z103-TbTradesBinance[[#This Row],[Qtt]]*TbTradesBinance[[#This Row],[Preço]],Z103+TbTradesBinance[[#This Row],[Qtt]]*TbTradesBinance[[#This Row],[Preço]])),Z103)-IF(TbTradesBinance[[#This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Row],[Tipo]]="DROP"),Z103+TbTradesBinance[[#This Row],[Qtt]],Z103-TbTradesBinance[[#This Row],[Qtt]]),IF(TbTradesBinance[[#This Row],[Tipo]]="BUY",Z103-TbTradesBinance[[#This Row],[Qtt]]*TbTradesBinance[[#This Row],[Preço]],Z103+TbTradesBinance[[#This Row],[Qtt]]*TbTradesBinance[[#This Row],[Preço]])),Z103)-IF(TbTradesBinance[[#This Row],[Moeda da Taxa]]=MID(Z$1,9,5),TbTradesBinance[[#This Row],[Taxa]],0),8)))</f>
        <v>0</v>
      </c>
      <c r="AA104" s="145" cm="1">
        <f t="array" ref="AA104">IF(TbTradesBinance[[#This Row],[Tipo]]="EMPTY",0,AA103+IF(TbTradesBinance[[#This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Row],[Par]]))),$1:$1,0)),-(Z103-Z104)/Z103*AA103),0),0)+IF(TbTradesBinance[[#This Row],[Tipo]]="SELL",IF(ISNUMBER(FIND(MID(AA$1,10,5),TbTradesBinance[[#This Row],[Par]])),IF(FIND(MID(AA$1,10,5),TbTradesBinance[[#This Row],[Par]])=1, -(Z103-Z104)/Z103*AA103,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Row],[Par]])),(-(Z103-Z104)/Z103*AA103)+IF(TbTradesBinance[[#This Row],[Resultado]]&gt;0,0,TbTradesBinance[[#This Row],[Taxa]]),0),0))</f>
        <v>0</v>
      </c>
      <c r="AB104" s="145">
        <f t="shared" si="24"/>
        <v>0</v>
      </c>
      <c r="AC10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Row],[Tipo]]="DROP"),AC103+TbTradesBinance[[#This Row],[Qtt]],AC103-TbTradesBinance[[#This Row],[Qtt]]),IF(TbTradesBinance[[#This Row],[Tipo]]="BUY",AC103-TbTradesBinance[[#This Row],[Qtt]]*TbTradesBinance[[#This Row],[Preço]],AC103+TbTradesBinance[[#This Row],[Qtt]]*TbTradesBinance[[#This Row],[Preço]])),AC103)-IF(TbTradesBinance[[#This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Row],[Tipo]]="DROP"),AC103+TbTradesBinance[[#This Row],[Qtt]],AC103-TbTradesBinance[[#This Row],[Qtt]]),IF(TbTradesBinance[[#This Row],[Tipo]]="BUY",AC103-TbTradesBinance[[#This Row],[Qtt]]*TbTradesBinance[[#This Row],[Preço]],AC103+TbTradesBinance[[#This Row],[Qtt]]*TbTradesBinance[[#This Row],[Preço]])),AC103)-IF(TbTradesBinance[[#This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Row],[Tipo]]="DROP"),AC103+TbTradesBinance[[#This Row],[Qtt]],AC103-TbTradesBinance[[#This Row],[Qtt]]),IF(TbTradesBinance[[#This Row],[Tipo]]="BUY",AC103-TbTradesBinance[[#This Row],[Qtt]]*TbTradesBinance[[#This Row],[Preço]],AC103+TbTradesBinance[[#This Row],[Qtt]]*TbTradesBinance[[#This Row],[Preço]])),AC103)-IF(TbTradesBinance[[#This Row],[Moeda da Taxa]]=MID(AC$1,9,5),TbTradesBinance[[#This Row],[Taxa]],0),8)))</f>
        <v>9.6999E-4</v>
      </c>
      <c r="AD104" s="145" cm="1">
        <f t="array" ref="AD104">IF(TbTradesBinance[[#This Row],[Tipo]]="EMPTY",0,AD103+IF(TbTradesBinance[[#This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Row],[Par]]))),$1:$1,0)),-(AC103-AC104)/AC103*AD103),0),0)+IF(TbTradesBinance[[#This Row],[Tipo]]="SELL",IF(ISNUMBER(FIND(MID(AD$1,10,5),TbTradesBinance[[#This Row],[Par]])),IF(FIND(MID(AD$1,10,5),TbTradesBinance[[#This Row],[Par]])=1, -(AC103-AC104)/AC103*AD103,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Row],[Par]])),(-(AC103-AC104)/AC103*AD103)+IF(TbTradesBinance[[#This Row],[Resultado]]&gt;0,0,TbTradesBinance[[#This Row],[Taxa]]),0),0))</f>
        <v>1.9483868939812083</v>
      </c>
      <c r="AE104" s="145">
        <f t="shared" si="25"/>
        <v>2008.6669903619711</v>
      </c>
      <c r="AF10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Row],[Tipo]]="DROP"),AF103+TbTradesBinance[[#This Row],[Qtt]],AF103-TbTradesBinance[[#This Row],[Qtt]]),IF(TbTradesBinance[[#This Row],[Tipo]]="BUY",AF103-TbTradesBinance[[#This Row],[Qtt]]*TbTradesBinance[[#This Row],[Preço]],AF103+TbTradesBinance[[#This Row],[Qtt]]*TbTradesBinance[[#This Row],[Preço]])),AF103)-IF(TbTradesBinance[[#This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Row],[Tipo]]="DROP"),AF103+TbTradesBinance[[#This Row],[Qtt]],AF103-TbTradesBinance[[#This Row],[Qtt]]),IF(TbTradesBinance[[#This Row],[Tipo]]="BUY",AF103-TbTradesBinance[[#This Row],[Qtt]]*TbTradesBinance[[#This Row],[Preço]],AF103+TbTradesBinance[[#This Row],[Qtt]]*TbTradesBinance[[#This Row],[Preço]])),AF103)-IF(TbTradesBinance[[#This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Row],[Tipo]]="DROP"),AF103+TbTradesBinance[[#This Row],[Qtt]],AF103-TbTradesBinance[[#This Row],[Qtt]]),IF(TbTradesBinance[[#This Row],[Tipo]]="BUY",AF103-TbTradesBinance[[#This Row],[Qtt]]*TbTradesBinance[[#This Row],[Preço]],AF103+TbTradesBinance[[#This Row],[Qtt]]*TbTradesBinance[[#This Row],[Preço]])),AF103)-IF(TbTradesBinance[[#This Row],[Moeda da Taxa]]=MID(AF$1,9,5),TbTradesBinance[[#This Row],[Taxa]],0),8)))</f>
        <v>19.98</v>
      </c>
      <c r="AG104" s="145" cm="1">
        <f t="array" ref="AG104">IF(TbTradesBinance[[#This Row],[Tipo]]="EMPTY",0,AG103+IF(TbTradesBinance[[#This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Row],[Par]]))),$1:$1,0)),-(AF103-AF104)/AF103*AG103),0),0)+IF(TbTradesBinance[[#This Row],[Tipo]]="SELL",IF(ISNUMBER(FIND(MID(AG$1,10,5),TbTradesBinance[[#This Row],[Par]])),IF(FIND(MID(AG$1,10,5),TbTradesBinance[[#This Row],[Par]])=1, -(AF103-AF104)/AF103*AG103,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Row],[Par]])),(-(AF103-AF104)/AF103*AG103)+IF(TbTradesBinance[[#This Row],[Resultado]]&gt;0,0,TbTradesBinance[[#This Row],[Taxa]]),0),0))</f>
        <v>124.04182758073662</v>
      </c>
      <c r="AH104" s="145">
        <f t="shared" si="26"/>
        <v>6.2082996787155462</v>
      </c>
      <c r="AI10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Row],[Tipo]]="DROP"),AI103+TbTradesBinance[[#This Row],[Qtt]],AI103-TbTradesBinance[[#This Row],[Qtt]]),IF(TbTradesBinance[[#This Row],[Tipo]]="BUY",AI103-TbTradesBinance[[#This Row],[Qtt]]*TbTradesBinance[[#This Row],[Preço]],AI103+TbTradesBinance[[#This Row],[Qtt]]*TbTradesBinance[[#This Row],[Preço]])),AI103)-IF(TbTradesBinance[[#This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Row],[Tipo]]="DROP"),AI103+TbTradesBinance[[#This Row],[Qtt]],AI103-TbTradesBinance[[#This Row],[Qtt]]),IF(TbTradesBinance[[#This Row],[Tipo]]="BUY",AI103-TbTradesBinance[[#This Row],[Qtt]]*TbTradesBinance[[#This Row],[Preço]],AI103+TbTradesBinance[[#This Row],[Qtt]]*TbTradesBinance[[#This Row],[Preço]])),AI103)-IF(TbTradesBinance[[#This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Row],[Tipo]]="DROP"),AI103+TbTradesBinance[[#This Row],[Qtt]],AI103-TbTradesBinance[[#This Row],[Qtt]]),IF(TbTradesBinance[[#This Row],[Tipo]]="BUY",AI103-TbTradesBinance[[#This Row],[Qtt]]*TbTradesBinance[[#This Row],[Preço]],AI103+TbTradesBinance[[#This Row],[Qtt]]*TbTradesBinance[[#This Row],[Preço]])),AI103)-IF(TbTradesBinance[[#This Row],[Moeda da Taxa]]=MID(AI$1,9,5),TbTradesBinance[[#This Row],[Taxa]],0),8)))</f>
        <v>0</v>
      </c>
      <c r="AJ104" s="145" cm="1">
        <f t="array" ref="AJ104">IF(TbTradesBinance[[#This Row],[Tipo]]="EMPTY",0,AJ103+IF(TbTradesBinance[[#This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Row],[Par]]))),$1:$1,0)),-(AI103-AI104)/AI103*AJ103),0),0)+IF(TbTradesBinance[[#This Row],[Tipo]]="SELL",IF(ISNUMBER(FIND(MID(AJ$1,10,5),TbTradesBinance[[#This Row],[Par]])),IF(FIND(MID(AJ$1,10,5),TbTradesBinance[[#This Row],[Par]])=1, -(AI103-AI104)/AI103*AJ103,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Row],[Par]])),(-(AI103-AI104)/AI103*AJ103)+IF(TbTradesBinance[[#This Row],[Resultado]]&gt;0,0,TbTradesBinance[[#This Row],[Taxa]]),0),0))</f>
        <v>0</v>
      </c>
      <c r="AK104" s="145">
        <f t="shared" si="27"/>
        <v>0</v>
      </c>
      <c r="AL10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Row],[Tipo]]="DROP"),AL103+TbTradesBinance[[#This Row],[Qtt]],AL103-TbTradesBinance[[#This Row],[Qtt]]),IF(TbTradesBinance[[#This Row],[Tipo]]="BUY",AL103-TbTradesBinance[[#This Row],[Qtt]]*TbTradesBinance[[#This Row],[Preço]],AL103+TbTradesBinance[[#This Row],[Qtt]]*TbTradesBinance[[#This Row],[Preço]])),AL103)-IF(TbTradesBinance[[#This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Row],[Tipo]]="DROP"),AL103+TbTradesBinance[[#This Row],[Qtt]],AL103-TbTradesBinance[[#This Row],[Qtt]]),IF(TbTradesBinance[[#This Row],[Tipo]]="BUY",AL103-TbTradesBinance[[#This Row],[Qtt]]*TbTradesBinance[[#This Row],[Preço]],AL103+TbTradesBinance[[#This Row],[Qtt]]*TbTradesBinance[[#This Row],[Preço]])),AL103)-IF(TbTradesBinance[[#This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Row],[Tipo]]="DROP"),AL103+TbTradesBinance[[#This Row],[Qtt]],AL103-TbTradesBinance[[#This Row],[Qtt]]),IF(TbTradesBinance[[#This Row],[Tipo]]="BUY",AL103-TbTradesBinance[[#This Row],[Qtt]]*TbTradesBinance[[#This Row],[Preço]],AL103+TbTradesBinance[[#This Row],[Qtt]]*TbTradesBinance[[#This Row],[Preço]])),AL103)-IF(TbTradesBinance[[#This Row],[Moeda da Taxa]]=MID(AL$1,9,5),TbTradesBinance[[#This Row],[Taxa]],0),8)))</f>
        <v>8.2400000000000008E-3</v>
      </c>
      <c r="AM104" s="145" cm="1">
        <f t="array" ref="AM104">IF(TbTradesBinance[[#This Row],[Tipo]]="EMPTY",0,AM103+IF(TbTradesBinance[[#This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Row],[Par]]))),$1:$1,0)),-(AL103-AL104)/AL103*AM103),0),0)+IF(TbTradesBinance[[#This Row],[Tipo]]="SELL",IF(ISNUMBER(FIND(MID(AM$1,10,5),TbTradesBinance[[#This Row],[Par]])),IF(FIND(MID(AM$1,10,5),TbTradesBinance[[#This Row],[Par]])=1, -(AL103-AL104)/AL103*AM103,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Row],[Par]])),(-(AL103-AL104)/AL103*AM103)+IF(TbTradesBinance[[#This Row],[Resultado]]&gt;0,0,TbTradesBinance[[#This Row],[Taxa]]),0),0))</f>
        <v>0.67751089887772764</v>
      </c>
      <c r="AN104" s="145">
        <f t="shared" si="28"/>
        <v>82.222196465743636</v>
      </c>
      <c r="AO10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Row],[Tipo]]="DROP"),AO103+TbTradesBinance[[#This Row],[Qtt]],AO103-TbTradesBinance[[#This Row],[Qtt]]),IF(TbTradesBinance[[#This Row],[Tipo]]="BUY",AO103-TbTradesBinance[[#This Row],[Qtt]]*TbTradesBinance[[#This Row],[Preço]],AO103+TbTradesBinance[[#This Row],[Qtt]]*TbTradesBinance[[#This Row],[Preço]])),AO103)-IF(TbTradesBinance[[#This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Row],[Tipo]]="DROP"),AO103+TbTradesBinance[[#This Row],[Qtt]],AO103-TbTradesBinance[[#This Row],[Qtt]]),IF(TbTradesBinance[[#This Row],[Tipo]]="BUY",AO103-TbTradesBinance[[#This Row],[Qtt]]*TbTradesBinance[[#This Row],[Preço]],AO103+TbTradesBinance[[#This Row],[Qtt]]*TbTradesBinance[[#This Row],[Preço]])),AO103)-IF(TbTradesBinance[[#This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Row],[Tipo]]="DROP"),AO103+TbTradesBinance[[#This Row],[Qtt]],AO103-TbTradesBinance[[#This Row],[Qtt]]),IF(TbTradesBinance[[#This Row],[Tipo]]="BUY",AO103-TbTradesBinance[[#This Row],[Qtt]]*TbTradesBinance[[#This Row],[Preço]],AO103+TbTradesBinance[[#This Row],[Qtt]]*TbTradesBinance[[#This Row],[Preço]])),AO103)-IF(TbTradesBinance[[#This Row],[Moeda da Taxa]]=MID(AO$1,9,5),TbTradesBinance[[#This Row],[Taxa]],0),8)))</f>
        <v>3.9907299999999996E-3</v>
      </c>
      <c r="AP104" s="145" cm="1">
        <f t="array" ref="AP104">IF(TbTradesBinance[[#This Row],[Tipo]]="EMPTY",0,AP103+IF(TbTradesBinance[[#This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Row],[Par]]))),$1:$1,0)),-(AO103-AO104)/AO103*AP103),0),0)+IF(TbTradesBinance[[#This Row],[Tipo]]="SELL",IF(ISNUMBER(FIND(MID(AP$1,10,5),TbTradesBinance[[#This Row],[Par]])),IF(FIND(MID(AP$1,10,5),TbTradesBinance[[#This Row],[Par]])=1, -(AO103-AO104)/AO103*AP103,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Row],[Par]])),(-(AO103-AO104)/AO103*AP103)+IF(TbTradesBinance[[#This Row],[Resultado]]&gt;0,0,TbTradesBinance[[#This Row],[Taxa]]),0),0))</f>
        <v>7.3360959318006032</v>
      </c>
      <c r="AQ104" s="145">
        <f t="shared" si="29"/>
        <v>1838.2842065989439</v>
      </c>
      <c r="AR10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Row],[Tipo]]="DROP"),AR103+TbTradesBinance[[#This Row],[Qtt]],AR103-TbTradesBinance[[#This Row],[Qtt]]),IF(TbTradesBinance[[#This Row],[Tipo]]="BUY",AR103-TbTradesBinance[[#This Row],[Qtt]]*TbTradesBinance[[#This Row],[Preço]],AR103+TbTradesBinance[[#This Row],[Qtt]]*TbTradesBinance[[#This Row],[Preço]])),AR103)-IF(TbTradesBinance[[#This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Row],[Tipo]]="DROP"),AR103+TbTradesBinance[[#This Row],[Qtt]],AR103-TbTradesBinance[[#This Row],[Qtt]]),IF(TbTradesBinance[[#This Row],[Tipo]]="BUY",AR103-TbTradesBinance[[#This Row],[Qtt]]*TbTradesBinance[[#This Row],[Preço]],AR103+TbTradesBinance[[#This Row],[Qtt]]*TbTradesBinance[[#This Row],[Preço]])),AR103)-IF(TbTradesBinance[[#This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Row],[Tipo]]="DROP"),AR103+TbTradesBinance[[#This Row],[Qtt]],AR103-TbTradesBinance[[#This Row],[Qtt]]),IF(TbTradesBinance[[#This Row],[Tipo]]="BUY",AR103-TbTradesBinance[[#This Row],[Qtt]]*TbTradesBinance[[#This Row],[Preço]],AR103+TbTradesBinance[[#This Row],[Qtt]]*TbTradesBinance[[#This Row],[Preço]])),AR103)-IF(TbTradesBinance[[#This Row],[Moeda da Taxa]]=MID(AR$1,9,5),TbTradesBinance[[#This Row],[Taxa]],0),8)))</f>
        <v>61.251199999999997</v>
      </c>
      <c r="AS104" s="145" cm="1">
        <f t="array" ref="AS104">IF(TbTradesBinance[[#This Row],[Tipo]]="EMPTY",0,AS103+IF(TbTradesBinance[[#This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Row],[Par]]))),$1:$1,0)),-(AR103-AR104)/AR103*AS103),0),0)+IF(TbTradesBinance[[#This Row],[Tipo]]="SELL",IF(ISNUMBER(FIND(MID(AS$1,10,5),TbTradesBinance[[#This Row],[Par]])),IF(FIND(MID(AS$1,10,5),TbTradesBinance[[#This Row],[Par]])=1, -(AR103-AR104)/AR103*AS103,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Row],[Par]])),(-(AR103-AR104)/AR103*AS103)+IF(TbTradesBinance[[#This Row],[Resultado]]&gt;0,0,TbTradesBinance[[#This Row],[Taxa]]),0),0))</f>
        <v>230.84001376053044</v>
      </c>
      <c r="AT104" s="145">
        <f t="shared" si="30"/>
        <v>3.7687427146003745</v>
      </c>
      <c r="AU10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Row],[Tipo]]="DROP"),AU103+TbTradesBinance[[#This Row],[Qtt]],AU103-TbTradesBinance[[#This Row],[Qtt]]),IF(TbTradesBinance[[#This Row],[Tipo]]="BUY",AU103-TbTradesBinance[[#This Row],[Qtt]]*TbTradesBinance[[#This Row],[Preço]],AU103+TbTradesBinance[[#This Row],[Qtt]]*TbTradesBinance[[#This Row],[Preço]])),AU103)-IF(TbTradesBinance[[#This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Row],[Tipo]]="DROP"),AU103+TbTradesBinance[[#This Row],[Qtt]],AU103-TbTradesBinance[[#This Row],[Qtt]]),IF(TbTradesBinance[[#This Row],[Tipo]]="BUY",AU103-TbTradesBinance[[#This Row],[Qtt]]*TbTradesBinance[[#This Row],[Preço]],AU103+TbTradesBinance[[#This Row],[Qtt]]*TbTradesBinance[[#This Row],[Preço]])),AU103)-IF(TbTradesBinance[[#This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Row],[Tipo]]="DROP"),AU103+TbTradesBinance[[#This Row],[Qtt]],AU103-TbTradesBinance[[#This Row],[Qtt]]),IF(TbTradesBinance[[#This Row],[Tipo]]="BUY",AU103-TbTradesBinance[[#This Row],[Qtt]]*TbTradesBinance[[#This Row],[Preço]],AU103+TbTradesBinance[[#This Row],[Qtt]]*TbTradesBinance[[#This Row],[Preço]])),AU103)-IF(TbTradesBinance[[#This Row],[Moeda da Taxa]]=MID(AU$1,9,5),TbTradesBinance[[#This Row],[Taxa]],0),8)))</f>
        <v>0</v>
      </c>
      <c r="AV104" s="145" cm="1">
        <f t="array" ref="AV104">IF(TbTradesBinance[[#This Row],[Tipo]]="EMPTY",0,AV103+IF(TbTradesBinance[[#This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Row],[Par]]))),$1:$1,0)),-(AU103-AU104)/AU103*AV103),0),0)+IF(TbTradesBinance[[#This Row],[Tipo]]="SELL",IF(ISNUMBER(FIND(MID(AV$1,10,5),TbTradesBinance[[#This Row],[Par]])),IF(FIND(MID(AV$1,10,5),TbTradesBinance[[#This Row],[Par]])=1, -(AU103-AU104)/AU103*AV103,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Row],[Par]])),(-(AU103-AU104)/AU103*AV103)+IF(TbTradesBinance[[#This Row],[Resultado]]&gt;0,0,TbTradesBinance[[#This Row],[Taxa]]),0),0))</f>
        <v>0</v>
      </c>
      <c r="AW104" s="145">
        <f t="shared" si="31"/>
        <v>0</v>
      </c>
      <c r="AX10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Row],[Tipo]]="DROP"),AX103+TbTradesBinance[[#This Row],[Qtt]],AX103-TbTradesBinance[[#This Row],[Qtt]]),IF(TbTradesBinance[[#This Row],[Tipo]]="BUY",AX103-TbTradesBinance[[#This Row],[Qtt]]*TbTradesBinance[[#This Row],[Preço]],AX103+TbTradesBinance[[#This Row],[Qtt]]*TbTradesBinance[[#This Row],[Preço]])),AX103)-IF(TbTradesBinance[[#This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Row],[Tipo]]="DROP"),AX103+TbTradesBinance[[#This Row],[Qtt]],AX103-TbTradesBinance[[#This Row],[Qtt]]),IF(TbTradesBinance[[#This Row],[Tipo]]="BUY",AX103-TbTradesBinance[[#This Row],[Qtt]]*TbTradesBinance[[#This Row],[Preço]],AX103+TbTradesBinance[[#This Row],[Qtt]]*TbTradesBinance[[#This Row],[Preço]])),AX103)-IF(TbTradesBinance[[#This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Row],[Tipo]]="DROP"),AX103+TbTradesBinance[[#This Row],[Qtt]],AX103-TbTradesBinance[[#This Row],[Qtt]]),IF(TbTradesBinance[[#This Row],[Tipo]]="BUY",AX103-TbTradesBinance[[#This Row],[Qtt]]*TbTradesBinance[[#This Row],[Preço]],AX103+TbTradesBinance[[#This Row],[Qtt]]*TbTradesBinance[[#This Row],[Preço]])),AX103)-IF(TbTradesBinance[[#This Row],[Moeda da Taxa]]=MID(AX$1,9,5),TbTradesBinance[[#This Row],[Taxa]],0),8)))</f>
        <v>0.22636999999999999</v>
      </c>
      <c r="AY104" s="145" cm="1">
        <f t="array" ref="AY104">IF(TbTradesBinance[[#This Row],[Tipo]]="EMPTY",0,AY103+IF(TbTradesBinance[[#This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Row],[Par]]))),$1:$1,0)),-(AX103-AX104)/AX103*AY103),0),0)+IF(TbTradesBinance[[#This Row],[Tipo]]="SELL",IF(ISNUMBER(FIND(MID(AY$1,10,5),TbTradesBinance[[#This Row],[Par]])),IF(FIND(MID(AY$1,10,5),TbTradesBinance[[#This Row],[Par]])=1, -(AX103-AX104)/AX103*AY103,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Row],[Par]])),(-(AX103-AX104)/AX103*AY103)+IF(TbTradesBinance[[#This Row],[Resultado]]&gt;0,0,TbTradesBinance[[#This Row],[Taxa]]),0),0))</f>
        <v>40.781337593356859</v>
      </c>
      <c r="AZ104" s="145">
        <f t="shared" si="32"/>
        <v>180.15345493376711</v>
      </c>
      <c r="BA10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Row],[Tipo]]="DROP"),BA103+TbTradesBinance[[#This Row],[Qtt]],BA103-TbTradesBinance[[#This Row],[Qtt]]),IF(TbTradesBinance[[#This Row],[Tipo]]="BUY",BA103-TbTradesBinance[[#This Row],[Qtt]]*TbTradesBinance[[#This Row],[Preço]],BA103+TbTradesBinance[[#This Row],[Qtt]]*TbTradesBinance[[#This Row],[Preço]])),BA103)-IF(TbTradesBinance[[#This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Row],[Tipo]]="DROP"),BA103+TbTradesBinance[[#This Row],[Qtt]],BA103-TbTradesBinance[[#This Row],[Qtt]]),IF(TbTradesBinance[[#This Row],[Tipo]]="BUY",BA103-TbTradesBinance[[#This Row],[Qtt]]*TbTradesBinance[[#This Row],[Preço]],BA103+TbTradesBinance[[#This Row],[Qtt]]*TbTradesBinance[[#This Row],[Preço]])),BA103)-IF(TbTradesBinance[[#This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Row],[Tipo]]="DROP"),BA103+TbTradesBinance[[#This Row],[Qtt]],BA103-TbTradesBinance[[#This Row],[Qtt]]),IF(TbTradesBinance[[#This Row],[Tipo]]="BUY",BA103-TbTradesBinance[[#This Row],[Qtt]]*TbTradesBinance[[#This Row],[Preço]],BA103+TbTradesBinance[[#This Row],[Qtt]]*TbTradesBinance[[#This Row],[Preço]])),BA103)-IF(TbTradesBinance[[#This Row],[Moeda da Taxa]]=MID(BA$1,9,5),TbTradesBinance[[#This Row],[Taxa]],0),8)))</f>
        <v>0</v>
      </c>
      <c r="BB104" s="145" cm="1">
        <f t="array" ref="BB104">IF(TbTradesBinance[[#This Row],[Tipo]]="EMPTY",0,BB103+IF(TbTradesBinance[[#This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Row],[Par]]))),$1:$1,0)),-(BA103-BA104)/BA103*BB103),0),0)+IF(TbTradesBinance[[#This Row],[Tipo]]="SELL",IF(ISNUMBER(FIND(MID(BB$1,10,5),TbTradesBinance[[#This Row],[Par]])),IF(FIND(MID(BB$1,10,5),TbTradesBinance[[#This Row],[Par]])=1, -(BA103-BA104)/BA103*BB103,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Row],[Par]])),(-(BA103-BA104)/BA103*BB103)+IF(TbTradesBinance[[#This Row],[Resultado]]&gt;0,0,TbTradesBinance[[#This Row],[Taxa]]),0),0))</f>
        <v>0</v>
      </c>
      <c r="BC104" s="145">
        <f t="shared" si="33"/>
        <v>0</v>
      </c>
      <c r="BD10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Row],[Tipo]]="DROP"),BD103+TbTradesBinance[[#This Row],[Qtt]],BD103-TbTradesBinance[[#This Row],[Qtt]]),IF(TbTradesBinance[[#This Row],[Tipo]]="BUY",BD103-TbTradesBinance[[#This Row],[Qtt]]*TbTradesBinance[[#This Row],[Preço]],BD103+TbTradesBinance[[#This Row],[Qtt]]*TbTradesBinance[[#This Row],[Preço]])),BD103)-IF(TbTradesBinance[[#This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Row],[Tipo]]="DROP"),BD103+TbTradesBinance[[#This Row],[Qtt]],BD103-TbTradesBinance[[#This Row],[Qtt]]),IF(TbTradesBinance[[#This Row],[Tipo]]="BUY",BD103-TbTradesBinance[[#This Row],[Qtt]]*TbTradesBinance[[#This Row],[Preço]],BD103+TbTradesBinance[[#This Row],[Qtt]]*TbTradesBinance[[#This Row],[Preço]])),BD103)-IF(TbTradesBinance[[#This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Row],[Tipo]]="DROP"),BD103+TbTradesBinance[[#This Row],[Qtt]],BD103-TbTradesBinance[[#This Row],[Qtt]]),IF(TbTradesBinance[[#This Row],[Tipo]]="BUY",BD103-TbTradesBinance[[#This Row],[Qtt]]*TbTradesBinance[[#This Row],[Preço]],BD103+TbTradesBinance[[#This Row],[Qtt]]*TbTradesBinance[[#This Row],[Preço]])),BD103)-IF(TbTradesBinance[[#This Row],[Moeda da Taxa]]=MID(BD$1,9,5),TbTradesBinance[[#This Row],[Taxa]],0),8)))</f>
        <v>0.56906000000000001</v>
      </c>
      <c r="BE104" s="145" cm="1">
        <f t="array" ref="BE104">IF(TbTradesBinance[[#This Row],[Tipo]]="EMPTY",0,BE103+IF(TbTradesBinance[[#This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Row],[Par]]))),$1:$1,0)),-(BD103-BD104)/BD103*BE103),0),0)+IF(TbTradesBinance[[#This Row],[Tipo]]="SELL",IF(ISNUMBER(FIND(MID(BE$1,10,5),TbTradesBinance[[#This Row],[Par]])),IF(FIND(MID(BE$1,10,5),TbTradesBinance[[#This Row],[Par]])=1, -(BD103-BD104)/BD103*BE103,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Row],[Par]])),(-(BD103-BD104)/BD103*BE103)+IF(TbTradesBinance[[#This Row],[Resultado]]&gt;0,0,TbTradesBinance[[#This Row],[Taxa]]),0),0))</f>
        <v>105.81619120195663</v>
      </c>
      <c r="BF104" s="145">
        <f t="shared" si="34"/>
        <v>185.94909359638109</v>
      </c>
      <c r="BG10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Row],[Tipo]]="DROP"),BG103+TbTradesBinance[[#This Row],[Qtt]],BG103-TbTradesBinance[[#This Row],[Qtt]]),IF(TbTradesBinance[[#This Row],[Tipo]]="BUY",BG103-TbTradesBinance[[#This Row],[Qtt]]*TbTradesBinance[[#This Row],[Preço]],BG103+TbTradesBinance[[#This Row],[Qtt]]*TbTradesBinance[[#This Row],[Preço]])),BG103)-IF(TbTradesBinance[[#This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Row],[Tipo]]="DROP"),BG103+TbTradesBinance[[#This Row],[Qtt]],BG103-TbTradesBinance[[#This Row],[Qtt]]),IF(TbTradesBinance[[#This Row],[Tipo]]="BUY",BG103-TbTradesBinance[[#This Row],[Qtt]]*TbTradesBinance[[#This Row],[Preço]],BG103+TbTradesBinance[[#This Row],[Qtt]]*TbTradesBinance[[#This Row],[Preço]])),BG103)-IF(TbTradesBinance[[#This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Row],[Tipo]]="DROP"),BG103+TbTradesBinance[[#This Row],[Qtt]],BG103-TbTradesBinance[[#This Row],[Qtt]]),IF(TbTradesBinance[[#This Row],[Tipo]]="BUY",BG103-TbTradesBinance[[#This Row],[Qtt]]*TbTradesBinance[[#This Row],[Preço]],BG103+TbTradesBinance[[#This Row],[Qtt]]*TbTradesBinance[[#This Row],[Preço]])),BG103)-IF(TbTradesBinance[[#This Row],[Moeda da Taxa]]=MID(BG$1,9,5),TbTradesBinance[[#This Row],[Taxa]],0),8)))</f>
        <v>0</v>
      </c>
      <c r="BH104" s="145" cm="1">
        <f t="array" ref="BH104">IF(TbTradesBinance[[#This Row],[Tipo]]="EMPTY",0,BH103+IF(TbTradesBinance[[#This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Row],[Par]]))),$1:$1,0)),-(BG103-BG104)/BG103*BH103),0),0)+IF(TbTradesBinance[[#This Row],[Tipo]]="SELL",IF(ISNUMBER(FIND(MID(BH$1,10,5),TbTradesBinance[[#This Row],[Par]])),IF(FIND(MID(BH$1,10,5),TbTradesBinance[[#This Row],[Par]])=1, -(BG103-BG104)/BG103*BH103,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Row],[Par]])),(-(BG103-BG104)/BG103*BH103)+IF(TbTradesBinance[[#This Row],[Resultado]]&gt;0,0,TbTradesBinance[[#This Row],[Taxa]]),0),0))</f>
        <v>0</v>
      </c>
      <c r="BI104" s="145">
        <f t="shared" si="35"/>
        <v>0</v>
      </c>
      <c r="BJ10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Row],[Tipo]]="DROP"),BJ103+TbTradesBinance[[#This Row],[Qtt]],BJ103-TbTradesBinance[[#This Row],[Qtt]]),IF(TbTradesBinance[[#This Row],[Tipo]]="BUY",BJ103-TbTradesBinance[[#This Row],[Qtt]]*TbTradesBinance[[#This Row],[Preço]],BJ103+TbTradesBinance[[#This Row],[Qtt]]*TbTradesBinance[[#This Row],[Preço]])),BJ103)-IF(TbTradesBinance[[#This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Row],[Tipo]]="DROP"),BJ103+TbTradesBinance[[#This Row],[Qtt]],BJ103-TbTradesBinance[[#This Row],[Qtt]]),IF(TbTradesBinance[[#This Row],[Tipo]]="BUY",BJ103-TbTradesBinance[[#This Row],[Qtt]]*TbTradesBinance[[#This Row],[Preço]],BJ103+TbTradesBinance[[#This Row],[Qtt]]*TbTradesBinance[[#This Row],[Preço]])),BJ103)-IF(TbTradesBinance[[#This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Row],[Tipo]]="DROP"),BJ103+TbTradesBinance[[#This Row],[Qtt]],BJ103-TbTradesBinance[[#This Row],[Qtt]]),IF(TbTradesBinance[[#This Row],[Tipo]]="BUY",BJ103-TbTradesBinance[[#This Row],[Qtt]]*TbTradesBinance[[#This Row],[Preço]],BJ103+TbTradesBinance[[#This Row],[Qtt]]*TbTradesBinance[[#This Row],[Preço]])),BJ103)-IF(TbTradesBinance[[#This Row],[Moeda da Taxa]]=MID(BJ$1,9,5),TbTradesBinance[[#This Row],[Taxa]],0),8)))</f>
        <v>0</v>
      </c>
      <c r="BK104" s="145" cm="1">
        <f t="array" ref="BK104">IF(TbTradesBinance[[#This Row],[Tipo]]="EMPTY",0,BK103+IF(TbTradesBinance[[#This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Row],[Par]]))),$1:$1,0)),-(BJ103-BJ104)/BJ103*BK103),0),0)+IF(TbTradesBinance[[#This Row],[Tipo]]="SELL",IF(ISNUMBER(FIND(MID(BK$1,10,5),TbTradesBinance[[#This Row],[Par]])),IF(FIND(MID(BK$1,10,5),TbTradesBinance[[#This Row],[Par]])=1, -(BJ103-BJ104)/BJ103*BK103,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Row],[Par]])),(-(BJ103-BJ104)/BJ103*BK103)+IF(TbTradesBinance[[#This Row],[Resultado]]&gt;0,0,TbTradesBinance[[#This Row],[Taxa]]),0),0))</f>
        <v>0</v>
      </c>
      <c r="BL104" s="145">
        <f t="shared" si="36"/>
        <v>0</v>
      </c>
      <c r="BM10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Row],[Tipo]]="DROP"),BM103+TbTradesBinance[[#This Row],[Qtt]],BM103-TbTradesBinance[[#This Row],[Qtt]]),IF(TbTradesBinance[[#This Row],[Tipo]]="BUY",BM103-TbTradesBinance[[#This Row],[Qtt]]*TbTradesBinance[[#This Row],[Preço]],BM103+TbTradesBinance[[#This Row],[Qtt]]*TbTradesBinance[[#This Row],[Preço]])),BM103)-IF(TbTradesBinance[[#This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Row],[Tipo]]="DROP"),BM103+TbTradesBinance[[#This Row],[Qtt]],BM103-TbTradesBinance[[#This Row],[Qtt]]),IF(TbTradesBinance[[#This Row],[Tipo]]="BUY",BM103-TbTradesBinance[[#This Row],[Qtt]]*TbTradesBinance[[#This Row],[Preço]],BM103+TbTradesBinance[[#This Row],[Qtt]]*TbTradesBinance[[#This Row],[Preço]])),BM103)-IF(TbTradesBinance[[#This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Row],[Tipo]]="DROP"),BM103+TbTradesBinance[[#This Row],[Qtt]],BM103-TbTradesBinance[[#This Row],[Qtt]]),IF(TbTradesBinance[[#This Row],[Tipo]]="BUY",BM103-TbTradesBinance[[#This Row],[Qtt]]*TbTradesBinance[[#This Row],[Preço]],BM103+TbTradesBinance[[#This Row],[Qtt]]*TbTradesBinance[[#This Row],[Preço]])),BM103)-IF(TbTradesBinance[[#This Row],[Moeda da Taxa]]=MID(BM$1,9,5),TbTradesBinance[[#This Row],[Taxa]],0),8)))</f>
        <v>0</v>
      </c>
      <c r="BN104" s="145" cm="1">
        <f t="array" ref="BN104">IF(TbTradesBinance[[#This Row],[Tipo]]="EMPTY",0,BN103+IF(TbTradesBinance[[#This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Row],[Par]]))),$1:$1,0)),-(BM103-BM104)/BM103*BN103),0),0)+IF(TbTradesBinance[[#This Row],[Tipo]]="SELL",IF(ISNUMBER(FIND(MID(BN$1,10,5),TbTradesBinance[[#This Row],[Par]])),IF(FIND(MID(BN$1,10,5),TbTradesBinance[[#This Row],[Par]])=1, -(BM103-BM104)/BM103*BN103,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Row],[Par]])),(-(BM103-BM104)/BM103*BN103)+IF(TbTradesBinance[[#This Row],[Resultado]]&gt;0,0,TbTradesBinance[[#This Row],[Taxa]]),0),0))</f>
        <v>0</v>
      </c>
      <c r="BO104" s="145">
        <f t="shared" si="37"/>
        <v>0</v>
      </c>
    </row>
    <row r="105" spans="2:67" x14ac:dyDescent="0.3">
      <c r="B105" s="51"/>
      <c r="C105" s="40">
        <f>TRUNC(IF(AND(TbTradesBinance[[#This Row],[Tipo]]="SEND",TbTradesBinance[[#This Row],[Par]]="BRL"),TbTradesBinance[[#This Row],[Qtt]]*(1-P103)-IF(TbTradesBinance[[#This Row],[Moeda da Taxa]]="BRL",TbTradesBinance[[#This Row],[Taxa]],0),0)+IF(AND(TbTradesBinance[[#This Row],[Tipo]]="BURN",TbTradesBinance[[#This Row],[Par]]="BRL"),-TbTradesBinance[[#This Row],[Qtt]]*P103,0),2)</f>
        <v>0</v>
      </c>
      <c r="D105" s="53">
        <v>44272.018425925926</v>
      </c>
      <c r="E105" s="37" t="s">
        <v>145</v>
      </c>
      <c r="F105" s="47" t="s">
        <v>139</v>
      </c>
      <c r="G105" s="38">
        <v>1768</v>
      </c>
      <c r="H105" s="38">
        <v>2.0650000000000002E-2</v>
      </c>
      <c r="I105" s="38">
        <v>2.065E-5</v>
      </c>
      <c r="J105" s="37" t="s">
        <v>8</v>
      </c>
      <c r="K105" s="52">
        <v>5.5860000000000003</v>
      </c>
      <c r="L105" s="40">
        <f t="shared" si="19"/>
        <v>9876.0400000000009</v>
      </c>
      <c r="M105" s="40">
        <f>IF(OR(TbTradesBinance[[#This Row],[Tipo]]="BUY",TbTradesBinance[[#This Row],[Tipo]]="RECEIVE",TbTradesBinance[[#This Row],[Tipo]]="DROP"),L105*H105,-L105*H105)</f>
        <v>203.94022600000002</v>
      </c>
      <c r="N10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Row],[Tipo]]="DROP"),N104+TbTradesBinance[[#This Row],[Qtt]],N104-TbTradesBinance[[#This Row],[Qtt]]),IF(TbTradesBinance[[#This Row],[Tipo]]="BUY",N104-TbTradesBinance[[#This Row],[Qtt]]*TbTradesBinance[[#This Row],[Preço]],N104+TbTradesBinance[[#This Row],[Qtt]]*TbTradesBinance[[#This Row],[Preço]])),N104)-IF(TbTradesBinance[[#This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Row],[Tipo]]="DROP"),N104+TbTradesBinance[[#This Row],[Qtt]],N104-TbTradesBinance[[#This Row],[Qtt]]),IF(TbTradesBinance[[#This Row],[Tipo]]="BUY",N104-TbTradesBinance[[#This Row],[Qtt]]*TbTradesBinance[[#This Row],[Preço]],N104+TbTradesBinance[[#This Row],[Qtt]]*TbTradesBinance[[#This Row],[Preço]])),N104)-IF(TbTradesBinance[[#This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Row],[Tipo]]="DROP"),N104+TbTradesBinance[[#This Row],[Qtt]],N104-TbTradesBinance[[#This Row],[Qtt]]),IF(TbTradesBinance[[#This Row],[Tipo]]="BUY",N104-TbTradesBinance[[#This Row],[Qtt]]*TbTradesBinance[[#This Row],[Preço]],N104+TbTradesBinance[[#This Row],[Qtt]]*TbTradesBinance[[#This Row],[Preço]])),N104)-IF(TbTradesBinance[[#This Row],[Moeda da Taxa]]=MID(N$1,9,5),TbTradesBinance[[#This Row],[Taxa]],0),8)))</f>
        <v>119745.70050707999</v>
      </c>
      <c r="O105" s="145" cm="1">
        <f t="array" ref="O105">IF(TbTradesBinance[[#This Row],[Tipo]]="EMPTY",0,O104+IF(TbTradesBinance[[#This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Row],[Par]]))),$1:$1,0)),-(N104-N105)/N104*O104),0),0)+IF(TbTradesBinance[[#This Row],[Tipo]]="SELL",IF(ISNUMBER(FIND(MID(O$1,10,5),TbTradesBinance[[#This Row],[Par]])),IF(FIND(MID(O$1,10,5),TbTradesBinance[[#This Row],[Par]])=1, -(N104-N105)/N104*O104,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Row],[Par]])),(-(N104-N105)/N104*O104)+IF(TbTradesBinance[[#This Row],[Resultado]]&gt;0,0,TbTradesBinance[[#This Row],[Taxa]]),0),0))</f>
        <v>119733.82450611531</v>
      </c>
      <c r="P105" s="145">
        <f t="shared" si="20"/>
        <v>0.99990082315344608</v>
      </c>
      <c r="Q10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Row],[Tipo]]="DROP"),Q104+TbTradesBinance[[#This Row],[Qtt]],Q104-TbTradesBinance[[#This Row],[Qtt]]),IF(TbTradesBinance[[#This Row],[Tipo]]="BUY",Q104-TbTradesBinance[[#This Row],[Qtt]]*TbTradesBinance[[#This Row],[Preço]],Q104+TbTradesBinance[[#This Row],[Qtt]]*TbTradesBinance[[#This Row],[Preço]])),Q104)-IF(TbTradesBinance[[#This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Row],[Tipo]]="DROP"),Q104+TbTradesBinance[[#This Row],[Qtt]],Q104-TbTradesBinance[[#This Row],[Qtt]]),IF(TbTradesBinance[[#This Row],[Tipo]]="BUY",Q104-TbTradesBinance[[#This Row],[Qtt]]*TbTradesBinance[[#This Row],[Preço]],Q104+TbTradesBinance[[#This Row],[Qtt]]*TbTradesBinance[[#This Row],[Preço]])),Q104)-IF(TbTradesBinance[[#This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Row],[Tipo]]="DROP"),Q104+TbTradesBinance[[#This Row],[Qtt]],Q104-TbTradesBinance[[#This Row],[Qtt]]),IF(TbTradesBinance[[#This Row],[Tipo]]="BUY",Q104-TbTradesBinance[[#This Row],[Qtt]]*TbTradesBinance[[#This Row],[Preço]],Q104+TbTradesBinance[[#This Row],[Qtt]]*TbTradesBinance[[#This Row],[Preço]])),Q104)-IF(TbTradesBinance[[#This Row],[Moeda da Taxa]]=MID(Q$1,9,5),TbTradesBinance[[#This Row],[Taxa]],0),8)))</f>
        <v>36.534863680000001</v>
      </c>
      <c r="R105" s="145" cm="1">
        <f t="array" ref="R105">IF(TbTradesBinance[[#This Row],[Tipo]]="EMPTY",0,R104+IF(TbTradesBinance[[#This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Row],[Par]]))),$1:$1,0)),-(Q104-Q105)/Q104*R104),0),0)+IF(TbTradesBinance[[#This Row],[Tipo]]="SELL",IF(ISNUMBER(FIND(MID(R$1,10,5),TbTradesBinance[[#This Row],[Par]])),IF(FIND(MID(R$1,10,5),TbTradesBinance[[#This Row],[Par]])=1, -(Q104-Q105)/Q104*R104,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Row],[Par]])),(-(Q104-Q105)/Q104*R104)+IF(TbTradesBinance[[#This Row],[Resultado]]&gt;0,0,TbTradesBinance[[#This Row],[Taxa]]),0),0))</f>
        <v>214.77216015944654</v>
      </c>
      <c r="S105" s="145">
        <f t="shared" si="21"/>
        <v>5.8785537573257081</v>
      </c>
      <c r="T10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Row],[Tipo]]="DROP"),T104+TbTradesBinance[[#This Row],[Qtt]],T104-TbTradesBinance[[#This Row],[Qtt]]),IF(TbTradesBinance[[#This Row],[Tipo]]="BUY",T104-TbTradesBinance[[#This Row],[Qtt]]*TbTradesBinance[[#This Row],[Preço]],T104+TbTradesBinance[[#This Row],[Qtt]]*TbTradesBinance[[#This Row],[Preço]])),T104)-IF(TbTradesBinance[[#This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Row],[Tipo]]="DROP"),T104+TbTradesBinance[[#This Row],[Qtt]],T104-TbTradesBinance[[#This Row],[Qtt]]),IF(TbTradesBinance[[#This Row],[Tipo]]="BUY",T104-TbTradesBinance[[#This Row],[Qtt]]*TbTradesBinance[[#This Row],[Preço]],T104+TbTradesBinance[[#This Row],[Qtt]]*TbTradesBinance[[#This Row],[Preço]])),T104)-IF(TbTradesBinance[[#This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Row],[Tipo]]="DROP"),T104+TbTradesBinance[[#This Row],[Qtt]],T104-TbTradesBinance[[#This Row],[Qtt]]),IF(TbTradesBinance[[#This Row],[Tipo]]="BUY",T104-TbTradesBinance[[#This Row],[Qtt]]*TbTradesBinance[[#This Row],[Preço]],T104+TbTradesBinance[[#This Row],[Qtt]]*TbTradesBinance[[#This Row],[Preço]])),T104)-IF(TbTradesBinance[[#This Row],[Moeda da Taxa]]=MID(T$1,9,5),TbTradesBinance[[#This Row],[Taxa]],0),8)))</f>
        <v>199735.32000169999</v>
      </c>
      <c r="U105" s="145" cm="1">
        <f t="array" ref="U105">IF(TbTradesBinance[[#This Row],[Tipo]]="EMPTY",0,U104+IF(TbTradesBinance[[#This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Row],[Par]]))),$1:$1,0)),-(T104-T105)/T104*U104),0),0)+IF(TbTradesBinance[[#This Row],[Tipo]]="SELL",IF(ISNUMBER(FIND(MID(U$1,10,5),TbTradesBinance[[#This Row],[Par]])),IF(FIND(MID(U$1,10,5),TbTradesBinance[[#This Row],[Par]])=1, -(T104-T105)/T104*U104,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Row],[Par]])),(-(T104-T105)/T104*U104)+IF(TbTradesBinance[[#This Row],[Resultado]]&gt;0,0,TbTradesBinance[[#This Row],[Taxa]]),0),0))</f>
        <v>1328239.8809817513</v>
      </c>
      <c r="V105" s="145">
        <f t="shared" si="22"/>
        <v>6.6500000148719129</v>
      </c>
      <c r="W10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Row],[Tipo]]="DROP"),W104+TbTradesBinance[[#This Row],[Qtt]],W104-TbTradesBinance[[#This Row],[Qtt]]),IF(TbTradesBinance[[#This Row],[Tipo]]="BUY",W104-TbTradesBinance[[#This Row],[Qtt]]*TbTradesBinance[[#This Row],[Preço]],W104+TbTradesBinance[[#This Row],[Qtt]]*TbTradesBinance[[#This Row],[Preço]])),W104)-IF(TbTradesBinance[[#This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Row],[Tipo]]="DROP"),W104+TbTradesBinance[[#This Row],[Qtt]],W104-TbTradesBinance[[#This Row],[Qtt]]),IF(TbTradesBinance[[#This Row],[Tipo]]="BUY",W104-TbTradesBinance[[#This Row],[Qtt]]*TbTradesBinance[[#This Row],[Preço]],W104+TbTradesBinance[[#This Row],[Qtt]]*TbTradesBinance[[#This Row],[Preço]])),W104)-IF(TbTradesBinance[[#This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Row],[Tipo]]="DROP"),W104+TbTradesBinance[[#This Row],[Qtt]],W104-TbTradesBinance[[#This Row],[Qtt]]),IF(TbTradesBinance[[#This Row],[Tipo]]="BUY",W104-TbTradesBinance[[#This Row],[Qtt]]*TbTradesBinance[[#This Row],[Preço]],W104+TbTradesBinance[[#This Row],[Qtt]]*TbTradesBinance[[#This Row],[Preço]])),W104)-IF(TbTradesBinance[[#This Row],[Moeda da Taxa]]=MID(W$1,9,5),TbTradesBinance[[#This Row],[Taxa]],0),8)))</f>
        <v>2.48036E-3</v>
      </c>
      <c r="X105" s="145" cm="1">
        <f t="array" ref="X105">IF(TbTradesBinance[[#This Row],[Tipo]]="EMPTY",0,X104+IF(TbTradesBinance[[#This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Row],[Par]]))),$1:$1,0)),-(W104-W105)/W104*X104),0),0)+IF(TbTradesBinance[[#This Row],[Tipo]]="SELL",IF(ISNUMBER(FIND(MID(X$1,10,5),TbTradesBinance[[#This Row],[Par]])),IF(FIND(MID(X$1,10,5),TbTradesBinance[[#This Row],[Par]])=1, -(W104-W105)/W104*X104,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Row],[Par]])),(-(W104-W105)/W104*X104)+IF(TbTradesBinance[[#This Row],[Resultado]]&gt;0,0,TbTradesBinance[[#This Row],[Taxa]]),0),0))</f>
        <v>832.53731315140135</v>
      </c>
      <c r="Y105" s="145">
        <f t="shared" si="23"/>
        <v>335651.8058472969</v>
      </c>
      <c r="Z10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Row],[Tipo]]="DROP"),Z104+TbTradesBinance[[#This Row],[Qtt]],Z104-TbTradesBinance[[#This Row],[Qtt]]),IF(TbTradesBinance[[#This Row],[Tipo]]="BUY",Z104-TbTradesBinance[[#This Row],[Qtt]]*TbTradesBinance[[#This Row],[Preço]],Z104+TbTradesBinance[[#This Row],[Qtt]]*TbTradesBinance[[#This Row],[Preço]])),Z104)-IF(TbTradesBinance[[#This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Row],[Tipo]]="DROP"),Z104+TbTradesBinance[[#This Row],[Qtt]],Z104-TbTradesBinance[[#This Row],[Qtt]]),IF(TbTradesBinance[[#This Row],[Tipo]]="BUY",Z104-TbTradesBinance[[#This Row],[Qtt]]*TbTradesBinance[[#This Row],[Preço]],Z104+TbTradesBinance[[#This Row],[Qtt]]*TbTradesBinance[[#This Row],[Preço]])),Z104)-IF(TbTradesBinance[[#This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Row],[Tipo]]="DROP"),Z104+TbTradesBinance[[#This Row],[Qtt]],Z104-TbTradesBinance[[#This Row],[Qtt]]),IF(TbTradesBinance[[#This Row],[Tipo]]="BUY",Z104-TbTradesBinance[[#This Row],[Qtt]]*TbTradesBinance[[#This Row],[Preço]],Z104+TbTradesBinance[[#This Row],[Qtt]]*TbTradesBinance[[#This Row],[Preço]])),Z104)-IF(TbTradesBinance[[#This Row],[Moeda da Taxa]]=MID(Z$1,9,5),TbTradesBinance[[#This Row],[Taxa]],0),8)))</f>
        <v>2.0629350000000001E-2</v>
      </c>
      <c r="AA105" s="145" cm="1">
        <f t="array" ref="AA105">IF(TbTradesBinance[[#This Row],[Tipo]]="EMPTY",0,AA104+IF(TbTradesBinance[[#This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Row],[Par]]))),$1:$1,0)),-(Z104-Z105)/Z104*AA104),0),0)+IF(TbTradesBinance[[#This Row],[Tipo]]="SELL",IF(ISNUMBER(FIND(MID(AA$1,10,5),TbTradesBinance[[#This Row],[Par]])),IF(FIND(MID(AA$1,10,5),TbTradesBinance[[#This Row],[Par]])=1, -(Z104-Z105)/Z104*AA104,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Row],[Par]])),(-(Z104-Z105)/Z104*AA104)+IF(TbTradesBinance[[#This Row],[Resultado]]&gt;0,0,TbTradesBinance[[#This Row],[Taxa]]),0),0))</f>
        <v>214.62129483695568</v>
      </c>
      <c r="AB105" s="145">
        <f t="shared" si="24"/>
        <v>10403.686729681531</v>
      </c>
      <c r="AC10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Row],[Tipo]]="DROP"),AC104+TbTradesBinance[[#This Row],[Qtt]],AC104-TbTradesBinance[[#This Row],[Qtt]]),IF(TbTradesBinance[[#This Row],[Tipo]]="BUY",AC104-TbTradesBinance[[#This Row],[Qtt]]*TbTradesBinance[[#This Row],[Preço]],AC104+TbTradesBinance[[#This Row],[Qtt]]*TbTradesBinance[[#This Row],[Preço]])),AC104)-IF(TbTradesBinance[[#This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Row],[Tipo]]="DROP"),AC104+TbTradesBinance[[#This Row],[Qtt]],AC104-TbTradesBinance[[#This Row],[Qtt]]),IF(TbTradesBinance[[#This Row],[Tipo]]="BUY",AC104-TbTradesBinance[[#This Row],[Qtt]]*TbTradesBinance[[#This Row],[Preço]],AC104+TbTradesBinance[[#This Row],[Qtt]]*TbTradesBinance[[#This Row],[Preço]])),AC104)-IF(TbTradesBinance[[#This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Row],[Tipo]]="DROP"),AC104+TbTradesBinance[[#This Row],[Qtt]],AC104-TbTradesBinance[[#This Row],[Qtt]]),IF(TbTradesBinance[[#This Row],[Tipo]]="BUY",AC104-TbTradesBinance[[#This Row],[Qtt]]*TbTradesBinance[[#This Row],[Preço]],AC104+TbTradesBinance[[#This Row],[Qtt]]*TbTradesBinance[[#This Row],[Preço]])),AC104)-IF(TbTradesBinance[[#This Row],[Moeda da Taxa]]=MID(AC$1,9,5),TbTradesBinance[[#This Row],[Taxa]],0),8)))</f>
        <v>9.6999E-4</v>
      </c>
      <c r="AD105" s="145" cm="1">
        <f t="array" ref="AD105">IF(TbTradesBinance[[#This Row],[Tipo]]="EMPTY",0,AD104+IF(TbTradesBinance[[#This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Row],[Par]]))),$1:$1,0)),-(AC104-AC105)/AC104*AD104),0),0)+IF(TbTradesBinance[[#This Row],[Tipo]]="SELL",IF(ISNUMBER(FIND(MID(AD$1,10,5),TbTradesBinance[[#This Row],[Par]])),IF(FIND(MID(AD$1,10,5),TbTradesBinance[[#This Row],[Par]])=1, -(AC104-AC105)/AC104*AD104,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Row],[Par]])),(-(AC104-AC105)/AC104*AD104)+IF(TbTradesBinance[[#This Row],[Resultado]]&gt;0,0,TbTradesBinance[[#This Row],[Taxa]]),0),0))</f>
        <v>1.9483868939812083</v>
      </c>
      <c r="AE105" s="145">
        <f t="shared" si="25"/>
        <v>2008.6669903619711</v>
      </c>
      <c r="AF10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Row],[Tipo]]="DROP"),AF104+TbTradesBinance[[#This Row],[Qtt]],AF104-TbTradesBinance[[#This Row],[Qtt]]),IF(TbTradesBinance[[#This Row],[Tipo]]="BUY",AF104-TbTradesBinance[[#This Row],[Qtt]]*TbTradesBinance[[#This Row],[Preço]],AF104+TbTradesBinance[[#This Row],[Qtt]]*TbTradesBinance[[#This Row],[Preço]])),AF104)-IF(TbTradesBinance[[#This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Row],[Tipo]]="DROP"),AF104+TbTradesBinance[[#This Row],[Qtt]],AF104-TbTradesBinance[[#This Row],[Qtt]]),IF(TbTradesBinance[[#This Row],[Tipo]]="BUY",AF104-TbTradesBinance[[#This Row],[Qtt]]*TbTradesBinance[[#This Row],[Preço]],AF104+TbTradesBinance[[#This Row],[Qtt]]*TbTradesBinance[[#This Row],[Preço]])),AF104)-IF(TbTradesBinance[[#This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Row],[Tipo]]="DROP"),AF104+TbTradesBinance[[#This Row],[Qtt]],AF104-TbTradesBinance[[#This Row],[Qtt]]),IF(TbTradesBinance[[#This Row],[Tipo]]="BUY",AF104-TbTradesBinance[[#This Row],[Qtt]]*TbTradesBinance[[#This Row],[Preço]],AF104+TbTradesBinance[[#This Row],[Qtt]]*TbTradesBinance[[#This Row],[Preço]])),AF104)-IF(TbTradesBinance[[#This Row],[Moeda da Taxa]]=MID(AF$1,9,5),TbTradesBinance[[#This Row],[Taxa]],0),8)))</f>
        <v>19.98</v>
      </c>
      <c r="AG105" s="145" cm="1">
        <f t="array" ref="AG105">IF(TbTradesBinance[[#This Row],[Tipo]]="EMPTY",0,AG104+IF(TbTradesBinance[[#This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Row],[Par]]))),$1:$1,0)),-(AF104-AF105)/AF104*AG104),0),0)+IF(TbTradesBinance[[#This Row],[Tipo]]="SELL",IF(ISNUMBER(FIND(MID(AG$1,10,5),TbTradesBinance[[#This Row],[Par]])),IF(FIND(MID(AG$1,10,5),TbTradesBinance[[#This Row],[Par]])=1, -(AF104-AF105)/AF104*AG104,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Row],[Par]])),(-(AF104-AF105)/AF104*AG104)+IF(TbTradesBinance[[#This Row],[Resultado]]&gt;0,0,TbTradesBinance[[#This Row],[Taxa]]),0),0))</f>
        <v>124.04182758073662</v>
      </c>
      <c r="AH105" s="145">
        <f t="shared" si="26"/>
        <v>6.2082996787155462</v>
      </c>
      <c r="AI10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Row],[Tipo]]="DROP"),AI104+TbTradesBinance[[#This Row],[Qtt]],AI104-TbTradesBinance[[#This Row],[Qtt]]),IF(TbTradesBinance[[#This Row],[Tipo]]="BUY",AI104-TbTradesBinance[[#This Row],[Qtt]]*TbTradesBinance[[#This Row],[Preço]],AI104+TbTradesBinance[[#This Row],[Qtt]]*TbTradesBinance[[#This Row],[Preço]])),AI104)-IF(TbTradesBinance[[#This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Row],[Tipo]]="DROP"),AI104+TbTradesBinance[[#This Row],[Qtt]],AI104-TbTradesBinance[[#This Row],[Qtt]]),IF(TbTradesBinance[[#This Row],[Tipo]]="BUY",AI104-TbTradesBinance[[#This Row],[Qtt]]*TbTradesBinance[[#This Row],[Preço]],AI104+TbTradesBinance[[#This Row],[Qtt]]*TbTradesBinance[[#This Row],[Preço]])),AI104)-IF(TbTradesBinance[[#This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Row],[Tipo]]="DROP"),AI104+TbTradesBinance[[#This Row],[Qtt]],AI104-TbTradesBinance[[#This Row],[Qtt]]),IF(TbTradesBinance[[#This Row],[Tipo]]="BUY",AI104-TbTradesBinance[[#This Row],[Qtt]]*TbTradesBinance[[#This Row],[Preço]],AI104+TbTradesBinance[[#This Row],[Qtt]]*TbTradesBinance[[#This Row],[Preço]])),AI104)-IF(TbTradesBinance[[#This Row],[Moeda da Taxa]]=MID(AI$1,9,5),TbTradesBinance[[#This Row],[Taxa]],0),8)))</f>
        <v>0</v>
      </c>
      <c r="AJ105" s="145" cm="1">
        <f t="array" ref="AJ105">IF(TbTradesBinance[[#This Row],[Tipo]]="EMPTY",0,AJ104+IF(TbTradesBinance[[#This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Row],[Par]]))),$1:$1,0)),-(AI104-AI105)/AI104*AJ104),0),0)+IF(TbTradesBinance[[#This Row],[Tipo]]="SELL",IF(ISNUMBER(FIND(MID(AJ$1,10,5),TbTradesBinance[[#This Row],[Par]])),IF(FIND(MID(AJ$1,10,5),TbTradesBinance[[#This Row],[Par]])=1, -(AI104-AI105)/AI104*AJ104,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Row],[Par]])),(-(AI104-AI105)/AI104*AJ104)+IF(TbTradesBinance[[#This Row],[Resultado]]&gt;0,0,TbTradesBinance[[#This Row],[Taxa]]),0),0))</f>
        <v>0</v>
      </c>
      <c r="AK105" s="145">
        <f t="shared" si="27"/>
        <v>0</v>
      </c>
      <c r="AL10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Row],[Tipo]]="DROP"),AL104+TbTradesBinance[[#This Row],[Qtt]],AL104-TbTradesBinance[[#This Row],[Qtt]]),IF(TbTradesBinance[[#This Row],[Tipo]]="BUY",AL104-TbTradesBinance[[#This Row],[Qtt]]*TbTradesBinance[[#This Row],[Preço]],AL104+TbTradesBinance[[#This Row],[Qtt]]*TbTradesBinance[[#This Row],[Preço]])),AL104)-IF(TbTradesBinance[[#This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Row],[Tipo]]="DROP"),AL104+TbTradesBinance[[#This Row],[Qtt]],AL104-TbTradesBinance[[#This Row],[Qtt]]),IF(TbTradesBinance[[#This Row],[Tipo]]="BUY",AL104-TbTradesBinance[[#This Row],[Qtt]]*TbTradesBinance[[#This Row],[Preço]],AL104+TbTradesBinance[[#This Row],[Qtt]]*TbTradesBinance[[#This Row],[Preço]])),AL104)-IF(TbTradesBinance[[#This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Row],[Tipo]]="DROP"),AL104+TbTradesBinance[[#This Row],[Qtt]],AL104-TbTradesBinance[[#This Row],[Qtt]]),IF(TbTradesBinance[[#This Row],[Tipo]]="BUY",AL104-TbTradesBinance[[#This Row],[Qtt]]*TbTradesBinance[[#This Row],[Preço]],AL104+TbTradesBinance[[#This Row],[Qtt]]*TbTradesBinance[[#This Row],[Preço]])),AL104)-IF(TbTradesBinance[[#This Row],[Moeda da Taxa]]=MID(AL$1,9,5),TbTradesBinance[[#This Row],[Taxa]],0),8)))</f>
        <v>8.2400000000000008E-3</v>
      </c>
      <c r="AM105" s="145" cm="1">
        <f t="array" ref="AM105">IF(TbTradesBinance[[#This Row],[Tipo]]="EMPTY",0,AM104+IF(TbTradesBinance[[#This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Row],[Par]]))),$1:$1,0)),-(AL104-AL105)/AL104*AM104),0),0)+IF(TbTradesBinance[[#This Row],[Tipo]]="SELL",IF(ISNUMBER(FIND(MID(AM$1,10,5),TbTradesBinance[[#This Row],[Par]])),IF(FIND(MID(AM$1,10,5),TbTradesBinance[[#This Row],[Par]])=1, -(AL104-AL105)/AL104*AM104,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Row],[Par]])),(-(AL104-AL105)/AL104*AM104)+IF(TbTradesBinance[[#This Row],[Resultado]]&gt;0,0,TbTradesBinance[[#This Row],[Taxa]]),0),0))</f>
        <v>0.67751089887772764</v>
      </c>
      <c r="AN105" s="145">
        <f t="shared" si="28"/>
        <v>82.222196465743636</v>
      </c>
      <c r="AO10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Row],[Tipo]]="DROP"),AO104+TbTradesBinance[[#This Row],[Qtt]],AO104-TbTradesBinance[[#This Row],[Qtt]]),IF(TbTradesBinance[[#This Row],[Tipo]]="BUY",AO104-TbTradesBinance[[#This Row],[Qtt]]*TbTradesBinance[[#This Row],[Preço]],AO104+TbTradesBinance[[#This Row],[Qtt]]*TbTradesBinance[[#This Row],[Preço]])),AO104)-IF(TbTradesBinance[[#This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Row],[Tipo]]="DROP"),AO104+TbTradesBinance[[#This Row],[Qtt]],AO104-TbTradesBinance[[#This Row],[Qtt]]),IF(TbTradesBinance[[#This Row],[Tipo]]="BUY",AO104-TbTradesBinance[[#This Row],[Qtt]]*TbTradesBinance[[#This Row],[Preço]],AO104+TbTradesBinance[[#This Row],[Qtt]]*TbTradesBinance[[#This Row],[Preço]])),AO104)-IF(TbTradesBinance[[#This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Row],[Tipo]]="DROP"),AO104+TbTradesBinance[[#This Row],[Qtt]],AO104-TbTradesBinance[[#This Row],[Qtt]]),IF(TbTradesBinance[[#This Row],[Tipo]]="BUY",AO104-TbTradesBinance[[#This Row],[Qtt]]*TbTradesBinance[[#This Row],[Preço]],AO104+TbTradesBinance[[#This Row],[Qtt]]*TbTradesBinance[[#This Row],[Preço]])),AO104)-IF(TbTradesBinance[[#This Row],[Moeda da Taxa]]=MID(AO$1,9,5),TbTradesBinance[[#This Row],[Taxa]],0),8)))</f>
        <v>3.9907299999999996E-3</v>
      </c>
      <c r="AP105" s="145" cm="1">
        <f t="array" ref="AP105">IF(TbTradesBinance[[#This Row],[Tipo]]="EMPTY",0,AP104+IF(TbTradesBinance[[#This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Row],[Par]]))),$1:$1,0)),-(AO104-AO105)/AO104*AP104),0),0)+IF(TbTradesBinance[[#This Row],[Tipo]]="SELL",IF(ISNUMBER(FIND(MID(AP$1,10,5),TbTradesBinance[[#This Row],[Par]])),IF(FIND(MID(AP$1,10,5),TbTradesBinance[[#This Row],[Par]])=1, -(AO104-AO105)/AO104*AP104,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Row],[Par]])),(-(AO104-AO105)/AO104*AP104)+IF(TbTradesBinance[[#This Row],[Resultado]]&gt;0,0,TbTradesBinance[[#This Row],[Taxa]]),0),0))</f>
        <v>7.3360959318006032</v>
      </c>
      <c r="AQ105" s="145">
        <f t="shared" si="29"/>
        <v>1838.2842065989439</v>
      </c>
      <c r="AR10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Row],[Tipo]]="DROP"),AR104+TbTradesBinance[[#This Row],[Qtt]],AR104-TbTradesBinance[[#This Row],[Qtt]]),IF(TbTradesBinance[[#This Row],[Tipo]]="BUY",AR104-TbTradesBinance[[#This Row],[Qtt]]*TbTradesBinance[[#This Row],[Preço]],AR104+TbTradesBinance[[#This Row],[Qtt]]*TbTradesBinance[[#This Row],[Preço]])),AR104)-IF(TbTradesBinance[[#This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Row],[Tipo]]="DROP"),AR104+TbTradesBinance[[#This Row],[Qtt]],AR104-TbTradesBinance[[#This Row],[Qtt]]),IF(TbTradesBinance[[#This Row],[Tipo]]="BUY",AR104-TbTradesBinance[[#This Row],[Qtt]]*TbTradesBinance[[#This Row],[Preço]],AR104+TbTradesBinance[[#This Row],[Qtt]]*TbTradesBinance[[#This Row],[Preço]])),AR104)-IF(TbTradesBinance[[#This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Row],[Tipo]]="DROP"),AR104+TbTradesBinance[[#This Row],[Qtt]],AR104-TbTradesBinance[[#This Row],[Qtt]]),IF(TbTradesBinance[[#This Row],[Tipo]]="BUY",AR104-TbTradesBinance[[#This Row],[Qtt]]*TbTradesBinance[[#This Row],[Preço]],AR104+TbTradesBinance[[#This Row],[Qtt]]*TbTradesBinance[[#This Row],[Preço]])),AR104)-IF(TbTradesBinance[[#This Row],[Moeda da Taxa]]=MID(AR$1,9,5),TbTradesBinance[[#This Row],[Taxa]],0),8)))</f>
        <v>61.251199999999997</v>
      </c>
      <c r="AS105" s="145" cm="1">
        <f t="array" ref="AS105">IF(TbTradesBinance[[#This Row],[Tipo]]="EMPTY",0,AS104+IF(TbTradesBinance[[#This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Row],[Par]]))),$1:$1,0)),-(AR104-AR105)/AR104*AS104),0),0)+IF(TbTradesBinance[[#This Row],[Tipo]]="SELL",IF(ISNUMBER(FIND(MID(AS$1,10,5),TbTradesBinance[[#This Row],[Par]])),IF(FIND(MID(AS$1,10,5),TbTradesBinance[[#This Row],[Par]])=1, -(AR104-AR105)/AR104*AS104,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Row],[Par]])),(-(AR104-AR105)/AR104*AS104)+IF(TbTradesBinance[[#This Row],[Resultado]]&gt;0,0,TbTradesBinance[[#This Row],[Taxa]]),0),0))</f>
        <v>230.84001376053044</v>
      </c>
      <c r="AT105" s="145">
        <f t="shared" si="30"/>
        <v>3.7687427146003745</v>
      </c>
      <c r="AU10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Row],[Tipo]]="DROP"),AU104+TbTradesBinance[[#This Row],[Qtt]],AU104-TbTradesBinance[[#This Row],[Qtt]]),IF(TbTradesBinance[[#This Row],[Tipo]]="BUY",AU104-TbTradesBinance[[#This Row],[Qtt]]*TbTradesBinance[[#This Row],[Preço]],AU104+TbTradesBinance[[#This Row],[Qtt]]*TbTradesBinance[[#This Row],[Preço]])),AU104)-IF(TbTradesBinance[[#This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Row],[Tipo]]="DROP"),AU104+TbTradesBinance[[#This Row],[Qtt]],AU104-TbTradesBinance[[#This Row],[Qtt]]),IF(TbTradesBinance[[#This Row],[Tipo]]="BUY",AU104-TbTradesBinance[[#This Row],[Qtt]]*TbTradesBinance[[#This Row],[Preço]],AU104+TbTradesBinance[[#This Row],[Qtt]]*TbTradesBinance[[#This Row],[Preço]])),AU104)-IF(TbTradesBinance[[#This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Row],[Tipo]]="DROP"),AU104+TbTradesBinance[[#This Row],[Qtt]],AU104-TbTradesBinance[[#This Row],[Qtt]]),IF(TbTradesBinance[[#This Row],[Tipo]]="BUY",AU104-TbTradesBinance[[#This Row],[Qtt]]*TbTradesBinance[[#This Row],[Preço]],AU104+TbTradesBinance[[#This Row],[Qtt]]*TbTradesBinance[[#This Row],[Preço]])),AU104)-IF(TbTradesBinance[[#This Row],[Moeda da Taxa]]=MID(AU$1,9,5),TbTradesBinance[[#This Row],[Taxa]],0),8)))</f>
        <v>0</v>
      </c>
      <c r="AV105" s="145" cm="1">
        <f t="array" ref="AV105">IF(TbTradesBinance[[#This Row],[Tipo]]="EMPTY",0,AV104+IF(TbTradesBinance[[#This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Row],[Par]]))),$1:$1,0)),-(AU104-AU105)/AU104*AV104),0),0)+IF(TbTradesBinance[[#This Row],[Tipo]]="SELL",IF(ISNUMBER(FIND(MID(AV$1,10,5),TbTradesBinance[[#This Row],[Par]])),IF(FIND(MID(AV$1,10,5),TbTradesBinance[[#This Row],[Par]])=1, -(AU104-AU105)/AU104*AV104,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Row],[Par]])),(-(AU104-AU105)/AU104*AV104)+IF(TbTradesBinance[[#This Row],[Resultado]]&gt;0,0,TbTradesBinance[[#This Row],[Taxa]]),0),0))</f>
        <v>0</v>
      </c>
      <c r="AW105" s="145">
        <f t="shared" si="31"/>
        <v>0</v>
      </c>
      <c r="AX10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Row],[Tipo]]="DROP"),AX104+TbTradesBinance[[#This Row],[Qtt]],AX104-TbTradesBinance[[#This Row],[Qtt]]),IF(TbTradesBinance[[#This Row],[Tipo]]="BUY",AX104-TbTradesBinance[[#This Row],[Qtt]]*TbTradesBinance[[#This Row],[Preço]],AX104+TbTradesBinance[[#This Row],[Qtt]]*TbTradesBinance[[#This Row],[Preço]])),AX104)-IF(TbTradesBinance[[#This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Row],[Tipo]]="DROP"),AX104+TbTradesBinance[[#This Row],[Qtt]],AX104-TbTradesBinance[[#This Row],[Qtt]]),IF(TbTradesBinance[[#This Row],[Tipo]]="BUY",AX104-TbTradesBinance[[#This Row],[Qtt]]*TbTradesBinance[[#This Row],[Preço]],AX104+TbTradesBinance[[#This Row],[Qtt]]*TbTradesBinance[[#This Row],[Preço]])),AX104)-IF(TbTradesBinance[[#This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Row],[Tipo]]="DROP"),AX104+TbTradesBinance[[#This Row],[Qtt]],AX104-TbTradesBinance[[#This Row],[Qtt]]),IF(TbTradesBinance[[#This Row],[Tipo]]="BUY",AX104-TbTradesBinance[[#This Row],[Qtt]]*TbTradesBinance[[#This Row],[Preço]],AX104+TbTradesBinance[[#This Row],[Qtt]]*TbTradesBinance[[#This Row],[Preço]])),AX104)-IF(TbTradesBinance[[#This Row],[Moeda da Taxa]]=MID(AX$1,9,5),TbTradesBinance[[#This Row],[Taxa]],0),8)))</f>
        <v>0.22636999999999999</v>
      </c>
      <c r="AY105" s="145" cm="1">
        <f t="array" ref="AY105">IF(TbTradesBinance[[#This Row],[Tipo]]="EMPTY",0,AY104+IF(TbTradesBinance[[#This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Row],[Par]]))),$1:$1,0)),-(AX104-AX105)/AX104*AY104),0),0)+IF(TbTradesBinance[[#This Row],[Tipo]]="SELL",IF(ISNUMBER(FIND(MID(AY$1,10,5),TbTradesBinance[[#This Row],[Par]])),IF(FIND(MID(AY$1,10,5),TbTradesBinance[[#This Row],[Par]])=1, -(AX104-AX105)/AX104*AY104,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Row],[Par]])),(-(AX104-AX105)/AX104*AY104)+IF(TbTradesBinance[[#This Row],[Resultado]]&gt;0,0,TbTradesBinance[[#This Row],[Taxa]]),0),0))</f>
        <v>40.781337593356859</v>
      </c>
      <c r="AZ105" s="145">
        <f t="shared" si="32"/>
        <v>180.15345493376711</v>
      </c>
      <c r="BA10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Row],[Tipo]]="DROP"),BA104+TbTradesBinance[[#This Row],[Qtt]],BA104-TbTradesBinance[[#This Row],[Qtt]]),IF(TbTradesBinance[[#This Row],[Tipo]]="BUY",BA104-TbTradesBinance[[#This Row],[Qtt]]*TbTradesBinance[[#This Row],[Preço]],BA104+TbTradesBinance[[#This Row],[Qtt]]*TbTradesBinance[[#This Row],[Preço]])),BA104)-IF(TbTradesBinance[[#This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Row],[Tipo]]="DROP"),BA104+TbTradesBinance[[#This Row],[Qtt]],BA104-TbTradesBinance[[#This Row],[Qtt]]),IF(TbTradesBinance[[#This Row],[Tipo]]="BUY",BA104-TbTradesBinance[[#This Row],[Qtt]]*TbTradesBinance[[#This Row],[Preço]],BA104+TbTradesBinance[[#This Row],[Qtt]]*TbTradesBinance[[#This Row],[Preço]])),BA104)-IF(TbTradesBinance[[#This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Row],[Tipo]]="DROP"),BA104+TbTradesBinance[[#This Row],[Qtt]],BA104-TbTradesBinance[[#This Row],[Qtt]]),IF(TbTradesBinance[[#This Row],[Tipo]]="BUY",BA104-TbTradesBinance[[#This Row],[Qtt]]*TbTradesBinance[[#This Row],[Preço]],BA104+TbTradesBinance[[#This Row],[Qtt]]*TbTradesBinance[[#This Row],[Preço]])),BA104)-IF(TbTradesBinance[[#This Row],[Moeda da Taxa]]=MID(BA$1,9,5),TbTradesBinance[[#This Row],[Taxa]],0),8)))</f>
        <v>0</v>
      </c>
      <c r="BB105" s="145" cm="1">
        <f t="array" ref="BB105">IF(TbTradesBinance[[#This Row],[Tipo]]="EMPTY",0,BB104+IF(TbTradesBinance[[#This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Row],[Par]]))),$1:$1,0)),-(BA104-BA105)/BA104*BB104),0),0)+IF(TbTradesBinance[[#This Row],[Tipo]]="SELL",IF(ISNUMBER(FIND(MID(BB$1,10,5),TbTradesBinance[[#This Row],[Par]])),IF(FIND(MID(BB$1,10,5),TbTradesBinance[[#This Row],[Par]])=1, -(BA104-BA105)/BA104*BB104,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Row],[Par]])),(-(BA104-BA105)/BA104*BB104)+IF(TbTradesBinance[[#This Row],[Resultado]]&gt;0,0,TbTradesBinance[[#This Row],[Taxa]]),0),0))</f>
        <v>0</v>
      </c>
      <c r="BC105" s="145">
        <f t="shared" si="33"/>
        <v>0</v>
      </c>
      <c r="BD10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Row],[Tipo]]="DROP"),BD104+TbTradesBinance[[#This Row],[Qtt]],BD104-TbTradesBinance[[#This Row],[Qtt]]),IF(TbTradesBinance[[#This Row],[Tipo]]="BUY",BD104-TbTradesBinance[[#This Row],[Qtt]]*TbTradesBinance[[#This Row],[Preço]],BD104+TbTradesBinance[[#This Row],[Qtt]]*TbTradesBinance[[#This Row],[Preço]])),BD104)-IF(TbTradesBinance[[#This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Row],[Tipo]]="DROP"),BD104+TbTradesBinance[[#This Row],[Qtt]],BD104-TbTradesBinance[[#This Row],[Qtt]]),IF(TbTradesBinance[[#This Row],[Tipo]]="BUY",BD104-TbTradesBinance[[#This Row],[Qtt]]*TbTradesBinance[[#This Row],[Preço]],BD104+TbTradesBinance[[#This Row],[Qtt]]*TbTradesBinance[[#This Row],[Preço]])),BD104)-IF(TbTradesBinance[[#This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Row],[Tipo]]="DROP"),BD104+TbTradesBinance[[#This Row],[Qtt]],BD104-TbTradesBinance[[#This Row],[Qtt]]),IF(TbTradesBinance[[#This Row],[Tipo]]="BUY",BD104-TbTradesBinance[[#This Row],[Qtt]]*TbTradesBinance[[#This Row],[Preço]],BD104+TbTradesBinance[[#This Row],[Qtt]]*TbTradesBinance[[#This Row],[Preço]])),BD104)-IF(TbTradesBinance[[#This Row],[Moeda da Taxa]]=MID(BD$1,9,5),TbTradesBinance[[#This Row],[Taxa]],0),8)))</f>
        <v>0.56906000000000001</v>
      </c>
      <c r="BE105" s="145" cm="1">
        <f t="array" ref="BE105">IF(TbTradesBinance[[#This Row],[Tipo]]="EMPTY",0,BE104+IF(TbTradesBinance[[#This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Row],[Par]]))),$1:$1,0)),-(BD104-BD105)/BD104*BE104),0),0)+IF(TbTradesBinance[[#This Row],[Tipo]]="SELL",IF(ISNUMBER(FIND(MID(BE$1,10,5),TbTradesBinance[[#This Row],[Par]])),IF(FIND(MID(BE$1,10,5),TbTradesBinance[[#This Row],[Par]])=1, -(BD104-BD105)/BD104*BE104,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Row],[Par]])),(-(BD104-BD105)/BD104*BE104)+IF(TbTradesBinance[[#This Row],[Resultado]]&gt;0,0,TbTradesBinance[[#This Row],[Taxa]]),0),0))</f>
        <v>105.81619120195663</v>
      </c>
      <c r="BF105" s="145">
        <f t="shared" si="34"/>
        <v>185.94909359638109</v>
      </c>
      <c r="BG10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Row],[Tipo]]="DROP"),BG104+TbTradesBinance[[#This Row],[Qtt]],BG104-TbTradesBinance[[#This Row],[Qtt]]),IF(TbTradesBinance[[#This Row],[Tipo]]="BUY",BG104-TbTradesBinance[[#This Row],[Qtt]]*TbTradesBinance[[#This Row],[Preço]],BG104+TbTradesBinance[[#This Row],[Qtt]]*TbTradesBinance[[#This Row],[Preço]])),BG104)-IF(TbTradesBinance[[#This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Row],[Tipo]]="DROP"),BG104+TbTradesBinance[[#This Row],[Qtt]],BG104-TbTradesBinance[[#This Row],[Qtt]]),IF(TbTradesBinance[[#This Row],[Tipo]]="BUY",BG104-TbTradesBinance[[#This Row],[Qtt]]*TbTradesBinance[[#This Row],[Preço]],BG104+TbTradesBinance[[#This Row],[Qtt]]*TbTradesBinance[[#This Row],[Preço]])),BG104)-IF(TbTradesBinance[[#This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Row],[Tipo]]="DROP"),BG104+TbTradesBinance[[#This Row],[Qtt]],BG104-TbTradesBinance[[#This Row],[Qtt]]),IF(TbTradesBinance[[#This Row],[Tipo]]="BUY",BG104-TbTradesBinance[[#This Row],[Qtt]]*TbTradesBinance[[#This Row],[Preço]],BG104+TbTradesBinance[[#This Row],[Qtt]]*TbTradesBinance[[#This Row],[Preço]])),BG104)-IF(TbTradesBinance[[#This Row],[Moeda da Taxa]]=MID(BG$1,9,5),TbTradesBinance[[#This Row],[Taxa]],0),8)))</f>
        <v>0</v>
      </c>
      <c r="BH105" s="145" cm="1">
        <f t="array" ref="BH105">IF(TbTradesBinance[[#This Row],[Tipo]]="EMPTY",0,BH104+IF(TbTradesBinance[[#This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Row],[Par]]))),$1:$1,0)),-(BG104-BG105)/BG104*BH104),0),0)+IF(TbTradesBinance[[#This Row],[Tipo]]="SELL",IF(ISNUMBER(FIND(MID(BH$1,10,5),TbTradesBinance[[#This Row],[Par]])),IF(FIND(MID(BH$1,10,5),TbTradesBinance[[#This Row],[Par]])=1, -(BG104-BG105)/BG104*BH104,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Row],[Par]])),(-(BG104-BG105)/BG104*BH104)+IF(TbTradesBinance[[#This Row],[Resultado]]&gt;0,0,TbTradesBinance[[#This Row],[Taxa]]),0),0))</f>
        <v>0</v>
      </c>
      <c r="BI105" s="145">
        <f t="shared" si="35"/>
        <v>0</v>
      </c>
      <c r="BJ10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Row],[Tipo]]="DROP"),BJ104+TbTradesBinance[[#This Row],[Qtt]],BJ104-TbTradesBinance[[#This Row],[Qtt]]),IF(TbTradesBinance[[#This Row],[Tipo]]="BUY",BJ104-TbTradesBinance[[#This Row],[Qtt]]*TbTradesBinance[[#This Row],[Preço]],BJ104+TbTradesBinance[[#This Row],[Qtt]]*TbTradesBinance[[#This Row],[Preço]])),BJ104)-IF(TbTradesBinance[[#This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Row],[Tipo]]="DROP"),BJ104+TbTradesBinance[[#This Row],[Qtt]],BJ104-TbTradesBinance[[#This Row],[Qtt]]),IF(TbTradesBinance[[#This Row],[Tipo]]="BUY",BJ104-TbTradesBinance[[#This Row],[Qtt]]*TbTradesBinance[[#This Row],[Preço]],BJ104+TbTradesBinance[[#This Row],[Qtt]]*TbTradesBinance[[#This Row],[Preço]])),BJ104)-IF(TbTradesBinance[[#This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Row],[Tipo]]="DROP"),BJ104+TbTradesBinance[[#This Row],[Qtt]],BJ104-TbTradesBinance[[#This Row],[Qtt]]),IF(TbTradesBinance[[#This Row],[Tipo]]="BUY",BJ104-TbTradesBinance[[#This Row],[Qtt]]*TbTradesBinance[[#This Row],[Preço]],BJ104+TbTradesBinance[[#This Row],[Qtt]]*TbTradesBinance[[#This Row],[Preço]])),BJ104)-IF(TbTradesBinance[[#This Row],[Moeda da Taxa]]=MID(BJ$1,9,5),TbTradesBinance[[#This Row],[Taxa]],0),8)))</f>
        <v>0</v>
      </c>
      <c r="BK105" s="145" cm="1">
        <f t="array" ref="BK105">IF(TbTradesBinance[[#This Row],[Tipo]]="EMPTY",0,BK104+IF(TbTradesBinance[[#This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Row],[Par]]))),$1:$1,0)),-(BJ104-BJ105)/BJ104*BK104),0),0)+IF(TbTradesBinance[[#This Row],[Tipo]]="SELL",IF(ISNUMBER(FIND(MID(BK$1,10,5),TbTradesBinance[[#This Row],[Par]])),IF(FIND(MID(BK$1,10,5),TbTradesBinance[[#This Row],[Par]])=1, -(BJ104-BJ105)/BJ104*BK104,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Row],[Par]])),(-(BJ104-BJ105)/BJ104*BK104)+IF(TbTradesBinance[[#This Row],[Resultado]]&gt;0,0,TbTradesBinance[[#This Row],[Taxa]]),0),0))</f>
        <v>0</v>
      </c>
      <c r="BL105" s="145">
        <f t="shared" si="36"/>
        <v>0</v>
      </c>
      <c r="BM10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Row],[Tipo]]="DROP"),BM104+TbTradesBinance[[#This Row],[Qtt]],BM104-TbTradesBinance[[#This Row],[Qtt]]),IF(TbTradesBinance[[#This Row],[Tipo]]="BUY",BM104-TbTradesBinance[[#This Row],[Qtt]]*TbTradesBinance[[#This Row],[Preço]],BM104+TbTradesBinance[[#This Row],[Qtt]]*TbTradesBinance[[#This Row],[Preço]])),BM104)-IF(TbTradesBinance[[#This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Row],[Tipo]]="DROP"),BM104+TbTradesBinance[[#This Row],[Qtt]],BM104-TbTradesBinance[[#This Row],[Qtt]]),IF(TbTradesBinance[[#This Row],[Tipo]]="BUY",BM104-TbTradesBinance[[#This Row],[Qtt]]*TbTradesBinance[[#This Row],[Preço]],BM104+TbTradesBinance[[#This Row],[Qtt]]*TbTradesBinance[[#This Row],[Preço]])),BM104)-IF(TbTradesBinance[[#This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Row],[Tipo]]="DROP"),BM104+TbTradesBinance[[#This Row],[Qtt]],BM104-TbTradesBinance[[#This Row],[Qtt]]),IF(TbTradesBinance[[#This Row],[Tipo]]="BUY",BM104-TbTradesBinance[[#This Row],[Qtt]]*TbTradesBinance[[#This Row],[Preço]],BM104+TbTradesBinance[[#This Row],[Qtt]]*TbTradesBinance[[#This Row],[Preço]])),BM104)-IF(TbTradesBinance[[#This Row],[Moeda da Taxa]]=MID(BM$1,9,5),TbTradesBinance[[#This Row],[Taxa]],0),8)))</f>
        <v>0</v>
      </c>
      <c r="BN105" s="145" cm="1">
        <f t="array" ref="BN105">IF(TbTradesBinance[[#This Row],[Tipo]]="EMPTY",0,BN104+IF(TbTradesBinance[[#This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Row],[Par]]))),$1:$1,0)),-(BM104-BM105)/BM104*BN104),0),0)+IF(TbTradesBinance[[#This Row],[Tipo]]="SELL",IF(ISNUMBER(FIND(MID(BN$1,10,5),TbTradesBinance[[#This Row],[Par]])),IF(FIND(MID(BN$1,10,5),TbTradesBinance[[#This Row],[Par]])=1, -(BM104-BM105)/BM104*BN104,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Row],[Par]])),(-(BM104-BM105)/BM104*BN104)+IF(TbTradesBinance[[#This Row],[Resultado]]&gt;0,0,TbTradesBinance[[#This Row],[Taxa]]),0),0))</f>
        <v>0</v>
      </c>
      <c r="BO105" s="145">
        <f t="shared" si="37"/>
        <v>0</v>
      </c>
    </row>
    <row r="106" spans="2:67" x14ac:dyDescent="0.3">
      <c r="B106" s="51"/>
      <c r="C106" s="40">
        <f>TRUNC(IF(AND(TbTradesBinance[[#This Row],[Tipo]]="SEND",TbTradesBinance[[#This Row],[Par]]="BRL"),TbTradesBinance[[#This Row],[Qtt]]*(1-P104)-IF(TbTradesBinance[[#This Row],[Moeda da Taxa]]="BRL",TbTradesBinance[[#This Row],[Taxa]],0),0)+IF(AND(TbTradesBinance[[#This Row],[Tipo]]="BURN",TbTradesBinance[[#This Row],[Par]]="BRL"),-TbTradesBinance[[#This Row],[Qtt]]*P104,0),2)</f>
        <v>0</v>
      </c>
      <c r="D106" s="53">
        <v>44272.02144675926</v>
      </c>
      <c r="E106" s="37" t="s">
        <v>243</v>
      </c>
      <c r="F106" s="47" t="s">
        <v>139</v>
      </c>
      <c r="G106" s="38">
        <v>255.26439999999999</v>
      </c>
      <c r="H106" s="38">
        <v>7.0999999999999994E-2</v>
      </c>
      <c r="I106" s="38">
        <v>5.325E-5</v>
      </c>
      <c r="J106" s="37" t="s">
        <v>45</v>
      </c>
      <c r="K106" s="52">
        <v>5.5860000000000003</v>
      </c>
      <c r="L106" s="40">
        <f t="shared" si="19"/>
        <v>1425.9</v>
      </c>
      <c r="M106" s="40">
        <f>IF(OR(TbTradesBinance[[#This Row],[Tipo]]="BUY",TbTradesBinance[[#This Row],[Tipo]]="RECEIVE",TbTradesBinance[[#This Row],[Tipo]]="DROP"),L106*H106,-L106*H106)</f>
        <v>101.2389</v>
      </c>
      <c r="N10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Row],[Tipo]]="DROP"),N105+TbTradesBinance[[#This Row],[Qtt]],N105-TbTradesBinance[[#This Row],[Qtt]]),IF(TbTradesBinance[[#This Row],[Tipo]]="BUY",N105-TbTradesBinance[[#This Row],[Qtt]]*TbTradesBinance[[#This Row],[Preço]],N105+TbTradesBinance[[#This Row],[Qtt]]*TbTradesBinance[[#This Row],[Preço]])),N105)-IF(TbTradesBinance[[#This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Row],[Tipo]]="DROP"),N105+TbTradesBinance[[#This Row],[Qtt]],N105-TbTradesBinance[[#This Row],[Qtt]]),IF(TbTradesBinance[[#This Row],[Tipo]]="BUY",N105-TbTradesBinance[[#This Row],[Qtt]]*TbTradesBinance[[#This Row],[Preço]],N105+TbTradesBinance[[#This Row],[Qtt]]*TbTradesBinance[[#This Row],[Preço]])),N105)-IF(TbTradesBinance[[#This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Row],[Tipo]]="DROP"),N105+TbTradesBinance[[#This Row],[Qtt]],N105-TbTradesBinance[[#This Row],[Qtt]]),IF(TbTradesBinance[[#This Row],[Tipo]]="BUY",N105-TbTradesBinance[[#This Row],[Qtt]]*TbTradesBinance[[#This Row],[Preço]],N105+TbTradesBinance[[#This Row],[Qtt]]*TbTradesBinance[[#This Row],[Preço]])),N105)-IF(TbTradesBinance[[#This Row],[Moeda da Taxa]]=MID(N$1,9,5),TbTradesBinance[[#This Row],[Taxa]],0),8)))</f>
        <v>119745.70050707999</v>
      </c>
      <c r="O106" s="145" cm="1">
        <f t="array" ref="O106">IF(TbTradesBinance[[#This Row],[Tipo]]="EMPTY",0,O105+IF(TbTradesBinance[[#This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Row],[Par]]))),$1:$1,0)),-(N105-N106)/N105*O105),0),0)+IF(TbTradesBinance[[#This Row],[Tipo]]="SELL",IF(ISNUMBER(FIND(MID(O$1,10,5),TbTradesBinance[[#This Row],[Par]])),IF(FIND(MID(O$1,10,5),TbTradesBinance[[#This Row],[Par]])=1, -(N105-N106)/N105*O105,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Row],[Par]])),(-(N105-N106)/N105*O105)+IF(TbTradesBinance[[#This Row],[Resultado]]&gt;0,0,TbTradesBinance[[#This Row],[Taxa]]),0),0))</f>
        <v>119733.82450611531</v>
      </c>
      <c r="P106" s="145">
        <f t="shared" si="20"/>
        <v>0.99990082315344608</v>
      </c>
      <c r="Q10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Row],[Tipo]]="DROP"),Q105+TbTradesBinance[[#This Row],[Qtt]],Q105-TbTradesBinance[[#This Row],[Qtt]]),IF(TbTradesBinance[[#This Row],[Tipo]]="BUY",Q105-TbTradesBinance[[#This Row],[Qtt]]*TbTradesBinance[[#This Row],[Preço]],Q105+TbTradesBinance[[#This Row],[Qtt]]*TbTradesBinance[[#This Row],[Preço]])),Q105)-IF(TbTradesBinance[[#This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Row],[Tipo]]="DROP"),Q105+TbTradesBinance[[#This Row],[Qtt]],Q105-TbTradesBinance[[#This Row],[Qtt]]),IF(TbTradesBinance[[#This Row],[Tipo]]="BUY",Q105-TbTradesBinance[[#This Row],[Qtt]]*TbTradesBinance[[#This Row],[Preço]],Q105+TbTradesBinance[[#This Row],[Qtt]]*TbTradesBinance[[#This Row],[Preço]])),Q105)-IF(TbTradesBinance[[#This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Row],[Tipo]]="DROP"),Q105+TbTradesBinance[[#This Row],[Qtt]],Q105-TbTradesBinance[[#This Row],[Qtt]]),IF(TbTradesBinance[[#This Row],[Tipo]]="BUY",Q105-TbTradesBinance[[#This Row],[Qtt]]*TbTradesBinance[[#This Row],[Preço]],Q105+TbTradesBinance[[#This Row],[Qtt]]*TbTradesBinance[[#This Row],[Preço]])),Q105)-IF(TbTradesBinance[[#This Row],[Moeda da Taxa]]=MID(Q$1,9,5),TbTradesBinance[[#This Row],[Taxa]],0),8)))</f>
        <v>18.411091280000001</v>
      </c>
      <c r="R106" s="145" cm="1">
        <f t="array" ref="R106">IF(TbTradesBinance[[#This Row],[Tipo]]="EMPTY",0,R105+IF(TbTradesBinance[[#This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Row],[Par]]))),$1:$1,0)),-(Q105-Q106)/Q105*R105),0),0)+IF(TbTradesBinance[[#This Row],[Tipo]]="SELL",IF(ISNUMBER(FIND(MID(R$1,10,5),TbTradesBinance[[#This Row],[Par]])),IF(FIND(MID(R$1,10,5),TbTradesBinance[[#This Row],[Par]])=1, -(Q105-Q106)/Q105*R105,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Row],[Par]])),(-(Q105-Q106)/Q105*R105)+IF(TbTradesBinance[[#This Row],[Resultado]]&gt;0,0,TbTradesBinance[[#This Row],[Taxa]]),0),0))</f>
        <v>108.23058982051057</v>
      </c>
      <c r="S106" s="145">
        <f t="shared" si="21"/>
        <v>5.8785537573257072</v>
      </c>
      <c r="T10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Row],[Tipo]]="DROP"),T105+TbTradesBinance[[#This Row],[Qtt]],T105-TbTradesBinance[[#This Row],[Qtt]]),IF(TbTradesBinance[[#This Row],[Tipo]]="BUY",T105-TbTradesBinance[[#This Row],[Qtt]]*TbTradesBinance[[#This Row],[Preço]],T105+TbTradesBinance[[#This Row],[Qtt]]*TbTradesBinance[[#This Row],[Preço]])),T105)-IF(TbTradesBinance[[#This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Row],[Tipo]]="DROP"),T105+TbTradesBinance[[#This Row],[Qtt]],T105-TbTradesBinance[[#This Row],[Qtt]]),IF(TbTradesBinance[[#This Row],[Tipo]]="BUY",T105-TbTradesBinance[[#This Row],[Qtt]]*TbTradesBinance[[#This Row],[Preço]],T105+TbTradesBinance[[#This Row],[Qtt]]*TbTradesBinance[[#This Row],[Preço]])),T105)-IF(TbTradesBinance[[#This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Row],[Tipo]]="DROP"),T105+TbTradesBinance[[#This Row],[Qtt]],T105-TbTradesBinance[[#This Row],[Qtt]]),IF(TbTradesBinance[[#This Row],[Tipo]]="BUY",T105-TbTradesBinance[[#This Row],[Qtt]]*TbTradesBinance[[#This Row],[Preço]],T105+TbTradesBinance[[#This Row],[Qtt]]*TbTradesBinance[[#This Row],[Preço]])),T105)-IF(TbTradesBinance[[#This Row],[Moeda da Taxa]]=MID(T$1,9,5),TbTradesBinance[[#This Row],[Taxa]],0),8)))</f>
        <v>199735.32000169999</v>
      </c>
      <c r="U106" s="145" cm="1">
        <f t="array" ref="U106">IF(TbTradesBinance[[#This Row],[Tipo]]="EMPTY",0,U105+IF(TbTradesBinance[[#This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Row],[Par]]))),$1:$1,0)),-(T105-T106)/T105*U105),0),0)+IF(TbTradesBinance[[#This Row],[Tipo]]="SELL",IF(ISNUMBER(FIND(MID(U$1,10,5),TbTradesBinance[[#This Row],[Par]])),IF(FIND(MID(U$1,10,5),TbTradesBinance[[#This Row],[Par]])=1, -(T105-T106)/T105*U105,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Row],[Par]])),(-(T105-T106)/T105*U105)+IF(TbTradesBinance[[#This Row],[Resultado]]&gt;0,0,TbTradesBinance[[#This Row],[Taxa]]),0),0))</f>
        <v>1328239.8809817513</v>
      </c>
      <c r="V106" s="145">
        <f t="shared" si="22"/>
        <v>6.6500000148719129</v>
      </c>
      <c r="W10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Row],[Tipo]]="DROP"),W105+TbTradesBinance[[#This Row],[Qtt]],W105-TbTradesBinance[[#This Row],[Qtt]]),IF(TbTradesBinance[[#This Row],[Tipo]]="BUY",W105-TbTradesBinance[[#This Row],[Qtt]]*TbTradesBinance[[#This Row],[Preço]],W105+TbTradesBinance[[#This Row],[Qtt]]*TbTradesBinance[[#This Row],[Preço]])),W105)-IF(TbTradesBinance[[#This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Row],[Tipo]]="DROP"),W105+TbTradesBinance[[#This Row],[Qtt]],W105-TbTradesBinance[[#This Row],[Qtt]]),IF(TbTradesBinance[[#This Row],[Tipo]]="BUY",W105-TbTradesBinance[[#This Row],[Qtt]]*TbTradesBinance[[#This Row],[Preço]],W105+TbTradesBinance[[#This Row],[Qtt]]*TbTradesBinance[[#This Row],[Preço]])),W105)-IF(TbTradesBinance[[#This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Row],[Tipo]]="DROP"),W105+TbTradesBinance[[#This Row],[Qtt]],W105-TbTradesBinance[[#This Row],[Qtt]]),IF(TbTradesBinance[[#This Row],[Tipo]]="BUY",W105-TbTradesBinance[[#This Row],[Qtt]]*TbTradesBinance[[#This Row],[Preço]],W105+TbTradesBinance[[#This Row],[Qtt]]*TbTradesBinance[[#This Row],[Preço]])),W105)-IF(TbTradesBinance[[#This Row],[Moeda da Taxa]]=MID(W$1,9,5),TbTradesBinance[[#This Row],[Taxa]],0),8)))</f>
        <v>2.48036E-3</v>
      </c>
      <c r="X106" s="145" cm="1">
        <f t="array" ref="X106">IF(TbTradesBinance[[#This Row],[Tipo]]="EMPTY",0,X105+IF(TbTradesBinance[[#This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Row],[Par]]))),$1:$1,0)),-(W105-W106)/W105*X105),0),0)+IF(TbTradesBinance[[#This Row],[Tipo]]="SELL",IF(ISNUMBER(FIND(MID(X$1,10,5),TbTradesBinance[[#This Row],[Par]])),IF(FIND(MID(X$1,10,5),TbTradesBinance[[#This Row],[Par]])=1, -(W105-W106)/W105*X105,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Row],[Par]])),(-(W105-W106)/W105*X105)+IF(TbTradesBinance[[#This Row],[Resultado]]&gt;0,0,TbTradesBinance[[#This Row],[Taxa]]),0),0))</f>
        <v>832.53731315140135</v>
      </c>
      <c r="Y106" s="145">
        <f t="shared" si="23"/>
        <v>335651.8058472969</v>
      </c>
      <c r="Z10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Row],[Tipo]]="DROP"),Z105+TbTradesBinance[[#This Row],[Qtt]],Z105-TbTradesBinance[[#This Row],[Qtt]]),IF(TbTradesBinance[[#This Row],[Tipo]]="BUY",Z105-TbTradesBinance[[#This Row],[Qtt]]*TbTradesBinance[[#This Row],[Preço]],Z105+TbTradesBinance[[#This Row],[Qtt]]*TbTradesBinance[[#This Row],[Preço]])),Z105)-IF(TbTradesBinance[[#This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Row],[Tipo]]="DROP"),Z105+TbTradesBinance[[#This Row],[Qtt]],Z105-TbTradesBinance[[#This Row],[Qtt]]),IF(TbTradesBinance[[#This Row],[Tipo]]="BUY",Z105-TbTradesBinance[[#This Row],[Qtt]]*TbTradesBinance[[#This Row],[Preço]],Z105+TbTradesBinance[[#This Row],[Qtt]]*TbTradesBinance[[#This Row],[Preço]])),Z105)-IF(TbTradesBinance[[#This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Row],[Tipo]]="DROP"),Z105+TbTradesBinance[[#This Row],[Qtt]],Z105-TbTradesBinance[[#This Row],[Qtt]]),IF(TbTradesBinance[[#This Row],[Tipo]]="BUY",Z105-TbTradesBinance[[#This Row],[Qtt]]*TbTradesBinance[[#This Row],[Preço]],Z105+TbTradesBinance[[#This Row],[Qtt]]*TbTradesBinance[[#This Row],[Preço]])),Z105)-IF(TbTradesBinance[[#This Row],[Moeda da Taxa]]=MID(Z$1,9,5),TbTradesBinance[[#This Row],[Taxa]],0),8)))</f>
        <v>2.0629350000000001E-2</v>
      </c>
      <c r="AA106" s="145" cm="1">
        <f t="array" ref="AA106">IF(TbTradesBinance[[#This Row],[Tipo]]="EMPTY",0,AA105+IF(TbTradesBinance[[#This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Row],[Par]]))),$1:$1,0)),-(Z105-Z106)/Z105*AA105),0),0)+IF(TbTradesBinance[[#This Row],[Tipo]]="SELL",IF(ISNUMBER(FIND(MID(AA$1,10,5),TbTradesBinance[[#This Row],[Par]])),IF(FIND(MID(AA$1,10,5),TbTradesBinance[[#This Row],[Par]])=1, -(Z105-Z106)/Z105*AA105,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Row],[Par]])),(-(Z105-Z106)/Z105*AA105)+IF(TbTradesBinance[[#This Row],[Resultado]]&gt;0,0,TbTradesBinance[[#This Row],[Taxa]]),0),0))</f>
        <v>214.62129483695568</v>
      </c>
      <c r="AB106" s="145">
        <f t="shared" si="24"/>
        <v>10403.686729681531</v>
      </c>
      <c r="AC10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Row],[Tipo]]="DROP"),AC105+TbTradesBinance[[#This Row],[Qtt]],AC105-TbTradesBinance[[#This Row],[Qtt]]),IF(TbTradesBinance[[#This Row],[Tipo]]="BUY",AC105-TbTradesBinance[[#This Row],[Qtt]]*TbTradesBinance[[#This Row],[Preço]],AC105+TbTradesBinance[[#This Row],[Qtt]]*TbTradesBinance[[#This Row],[Preço]])),AC105)-IF(TbTradesBinance[[#This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Row],[Tipo]]="DROP"),AC105+TbTradesBinance[[#This Row],[Qtt]],AC105-TbTradesBinance[[#This Row],[Qtt]]),IF(TbTradesBinance[[#This Row],[Tipo]]="BUY",AC105-TbTradesBinance[[#This Row],[Qtt]]*TbTradesBinance[[#This Row],[Preço]],AC105+TbTradesBinance[[#This Row],[Qtt]]*TbTradesBinance[[#This Row],[Preço]])),AC105)-IF(TbTradesBinance[[#This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Row],[Tipo]]="DROP"),AC105+TbTradesBinance[[#This Row],[Qtt]],AC105-TbTradesBinance[[#This Row],[Qtt]]),IF(TbTradesBinance[[#This Row],[Tipo]]="BUY",AC105-TbTradesBinance[[#This Row],[Qtt]]*TbTradesBinance[[#This Row],[Preço]],AC105+TbTradesBinance[[#This Row],[Qtt]]*TbTradesBinance[[#This Row],[Preço]])),AC105)-IF(TbTradesBinance[[#This Row],[Moeda da Taxa]]=MID(AC$1,9,5),TbTradesBinance[[#This Row],[Taxa]],0),8)))</f>
        <v>9.6999E-4</v>
      </c>
      <c r="AD106" s="145" cm="1">
        <f t="array" ref="AD106">IF(TbTradesBinance[[#This Row],[Tipo]]="EMPTY",0,AD105+IF(TbTradesBinance[[#This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Row],[Par]]))),$1:$1,0)),-(AC105-AC106)/AC105*AD105),0),0)+IF(TbTradesBinance[[#This Row],[Tipo]]="SELL",IF(ISNUMBER(FIND(MID(AD$1,10,5),TbTradesBinance[[#This Row],[Par]])),IF(FIND(MID(AD$1,10,5),TbTradesBinance[[#This Row],[Par]])=1, -(AC105-AC106)/AC105*AD105,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Row],[Par]])),(-(AC105-AC106)/AC105*AD105)+IF(TbTradesBinance[[#This Row],[Resultado]]&gt;0,0,TbTradesBinance[[#This Row],[Taxa]]),0),0))</f>
        <v>1.9483868939812083</v>
      </c>
      <c r="AE106" s="145">
        <f t="shared" si="25"/>
        <v>2008.6669903619711</v>
      </c>
      <c r="AF10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Row],[Tipo]]="DROP"),AF105+TbTradesBinance[[#This Row],[Qtt]],AF105-TbTradesBinance[[#This Row],[Qtt]]),IF(TbTradesBinance[[#This Row],[Tipo]]="BUY",AF105-TbTradesBinance[[#This Row],[Qtt]]*TbTradesBinance[[#This Row],[Preço]],AF105+TbTradesBinance[[#This Row],[Qtt]]*TbTradesBinance[[#This Row],[Preço]])),AF105)-IF(TbTradesBinance[[#This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Row],[Tipo]]="DROP"),AF105+TbTradesBinance[[#This Row],[Qtt]],AF105-TbTradesBinance[[#This Row],[Qtt]]),IF(TbTradesBinance[[#This Row],[Tipo]]="BUY",AF105-TbTradesBinance[[#This Row],[Qtt]]*TbTradesBinance[[#This Row],[Preço]],AF105+TbTradesBinance[[#This Row],[Qtt]]*TbTradesBinance[[#This Row],[Preço]])),AF105)-IF(TbTradesBinance[[#This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Row],[Tipo]]="DROP"),AF105+TbTradesBinance[[#This Row],[Qtt]],AF105-TbTradesBinance[[#This Row],[Qtt]]),IF(TbTradesBinance[[#This Row],[Tipo]]="BUY",AF105-TbTradesBinance[[#This Row],[Qtt]]*TbTradesBinance[[#This Row],[Preço]],AF105+TbTradesBinance[[#This Row],[Qtt]]*TbTradesBinance[[#This Row],[Preço]])),AF105)-IF(TbTradesBinance[[#This Row],[Moeda da Taxa]]=MID(AF$1,9,5),TbTradesBinance[[#This Row],[Taxa]],0),8)))</f>
        <v>19.98</v>
      </c>
      <c r="AG106" s="145" cm="1">
        <f t="array" ref="AG106">IF(TbTradesBinance[[#This Row],[Tipo]]="EMPTY",0,AG105+IF(TbTradesBinance[[#This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Row],[Par]]))),$1:$1,0)),-(AF105-AF106)/AF105*AG105),0),0)+IF(TbTradesBinance[[#This Row],[Tipo]]="SELL",IF(ISNUMBER(FIND(MID(AG$1,10,5),TbTradesBinance[[#This Row],[Par]])),IF(FIND(MID(AG$1,10,5),TbTradesBinance[[#This Row],[Par]])=1, -(AF105-AF106)/AF105*AG105,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Row],[Par]])),(-(AF105-AF106)/AF105*AG105)+IF(TbTradesBinance[[#This Row],[Resultado]]&gt;0,0,TbTradesBinance[[#This Row],[Taxa]]),0),0))</f>
        <v>124.04182758073662</v>
      </c>
      <c r="AH106" s="145">
        <f t="shared" si="26"/>
        <v>6.2082996787155462</v>
      </c>
      <c r="AI10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Row],[Tipo]]="DROP"),AI105+TbTradesBinance[[#This Row],[Qtt]],AI105-TbTradesBinance[[#This Row],[Qtt]]),IF(TbTradesBinance[[#This Row],[Tipo]]="BUY",AI105-TbTradesBinance[[#This Row],[Qtt]]*TbTradesBinance[[#This Row],[Preço]],AI105+TbTradesBinance[[#This Row],[Qtt]]*TbTradesBinance[[#This Row],[Preço]])),AI105)-IF(TbTradesBinance[[#This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Row],[Tipo]]="DROP"),AI105+TbTradesBinance[[#This Row],[Qtt]],AI105-TbTradesBinance[[#This Row],[Qtt]]),IF(TbTradesBinance[[#This Row],[Tipo]]="BUY",AI105-TbTradesBinance[[#This Row],[Qtt]]*TbTradesBinance[[#This Row],[Preço]],AI105+TbTradesBinance[[#This Row],[Qtt]]*TbTradesBinance[[#This Row],[Preço]])),AI105)-IF(TbTradesBinance[[#This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Row],[Tipo]]="DROP"),AI105+TbTradesBinance[[#This Row],[Qtt]],AI105-TbTradesBinance[[#This Row],[Qtt]]),IF(TbTradesBinance[[#This Row],[Tipo]]="BUY",AI105-TbTradesBinance[[#This Row],[Qtt]]*TbTradesBinance[[#This Row],[Preço]],AI105+TbTradesBinance[[#This Row],[Qtt]]*TbTradesBinance[[#This Row],[Preço]])),AI105)-IF(TbTradesBinance[[#This Row],[Moeda da Taxa]]=MID(AI$1,9,5),TbTradesBinance[[#This Row],[Taxa]],0),8)))</f>
        <v>0</v>
      </c>
      <c r="AJ106" s="145" cm="1">
        <f t="array" ref="AJ106">IF(TbTradesBinance[[#This Row],[Tipo]]="EMPTY",0,AJ105+IF(TbTradesBinance[[#This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Row],[Par]]))),$1:$1,0)),-(AI105-AI106)/AI105*AJ105),0),0)+IF(TbTradesBinance[[#This Row],[Tipo]]="SELL",IF(ISNUMBER(FIND(MID(AJ$1,10,5),TbTradesBinance[[#This Row],[Par]])),IF(FIND(MID(AJ$1,10,5),TbTradesBinance[[#This Row],[Par]])=1, -(AI105-AI106)/AI105*AJ105,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Row],[Par]])),(-(AI105-AI106)/AI105*AJ105)+IF(TbTradesBinance[[#This Row],[Resultado]]&gt;0,0,TbTradesBinance[[#This Row],[Taxa]]),0),0))</f>
        <v>0</v>
      </c>
      <c r="AK106" s="145">
        <f t="shared" si="27"/>
        <v>0</v>
      </c>
      <c r="AL10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Row],[Tipo]]="DROP"),AL105+TbTradesBinance[[#This Row],[Qtt]],AL105-TbTradesBinance[[#This Row],[Qtt]]),IF(TbTradesBinance[[#This Row],[Tipo]]="BUY",AL105-TbTradesBinance[[#This Row],[Qtt]]*TbTradesBinance[[#This Row],[Preço]],AL105+TbTradesBinance[[#This Row],[Qtt]]*TbTradesBinance[[#This Row],[Preço]])),AL105)-IF(TbTradesBinance[[#This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Row],[Tipo]]="DROP"),AL105+TbTradesBinance[[#This Row],[Qtt]],AL105-TbTradesBinance[[#This Row],[Qtt]]),IF(TbTradesBinance[[#This Row],[Tipo]]="BUY",AL105-TbTradesBinance[[#This Row],[Qtt]]*TbTradesBinance[[#This Row],[Preço]],AL105+TbTradesBinance[[#This Row],[Qtt]]*TbTradesBinance[[#This Row],[Preço]])),AL105)-IF(TbTradesBinance[[#This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Row],[Tipo]]="DROP"),AL105+TbTradesBinance[[#This Row],[Qtt]],AL105-TbTradesBinance[[#This Row],[Qtt]]),IF(TbTradesBinance[[#This Row],[Tipo]]="BUY",AL105-TbTradesBinance[[#This Row],[Qtt]]*TbTradesBinance[[#This Row],[Preço]],AL105+TbTradesBinance[[#This Row],[Qtt]]*TbTradesBinance[[#This Row],[Preço]])),AL105)-IF(TbTradesBinance[[#This Row],[Moeda da Taxa]]=MID(AL$1,9,5),TbTradesBinance[[#This Row],[Taxa]],0),8)))</f>
        <v>8.2400000000000008E-3</v>
      </c>
      <c r="AM106" s="145" cm="1">
        <f t="array" ref="AM106">IF(TbTradesBinance[[#This Row],[Tipo]]="EMPTY",0,AM105+IF(TbTradesBinance[[#This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Row],[Par]]))),$1:$1,0)),-(AL105-AL106)/AL105*AM105),0),0)+IF(TbTradesBinance[[#This Row],[Tipo]]="SELL",IF(ISNUMBER(FIND(MID(AM$1,10,5),TbTradesBinance[[#This Row],[Par]])),IF(FIND(MID(AM$1,10,5),TbTradesBinance[[#This Row],[Par]])=1, -(AL105-AL106)/AL105*AM105,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Row],[Par]])),(-(AL105-AL106)/AL105*AM105)+IF(TbTradesBinance[[#This Row],[Resultado]]&gt;0,0,TbTradesBinance[[#This Row],[Taxa]]),0),0))</f>
        <v>0.67751089887772764</v>
      </c>
      <c r="AN106" s="145">
        <f t="shared" si="28"/>
        <v>82.222196465743636</v>
      </c>
      <c r="AO10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Row],[Tipo]]="DROP"),AO105+TbTradesBinance[[#This Row],[Qtt]],AO105-TbTradesBinance[[#This Row],[Qtt]]),IF(TbTradesBinance[[#This Row],[Tipo]]="BUY",AO105-TbTradesBinance[[#This Row],[Qtt]]*TbTradesBinance[[#This Row],[Preço]],AO105+TbTradesBinance[[#This Row],[Qtt]]*TbTradesBinance[[#This Row],[Preço]])),AO105)-IF(TbTradesBinance[[#This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Row],[Tipo]]="DROP"),AO105+TbTradesBinance[[#This Row],[Qtt]],AO105-TbTradesBinance[[#This Row],[Qtt]]),IF(TbTradesBinance[[#This Row],[Tipo]]="BUY",AO105-TbTradesBinance[[#This Row],[Qtt]]*TbTradesBinance[[#This Row],[Preço]],AO105+TbTradesBinance[[#This Row],[Qtt]]*TbTradesBinance[[#This Row],[Preço]])),AO105)-IF(TbTradesBinance[[#This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Row],[Tipo]]="DROP"),AO105+TbTradesBinance[[#This Row],[Qtt]],AO105-TbTradesBinance[[#This Row],[Qtt]]),IF(TbTradesBinance[[#This Row],[Tipo]]="BUY",AO105-TbTradesBinance[[#This Row],[Qtt]]*TbTradesBinance[[#This Row],[Preço]],AO105+TbTradesBinance[[#This Row],[Qtt]]*TbTradesBinance[[#This Row],[Preço]])),AO105)-IF(TbTradesBinance[[#This Row],[Moeda da Taxa]]=MID(AO$1,9,5),TbTradesBinance[[#This Row],[Taxa]],0),8)))</f>
        <v>7.4937480000000001E-2</v>
      </c>
      <c r="AP106" s="145" cm="1">
        <f t="array" ref="AP106">IF(TbTradesBinance[[#This Row],[Tipo]]="EMPTY",0,AP105+IF(TbTradesBinance[[#This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Row],[Par]]))),$1:$1,0)),-(AO105-AO106)/AO105*AP105),0),0)+IF(TbTradesBinance[[#This Row],[Tipo]]="SELL",IF(ISNUMBER(FIND(MID(AP$1,10,5),TbTradesBinance[[#This Row],[Par]])),IF(FIND(MID(AP$1,10,5),TbTradesBinance[[#This Row],[Par]])=1, -(AO105-AO106)/AO105*AP105,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Row],[Par]])),(-(AO105-AO106)/AO105*AP105)+IF(TbTradesBinance[[#This Row],[Resultado]]&gt;0,0,TbTradesBinance[[#This Row],[Taxa]]),0),0))</f>
        <v>113.87766627073657</v>
      </c>
      <c r="AQ106" s="145">
        <f t="shared" si="29"/>
        <v>1519.6356518892358</v>
      </c>
      <c r="AR10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Row],[Tipo]]="DROP"),AR105+TbTradesBinance[[#This Row],[Qtt]],AR105-TbTradesBinance[[#This Row],[Qtt]]),IF(TbTradesBinance[[#This Row],[Tipo]]="BUY",AR105-TbTradesBinance[[#This Row],[Qtt]]*TbTradesBinance[[#This Row],[Preço]],AR105+TbTradesBinance[[#This Row],[Qtt]]*TbTradesBinance[[#This Row],[Preço]])),AR105)-IF(TbTradesBinance[[#This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Row],[Tipo]]="DROP"),AR105+TbTradesBinance[[#This Row],[Qtt]],AR105-TbTradesBinance[[#This Row],[Qtt]]),IF(TbTradesBinance[[#This Row],[Tipo]]="BUY",AR105-TbTradesBinance[[#This Row],[Qtt]]*TbTradesBinance[[#This Row],[Preço]],AR105+TbTradesBinance[[#This Row],[Qtt]]*TbTradesBinance[[#This Row],[Preço]])),AR105)-IF(TbTradesBinance[[#This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Row],[Tipo]]="DROP"),AR105+TbTradesBinance[[#This Row],[Qtt]],AR105-TbTradesBinance[[#This Row],[Qtt]]),IF(TbTradesBinance[[#This Row],[Tipo]]="BUY",AR105-TbTradesBinance[[#This Row],[Qtt]]*TbTradesBinance[[#This Row],[Preço]],AR105+TbTradesBinance[[#This Row],[Qtt]]*TbTradesBinance[[#This Row],[Preço]])),AR105)-IF(TbTradesBinance[[#This Row],[Moeda da Taxa]]=MID(AR$1,9,5),TbTradesBinance[[#This Row],[Taxa]],0),8)))</f>
        <v>61.251199999999997</v>
      </c>
      <c r="AS106" s="145" cm="1">
        <f t="array" ref="AS106">IF(TbTradesBinance[[#This Row],[Tipo]]="EMPTY",0,AS105+IF(TbTradesBinance[[#This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Row],[Par]]))),$1:$1,0)),-(AR105-AR106)/AR105*AS105),0),0)+IF(TbTradesBinance[[#This Row],[Tipo]]="SELL",IF(ISNUMBER(FIND(MID(AS$1,10,5),TbTradesBinance[[#This Row],[Par]])),IF(FIND(MID(AS$1,10,5),TbTradesBinance[[#This Row],[Par]])=1, -(AR105-AR106)/AR105*AS105,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Row],[Par]])),(-(AR105-AR106)/AR105*AS105)+IF(TbTradesBinance[[#This Row],[Resultado]]&gt;0,0,TbTradesBinance[[#This Row],[Taxa]]),0),0))</f>
        <v>230.84001376053044</v>
      </c>
      <c r="AT106" s="145">
        <f t="shared" si="30"/>
        <v>3.7687427146003745</v>
      </c>
      <c r="AU10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Row],[Tipo]]="DROP"),AU105+TbTradesBinance[[#This Row],[Qtt]],AU105-TbTradesBinance[[#This Row],[Qtt]]),IF(TbTradesBinance[[#This Row],[Tipo]]="BUY",AU105-TbTradesBinance[[#This Row],[Qtt]]*TbTradesBinance[[#This Row],[Preço]],AU105+TbTradesBinance[[#This Row],[Qtt]]*TbTradesBinance[[#This Row],[Preço]])),AU105)-IF(TbTradesBinance[[#This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Row],[Tipo]]="DROP"),AU105+TbTradesBinance[[#This Row],[Qtt]],AU105-TbTradesBinance[[#This Row],[Qtt]]),IF(TbTradesBinance[[#This Row],[Tipo]]="BUY",AU105-TbTradesBinance[[#This Row],[Qtt]]*TbTradesBinance[[#This Row],[Preço]],AU105+TbTradesBinance[[#This Row],[Qtt]]*TbTradesBinance[[#This Row],[Preço]])),AU105)-IF(TbTradesBinance[[#This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Row],[Tipo]]="DROP"),AU105+TbTradesBinance[[#This Row],[Qtt]],AU105-TbTradesBinance[[#This Row],[Qtt]]),IF(TbTradesBinance[[#This Row],[Tipo]]="BUY",AU105-TbTradesBinance[[#This Row],[Qtt]]*TbTradesBinance[[#This Row],[Preço]],AU105+TbTradesBinance[[#This Row],[Qtt]]*TbTradesBinance[[#This Row],[Preço]])),AU105)-IF(TbTradesBinance[[#This Row],[Moeda da Taxa]]=MID(AU$1,9,5),TbTradesBinance[[#This Row],[Taxa]],0),8)))</f>
        <v>0</v>
      </c>
      <c r="AV106" s="145" cm="1">
        <f t="array" ref="AV106">IF(TbTradesBinance[[#This Row],[Tipo]]="EMPTY",0,AV105+IF(TbTradesBinance[[#This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Row],[Par]]))),$1:$1,0)),-(AU105-AU106)/AU105*AV105),0),0)+IF(TbTradesBinance[[#This Row],[Tipo]]="SELL",IF(ISNUMBER(FIND(MID(AV$1,10,5),TbTradesBinance[[#This Row],[Par]])),IF(FIND(MID(AV$1,10,5),TbTradesBinance[[#This Row],[Par]])=1, -(AU105-AU106)/AU105*AV105,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Row],[Par]])),(-(AU105-AU106)/AU105*AV105)+IF(TbTradesBinance[[#This Row],[Resultado]]&gt;0,0,TbTradesBinance[[#This Row],[Taxa]]),0),0))</f>
        <v>0</v>
      </c>
      <c r="AW106" s="145">
        <f t="shared" si="31"/>
        <v>0</v>
      </c>
      <c r="AX10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Row],[Tipo]]="DROP"),AX105+TbTradesBinance[[#This Row],[Qtt]],AX105-TbTradesBinance[[#This Row],[Qtt]]),IF(TbTradesBinance[[#This Row],[Tipo]]="BUY",AX105-TbTradesBinance[[#This Row],[Qtt]]*TbTradesBinance[[#This Row],[Preço]],AX105+TbTradesBinance[[#This Row],[Qtt]]*TbTradesBinance[[#This Row],[Preço]])),AX105)-IF(TbTradesBinance[[#This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Row],[Tipo]]="DROP"),AX105+TbTradesBinance[[#This Row],[Qtt]],AX105-TbTradesBinance[[#This Row],[Qtt]]),IF(TbTradesBinance[[#This Row],[Tipo]]="BUY",AX105-TbTradesBinance[[#This Row],[Qtt]]*TbTradesBinance[[#This Row],[Preço]],AX105+TbTradesBinance[[#This Row],[Qtt]]*TbTradesBinance[[#This Row],[Preço]])),AX105)-IF(TbTradesBinance[[#This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Row],[Tipo]]="DROP"),AX105+TbTradesBinance[[#This Row],[Qtt]],AX105-TbTradesBinance[[#This Row],[Qtt]]),IF(TbTradesBinance[[#This Row],[Tipo]]="BUY",AX105-TbTradesBinance[[#This Row],[Qtt]]*TbTradesBinance[[#This Row],[Preço]],AX105+TbTradesBinance[[#This Row],[Qtt]]*TbTradesBinance[[#This Row],[Preço]])),AX105)-IF(TbTradesBinance[[#This Row],[Moeda da Taxa]]=MID(AX$1,9,5),TbTradesBinance[[#This Row],[Taxa]],0),8)))</f>
        <v>0.22636999999999999</v>
      </c>
      <c r="AY106" s="145" cm="1">
        <f t="array" ref="AY106">IF(TbTradesBinance[[#This Row],[Tipo]]="EMPTY",0,AY105+IF(TbTradesBinance[[#This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Row],[Par]]))),$1:$1,0)),-(AX105-AX106)/AX105*AY105),0),0)+IF(TbTradesBinance[[#This Row],[Tipo]]="SELL",IF(ISNUMBER(FIND(MID(AY$1,10,5),TbTradesBinance[[#This Row],[Par]])),IF(FIND(MID(AY$1,10,5),TbTradesBinance[[#This Row],[Par]])=1, -(AX105-AX106)/AX105*AY105,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Row],[Par]])),(-(AX105-AX106)/AX105*AY105)+IF(TbTradesBinance[[#This Row],[Resultado]]&gt;0,0,TbTradesBinance[[#This Row],[Taxa]]),0),0))</f>
        <v>40.781337593356859</v>
      </c>
      <c r="AZ106" s="145">
        <f t="shared" si="32"/>
        <v>180.15345493376711</v>
      </c>
      <c r="BA10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Row],[Tipo]]="DROP"),BA105+TbTradesBinance[[#This Row],[Qtt]],BA105-TbTradesBinance[[#This Row],[Qtt]]),IF(TbTradesBinance[[#This Row],[Tipo]]="BUY",BA105-TbTradesBinance[[#This Row],[Qtt]]*TbTradesBinance[[#This Row],[Preço]],BA105+TbTradesBinance[[#This Row],[Qtt]]*TbTradesBinance[[#This Row],[Preço]])),BA105)-IF(TbTradesBinance[[#This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Row],[Tipo]]="DROP"),BA105+TbTradesBinance[[#This Row],[Qtt]],BA105-TbTradesBinance[[#This Row],[Qtt]]),IF(TbTradesBinance[[#This Row],[Tipo]]="BUY",BA105-TbTradesBinance[[#This Row],[Qtt]]*TbTradesBinance[[#This Row],[Preço]],BA105+TbTradesBinance[[#This Row],[Qtt]]*TbTradesBinance[[#This Row],[Preço]])),BA105)-IF(TbTradesBinance[[#This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Row],[Tipo]]="DROP"),BA105+TbTradesBinance[[#This Row],[Qtt]],BA105-TbTradesBinance[[#This Row],[Qtt]]),IF(TbTradesBinance[[#This Row],[Tipo]]="BUY",BA105-TbTradesBinance[[#This Row],[Qtt]]*TbTradesBinance[[#This Row],[Preço]],BA105+TbTradesBinance[[#This Row],[Qtt]]*TbTradesBinance[[#This Row],[Preço]])),BA105)-IF(TbTradesBinance[[#This Row],[Moeda da Taxa]]=MID(BA$1,9,5),TbTradesBinance[[#This Row],[Taxa]],0),8)))</f>
        <v>0</v>
      </c>
      <c r="BB106" s="145" cm="1">
        <f t="array" ref="BB106">IF(TbTradesBinance[[#This Row],[Tipo]]="EMPTY",0,BB105+IF(TbTradesBinance[[#This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Row],[Par]]))),$1:$1,0)),-(BA105-BA106)/BA105*BB105),0),0)+IF(TbTradesBinance[[#This Row],[Tipo]]="SELL",IF(ISNUMBER(FIND(MID(BB$1,10,5),TbTradesBinance[[#This Row],[Par]])),IF(FIND(MID(BB$1,10,5),TbTradesBinance[[#This Row],[Par]])=1, -(BA105-BA106)/BA105*BB105,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Row],[Par]])),(-(BA105-BA106)/BA105*BB105)+IF(TbTradesBinance[[#This Row],[Resultado]]&gt;0,0,TbTradesBinance[[#This Row],[Taxa]]),0),0))</f>
        <v>0</v>
      </c>
      <c r="BC106" s="145">
        <f t="shared" si="33"/>
        <v>0</v>
      </c>
      <c r="BD10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Row],[Tipo]]="DROP"),BD105+TbTradesBinance[[#This Row],[Qtt]],BD105-TbTradesBinance[[#This Row],[Qtt]]),IF(TbTradesBinance[[#This Row],[Tipo]]="BUY",BD105-TbTradesBinance[[#This Row],[Qtt]]*TbTradesBinance[[#This Row],[Preço]],BD105+TbTradesBinance[[#This Row],[Qtt]]*TbTradesBinance[[#This Row],[Preço]])),BD105)-IF(TbTradesBinance[[#This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Row],[Tipo]]="DROP"),BD105+TbTradesBinance[[#This Row],[Qtt]],BD105-TbTradesBinance[[#This Row],[Qtt]]),IF(TbTradesBinance[[#This Row],[Tipo]]="BUY",BD105-TbTradesBinance[[#This Row],[Qtt]]*TbTradesBinance[[#This Row],[Preço]],BD105+TbTradesBinance[[#This Row],[Qtt]]*TbTradesBinance[[#This Row],[Preço]])),BD105)-IF(TbTradesBinance[[#This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Row],[Tipo]]="DROP"),BD105+TbTradesBinance[[#This Row],[Qtt]],BD105-TbTradesBinance[[#This Row],[Qtt]]),IF(TbTradesBinance[[#This Row],[Tipo]]="BUY",BD105-TbTradesBinance[[#This Row],[Qtt]]*TbTradesBinance[[#This Row],[Preço]],BD105+TbTradesBinance[[#This Row],[Qtt]]*TbTradesBinance[[#This Row],[Preço]])),BD105)-IF(TbTradesBinance[[#This Row],[Moeda da Taxa]]=MID(BD$1,9,5),TbTradesBinance[[#This Row],[Taxa]],0),8)))</f>
        <v>0.56906000000000001</v>
      </c>
      <c r="BE106" s="145" cm="1">
        <f t="array" ref="BE106">IF(TbTradesBinance[[#This Row],[Tipo]]="EMPTY",0,BE105+IF(TbTradesBinance[[#This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Row],[Par]]))),$1:$1,0)),-(BD105-BD106)/BD105*BE105),0),0)+IF(TbTradesBinance[[#This Row],[Tipo]]="SELL",IF(ISNUMBER(FIND(MID(BE$1,10,5),TbTradesBinance[[#This Row],[Par]])),IF(FIND(MID(BE$1,10,5),TbTradesBinance[[#This Row],[Par]])=1, -(BD105-BD106)/BD105*BE105,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Row],[Par]])),(-(BD105-BD106)/BD105*BE105)+IF(TbTradesBinance[[#This Row],[Resultado]]&gt;0,0,TbTradesBinance[[#This Row],[Taxa]]),0),0))</f>
        <v>105.81619120195663</v>
      </c>
      <c r="BF106" s="145">
        <f t="shared" si="34"/>
        <v>185.94909359638109</v>
      </c>
      <c r="BG10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Row],[Tipo]]="DROP"),BG105+TbTradesBinance[[#This Row],[Qtt]],BG105-TbTradesBinance[[#This Row],[Qtt]]),IF(TbTradesBinance[[#This Row],[Tipo]]="BUY",BG105-TbTradesBinance[[#This Row],[Qtt]]*TbTradesBinance[[#This Row],[Preço]],BG105+TbTradesBinance[[#This Row],[Qtt]]*TbTradesBinance[[#This Row],[Preço]])),BG105)-IF(TbTradesBinance[[#This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Row],[Tipo]]="DROP"),BG105+TbTradesBinance[[#This Row],[Qtt]],BG105-TbTradesBinance[[#This Row],[Qtt]]),IF(TbTradesBinance[[#This Row],[Tipo]]="BUY",BG105-TbTradesBinance[[#This Row],[Qtt]]*TbTradesBinance[[#This Row],[Preço]],BG105+TbTradesBinance[[#This Row],[Qtt]]*TbTradesBinance[[#This Row],[Preço]])),BG105)-IF(TbTradesBinance[[#This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Row],[Tipo]]="DROP"),BG105+TbTradesBinance[[#This Row],[Qtt]],BG105-TbTradesBinance[[#This Row],[Qtt]]),IF(TbTradesBinance[[#This Row],[Tipo]]="BUY",BG105-TbTradesBinance[[#This Row],[Qtt]]*TbTradesBinance[[#This Row],[Preço]],BG105+TbTradesBinance[[#This Row],[Qtt]]*TbTradesBinance[[#This Row],[Preço]])),BG105)-IF(TbTradesBinance[[#This Row],[Moeda da Taxa]]=MID(BG$1,9,5),TbTradesBinance[[#This Row],[Taxa]],0),8)))</f>
        <v>0</v>
      </c>
      <c r="BH106" s="145" cm="1">
        <f t="array" ref="BH106">IF(TbTradesBinance[[#This Row],[Tipo]]="EMPTY",0,BH105+IF(TbTradesBinance[[#This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Row],[Par]]))),$1:$1,0)),-(BG105-BG106)/BG105*BH105),0),0)+IF(TbTradesBinance[[#This Row],[Tipo]]="SELL",IF(ISNUMBER(FIND(MID(BH$1,10,5),TbTradesBinance[[#This Row],[Par]])),IF(FIND(MID(BH$1,10,5),TbTradesBinance[[#This Row],[Par]])=1, -(BG105-BG106)/BG105*BH105,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Row],[Par]])),(-(BG105-BG106)/BG105*BH105)+IF(TbTradesBinance[[#This Row],[Resultado]]&gt;0,0,TbTradesBinance[[#This Row],[Taxa]]),0),0))</f>
        <v>0</v>
      </c>
      <c r="BI106" s="145">
        <f t="shared" si="35"/>
        <v>0</v>
      </c>
      <c r="BJ10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Row],[Tipo]]="DROP"),BJ105+TbTradesBinance[[#This Row],[Qtt]],BJ105-TbTradesBinance[[#This Row],[Qtt]]),IF(TbTradesBinance[[#This Row],[Tipo]]="BUY",BJ105-TbTradesBinance[[#This Row],[Qtt]]*TbTradesBinance[[#This Row],[Preço]],BJ105+TbTradesBinance[[#This Row],[Qtt]]*TbTradesBinance[[#This Row],[Preço]])),BJ105)-IF(TbTradesBinance[[#This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Row],[Tipo]]="DROP"),BJ105+TbTradesBinance[[#This Row],[Qtt]],BJ105-TbTradesBinance[[#This Row],[Qtt]]),IF(TbTradesBinance[[#This Row],[Tipo]]="BUY",BJ105-TbTradesBinance[[#This Row],[Qtt]]*TbTradesBinance[[#This Row],[Preço]],BJ105+TbTradesBinance[[#This Row],[Qtt]]*TbTradesBinance[[#This Row],[Preço]])),BJ105)-IF(TbTradesBinance[[#This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Row],[Tipo]]="DROP"),BJ105+TbTradesBinance[[#This Row],[Qtt]],BJ105-TbTradesBinance[[#This Row],[Qtt]]),IF(TbTradesBinance[[#This Row],[Tipo]]="BUY",BJ105-TbTradesBinance[[#This Row],[Qtt]]*TbTradesBinance[[#This Row],[Preço]],BJ105+TbTradesBinance[[#This Row],[Qtt]]*TbTradesBinance[[#This Row],[Preço]])),BJ105)-IF(TbTradesBinance[[#This Row],[Moeda da Taxa]]=MID(BJ$1,9,5),TbTradesBinance[[#This Row],[Taxa]],0),8)))</f>
        <v>0</v>
      </c>
      <c r="BK106" s="145" cm="1">
        <f t="array" ref="BK106">IF(TbTradesBinance[[#This Row],[Tipo]]="EMPTY",0,BK105+IF(TbTradesBinance[[#This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Row],[Par]]))),$1:$1,0)),-(BJ105-BJ106)/BJ105*BK105),0),0)+IF(TbTradesBinance[[#This Row],[Tipo]]="SELL",IF(ISNUMBER(FIND(MID(BK$1,10,5),TbTradesBinance[[#This Row],[Par]])),IF(FIND(MID(BK$1,10,5),TbTradesBinance[[#This Row],[Par]])=1, -(BJ105-BJ106)/BJ105*BK105,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Row],[Par]])),(-(BJ105-BJ106)/BJ105*BK105)+IF(TbTradesBinance[[#This Row],[Resultado]]&gt;0,0,TbTradesBinance[[#This Row],[Taxa]]),0),0))</f>
        <v>0</v>
      </c>
      <c r="BL106" s="145">
        <f t="shared" si="36"/>
        <v>0</v>
      </c>
      <c r="BM10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Row],[Tipo]]="DROP"),BM105+TbTradesBinance[[#This Row],[Qtt]],BM105-TbTradesBinance[[#This Row],[Qtt]]),IF(TbTradesBinance[[#This Row],[Tipo]]="BUY",BM105-TbTradesBinance[[#This Row],[Qtt]]*TbTradesBinance[[#This Row],[Preço]],BM105+TbTradesBinance[[#This Row],[Qtt]]*TbTradesBinance[[#This Row],[Preço]])),BM105)-IF(TbTradesBinance[[#This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Row],[Tipo]]="DROP"),BM105+TbTradesBinance[[#This Row],[Qtt]],BM105-TbTradesBinance[[#This Row],[Qtt]]),IF(TbTradesBinance[[#This Row],[Tipo]]="BUY",BM105-TbTradesBinance[[#This Row],[Qtt]]*TbTradesBinance[[#This Row],[Preço]],BM105+TbTradesBinance[[#This Row],[Qtt]]*TbTradesBinance[[#This Row],[Preço]])),BM105)-IF(TbTradesBinance[[#This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Row],[Tipo]]="DROP"),BM105+TbTradesBinance[[#This Row],[Qtt]],BM105-TbTradesBinance[[#This Row],[Qtt]]),IF(TbTradesBinance[[#This Row],[Tipo]]="BUY",BM105-TbTradesBinance[[#This Row],[Qtt]]*TbTradesBinance[[#This Row],[Preço]],BM105+TbTradesBinance[[#This Row],[Qtt]]*TbTradesBinance[[#This Row],[Preço]])),BM105)-IF(TbTradesBinance[[#This Row],[Moeda da Taxa]]=MID(BM$1,9,5),TbTradesBinance[[#This Row],[Taxa]],0),8)))</f>
        <v>0</v>
      </c>
      <c r="BN106" s="145" cm="1">
        <f t="array" ref="BN106">IF(TbTradesBinance[[#This Row],[Tipo]]="EMPTY",0,BN105+IF(TbTradesBinance[[#This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Row],[Par]]))),$1:$1,0)),-(BM105-BM106)/BM105*BN105),0),0)+IF(TbTradesBinance[[#This Row],[Tipo]]="SELL",IF(ISNUMBER(FIND(MID(BN$1,10,5),TbTradesBinance[[#This Row],[Par]])),IF(FIND(MID(BN$1,10,5),TbTradesBinance[[#This Row],[Par]])=1, -(BM105-BM106)/BM105*BN105,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Row],[Par]])),(-(BM105-BM106)/BM105*BN105)+IF(TbTradesBinance[[#This Row],[Resultado]]&gt;0,0,TbTradesBinance[[#This Row],[Taxa]]),0),0))</f>
        <v>0</v>
      </c>
      <c r="BO106" s="145">
        <f t="shared" si="37"/>
        <v>0</v>
      </c>
    </row>
    <row r="107" spans="2:67" x14ac:dyDescent="0.3">
      <c r="B107" s="51"/>
      <c r="C107" s="40">
        <f>TRUNC(IF(AND(TbTradesBinance[[#This Row],[Tipo]]="SEND",TbTradesBinance[[#This Row],[Par]]="BRL"),TbTradesBinance[[#This Row],[Qtt]]*(1-P105)-IF(TbTradesBinance[[#This Row],[Moeda da Taxa]]="BRL",TbTradesBinance[[#This Row],[Taxa]],0),0)+IF(AND(TbTradesBinance[[#This Row],[Tipo]]="BURN",TbTradesBinance[[#This Row],[Par]]="BRL"),-TbTradesBinance[[#This Row],[Qtt]]*P105,0),2)</f>
        <v>0</v>
      </c>
      <c r="D107" s="53">
        <v>44272.763553240744</v>
      </c>
      <c r="E107" s="37" t="s">
        <v>253</v>
      </c>
      <c r="F107" s="47" t="s">
        <v>140</v>
      </c>
      <c r="G107" s="38">
        <v>1.42</v>
      </c>
      <c r="H107" s="38">
        <v>19.899999999999999</v>
      </c>
      <c r="I107" s="38">
        <v>8.0939999999999994E-5</v>
      </c>
      <c r="J107" s="37" t="s">
        <v>45</v>
      </c>
      <c r="K107" s="52">
        <v>5.5860000000000003</v>
      </c>
      <c r="L107" s="40">
        <f t="shared" si="19"/>
        <v>7.93</v>
      </c>
      <c r="M107" s="40">
        <f>IF(OR(TbTradesBinance[[#This Row],[Tipo]]="BUY",TbTradesBinance[[#This Row],[Tipo]]="RECEIVE",TbTradesBinance[[#This Row],[Tipo]]="DROP"),L107*H107,-L107*H107)</f>
        <v>-157.80699999999999</v>
      </c>
      <c r="N10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Row],[Tipo]]="DROP"),N106+TbTradesBinance[[#This Row],[Qtt]],N106-TbTradesBinance[[#This Row],[Qtt]]),IF(TbTradesBinance[[#This Row],[Tipo]]="BUY",N106-TbTradesBinance[[#This Row],[Qtt]]*TbTradesBinance[[#This Row],[Preço]],N106+TbTradesBinance[[#This Row],[Qtt]]*TbTradesBinance[[#This Row],[Preço]])),N106)-IF(TbTradesBinance[[#This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Row],[Tipo]]="DROP"),N106+TbTradesBinance[[#This Row],[Qtt]],N106-TbTradesBinance[[#This Row],[Qtt]]),IF(TbTradesBinance[[#This Row],[Tipo]]="BUY",N106-TbTradesBinance[[#This Row],[Qtt]]*TbTradesBinance[[#This Row],[Preço]],N106+TbTradesBinance[[#This Row],[Qtt]]*TbTradesBinance[[#This Row],[Preço]])),N106)-IF(TbTradesBinance[[#This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Row],[Tipo]]="DROP"),N106+TbTradesBinance[[#This Row],[Qtt]],N106-TbTradesBinance[[#This Row],[Qtt]]),IF(TbTradesBinance[[#This Row],[Tipo]]="BUY",N106-TbTradesBinance[[#This Row],[Qtt]]*TbTradesBinance[[#This Row],[Preço]],N106+TbTradesBinance[[#This Row],[Qtt]]*TbTradesBinance[[#This Row],[Preço]])),N106)-IF(TbTradesBinance[[#This Row],[Moeda da Taxa]]=MID(N$1,9,5),TbTradesBinance[[#This Row],[Taxa]],0),8)))</f>
        <v>119745.70050707999</v>
      </c>
      <c r="O107" s="145" cm="1">
        <f t="array" ref="O107">IF(TbTradesBinance[[#This Row],[Tipo]]="EMPTY",0,O106+IF(TbTradesBinance[[#This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Row],[Par]]))),$1:$1,0)),-(N106-N107)/N106*O106),0),0)+IF(TbTradesBinance[[#This Row],[Tipo]]="SELL",IF(ISNUMBER(FIND(MID(O$1,10,5),TbTradesBinance[[#This Row],[Par]])),IF(FIND(MID(O$1,10,5),TbTradesBinance[[#This Row],[Par]])=1, -(N106-N107)/N106*O106,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Row],[Par]])),(-(N106-N107)/N106*O106)+IF(TbTradesBinance[[#This Row],[Resultado]]&gt;0,0,TbTradesBinance[[#This Row],[Taxa]]),0),0))</f>
        <v>119733.82450611531</v>
      </c>
      <c r="P107" s="145">
        <f t="shared" si="20"/>
        <v>0.99990082315344608</v>
      </c>
      <c r="Q10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Row],[Tipo]]="DROP"),Q106+TbTradesBinance[[#This Row],[Qtt]],Q106-TbTradesBinance[[#This Row],[Qtt]]),IF(TbTradesBinance[[#This Row],[Tipo]]="BUY",Q106-TbTradesBinance[[#This Row],[Qtt]]*TbTradesBinance[[#This Row],[Preço]],Q106+TbTradesBinance[[#This Row],[Qtt]]*TbTradesBinance[[#This Row],[Preço]])),Q106)-IF(TbTradesBinance[[#This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Row],[Tipo]]="DROP"),Q106+TbTradesBinance[[#This Row],[Qtt]],Q106-TbTradesBinance[[#This Row],[Qtt]]),IF(TbTradesBinance[[#This Row],[Tipo]]="BUY",Q106-TbTradesBinance[[#This Row],[Qtt]]*TbTradesBinance[[#This Row],[Preço]],Q106+TbTradesBinance[[#This Row],[Qtt]]*TbTradesBinance[[#This Row],[Preço]])),Q106)-IF(TbTradesBinance[[#This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Row],[Tipo]]="DROP"),Q106+TbTradesBinance[[#This Row],[Qtt]],Q106-TbTradesBinance[[#This Row],[Qtt]]),IF(TbTradesBinance[[#This Row],[Tipo]]="BUY",Q106-TbTradesBinance[[#This Row],[Qtt]]*TbTradesBinance[[#This Row],[Preço]],Q106+TbTradesBinance[[#This Row],[Qtt]]*TbTradesBinance[[#This Row],[Preço]])),Q106)-IF(TbTradesBinance[[#This Row],[Moeda da Taxa]]=MID(Q$1,9,5),TbTradesBinance[[#This Row],[Taxa]],0),8)))</f>
        <v>46.669091280000004</v>
      </c>
      <c r="R107" s="145" cm="1">
        <f t="array" ref="R107">IF(TbTradesBinance[[#This Row],[Tipo]]="EMPTY",0,R106+IF(TbTradesBinance[[#This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Row],[Par]]))),$1:$1,0)),-(Q106-Q107)/Q106*R106),0),0)+IF(TbTradesBinance[[#This Row],[Tipo]]="SELL",IF(ISNUMBER(FIND(MID(R$1,10,5),TbTradesBinance[[#This Row],[Par]])),IF(FIND(MID(R$1,10,5),TbTradesBinance[[#This Row],[Par]])=1, -(Q106-Q107)/Q106*R106,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Row],[Par]])),(-(Q106-Q107)/Q106*R106)+IF(TbTradesBinance[[#This Row],[Resultado]]&gt;0,0,TbTradesBinance[[#This Row],[Taxa]]),0),0))</f>
        <v>231.77575342694996</v>
      </c>
      <c r="S107" s="145">
        <f t="shared" si="21"/>
        <v>4.9663652552471547</v>
      </c>
      <c r="T10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Row],[Tipo]]="DROP"),T106+TbTradesBinance[[#This Row],[Qtt]],T106-TbTradesBinance[[#This Row],[Qtt]]),IF(TbTradesBinance[[#This Row],[Tipo]]="BUY",T106-TbTradesBinance[[#This Row],[Qtt]]*TbTradesBinance[[#This Row],[Preço]],T106+TbTradesBinance[[#This Row],[Qtt]]*TbTradesBinance[[#This Row],[Preço]])),T106)-IF(TbTradesBinance[[#This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Row],[Tipo]]="DROP"),T106+TbTradesBinance[[#This Row],[Qtt]],T106-TbTradesBinance[[#This Row],[Qtt]]),IF(TbTradesBinance[[#This Row],[Tipo]]="BUY",T106-TbTradesBinance[[#This Row],[Qtt]]*TbTradesBinance[[#This Row],[Preço]],T106+TbTradesBinance[[#This Row],[Qtt]]*TbTradesBinance[[#This Row],[Preço]])),T106)-IF(TbTradesBinance[[#This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Row],[Tipo]]="DROP"),T106+TbTradesBinance[[#This Row],[Qtt]],T106-TbTradesBinance[[#This Row],[Qtt]]),IF(TbTradesBinance[[#This Row],[Tipo]]="BUY",T106-TbTradesBinance[[#This Row],[Qtt]]*TbTradesBinance[[#This Row],[Preço]],T106+TbTradesBinance[[#This Row],[Qtt]]*TbTradesBinance[[#This Row],[Preço]])),T106)-IF(TbTradesBinance[[#This Row],[Moeda da Taxa]]=MID(T$1,9,5),TbTradesBinance[[#This Row],[Taxa]],0),8)))</f>
        <v>199735.32000169999</v>
      </c>
      <c r="U107" s="145" cm="1">
        <f t="array" ref="U107">IF(TbTradesBinance[[#This Row],[Tipo]]="EMPTY",0,U106+IF(TbTradesBinance[[#This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Row],[Par]]))),$1:$1,0)),-(T106-T107)/T106*U106),0),0)+IF(TbTradesBinance[[#This Row],[Tipo]]="SELL",IF(ISNUMBER(FIND(MID(U$1,10,5),TbTradesBinance[[#This Row],[Par]])),IF(FIND(MID(U$1,10,5),TbTradesBinance[[#This Row],[Par]])=1, -(T106-T107)/T106*U106,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Row],[Par]])),(-(T106-T107)/T106*U106)+IF(TbTradesBinance[[#This Row],[Resultado]]&gt;0,0,TbTradesBinance[[#This Row],[Taxa]]),0),0))</f>
        <v>1328239.8809817513</v>
      </c>
      <c r="V107" s="145">
        <f t="shared" si="22"/>
        <v>6.6500000148719129</v>
      </c>
      <c r="W10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Row],[Tipo]]="DROP"),W106+TbTradesBinance[[#This Row],[Qtt]],W106-TbTradesBinance[[#This Row],[Qtt]]),IF(TbTradesBinance[[#This Row],[Tipo]]="BUY",W106-TbTradesBinance[[#This Row],[Qtt]]*TbTradesBinance[[#This Row],[Preço]],W106+TbTradesBinance[[#This Row],[Qtt]]*TbTradesBinance[[#This Row],[Preço]])),W106)-IF(TbTradesBinance[[#This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Row],[Tipo]]="DROP"),W106+TbTradesBinance[[#This Row],[Qtt]],W106-TbTradesBinance[[#This Row],[Qtt]]),IF(TbTradesBinance[[#This Row],[Tipo]]="BUY",W106-TbTradesBinance[[#This Row],[Qtt]]*TbTradesBinance[[#This Row],[Preço]],W106+TbTradesBinance[[#This Row],[Qtt]]*TbTradesBinance[[#This Row],[Preço]])),W106)-IF(TbTradesBinance[[#This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Row],[Tipo]]="DROP"),W106+TbTradesBinance[[#This Row],[Qtt]],W106-TbTradesBinance[[#This Row],[Qtt]]),IF(TbTradesBinance[[#This Row],[Tipo]]="BUY",W106-TbTradesBinance[[#This Row],[Qtt]]*TbTradesBinance[[#This Row],[Preço]],W106+TbTradesBinance[[#This Row],[Qtt]]*TbTradesBinance[[#This Row],[Preço]])),W106)-IF(TbTradesBinance[[#This Row],[Moeda da Taxa]]=MID(W$1,9,5),TbTradesBinance[[#This Row],[Taxa]],0),8)))</f>
        <v>2.48036E-3</v>
      </c>
      <c r="X107" s="145" cm="1">
        <f t="array" ref="X107">IF(TbTradesBinance[[#This Row],[Tipo]]="EMPTY",0,X106+IF(TbTradesBinance[[#This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Row],[Par]]))),$1:$1,0)),-(W106-W107)/W106*X106),0),0)+IF(TbTradesBinance[[#This Row],[Tipo]]="SELL",IF(ISNUMBER(FIND(MID(X$1,10,5),TbTradesBinance[[#This Row],[Par]])),IF(FIND(MID(X$1,10,5),TbTradesBinance[[#This Row],[Par]])=1, -(W106-W107)/W106*X106,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Row],[Par]])),(-(W106-W107)/W106*X106)+IF(TbTradesBinance[[#This Row],[Resultado]]&gt;0,0,TbTradesBinance[[#This Row],[Taxa]]),0),0))</f>
        <v>832.53731315140135</v>
      </c>
      <c r="Y107" s="145">
        <f t="shared" si="23"/>
        <v>335651.8058472969</v>
      </c>
      <c r="Z10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Row],[Tipo]]="DROP"),Z106+TbTradesBinance[[#This Row],[Qtt]],Z106-TbTradesBinance[[#This Row],[Qtt]]),IF(TbTradesBinance[[#This Row],[Tipo]]="BUY",Z106-TbTradesBinance[[#This Row],[Qtt]]*TbTradesBinance[[#This Row],[Preço]],Z106+TbTradesBinance[[#This Row],[Qtt]]*TbTradesBinance[[#This Row],[Preço]])),Z106)-IF(TbTradesBinance[[#This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Row],[Tipo]]="DROP"),Z106+TbTradesBinance[[#This Row],[Qtt]],Z106-TbTradesBinance[[#This Row],[Qtt]]),IF(TbTradesBinance[[#This Row],[Tipo]]="BUY",Z106-TbTradesBinance[[#This Row],[Qtt]]*TbTradesBinance[[#This Row],[Preço]],Z106+TbTradesBinance[[#This Row],[Qtt]]*TbTradesBinance[[#This Row],[Preço]])),Z106)-IF(TbTradesBinance[[#This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Row],[Tipo]]="DROP"),Z106+TbTradesBinance[[#This Row],[Qtt]],Z106-TbTradesBinance[[#This Row],[Qtt]]),IF(TbTradesBinance[[#This Row],[Tipo]]="BUY",Z106-TbTradesBinance[[#This Row],[Qtt]]*TbTradesBinance[[#This Row],[Preço]],Z106+TbTradesBinance[[#This Row],[Qtt]]*TbTradesBinance[[#This Row],[Preço]])),Z106)-IF(TbTradesBinance[[#This Row],[Moeda da Taxa]]=MID(Z$1,9,5),TbTradesBinance[[#This Row],[Taxa]],0),8)))</f>
        <v>2.0629350000000001E-2</v>
      </c>
      <c r="AA107" s="145" cm="1">
        <f t="array" ref="AA107">IF(TbTradesBinance[[#This Row],[Tipo]]="EMPTY",0,AA106+IF(TbTradesBinance[[#This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Row],[Par]]))),$1:$1,0)),-(Z106-Z107)/Z106*AA106),0),0)+IF(TbTradesBinance[[#This Row],[Tipo]]="SELL",IF(ISNUMBER(FIND(MID(AA$1,10,5),TbTradesBinance[[#This Row],[Par]])),IF(FIND(MID(AA$1,10,5),TbTradesBinance[[#This Row],[Par]])=1, -(Z106-Z107)/Z106*AA106,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Row],[Par]])),(-(Z106-Z107)/Z106*AA106)+IF(TbTradesBinance[[#This Row],[Resultado]]&gt;0,0,TbTradesBinance[[#This Row],[Taxa]]),0),0))</f>
        <v>214.62129483695568</v>
      </c>
      <c r="AB107" s="145">
        <f t="shared" si="24"/>
        <v>10403.686729681531</v>
      </c>
      <c r="AC10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Row],[Tipo]]="DROP"),AC106+TbTradesBinance[[#This Row],[Qtt]],AC106-TbTradesBinance[[#This Row],[Qtt]]),IF(TbTradesBinance[[#This Row],[Tipo]]="BUY",AC106-TbTradesBinance[[#This Row],[Qtt]]*TbTradesBinance[[#This Row],[Preço]],AC106+TbTradesBinance[[#This Row],[Qtt]]*TbTradesBinance[[#This Row],[Preço]])),AC106)-IF(TbTradesBinance[[#This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Row],[Tipo]]="DROP"),AC106+TbTradesBinance[[#This Row],[Qtt]],AC106-TbTradesBinance[[#This Row],[Qtt]]),IF(TbTradesBinance[[#This Row],[Tipo]]="BUY",AC106-TbTradesBinance[[#This Row],[Qtt]]*TbTradesBinance[[#This Row],[Preço]],AC106+TbTradesBinance[[#This Row],[Qtt]]*TbTradesBinance[[#This Row],[Preço]])),AC106)-IF(TbTradesBinance[[#This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Row],[Tipo]]="DROP"),AC106+TbTradesBinance[[#This Row],[Qtt]],AC106-TbTradesBinance[[#This Row],[Qtt]]),IF(TbTradesBinance[[#This Row],[Tipo]]="BUY",AC106-TbTradesBinance[[#This Row],[Qtt]]*TbTradesBinance[[#This Row],[Preço]],AC106+TbTradesBinance[[#This Row],[Qtt]]*TbTradesBinance[[#This Row],[Preço]])),AC106)-IF(TbTradesBinance[[#This Row],[Moeda da Taxa]]=MID(AC$1,9,5),TbTradesBinance[[#This Row],[Taxa]],0),8)))</f>
        <v>9.6999E-4</v>
      </c>
      <c r="AD107" s="145" cm="1">
        <f t="array" ref="AD107">IF(TbTradesBinance[[#This Row],[Tipo]]="EMPTY",0,AD106+IF(TbTradesBinance[[#This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Row],[Par]]))),$1:$1,0)),-(AC106-AC107)/AC106*AD106),0),0)+IF(TbTradesBinance[[#This Row],[Tipo]]="SELL",IF(ISNUMBER(FIND(MID(AD$1,10,5),TbTradesBinance[[#This Row],[Par]])),IF(FIND(MID(AD$1,10,5),TbTradesBinance[[#This Row],[Par]])=1, -(AC106-AC107)/AC106*AD106,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Row],[Par]])),(-(AC106-AC107)/AC106*AD106)+IF(TbTradesBinance[[#This Row],[Resultado]]&gt;0,0,TbTradesBinance[[#This Row],[Taxa]]),0),0))</f>
        <v>1.9483868939812083</v>
      </c>
      <c r="AE107" s="145">
        <f t="shared" si="25"/>
        <v>2008.6669903619711</v>
      </c>
      <c r="AF10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Row],[Tipo]]="DROP"),AF106+TbTradesBinance[[#This Row],[Qtt]],AF106-TbTradesBinance[[#This Row],[Qtt]]),IF(TbTradesBinance[[#This Row],[Tipo]]="BUY",AF106-TbTradesBinance[[#This Row],[Qtt]]*TbTradesBinance[[#This Row],[Preço]],AF106+TbTradesBinance[[#This Row],[Qtt]]*TbTradesBinance[[#This Row],[Preço]])),AF106)-IF(TbTradesBinance[[#This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Row],[Tipo]]="DROP"),AF106+TbTradesBinance[[#This Row],[Qtt]],AF106-TbTradesBinance[[#This Row],[Qtt]]),IF(TbTradesBinance[[#This Row],[Tipo]]="BUY",AF106-TbTradesBinance[[#This Row],[Qtt]]*TbTradesBinance[[#This Row],[Preço]],AF106+TbTradesBinance[[#This Row],[Qtt]]*TbTradesBinance[[#This Row],[Preço]])),AF106)-IF(TbTradesBinance[[#This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Row],[Tipo]]="DROP"),AF106+TbTradesBinance[[#This Row],[Qtt]],AF106-TbTradesBinance[[#This Row],[Qtt]]),IF(TbTradesBinance[[#This Row],[Tipo]]="BUY",AF106-TbTradesBinance[[#This Row],[Qtt]]*TbTradesBinance[[#This Row],[Preço]],AF106+TbTradesBinance[[#This Row],[Qtt]]*TbTradesBinance[[#This Row],[Preço]])),AF106)-IF(TbTradesBinance[[#This Row],[Moeda da Taxa]]=MID(AF$1,9,5),TbTradesBinance[[#This Row],[Taxa]],0),8)))</f>
        <v>0.08</v>
      </c>
      <c r="AG107" s="145" cm="1">
        <f t="array" ref="AG107">IF(TbTradesBinance[[#This Row],[Tipo]]="EMPTY",0,AG106+IF(TbTradesBinance[[#This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Row],[Par]]))),$1:$1,0)),-(AF106-AF107)/AF106*AG106),0),0)+IF(TbTradesBinance[[#This Row],[Tipo]]="SELL",IF(ISNUMBER(FIND(MID(AG$1,10,5),TbTradesBinance[[#This Row],[Par]])),IF(FIND(MID(AG$1,10,5),TbTradesBinance[[#This Row],[Par]])=1, -(AF106-AF107)/AF106*AG106,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Row],[Par]])),(-(AF106-AF107)/AF106*AG106)+IF(TbTradesBinance[[#This Row],[Resultado]]&gt;0,0,TbTradesBinance[[#This Row],[Taxa]]),0),0))</f>
        <v>0.49666397429723474</v>
      </c>
      <c r="AH107" s="145">
        <f t="shared" si="26"/>
        <v>6.2082996787154343</v>
      </c>
      <c r="AI10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Row],[Tipo]]="DROP"),AI106+TbTradesBinance[[#This Row],[Qtt]],AI106-TbTradesBinance[[#This Row],[Qtt]]),IF(TbTradesBinance[[#This Row],[Tipo]]="BUY",AI106-TbTradesBinance[[#This Row],[Qtt]]*TbTradesBinance[[#This Row],[Preço]],AI106+TbTradesBinance[[#This Row],[Qtt]]*TbTradesBinance[[#This Row],[Preço]])),AI106)-IF(TbTradesBinance[[#This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Row],[Tipo]]="DROP"),AI106+TbTradesBinance[[#This Row],[Qtt]],AI106-TbTradesBinance[[#This Row],[Qtt]]),IF(TbTradesBinance[[#This Row],[Tipo]]="BUY",AI106-TbTradesBinance[[#This Row],[Qtt]]*TbTradesBinance[[#This Row],[Preço]],AI106+TbTradesBinance[[#This Row],[Qtt]]*TbTradesBinance[[#This Row],[Preço]])),AI106)-IF(TbTradesBinance[[#This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Row],[Tipo]]="DROP"),AI106+TbTradesBinance[[#This Row],[Qtt]],AI106-TbTradesBinance[[#This Row],[Qtt]]),IF(TbTradesBinance[[#This Row],[Tipo]]="BUY",AI106-TbTradesBinance[[#This Row],[Qtt]]*TbTradesBinance[[#This Row],[Preço]],AI106+TbTradesBinance[[#This Row],[Qtt]]*TbTradesBinance[[#This Row],[Preço]])),AI106)-IF(TbTradesBinance[[#This Row],[Moeda da Taxa]]=MID(AI$1,9,5),TbTradesBinance[[#This Row],[Taxa]],0),8)))</f>
        <v>0</v>
      </c>
      <c r="AJ107" s="145" cm="1">
        <f t="array" ref="AJ107">IF(TbTradesBinance[[#This Row],[Tipo]]="EMPTY",0,AJ106+IF(TbTradesBinance[[#This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Row],[Par]]))),$1:$1,0)),-(AI106-AI107)/AI106*AJ106),0),0)+IF(TbTradesBinance[[#This Row],[Tipo]]="SELL",IF(ISNUMBER(FIND(MID(AJ$1,10,5),TbTradesBinance[[#This Row],[Par]])),IF(FIND(MID(AJ$1,10,5),TbTradesBinance[[#This Row],[Par]])=1, -(AI106-AI107)/AI106*AJ106,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Row],[Par]])),(-(AI106-AI107)/AI106*AJ106)+IF(TbTradesBinance[[#This Row],[Resultado]]&gt;0,0,TbTradesBinance[[#This Row],[Taxa]]),0),0))</f>
        <v>0</v>
      </c>
      <c r="AK107" s="145">
        <f t="shared" si="27"/>
        <v>0</v>
      </c>
      <c r="AL10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Row],[Tipo]]="DROP"),AL106+TbTradesBinance[[#This Row],[Qtt]],AL106-TbTradesBinance[[#This Row],[Qtt]]),IF(TbTradesBinance[[#This Row],[Tipo]]="BUY",AL106-TbTradesBinance[[#This Row],[Qtt]]*TbTradesBinance[[#This Row],[Preço]],AL106+TbTradesBinance[[#This Row],[Qtt]]*TbTradesBinance[[#This Row],[Preço]])),AL106)-IF(TbTradesBinance[[#This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Row],[Tipo]]="DROP"),AL106+TbTradesBinance[[#This Row],[Qtt]],AL106-TbTradesBinance[[#This Row],[Qtt]]),IF(TbTradesBinance[[#This Row],[Tipo]]="BUY",AL106-TbTradesBinance[[#This Row],[Qtt]]*TbTradesBinance[[#This Row],[Preço]],AL106+TbTradesBinance[[#This Row],[Qtt]]*TbTradesBinance[[#This Row],[Preço]])),AL106)-IF(TbTradesBinance[[#This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Row],[Tipo]]="DROP"),AL106+TbTradesBinance[[#This Row],[Qtt]],AL106-TbTradesBinance[[#This Row],[Qtt]]),IF(TbTradesBinance[[#This Row],[Tipo]]="BUY",AL106-TbTradesBinance[[#This Row],[Qtt]]*TbTradesBinance[[#This Row],[Preço]],AL106+TbTradesBinance[[#This Row],[Qtt]]*TbTradesBinance[[#This Row],[Preço]])),AL106)-IF(TbTradesBinance[[#This Row],[Moeda da Taxa]]=MID(AL$1,9,5),TbTradesBinance[[#This Row],[Taxa]],0),8)))</f>
        <v>8.2400000000000008E-3</v>
      </c>
      <c r="AM107" s="145" cm="1">
        <f t="array" ref="AM107">IF(TbTradesBinance[[#This Row],[Tipo]]="EMPTY",0,AM106+IF(TbTradesBinance[[#This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Row],[Par]]))),$1:$1,0)),-(AL106-AL107)/AL106*AM106),0),0)+IF(TbTradesBinance[[#This Row],[Tipo]]="SELL",IF(ISNUMBER(FIND(MID(AM$1,10,5),TbTradesBinance[[#This Row],[Par]])),IF(FIND(MID(AM$1,10,5),TbTradesBinance[[#This Row],[Par]])=1, -(AL106-AL107)/AL106*AM106,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Row],[Par]])),(-(AL106-AL107)/AL106*AM106)+IF(TbTradesBinance[[#This Row],[Resultado]]&gt;0,0,TbTradesBinance[[#This Row],[Taxa]]),0),0))</f>
        <v>0.67751089887772764</v>
      </c>
      <c r="AN107" s="145">
        <f t="shared" si="28"/>
        <v>82.222196465743636</v>
      </c>
      <c r="AO10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Row],[Tipo]]="DROP"),AO106+TbTradesBinance[[#This Row],[Qtt]],AO106-TbTradesBinance[[#This Row],[Qtt]]),IF(TbTradesBinance[[#This Row],[Tipo]]="BUY",AO106-TbTradesBinance[[#This Row],[Qtt]]*TbTradesBinance[[#This Row],[Preço]],AO106+TbTradesBinance[[#This Row],[Qtt]]*TbTradesBinance[[#This Row],[Preço]])),AO106)-IF(TbTradesBinance[[#This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Row],[Tipo]]="DROP"),AO106+TbTradesBinance[[#This Row],[Qtt]],AO106-TbTradesBinance[[#This Row],[Qtt]]),IF(TbTradesBinance[[#This Row],[Tipo]]="BUY",AO106-TbTradesBinance[[#This Row],[Qtt]]*TbTradesBinance[[#This Row],[Preço]],AO106+TbTradesBinance[[#This Row],[Qtt]]*TbTradesBinance[[#This Row],[Preço]])),AO106)-IF(TbTradesBinance[[#This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Row],[Tipo]]="DROP"),AO106+TbTradesBinance[[#This Row],[Qtt]],AO106-TbTradesBinance[[#This Row],[Qtt]]),IF(TbTradesBinance[[#This Row],[Tipo]]="BUY",AO106-TbTradesBinance[[#This Row],[Qtt]]*TbTradesBinance[[#This Row],[Preço]],AO106+TbTradesBinance[[#This Row],[Qtt]]*TbTradesBinance[[#This Row],[Preço]])),AO106)-IF(TbTradesBinance[[#This Row],[Moeda da Taxa]]=MID(AO$1,9,5),TbTradesBinance[[#This Row],[Taxa]],0),8)))</f>
        <v>7.4856539999999999E-2</v>
      </c>
      <c r="AP107" s="145" cm="1">
        <f t="array" ref="AP107">IF(TbTradesBinance[[#This Row],[Tipo]]="EMPTY",0,AP106+IF(TbTradesBinance[[#This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Row],[Par]]))),$1:$1,0)),-(AO106-AO107)/AO106*AP106),0),0)+IF(TbTradesBinance[[#This Row],[Tipo]]="SELL",IF(ISNUMBER(FIND(MID(AP$1,10,5),TbTradesBinance[[#This Row],[Par]])),IF(FIND(MID(AP$1,10,5),TbTradesBinance[[#This Row],[Par]])=1, -(AO106-AO107)/AO106*AP106,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Row],[Par]])),(-(AO106-AO107)/AO106*AP106)+IF(TbTradesBinance[[#This Row],[Resultado]]&gt;0,0,TbTradesBinance[[#This Row],[Taxa]]),0),0))</f>
        <v>113.87766627073657</v>
      </c>
      <c r="AQ107" s="145">
        <f t="shared" si="29"/>
        <v>1521.2787856710524</v>
      </c>
      <c r="AR10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Row],[Tipo]]="DROP"),AR106+TbTradesBinance[[#This Row],[Qtt]],AR106-TbTradesBinance[[#This Row],[Qtt]]),IF(TbTradesBinance[[#This Row],[Tipo]]="BUY",AR106-TbTradesBinance[[#This Row],[Qtt]]*TbTradesBinance[[#This Row],[Preço]],AR106+TbTradesBinance[[#This Row],[Qtt]]*TbTradesBinance[[#This Row],[Preço]])),AR106)-IF(TbTradesBinance[[#This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Row],[Tipo]]="DROP"),AR106+TbTradesBinance[[#This Row],[Qtt]],AR106-TbTradesBinance[[#This Row],[Qtt]]),IF(TbTradesBinance[[#This Row],[Tipo]]="BUY",AR106-TbTradesBinance[[#This Row],[Qtt]]*TbTradesBinance[[#This Row],[Preço]],AR106+TbTradesBinance[[#This Row],[Qtt]]*TbTradesBinance[[#This Row],[Preço]])),AR106)-IF(TbTradesBinance[[#This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Row],[Tipo]]="DROP"),AR106+TbTradesBinance[[#This Row],[Qtt]],AR106-TbTradesBinance[[#This Row],[Qtt]]),IF(TbTradesBinance[[#This Row],[Tipo]]="BUY",AR106-TbTradesBinance[[#This Row],[Qtt]]*TbTradesBinance[[#This Row],[Preço]],AR106+TbTradesBinance[[#This Row],[Qtt]]*TbTradesBinance[[#This Row],[Preço]])),AR106)-IF(TbTradesBinance[[#This Row],[Moeda da Taxa]]=MID(AR$1,9,5),TbTradesBinance[[#This Row],[Taxa]],0),8)))</f>
        <v>61.251199999999997</v>
      </c>
      <c r="AS107" s="145" cm="1">
        <f t="array" ref="AS107">IF(TbTradesBinance[[#This Row],[Tipo]]="EMPTY",0,AS106+IF(TbTradesBinance[[#This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Row],[Par]]))),$1:$1,0)),-(AR106-AR107)/AR106*AS106),0),0)+IF(TbTradesBinance[[#This Row],[Tipo]]="SELL",IF(ISNUMBER(FIND(MID(AS$1,10,5),TbTradesBinance[[#This Row],[Par]])),IF(FIND(MID(AS$1,10,5),TbTradesBinance[[#This Row],[Par]])=1, -(AR106-AR107)/AR106*AS106,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Row],[Par]])),(-(AR106-AR107)/AR106*AS106)+IF(TbTradesBinance[[#This Row],[Resultado]]&gt;0,0,TbTradesBinance[[#This Row],[Taxa]]),0),0))</f>
        <v>230.84001376053044</v>
      </c>
      <c r="AT107" s="145">
        <f t="shared" si="30"/>
        <v>3.7687427146003745</v>
      </c>
      <c r="AU10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Row],[Tipo]]="DROP"),AU106+TbTradesBinance[[#This Row],[Qtt]],AU106-TbTradesBinance[[#This Row],[Qtt]]),IF(TbTradesBinance[[#This Row],[Tipo]]="BUY",AU106-TbTradesBinance[[#This Row],[Qtt]]*TbTradesBinance[[#This Row],[Preço]],AU106+TbTradesBinance[[#This Row],[Qtt]]*TbTradesBinance[[#This Row],[Preço]])),AU106)-IF(TbTradesBinance[[#This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Row],[Tipo]]="DROP"),AU106+TbTradesBinance[[#This Row],[Qtt]],AU106-TbTradesBinance[[#This Row],[Qtt]]),IF(TbTradesBinance[[#This Row],[Tipo]]="BUY",AU106-TbTradesBinance[[#This Row],[Qtt]]*TbTradesBinance[[#This Row],[Preço]],AU106+TbTradesBinance[[#This Row],[Qtt]]*TbTradesBinance[[#This Row],[Preço]])),AU106)-IF(TbTradesBinance[[#This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Row],[Tipo]]="DROP"),AU106+TbTradesBinance[[#This Row],[Qtt]],AU106-TbTradesBinance[[#This Row],[Qtt]]),IF(TbTradesBinance[[#This Row],[Tipo]]="BUY",AU106-TbTradesBinance[[#This Row],[Qtt]]*TbTradesBinance[[#This Row],[Preço]],AU106+TbTradesBinance[[#This Row],[Qtt]]*TbTradesBinance[[#This Row],[Preço]])),AU106)-IF(TbTradesBinance[[#This Row],[Moeda da Taxa]]=MID(AU$1,9,5),TbTradesBinance[[#This Row],[Taxa]],0),8)))</f>
        <v>0</v>
      </c>
      <c r="AV107" s="145" cm="1">
        <f t="array" ref="AV107">IF(TbTradesBinance[[#This Row],[Tipo]]="EMPTY",0,AV106+IF(TbTradesBinance[[#This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Row],[Par]]))),$1:$1,0)),-(AU106-AU107)/AU106*AV106),0),0)+IF(TbTradesBinance[[#This Row],[Tipo]]="SELL",IF(ISNUMBER(FIND(MID(AV$1,10,5),TbTradesBinance[[#This Row],[Par]])),IF(FIND(MID(AV$1,10,5),TbTradesBinance[[#This Row],[Par]])=1, -(AU106-AU107)/AU106*AV106,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Row],[Par]])),(-(AU106-AU107)/AU106*AV106)+IF(TbTradesBinance[[#This Row],[Resultado]]&gt;0,0,TbTradesBinance[[#This Row],[Taxa]]),0),0))</f>
        <v>0</v>
      </c>
      <c r="AW107" s="145">
        <f t="shared" si="31"/>
        <v>0</v>
      </c>
      <c r="AX10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Row],[Tipo]]="DROP"),AX106+TbTradesBinance[[#This Row],[Qtt]],AX106-TbTradesBinance[[#This Row],[Qtt]]),IF(TbTradesBinance[[#This Row],[Tipo]]="BUY",AX106-TbTradesBinance[[#This Row],[Qtt]]*TbTradesBinance[[#This Row],[Preço]],AX106+TbTradesBinance[[#This Row],[Qtt]]*TbTradesBinance[[#This Row],[Preço]])),AX106)-IF(TbTradesBinance[[#This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Row],[Tipo]]="DROP"),AX106+TbTradesBinance[[#This Row],[Qtt]],AX106-TbTradesBinance[[#This Row],[Qtt]]),IF(TbTradesBinance[[#This Row],[Tipo]]="BUY",AX106-TbTradesBinance[[#This Row],[Qtt]]*TbTradesBinance[[#This Row],[Preço]],AX106+TbTradesBinance[[#This Row],[Qtt]]*TbTradesBinance[[#This Row],[Preço]])),AX106)-IF(TbTradesBinance[[#This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Row],[Tipo]]="DROP"),AX106+TbTradesBinance[[#This Row],[Qtt]],AX106-TbTradesBinance[[#This Row],[Qtt]]),IF(TbTradesBinance[[#This Row],[Tipo]]="BUY",AX106-TbTradesBinance[[#This Row],[Qtt]]*TbTradesBinance[[#This Row],[Preço]],AX106+TbTradesBinance[[#This Row],[Qtt]]*TbTradesBinance[[#This Row],[Preço]])),AX106)-IF(TbTradesBinance[[#This Row],[Moeda da Taxa]]=MID(AX$1,9,5),TbTradesBinance[[#This Row],[Taxa]],0),8)))</f>
        <v>0.22636999999999999</v>
      </c>
      <c r="AY107" s="145" cm="1">
        <f t="array" ref="AY107">IF(TbTradesBinance[[#This Row],[Tipo]]="EMPTY",0,AY106+IF(TbTradesBinance[[#This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Row],[Par]]))),$1:$1,0)),-(AX106-AX107)/AX106*AY106),0),0)+IF(TbTradesBinance[[#This Row],[Tipo]]="SELL",IF(ISNUMBER(FIND(MID(AY$1,10,5),TbTradesBinance[[#This Row],[Par]])),IF(FIND(MID(AY$1,10,5),TbTradesBinance[[#This Row],[Par]])=1, -(AX106-AX107)/AX106*AY106,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Row],[Par]])),(-(AX106-AX107)/AX106*AY106)+IF(TbTradesBinance[[#This Row],[Resultado]]&gt;0,0,TbTradesBinance[[#This Row],[Taxa]]),0),0))</f>
        <v>40.781337593356859</v>
      </c>
      <c r="AZ107" s="145">
        <f t="shared" si="32"/>
        <v>180.15345493376711</v>
      </c>
      <c r="BA10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Row],[Tipo]]="DROP"),BA106+TbTradesBinance[[#This Row],[Qtt]],BA106-TbTradesBinance[[#This Row],[Qtt]]),IF(TbTradesBinance[[#This Row],[Tipo]]="BUY",BA106-TbTradesBinance[[#This Row],[Qtt]]*TbTradesBinance[[#This Row],[Preço]],BA106+TbTradesBinance[[#This Row],[Qtt]]*TbTradesBinance[[#This Row],[Preço]])),BA106)-IF(TbTradesBinance[[#This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Row],[Tipo]]="DROP"),BA106+TbTradesBinance[[#This Row],[Qtt]],BA106-TbTradesBinance[[#This Row],[Qtt]]),IF(TbTradesBinance[[#This Row],[Tipo]]="BUY",BA106-TbTradesBinance[[#This Row],[Qtt]]*TbTradesBinance[[#This Row],[Preço]],BA106+TbTradesBinance[[#This Row],[Qtt]]*TbTradesBinance[[#This Row],[Preço]])),BA106)-IF(TbTradesBinance[[#This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Row],[Tipo]]="DROP"),BA106+TbTradesBinance[[#This Row],[Qtt]],BA106-TbTradesBinance[[#This Row],[Qtt]]),IF(TbTradesBinance[[#This Row],[Tipo]]="BUY",BA106-TbTradesBinance[[#This Row],[Qtt]]*TbTradesBinance[[#This Row],[Preço]],BA106+TbTradesBinance[[#This Row],[Qtt]]*TbTradesBinance[[#This Row],[Preço]])),BA106)-IF(TbTradesBinance[[#This Row],[Moeda da Taxa]]=MID(BA$1,9,5),TbTradesBinance[[#This Row],[Taxa]],0),8)))</f>
        <v>0</v>
      </c>
      <c r="BB107" s="145" cm="1">
        <f t="array" ref="BB107">IF(TbTradesBinance[[#This Row],[Tipo]]="EMPTY",0,BB106+IF(TbTradesBinance[[#This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Row],[Par]]))),$1:$1,0)),-(BA106-BA107)/BA106*BB106),0),0)+IF(TbTradesBinance[[#This Row],[Tipo]]="SELL",IF(ISNUMBER(FIND(MID(BB$1,10,5),TbTradesBinance[[#This Row],[Par]])),IF(FIND(MID(BB$1,10,5),TbTradesBinance[[#This Row],[Par]])=1, -(BA106-BA107)/BA106*BB106,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Row],[Par]])),(-(BA106-BA107)/BA106*BB106)+IF(TbTradesBinance[[#This Row],[Resultado]]&gt;0,0,TbTradesBinance[[#This Row],[Taxa]]),0),0))</f>
        <v>0</v>
      </c>
      <c r="BC107" s="145">
        <f t="shared" si="33"/>
        <v>0</v>
      </c>
      <c r="BD10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Row],[Tipo]]="DROP"),BD106+TbTradesBinance[[#This Row],[Qtt]],BD106-TbTradesBinance[[#This Row],[Qtt]]),IF(TbTradesBinance[[#This Row],[Tipo]]="BUY",BD106-TbTradesBinance[[#This Row],[Qtt]]*TbTradesBinance[[#This Row],[Preço]],BD106+TbTradesBinance[[#This Row],[Qtt]]*TbTradesBinance[[#This Row],[Preço]])),BD106)-IF(TbTradesBinance[[#This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Row],[Tipo]]="DROP"),BD106+TbTradesBinance[[#This Row],[Qtt]],BD106-TbTradesBinance[[#This Row],[Qtt]]),IF(TbTradesBinance[[#This Row],[Tipo]]="BUY",BD106-TbTradesBinance[[#This Row],[Qtt]]*TbTradesBinance[[#This Row],[Preço]],BD106+TbTradesBinance[[#This Row],[Qtt]]*TbTradesBinance[[#This Row],[Preço]])),BD106)-IF(TbTradesBinance[[#This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Row],[Tipo]]="DROP"),BD106+TbTradesBinance[[#This Row],[Qtt]],BD106-TbTradesBinance[[#This Row],[Qtt]]),IF(TbTradesBinance[[#This Row],[Tipo]]="BUY",BD106-TbTradesBinance[[#This Row],[Qtt]]*TbTradesBinance[[#This Row],[Preço]],BD106+TbTradesBinance[[#This Row],[Qtt]]*TbTradesBinance[[#This Row],[Preço]])),BD106)-IF(TbTradesBinance[[#This Row],[Moeda da Taxa]]=MID(BD$1,9,5),TbTradesBinance[[#This Row],[Taxa]],0),8)))</f>
        <v>0.56906000000000001</v>
      </c>
      <c r="BE107" s="145" cm="1">
        <f t="array" ref="BE107">IF(TbTradesBinance[[#This Row],[Tipo]]="EMPTY",0,BE106+IF(TbTradesBinance[[#This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Row],[Par]]))),$1:$1,0)),-(BD106-BD107)/BD106*BE106),0),0)+IF(TbTradesBinance[[#This Row],[Tipo]]="SELL",IF(ISNUMBER(FIND(MID(BE$1,10,5),TbTradesBinance[[#This Row],[Par]])),IF(FIND(MID(BE$1,10,5),TbTradesBinance[[#This Row],[Par]])=1, -(BD106-BD107)/BD106*BE106,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Row],[Par]])),(-(BD106-BD107)/BD106*BE106)+IF(TbTradesBinance[[#This Row],[Resultado]]&gt;0,0,TbTradesBinance[[#This Row],[Taxa]]),0),0))</f>
        <v>105.81619120195663</v>
      </c>
      <c r="BF107" s="145">
        <f t="shared" si="34"/>
        <v>185.94909359638109</v>
      </c>
      <c r="BG10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Row],[Tipo]]="DROP"),BG106+TbTradesBinance[[#This Row],[Qtt]],BG106-TbTradesBinance[[#This Row],[Qtt]]),IF(TbTradesBinance[[#This Row],[Tipo]]="BUY",BG106-TbTradesBinance[[#This Row],[Qtt]]*TbTradesBinance[[#This Row],[Preço]],BG106+TbTradesBinance[[#This Row],[Qtt]]*TbTradesBinance[[#This Row],[Preço]])),BG106)-IF(TbTradesBinance[[#This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Row],[Tipo]]="DROP"),BG106+TbTradesBinance[[#This Row],[Qtt]],BG106-TbTradesBinance[[#This Row],[Qtt]]),IF(TbTradesBinance[[#This Row],[Tipo]]="BUY",BG106-TbTradesBinance[[#This Row],[Qtt]]*TbTradesBinance[[#This Row],[Preço]],BG106+TbTradesBinance[[#This Row],[Qtt]]*TbTradesBinance[[#This Row],[Preço]])),BG106)-IF(TbTradesBinance[[#This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Row],[Tipo]]="DROP"),BG106+TbTradesBinance[[#This Row],[Qtt]],BG106-TbTradesBinance[[#This Row],[Qtt]]),IF(TbTradesBinance[[#This Row],[Tipo]]="BUY",BG106-TbTradesBinance[[#This Row],[Qtt]]*TbTradesBinance[[#This Row],[Preço]],BG106+TbTradesBinance[[#This Row],[Qtt]]*TbTradesBinance[[#This Row],[Preço]])),BG106)-IF(TbTradesBinance[[#This Row],[Moeda da Taxa]]=MID(BG$1,9,5),TbTradesBinance[[#This Row],[Taxa]],0),8)))</f>
        <v>0</v>
      </c>
      <c r="BH107" s="145" cm="1">
        <f t="array" ref="BH107">IF(TbTradesBinance[[#This Row],[Tipo]]="EMPTY",0,BH106+IF(TbTradesBinance[[#This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Row],[Par]]))),$1:$1,0)),-(BG106-BG107)/BG106*BH106),0),0)+IF(TbTradesBinance[[#This Row],[Tipo]]="SELL",IF(ISNUMBER(FIND(MID(BH$1,10,5),TbTradesBinance[[#This Row],[Par]])),IF(FIND(MID(BH$1,10,5),TbTradesBinance[[#This Row],[Par]])=1, -(BG106-BG107)/BG106*BH106,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Row],[Par]])),(-(BG106-BG107)/BG106*BH106)+IF(TbTradesBinance[[#This Row],[Resultado]]&gt;0,0,TbTradesBinance[[#This Row],[Taxa]]),0),0))</f>
        <v>0</v>
      </c>
      <c r="BI107" s="145">
        <f t="shared" si="35"/>
        <v>0</v>
      </c>
      <c r="BJ10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Row],[Tipo]]="DROP"),BJ106+TbTradesBinance[[#This Row],[Qtt]],BJ106-TbTradesBinance[[#This Row],[Qtt]]),IF(TbTradesBinance[[#This Row],[Tipo]]="BUY",BJ106-TbTradesBinance[[#This Row],[Qtt]]*TbTradesBinance[[#This Row],[Preço]],BJ106+TbTradesBinance[[#This Row],[Qtt]]*TbTradesBinance[[#This Row],[Preço]])),BJ106)-IF(TbTradesBinance[[#This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Row],[Tipo]]="DROP"),BJ106+TbTradesBinance[[#This Row],[Qtt]],BJ106-TbTradesBinance[[#This Row],[Qtt]]),IF(TbTradesBinance[[#This Row],[Tipo]]="BUY",BJ106-TbTradesBinance[[#This Row],[Qtt]]*TbTradesBinance[[#This Row],[Preço]],BJ106+TbTradesBinance[[#This Row],[Qtt]]*TbTradesBinance[[#This Row],[Preço]])),BJ106)-IF(TbTradesBinance[[#This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Row],[Tipo]]="DROP"),BJ106+TbTradesBinance[[#This Row],[Qtt]],BJ106-TbTradesBinance[[#This Row],[Qtt]]),IF(TbTradesBinance[[#This Row],[Tipo]]="BUY",BJ106-TbTradesBinance[[#This Row],[Qtt]]*TbTradesBinance[[#This Row],[Preço]],BJ106+TbTradesBinance[[#This Row],[Qtt]]*TbTradesBinance[[#This Row],[Preço]])),BJ106)-IF(TbTradesBinance[[#This Row],[Moeda da Taxa]]=MID(BJ$1,9,5),TbTradesBinance[[#This Row],[Taxa]],0),8)))</f>
        <v>0</v>
      </c>
      <c r="BK107" s="145" cm="1">
        <f t="array" ref="BK107">IF(TbTradesBinance[[#This Row],[Tipo]]="EMPTY",0,BK106+IF(TbTradesBinance[[#This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Row],[Par]]))),$1:$1,0)),-(BJ106-BJ107)/BJ106*BK106),0),0)+IF(TbTradesBinance[[#This Row],[Tipo]]="SELL",IF(ISNUMBER(FIND(MID(BK$1,10,5),TbTradesBinance[[#This Row],[Par]])),IF(FIND(MID(BK$1,10,5),TbTradesBinance[[#This Row],[Par]])=1, -(BJ106-BJ107)/BJ106*BK106,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Row],[Par]])),(-(BJ106-BJ107)/BJ106*BK106)+IF(TbTradesBinance[[#This Row],[Resultado]]&gt;0,0,TbTradesBinance[[#This Row],[Taxa]]),0),0))</f>
        <v>0</v>
      </c>
      <c r="BL107" s="145">
        <f t="shared" si="36"/>
        <v>0</v>
      </c>
      <c r="BM10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Row],[Tipo]]="DROP"),BM106+TbTradesBinance[[#This Row],[Qtt]],BM106-TbTradesBinance[[#This Row],[Qtt]]),IF(TbTradesBinance[[#This Row],[Tipo]]="BUY",BM106-TbTradesBinance[[#This Row],[Qtt]]*TbTradesBinance[[#This Row],[Preço]],BM106+TbTradesBinance[[#This Row],[Qtt]]*TbTradesBinance[[#This Row],[Preço]])),BM106)-IF(TbTradesBinance[[#This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Row],[Tipo]]="DROP"),BM106+TbTradesBinance[[#This Row],[Qtt]],BM106-TbTradesBinance[[#This Row],[Qtt]]),IF(TbTradesBinance[[#This Row],[Tipo]]="BUY",BM106-TbTradesBinance[[#This Row],[Qtt]]*TbTradesBinance[[#This Row],[Preço]],BM106+TbTradesBinance[[#This Row],[Qtt]]*TbTradesBinance[[#This Row],[Preço]])),BM106)-IF(TbTradesBinance[[#This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Row],[Tipo]]="DROP"),BM106+TbTradesBinance[[#This Row],[Qtt]],BM106-TbTradesBinance[[#This Row],[Qtt]]),IF(TbTradesBinance[[#This Row],[Tipo]]="BUY",BM106-TbTradesBinance[[#This Row],[Qtt]]*TbTradesBinance[[#This Row],[Preço]],BM106+TbTradesBinance[[#This Row],[Qtt]]*TbTradesBinance[[#This Row],[Preço]])),BM106)-IF(TbTradesBinance[[#This Row],[Moeda da Taxa]]=MID(BM$1,9,5),TbTradesBinance[[#This Row],[Taxa]],0),8)))</f>
        <v>0</v>
      </c>
      <c r="BN107" s="145" cm="1">
        <f t="array" ref="BN107">IF(TbTradesBinance[[#This Row],[Tipo]]="EMPTY",0,BN106+IF(TbTradesBinance[[#This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Row],[Par]]))),$1:$1,0)),-(BM106-BM107)/BM106*BN106),0),0)+IF(TbTradesBinance[[#This Row],[Tipo]]="SELL",IF(ISNUMBER(FIND(MID(BN$1,10,5),TbTradesBinance[[#This Row],[Par]])),IF(FIND(MID(BN$1,10,5),TbTradesBinance[[#This Row],[Par]])=1, -(BM106-BM107)/BM106*BN106,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Row],[Par]])),(-(BM106-BM107)/BM106*BN106)+IF(TbTradesBinance[[#This Row],[Resultado]]&gt;0,0,TbTradesBinance[[#This Row],[Taxa]]),0),0))</f>
        <v>0</v>
      </c>
      <c r="BO107" s="145">
        <f t="shared" si="37"/>
        <v>0</v>
      </c>
    </row>
    <row r="108" spans="2:67" x14ac:dyDescent="0.3">
      <c r="B108" s="51"/>
      <c r="C108" s="40">
        <f>TRUNC(IF(AND(TbTradesBinance[[#This Row],[Tipo]]="SEND",TbTradesBinance[[#This Row],[Par]]="BRL"),TbTradesBinance[[#This Row],[Qtt]]*(1-P106)-IF(TbTradesBinance[[#This Row],[Moeda da Taxa]]="BRL",TbTradesBinance[[#This Row],[Taxa]],0),0)+IF(AND(TbTradesBinance[[#This Row],[Tipo]]="BURN",TbTradesBinance[[#This Row],[Par]]="BRL"),-TbTradesBinance[[#This Row],[Qtt]]*P106,0),2)</f>
        <v>0</v>
      </c>
      <c r="D108" s="53">
        <v>44273.704212962963</v>
      </c>
      <c r="E108" s="37" t="s">
        <v>146</v>
      </c>
      <c r="F108" s="47" t="s">
        <v>139</v>
      </c>
      <c r="G108" s="38">
        <v>29.1</v>
      </c>
      <c r="H108" s="38">
        <v>0.63</v>
      </c>
      <c r="I108" s="38">
        <v>5.325E-5</v>
      </c>
      <c r="J108" s="37" t="s">
        <v>45</v>
      </c>
      <c r="K108" s="52">
        <v>5.57</v>
      </c>
      <c r="L108" s="40">
        <f t="shared" si="19"/>
        <v>162.08000000000001</v>
      </c>
      <c r="M108" s="40">
        <f>IF(OR(TbTradesBinance[[#This Row],[Tipo]]="BUY",TbTradesBinance[[#This Row],[Tipo]]="RECEIVE",TbTradesBinance[[#This Row],[Tipo]]="DROP"),L108*H108,-L108*H108)</f>
        <v>102.11040000000001</v>
      </c>
      <c r="N10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Row],[Tipo]]="DROP"),N107+TbTradesBinance[[#This Row],[Qtt]],N107-TbTradesBinance[[#This Row],[Qtt]]),IF(TbTradesBinance[[#This Row],[Tipo]]="BUY",N107-TbTradesBinance[[#This Row],[Qtt]]*TbTradesBinance[[#This Row],[Preço]],N107+TbTradesBinance[[#This Row],[Qtt]]*TbTradesBinance[[#This Row],[Preço]])),N107)-IF(TbTradesBinance[[#This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Row],[Tipo]]="DROP"),N107+TbTradesBinance[[#This Row],[Qtt]],N107-TbTradesBinance[[#This Row],[Qtt]]),IF(TbTradesBinance[[#This Row],[Tipo]]="BUY",N107-TbTradesBinance[[#This Row],[Qtt]]*TbTradesBinance[[#This Row],[Preço]],N107+TbTradesBinance[[#This Row],[Qtt]]*TbTradesBinance[[#This Row],[Preço]])),N107)-IF(TbTradesBinance[[#This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Row],[Tipo]]="DROP"),N107+TbTradesBinance[[#This Row],[Qtt]],N107-TbTradesBinance[[#This Row],[Qtt]]),IF(TbTradesBinance[[#This Row],[Tipo]]="BUY",N107-TbTradesBinance[[#This Row],[Qtt]]*TbTradesBinance[[#This Row],[Preço]],N107+TbTradesBinance[[#This Row],[Qtt]]*TbTradesBinance[[#This Row],[Preço]])),N107)-IF(TbTradesBinance[[#This Row],[Moeda da Taxa]]=MID(N$1,9,5),TbTradesBinance[[#This Row],[Taxa]],0),8)))</f>
        <v>119745.70050707999</v>
      </c>
      <c r="O108" s="145" cm="1">
        <f t="array" ref="O108">IF(TbTradesBinance[[#This Row],[Tipo]]="EMPTY",0,O107+IF(TbTradesBinance[[#This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Row],[Par]]))),$1:$1,0)),-(N107-N108)/N107*O107),0),0)+IF(TbTradesBinance[[#This Row],[Tipo]]="SELL",IF(ISNUMBER(FIND(MID(O$1,10,5),TbTradesBinance[[#This Row],[Par]])),IF(FIND(MID(O$1,10,5),TbTradesBinance[[#This Row],[Par]])=1, -(N107-N108)/N107*O107,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Row],[Par]])),(-(N107-N108)/N107*O107)+IF(TbTradesBinance[[#This Row],[Resultado]]&gt;0,0,TbTradesBinance[[#This Row],[Taxa]]),0),0))</f>
        <v>119733.82450611531</v>
      </c>
      <c r="P108" s="145">
        <f t="shared" si="20"/>
        <v>0.99990082315344608</v>
      </c>
      <c r="Q10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Row],[Tipo]]="DROP"),Q107+TbTradesBinance[[#This Row],[Qtt]],Q107-TbTradesBinance[[#This Row],[Qtt]]),IF(TbTradesBinance[[#This Row],[Tipo]]="BUY",Q107-TbTradesBinance[[#This Row],[Qtt]]*TbTradesBinance[[#This Row],[Preço]],Q107+TbTradesBinance[[#This Row],[Qtt]]*TbTradesBinance[[#This Row],[Preço]])),Q107)-IF(TbTradesBinance[[#This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Row],[Tipo]]="DROP"),Q107+TbTradesBinance[[#This Row],[Qtt]],Q107-TbTradesBinance[[#This Row],[Qtt]]),IF(TbTradesBinance[[#This Row],[Tipo]]="BUY",Q107-TbTradesBinance[[#This Row],[Qtt]]*TbTradesBinance[[#This Row],[Preço]],Q107+TbTradesBinance[[#This Row],[Qtt]]*TbTradesBinance[[#This Row],[Preço]])),Q107)-IF(TbTradesBinance[[#This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Row],[Tipo]]="DROP"),Q107+TbTradesBinance[[#This Row],[Qtt]],Q107-TbTradesBinance[[#This Row],[Qtt]]),IF(TbTradesBinance[[#This Row],[Tipo]]="BUY",Q107-TbTradesBinance[[#This Row],[Qtt]]*TbTradesBinance[[#This Row],[Preço]],Q107+TbTradesBinance[[#This Row],[Qtt]]*TbTradesBinance[[#This Row],[Preço]])),Q107)-IF(TbTradesBinance[[#This Row],[Moeda da Taxa]]=MID(Q$1,9,5),TbTradesBinance[[#This Row],[Taxa]],0),8)))</f>
        <v>28.336091280000002</v>
      </c>
      <c r="R108" s="145" cm="1">
        <f t="array" ref="R108">IF(TbTradesBinance[[#This Row],[Tipo]]="EMPTY",0,R107+IF(TbTradesBinance[[#This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Row],[Par]]))),$1:$1,0)),-(Q107-Q108)/Q107*R107),0),0)+IF(TbTradesBinance[[#This Row],[Tipo]]="SELL",IF(ISNUMBER(FIND(MID(R$1,10,5),TbTradesBinance[[#This Row],[Par]])),IF(FIND(MID(R$1,10,5),TbTradesBinance[[#This Row],[Par]])=1, -(Q107-Q108)/Q107*R107,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Row],[Par]])),(-(Q107-Q108)/Q107*R107)+IF(TbTradesBinance[[#This Row],[Resultado]]&gt;0,0,TbTradesBinance[[#This Row],[Taxa]]),0),0))</f>
        <v>140.72737920250387</v>
      </c>
      <c r="S108" s="145">
        <f t="shared" si="21"/>
        <v>4.9663652552471547</v>
      </c>
      <c r="T10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Row],[Tipo]]="DROP"),T107+TbTradesBinance[[#This Row],[Qtt]],T107-TbTradesBinance[[#This Row],[Qtt]]),IF(TbTradesBinance[[#This Row],[Tipo]]="BUY",T107-TbTradesBinance[[#This Row],[Qtt]]*TbTradesBinance[[#This Row],[Preço]],T107+TbTradesBinance[[#This Row],[Qtt]]*TbTradesBinance[[#This Row],[Preço]])),T107)-IF(TbTradesBinance[[#This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Row],[Tipo]]="DROP"),T107+TbTradesBinance[[#This Row],[Qtt]],T107-TbTradesBinance[[#This Row],[Qtt]]),IF(TbTradesBinance[[#This Row],[Tipo]]="BUY",T107-TbTradesBinance[[#This Row],[Qtt]]*TbTradesBinance[[#This Row],[Preço]],T107+TbTradesBinance[[#This Row],[Qtt]]*TbTradesBinance[[#This Row],[Preço]])),T107)-IF(TbTradesBinance[[#This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Row],[Tipo]]="DROP"),T107+TbTradesBinance[[#This Row],[Qtt]],T107-TbTradesBinance[[#This Row],[Qtt]]),IF(TbTradesBinance[[#This Row],[Tipo]]="BUY",T107-TbTradesBinance[[#This Row],[Qtt]]*TbTradesBinance[[#This Row],[Preço]],T107+TbTradesBinance[[#This Row],[Qtt]]*TbTradesBinance[[#This Row],[Preço]])),T107)-IF(TbTradesBinance[[#This Row],[Moeda da Taxa]]=MID(T$1,9,5),TbTradesBinance[[#This Row],[Taxa]],0),8)))</f>
        <v>199735.32000169999</v>
      </c>
      <c r="U108" s="145" cm="1">
        <f t="array" ref="U108">IF(TbTradesBinance[[#This Row],[Tipo]]="EMPTY",0,U107+IF(TbTradesBinance[[#This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Row],[Par]]))),$1:$1,0)),-(T107-T108)/T107*U107),0),0)+IF(TbTradesBinance[[#This Row],[Tipo]]="SELL",IF(ISNUMBER(FIND(MID(U$1,10,5),TbTradesBinance[[#This Row],[Par]])),IF(FIND(MID(U$1,10,5),TbTradesBinance[[#This Row],[Par]])=1, -(T107-T108)/T107*U107,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Row],[Par]])),(-(T107-T108)/T107*U107)+IF(TbTradesBinance[[#This Row],[Resultado]]&gt;0,0,TbTradesBinance[[#This Row],[Taxa]]),0),0))</f>
        <v>1328239.8809817513</v>
      </c>
      <c r="V108" s="145">
        <f t="shared" si="22"/>
        <v>6.6500000148719129</v>
      </c>
      <c r="W10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Row],[Tipo]]="DROP"),W107+TbTradesBinance[[#This Row],[Qtt]],W107-TbTradesBinance[[#This Row],[Qtt]]),IF(TbTradesBinance[[#This Row],[Tipo]]="BUY",W107-TbTradesBinance[[#This Row],[Qtt]]*TbTradesBinance[[#This Row],[Preço]],W107+TbTradesBinance[[#This Row],[Qtt]]*TbTradesBinance[[#This Row],[Preço]])),W107)-IF(TbTradesBinance[[#This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Row],[Tipo]]="DROP"),W107+TbTradesBinance[[#This Row],[Qtt]],W107-TbTradesBinance[[#This Row],[Qtt]]),IF(TbTradesBinance[[#This Row],[Tipo]]="BUY",W107-TbTradesBinance[[#This Row],[Qtt]]*TbTradesBinance[[#This Row],[Preço]],W107+TbTradesBinance[[#This Row],[Qtt]]*TbTradesBinance[[#This Row],[Preço]])),W107)-IF(TbTradesBinance[[#This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Row],[Tipo]]="DROP"),W107+TbTradesBinance[[#This Row],[Qtt]],W107-TbTradesBinance[[#This Row],[Qtt]]),IF(TbTradesBinance[[#This Row],[Tipo]]="BUY",W107-TbTradesBinance[[#This Row],[Qtt]]*TbTradesBinance[[#This Row],[Preço]],W107+TbTradesBinance[[#This Row],[Qtt]]*TbTradesBinance[[#This Row],[Preço]])),W107)-IF(TbTradesBinance[[#This Row],[Moeda da Taxa]]=MID(W$1,9,5),TbTradesBinance[[#This Row],[Taxa]],0),8)))</f>
        <v>2.48036E-3</v>
      </c>
      <c r="X108" s="145" cm="1">
        <f t="array" ref="X108">IF(TbTradesBinance[[#This Row],[Tipo]]="EMPTY",0,X107+IF(TbTradesBinance[[#This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Row],[Par]]))),$1:$1,0)),-(W107-W108)/W107*X107),0),0)+IF(TbTradesBinance[[#This Row],[Tipo]]="SELL",IF(ISNUMBER(FIND(MID(X$1,10,5),TbTradesBinance[[#This Row],[Par]])),IF(FIND(MID(X$1,10,5),TbTradesBinance[[#This Row],[Par]])=1, -(W107-W108)/W107*X107,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Row],[Par]])),(-(W107-W108)/W107*X107)+IF(TbTradesBinance[[#This Row],[Resultado]]&gt;0,0,TbTradesBinance[[#This Row],[Taxa]]),0),0))</f>
        <v>832.53731315140135</v>
      </c>
      <c r="Y108" s="145">
        <f t="shared" si="23"/>
        <v>335651.8058472969</v>
      </c>
      <c r="Z10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Row],[Tipo]]="DROP"),Z107+TbTradesBinance[[#This Row],[Qtt]],Z107-TbTradesBinance[[#This Row],[Qtt]]),IF(TbTradesBinance[[#This Row],[Tipo]]="BUY",Z107-TbTradesBinance[[#This Row],[Qtt]]*TbTradesBinance[[#This Row],[Preço]],Z107+TbTradesBinance[[#This Row],[Qtt]]*TbTradesBinance[[#This Row],[Preço]])),Z107)-IF(TbTradesBinance[[#This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Row],[Tipo]]="DROP"),Z107+TbTradesBinance[[#This Row],[Qtt]],Z107-TbTradesBinance[[#This Row],[Qtt]]),IF(TbTradesBinance[[#This Row],[Tipo]]="BUY",Z107-TbTradesBinance[[#This Row],[Qtt]]*TbTradesBinance[[#This Row],[Preço]],Z107+TbTradesBinance[[#This Row],[Qtt]]*TbTradesBinance[[#This Row],[Preço]])),Z107)-IF(TbTradesBinance[[#This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Row],[Tipo]]="DROP"),Z107+TbTradesBinance[[#This Row],[Qtt]],Z107-TbTradesBinance[[#This Row],[Qtt]]),IF(TbTradesBinance[[#This Row],[Tipo]]="BUY",Z107-TbTradesBinance[[#This Row],[Qtt]]*TbTradesBinance[[#This Row],[Preço]],Z107+TbTradesBinance[[#This Row],[Qtt]]*TbTradesBinance[[#This Row],[Preço]])),Z107)-IF(TbTradesBinance[[#This Row],[Moeda da Taxa]]=MID(Z$1,9,5),TbTradesBinance[[#This Row],[Taxa]],0),8)))</f>
        <v>2.0629350000000001E-2</v>
      </c>
      <c r="AA108" s="145" cm="1">
        <f t="array" ref="AA108">IF(TbTradesBinance[[#This Row],[Tipo]]="EMPTY",0,AA107+IF(TbTradesBinance[[#This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Row],[Par]]))),$1:$1,0)),-(Z107-Z108)/Z107*AA107),0),0)+IF(TbTradesBinance[[#This Row],[Tipo]]="SELL",IF(ISNUMBER(FIND(MID(AA$1,10,5),TbTradesBinance[[#This Row],[Par]])),IF(FIND(MID(AA$1,10,5),TbTradesBinance[[#This Row],[Par]])=1, -(Z107-Z108)/Z107*AA107,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Row],[Par]])),(-(Z107-Z108)/Z107*AA107)+IF(TbTradesBinance[[#This Row],[Resultado]]&gt;0,0,TbTradesBinance[[#This Row],[Taxa]]),0),0))</f>
        <v>214.62129483695568</v>
      </c>
      <c r="AB108" s="145">
        <f t="shared" si="24"/>
        <v>10403.686729681531</v>
      </c>
      <c r="AC10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Row],[Tipo]]="DROP"),AC107+TbTradesBinance[[#This Row],[Qtt]],AC107-TbTradesBinance[[#This Row],[Qtt]]),IF(TbTradesBinance[[#This Row],[Tipo]]="BUY",AC107-TbTradesBinance[[#This Row],[Qtt]]*TbTradesBinance[[#This Row],[Preço]],AC107+TbTradesBinance[[#This Row],[Qtt]]*TbTradesBinance[[#This Row],[Preço]])),AC107)-IF(TbTradesBinance[[#This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Row],[Tipo]]="DROP"),AC107+TbTradesBinance[[#This Row],[Qtt]],AC107-TbTradesBinance[[#This Row],[Qtt]]),IF(TbTradesBinance[[#This Row],[Tipo]]="BUY",AC107-TbTradesBinance[[#This Row],[Qtt]]*TbTradesBinance[[#This Row],[Preço]],AC107+TbTradesBinance[[#This Row],[Qtt]]*TbTradesBinance[[#This Row],[Preço]])),AC107)-IF(TbTradesBinance[[#This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Row],[Tipo]]="DROP"),AC107+TbTradesBinance[[#This Row],[Qtt]],AC107-TbTradesBinance[[#This Row],[Qtt]]),IF(TbTradesBinance[[#This Row],[Tipo]]="BUY",AC107-TbTradesBinance[[#This Row],[Qtt]]*TbTradesBinance[[#This Row],[Preço]],AC107+TbTradesBinance[[#This Row],[Qtt]]*TbTradesBinance[[#This Row],[Preço]])),AC107)-IF(TbTradesBinance[[#This Row],[Moeda da Taxa]]=MID(AC$1,9,5),TbTradesBinance[[#This Row],[Taxa]],0),8)))</f>
        <v>9.6999E-4</v>
      </c>
      <c r="AD108" s="145" cm="1">
        <f t="array" ref="AD108">IF(TbTradesBinance[[#This Row],[Tipo]]="EMPTY",0,AD107+IF(TbTradesBinance[[#This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Row],[Par]]))),$1:$1,0)),-(AC107-AC108)/AC107*AD107),0),0)+IF(TbTradesBinance[[#This Row],[Tipo]]="SELL",IF(ISNUMBER(FIND(MID(AD$1,10,5),TbTradesBinance[[#This Row],[Par]])),IF(FIND(MID(AD$1,10,5),TbTradesBinance[[#This Row],[Par]])=1, -(AC107-AC108)/AC107*AD107,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Row],[Par]])),(-(AC107-AC108)/AC107*AD107)+IF(TbTradesBinance[[#This Row],[Resultado]]&gt;0,0,TbTradesBinance[[#This Row],[Taxa]]),0),0))</f>
        <v>1.9483868939812083</v>
      </c>
      <c r="AE108" s="145">
        <f t="shared" si="25"/>
        <v>2008.6669903619711</v>
      </c>
      <c r="AF10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Row],[Tipo]]="DROP"),AF107+TbTradesBinance[[#This Row],[Qtt]],AF107-TbTradesBinance[[#This Row],[Qtt]]),IF(TbTradesBinance[[#This Row],[Tipo]]="BUY",AF107-TbTradesBinance[[#This Row],[Qtt]]*TbTradesBinance[[#This Row],[Preço]],AF107+TbTradesBinance[[#This Row],[Qtt]]*TbTradesBinance[[#This Row],[Preço]])),AF107)-IF(TbTradesBinance[[#This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Row],[Tipo]]="DROP"),AF107+TbTradesBinance[[#This Row],[Qtt]],AF107-TbTradesBinance[[#This Row],[Qtt]]),IF(TbTradesBinance[[#This Row],[Tipo]]="BUY",AF107-TbTradesBinance[[#This Row],[Qtt]]*TbTradesBinance[[#This Row],[Preço]],AF107+TbTradesBinance[[#This Row],[Qtt]]*TbTradesBinance[[#This Row],[Preço]])),AF107)-IF(TbTradesBinance[[#This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Row],[Tipo]]="DROP"),AF107+TbTradesBinance[[#This Row],[Qtt]],AF107-TbTradesBinance[[#This Row],[Qtt]]),IF(TbTradesBinance[[#This Row],[Tipo]]="BUY",AF107-TbTradesBinance[[#This Row],[Qtt]]*TbTradesBinance[[#This Row],[Preço]],AF107+TbTradesBinance[[#This Row],[Qtt]]*TbTradesBinance[[#This Row],[Preço]])),AF107)-IF(TbTradesBinance[[#This Row],[Moeda da Taxa]]=MID(AF$1,9,5),TbTradesBinance[[#This Row],[Taxa]],0),8)))</f>
        <v>0.08</v>
      </c>
      <c r="AG108" s="145" cm="1">
        <f t="array" ref="AG108">IF(TbTradesBinance[[#This Row],[Tipo]]="EMPTY",0,AG107+IF(TbTradesBinance[[#This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Row],[Par]]))),$1:$1,0)),-(AF107-AF108)/AF107*AG107),0),0)+IF(TbTradesBinance[[#This Row],[Tipo]]="SELL",IF(ISNUMBER(FIND(MID(AG$1,10,5),TbTradesBinance[[#This Row],[Par]])),IF(FIND(MID(AG$1,10,5),TbTradesBinance[[#This Row],[Par]])=1, -(AF107-AF108)/AF107*AG107,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Row],[Par]])),(-(AF107-AF108)/AF107*AG107)+IF(TbTradesBinance[[#This Row],[Resultado]]&gt;0,0,TbTradesBinance[[#This Row],[Taxa]]),0),0))</f>
        <v>0.49666397429723474</v>
      </c>
      <c r="AH108" s="145">
        <f t="shared" si="26"/>
        <v>6.2082996787154343</v>
      </c>
      <c r="AI10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Row],[Tipo]]="DROP"),AI107+TbTradesBinance[[#This Row],[Qtt]],AI107-TbTradesBinance[[#This Row],[Qtt]]),IF(TbTradesBinance[[#This Row],[Tipo]]="BUY",AI107-TbTradesBinance[[#This Row],[Qtt]]*TbTradesBinance[[#This Row],[Preço]],AI107+TbTradesBinance[[#This Row],[Qtt]]*TbTradesBinance[[#This Row],[Preço]])),AI107)-IF(TbTradesBinance[[#This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Row],[Tipo]]="DROP"),AI107+TbTradesBinance[[#This Row],[Qtt]],AI107-TbTradesBinance[[#This Row],[Qtt]]),IF(TbTradesBinance[[#This Row],[Tipo]]="BUY",AI107-TbTradesBinance[[#This Row],[Qtt]]*TbTradesBinance[[#This Row],[Preço]],AI107+TbTradesBinance[[#This Row],[Qtt]]*TbTradesBinance[[#This Row],[Preço]])),AI107)-IF(TbTradesBinance[[#This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Row],[Tipo]]="DROP"),AI107+TbTradesBinance[[#This Row],[Qtt]],AI107-TbTradesBinance[[#This Row],[Qtt]]),IF(TbTradesBinance[[#This Row],[Tipo]]="BUY",AI107-TbTradesBinance[[#This Row],[Qtt]]*TbTradesBinance[[#This Row],[Preço]],AI107+TbTradesBinance[[#This Row],[Qtt]]*TbTradesBinance[[#This Row],[Preço]])),AI107)-IF(TbTradesBinance[[#This Row],[Moeda da Taxa]]=MID(AI$1,9,5),TbTradesBinance[[#This Row],[Taxa]],0),8)))</f>
        <v>0</v>
      </c>
      <c r="AJ108" s="145" cm="1">
        <f t="array" ref="AJ108">IF(TbTradesBinance[[#This Row],[Tipo]]="EMPTY",0,AJ107+IF(TbTradesBinance[[#This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Row],[Par]]))),$1:$1,0)),-(AI107-AI108)/AI107*AJ107),0),0)+IF(TbTradesBinance[[#This Row],[Tipo]]="SELL",IF(ISNUMBER(FIND(MID(AJ$1,10,5),TbTradesBinance[[#This Row],[Par]])),IF(FIND(MID(AJ$1,10,5),TbTradesBinance[[#This Row],[Par]])=1, -(AI107-AI108)/AI107*AJ107,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Row],[Par]])),(-(AI107-AI108)/AI107*AJ107)+IF(TbTradesBinance[[#This Row],[Resultado]]&gt;0,0,TbTradesBinance[[#This Row],[Taxa]]),0),0))</f>
        <v>0</v>
      </c>
      <c r="AK108" s="145">
        <f t="shared" si="27"/>
        <v>0</v>
      </c>
      <c r="AL10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Row],[Tipo]]="DROP"),AL107+TbTradesBinance[[#This Row],[Qtt]],AL107-TbTradesBinance[[#This Row],[Qtt]]),IF(TbTradesBinance[[#This Row],[Tipo]]="BUY",AL107-TbTradesBinance[[#This Row],[Qtt]]*TbTradesBinance[[#This Row],[Preço]],AL107+TbTradesBinance[[#This Row],[Qtt]]*TbTradesBinance[[#This Row],[Preço]])),AL107)-IF(TbTradesBinance[[#This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Row],[Tipo]]="DROP"),AL107+TbTradesBinance[[#This Row],[Qtt]],AL107-TbTradesBinance[[#This Row],[Qtt]]),IF(TbTradesBinance[[#This Row],[Tipo]]="BUY",AL107-TbTradesBinance[[#This Row],[Qtt]]*TbTradesBinance[[#This Row],[Preço]],AL107+TbTradesBinance[[#This Row],[Qtt]]*TbTradesBinance[[#This Row],[Preço]])),AL107)-IF(TbTradesBinance[[#This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Row],[Tipo]]="DROP"),AL107+TbTradesBinance[[#This Row],[Qtt]],AL107-TbTradesBinance[[#This Row],[Qtt]]),IF(TbTradesBinance[[#This Row],[Tipo]]="BUY",AL107-TbTradesBinance[[#This Row],[Qtt]]*TbTradesBinance[[#This Row],[Preço]],AL107+TbTradesBinance[[#This Row],[Qtt]]*TbTradesBinance[[#This Row],[Preço]])),AL107)-IF(TbTradesBinance[[#This Row],[Moeda da Taxa]]=MID(AL$1,9,5),TbTradesBinance[[#This Row],[Taxa]],0),8)))</f>
        <v>8.2400000000000008E-3</v>
      </c>
      <c r="AM108" s="145" cm="1">
        <f t="array" ref="AM108">IF(TbTradesBinance[[#This Row],[Tipo]]="EMPTY",0,AM107+IF(TbTradesBinance[[#This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Row],[Par]]))),$1:$1,0)),-(AL107-AL108)/AL107*AM107),0),0)+IF(TbTradesBinance[[#This Row],[Tipo]]="SELL",IF(ISNUMBER(FIND(MID(AM$1,10,5),TbTradesBinance[[#This Row],[Par]])),IF(FIND(MID(AM$1,10,5),TbTradesBinance[[#This Row],[Par]])=1, -(AL107-AL108)/AL107*AM107,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Row],[Par]])),(-(AL107-AL108)/AL107*AM107)+IF(TbTradesBinance[[#This Row],[Resultado]]&gt;0,0,TbTradesBinance[[#This Row],[Taxa]]),0),0))</f>
        <v>0.67751089887772764</v>
      </c>
      <c r="AN108" s="145">
        <f t="shared" si="28"/>
        <v>82.222196465743636</v>
      </c>
      <c r="AO10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Row],[Tipo]]="DROP"),AO107+TbTradesBinance[[#This Row],[Qtt]],AO107-TbTradesBinance[[#This Row],[Qtt]]),IF(TbTradesBinance[[#This Row],[Tipo]]="BUY",AO107-TbTradesBinance[[#This Row],[Qtt]]*TbTradesBinance[[#This Row],[Preço]],AO107+TbTradesBinance[[#This Row],[Qtt]]*TbTradesBinance[[#This Row],[Preço]])),AO107)-IF(TbTradesBinance[[#This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Row],[Tipo]]="DROP"),AO107+TbTradesBinance[[#This Row],[Qtt]],AO107-TbTradesBinance[[#This Row],[Qtt]]),IF(TbTradesBinance[[#This Row],[Tipo]]="BUY",AO107-TbTradesBinance[[#This Row],[Qtt]]*TbTradesBinance[[#This Row],[Preço]],AO107+TbTradesBinance[[#This Row],[Qtt]]*TbTradesBinance[[#This Row],[Preço]])),AO107)-IF(TbTradesBinance[[#This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Row],[Tipo]]="DROP"),AO107+TbTradesBinance[[#This Row],[Qtt]],AO107-TbTradesBinance[[#This Row],[Qtt]]),IF(TbTradesBinance[[#This Row],[Tipo]]="BUY",AO107-TbTradesBinance[[#This Row],[Qtt]]*TbTradesBinance[[#This Row],[Preço]],AO107+TbTradesBinance[[#This Row],[Qtt]]*TbTradesBinance[[#This Row],[Preço]])),AO107)-IF(TbTradesBinance[[#This Row],[Moeda da Taxa]]=MID(AO$1,9,5),TbTradesBinance[[#This Row],[Taxa]],0),8)))</f>
        <v>7.4803289999999995E-2</v>
      </c>
      <c r="AP108" s="145" cm="1">
        <f t="array" ref="AP108">IF(TbTradesBinance[[#This Row],[Tipo]]="EMPTY",0,AP107+IF(TbTradesBinance[[#This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Row],[Par]]))),$1:$1,0)),-(AO107-AO108)/AO107*AP107),0),0)+IF(TbTradesBinance[[#This Row],[Tipo]]="SELL",IF(ISNUMBER(FIND(MID(AP$1,10,5),TbTradesBinance[[#This Row],[Par]])),IF(FIND(MID(AP$1,10,5),TbTradesBinance[[#This Row],[Par]])=1, -(AO107-AO108)/AO107*AP107,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Row],[Par]])),(-(AO107-AO108)/AO107*AP107)+IF(TbTradesBinance[[#This Row],[Resultado]]&gt;0,0,TbTradesBinance[[#This Row],[Taxa]]),0),0))</f>
        <v>113.87766627073657</v>
      </c>
      <c r="AQ108" s="145">
        <f t="shared" si="29"/>
        <v>1522.3617339656662</v>
      </c>
      <c r="AR10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Row],[Tipo]]="DROP"),AR107+TbTradesBinance[[#This Row],[Qtt]],AR107-TbTradesBinance[[#This Row],[Qtt]]),IF(TbTradesBinance[[#This Row],[Tipo]]="BUY",AR107-TbTradesBinance[[#This Row],[Qtt]]*TbTradesBinance[[#This Row],[Preço]],AR107+TbTradesBinance[[#This Row],[Qtt]]*TbTradesBinance[[#This Row],[Preço]])),AR107)-IF(TbTradesBinance[[#This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Row],[Tipo]]="DROP"),AR107+TbTradesBinance[[#This Row],[Qtt]],AR107-TbTradesBinance[[#This Row],[Qtt]]),IF(TbTradesBinance[[#This Row],[Tipo]]="BUY",AR107-TbTradesBinance[[#This Row],[Qtt]]*TbTradesBinance[[#This Row],[Preço]],AR107+TbTradesBinance[[#This Row],[Qtt]]*TbTradesBinance[[#This Row],[Preço]])),AR107)-IF(TbTradesBinance[[#This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Row],[Tipo]]="DROP"),AR107+TbTradesBinance[[#This Row],[Qtt]],AR107-TbTradesBinance[[#This Row],[Qtt]]),IF(TbTradesBinance[[#This Row],[Tipo]]="BUY",AR107-TbTradesBinance[[#This Row],[Qtt]]*TbTradesBinance[[#This Row],[Preço]],AR107+TbTradesBinance[[#This Row],[Qtt]]*TbTradesBinance[[#This Row],[Preço]])),AR107)-IF(TbTradesBinance[[#This Row],[Moeda da Taxa]]=MID(AR$1,9,5),TbTradesBinance[[#This Row],[Taxa]],0),8)))</f>
        <v>61.251199999999997</v>
      </c>
      <c r="AS108" s="145" cm="1">
        <f t="array" ref="AS108">IF(TbTradesBinance[[#This Row],[Tipo]]="EMPTY",0,AS107+IF(TbTradesBinance[[#This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Row],[Par]]))),$1:$1,0)),-(AR107-AR108)/AR107*AS107),0),0)+IF(TbTradesBinance[[#This Row],[Tipo]]="SELL",IF(ISNUMBER(FIND(MID(AS$1,10,5),TbTradesBinance[[#This Row],[Par]])),IF(FIND(MID(AS$1,10,5),TbTradesBinance[[#This Row],[Par]])=1, -(AR107-AR108)/AR107*AS107,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Row],[Par]])),(-(AR107-AR108)/AR107*AS107)+IF(TbTradesBinance[[#This Row],[Resultado]]&gt;0,0,TbTradesBinance[[#This Row],[Taxa]]),0),0))</f>
        <v>230.84001376053044</v>
      </c>
      <c r="AT108" s="145">
        <f t="shared" si="30"/>
        <v>3.7687427146003745</v>
      </c>
      <c r="AU10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Row],[Tipo]]="DROP"),AU107+TbTradesBinance[[#This Row],[Qtt]],AU107-TbTradesBinance[[#This Row],[Qtt]]),IF(TbTradesBinance[[#This Row],[Tipo]]="BUY",AU107-TbTradesBinance[[#This Row],[Qtt]]*TbTradesBinance[[#This Row],[Preço]],AU107+TbTradesBinance[[#This Row],[Qtt]]*TbTradesBinance[[#This Row],[Preço]])),AU107)-IF(TbTradesBinance[[#This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Row],[Tipo]]="DROP"),AU107+TbTradesBinance[[#This Row],[Qtt]],AU107-TbTradesBinance[[#This Row],[Qtt]]),IF(TbTradesBinance[[#This Row],[Tipo]]="BUY",AU107-TbTradesBinance[[#This Row],[Qtt]]*TbTradesBinance[[#This Row],[Preço]],AU107+TbTradesBinance[[#This Row],[Qtt]]*TbTradesBinance[[#This Row],[Preço]])),AU107)-IF(TbTradesBinance[[#This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Row],[Tipo]]="DROP"),AU107+TbTradesBinance[[#This Row],[Qtt]],AU107-TbTradesBinance[[#This Row],[Qtt]]),IF(TbTradesBinance[[#This Row],[Tipo]]="BUY",AU107-TbTradesBinance[[#This Row],[Qtt]]*TbTradesBinance[[#This Row],[Preço]],AU107+TbTradesBinance[[#This Row],[Qtt]]*TbTradesBinance[[#This Row],[Preço]])),AU107)-IF(TbTradesBinance[[#This Row],[Moeda da Taxa]]=MID(AU$1,9,5),TbTradesBinance[[#This Row],[Taxa]],0),8)))</f>
        <v>0</v>
      </c>
      <c r="AV108" s="145" cm="1">
        <f t="array" ref="AV108">IF(TbTradesBinance[[#This Row],[Tipo]]="EMPTY",0,AV107+IF(TbTradesBinance[[#This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Row],[Par]]))),$1:$1,0)),-(AU107-AU108)/AU107*AV107),0),0)+IF(TbTradesBinance[[#This Row],[Tipo]]="SELL",IF(ISNUMBER(FIND(MID(AV$1,10,5),TbTradesBinance[[#This Row],[Par]])),IF(FIND(MID(AV$1,10,5),TbTradesBinance[[#This Row],[Par]])=1, -(AU107-AU108)/AU107*AV107,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Row],[Par]])),(-(AU107-AU108)/AU107*AV107)+IF(TbTradesBinance[[#This Row],[Resultado]]&gt;0,0,TbTradesBinance[[#This Row],[Taxa]]),0),0))</f>
        <v>0</v>
      </c>
      <c r="AW108" s="145">
        <f t="shared" si="31"/>
        <v>0</v>
      </c>
      <c r="AX10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Row],[Tipo]]="DROP"),AX107+TbTradesBinance[[#This Row],[Qtt]],AX107-TbTradesBinance[[#This Row],[Qtt]]),IF(TbTradesBinance[[#This Row],[Tipo]]="BUY",AX107-TbTradesBinance[[#This Row],[Qtt]]*TbTradesBinance[[#This Row],[Preço]],AX107+TbTradesBinance[[#This Row],[Qtt]]*TbTradesBinance[[#This Row],[Preço]])),AX107)-IF(TbTradesBinance[[#This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Row],[Tipo]]="DROP"),AX107+TbTradesBinance[[#This Row],[Qtt]],AX107-TbTradesBinance[[#This Row],[Qtt]]),IF(TbTradesBinance[[#This Row],[Tipo]]="BUY",AX107-TbTradesBinance[[#This Row],[Qtt]]*TbTradesBinance[[#This Row],[Preço]],AX107+TbTradesBinance[[#This Row],[Qtt]]*TbTradesBinance[[#This Row],[Preço]])),AX107)-IF(TbTradesBinance[[#This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Row],[Tipo]]="DROP"),AX107+TbTradesBinance[[#This Row],[Qtt]],AX107-TbTradesBinance[[#This Row],[Qtt]]),IF(TbTradesBinance[[#This Row],[Tipo]]="BUY",AX107-TbTradesBinance[[#This Row],[Qtt]]*TbTradesBinance[[#This Row],[Preço]],AX107+TbTradesBinance[[#This Row],[Qtt]]*TbTradesBinance[[#This Row],[Preço]])),AX107)-IF(TbTradesBinance[[#This Row],[Moeda da Taxa]]=MID(AX$1,9,5),TbTradesBinance[[#This Row],[Taxa]],0),8)))</f>
        <v>0.85636999999999996</v>
      </c>
      <c r="AY108" s="145" cm="1">
        <f t="array" ref="AY108">IF(TbTradesBinance[[#This Row],[Tipo]]="EMPTY",0,AY107+IF(TbTradesBinance[[#This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Row],[Par]]))),$1:$1,0)),-(AX107-AX108)/AX107*AY107),0),0)+IF(TbTradesBinance[[#This Row],[Tipo]]="SELL",IF(ISNUMBER(FIND(MID(AY$1,10,5),TbTradesBinance[[#This Row],[Par]])),IF(FIND(MID(AY$1,10,5),TbTradesBinance[[#This Row],[Par]])=1, -(AX107-AX108)/AX107*AY107,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Row],[Par]])),(-(AX107-AX108)/AX107*AY107)+IF(TbTradesBinance[[#This Row],[Resultado]]&gt;0,0,TbTradesBinance[[#This Row],[Taxa]]),0),0))</f>
        <v>131.82971181780295</v>
      </c>
      <c r="AZ108" s="145">
        <f t="shared" si="32"/>
        <v>153.94013314081874</v>
      </c>
      <c r="BA10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Row],[Tipo]]="DROP"),BA107+TbTradesBinance[[#This Row],[Qtt]],BA107-TbTradesBinance[[#This Row],[Qtt]]),IF(TbTradesBinance[[#This Row],[Tipo]]="BUY",BA107-TbTradesBinance[[#This Row],[Qtt]]*TbTradesBinance[[#This Row],[Preço]],BA107+TbTradesBinance[[#This Row],[Qtt]]*TbTradesBinance[[#This Row],[Preço]])),BA107)-IF(TbTradesBinance[[#This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Row],[Tipo]]="DROP"),BA107+TbTradesBinance[[#This Row],[Qtt]],BA107-TbTradesBinance[[#This Row],[Qtt]]),IF(TbTradesBinance[[#This Row],[Tipo]]="BUY",BA107-TbTradesBinance[[#This Row],[Qtt]]*TbTradesBinance[[#This Row],[Preço]],BA107+TbTradesBinance[[#This Row],[Qtt]]*TbTradesBinance[[#This Row],[Preço]])),BA107)-IF(TbTradesBinance[[#This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Row],[Tipo]]="DROP"),BA107+TbTradesBinance[[#This Row],[Qtt]],BA107-TbTradesBinance[[#This Row],[Qtt]]),IF(TbTradesBinance[[#This Row],[Tipo]]="BUY",BA107-TbTradesBinance[[#This Row],[Qtt]]*TbTradesBinance[[#This Row],[Preço]],BA107+TbTradesBinance[[#This Row],[Qtt]]*TbTradesBinance[[#This Row],[Preço]])),BA107)-IF(TbTradesBinance[[#This Row],[Moeda da Taxa]]=MID(BA$1,9,5),TbTradesBinance[[#This Row],[Taxa]],0),8)))</f>
        <v>0</v>
      </c>
      <c r="BB108" s="145" cm="1">
        <f t="array" ref="BB108">IF(TbTradesBinance[[#This Row],[Tipo]]="EMPTY",0,BB107+IF(TbTradesBinance[[#This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Row],[Par]]))),$1:$1,0)),-(BA107-BA108)/BA107*BB107),0),0)+IF(TbTradesBinance[[#This Row],[Tipo]]="SELL",IF(ISNUMBER(FIND(MID(BB$1,10,5),TbTradesBinance[[#This Row],[Par]])),IF(FIND(MID(BB$1,10,5),TbTradesBinance[[#This Row],[Par]])=1, -(BA107-BA108)/BA107*BB107,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Row],[Par]])),(-(BA107-BA108)/BA107*BB107)+IF(TbTradesBinance[[#This Row],[Resultado]]&gt;0,0,TbTradesBinance[[#This Row],[Taxa]]),0),0))</f>
        <v>0</v>
      </c>
      <c r="BC108" s="145">
        <f t="shared" si="33"/>
        <v>0</v>
      </c>
      <c r="BD10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Row],[Tipo]]="DROP"),BD107+TbTradesBinance[[#This Row],[Qtt]],BD107-TbTradesBinance[[#This Row],[Qtt]]),IF(TbTradesBinance[[#This Row],[Tipo]]="BUY",BD107-TbTradesBinance[[#This Row],[Qtt]]*TbTradesBinance[[#This Row],[Preço]],BD107+TbTradesBinance[[#This Row],[Qtt]]*TbTradesBinance[[#This Row],[Preço]])),BD107)-IF(TbTradesBinance[[#This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Row],[Tipo]]="DROP"),BD107+TbTradesBinance[[#This Row],[Qtt]],BD107-TbTradesBinance[[#This Row],[Qtt]]),IF(TbTradesBinance[[#This Row],[Tipo]]="BUY",BD107-TbTradesBinance[[#This Row],[Qtt]]*TbTradesBinance[[#This Row],[Preço]],BD107+TbTradesBinance[[#This Row],[Qtt]]*TbTradesBinance[[#This Row],[Preço]])),BD107)-IF(TbTradesBinance[[#This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Row],[Tipo]]="DROP"),BD107+TbTradesBinance[[#This Row],[Qtt]],BD107-TbTradesBinance[[#This Row],[Qtt]]),IF(TbTradesBinance[[#This Row],[Tipo]]="BUY",BD107-TbTradesBinance[[#This Row],[Qtt]]*TbTradesBinance[[#This Row],[Preço]],BD107+TbTradesBinance[[#This Row],[Qtt]]*TbTradesBinance[[#This Row],[Preço]])),BD107)-IF(TbTradesBinance[[#This Row],[Moeda da Taxa]]=MID(BD$1,9,5),TbTradesBinance[[#This Row],[Taxa]],0),8)))</f>
        <v>0.56906000000000001</v>
      </c>
      <c r="BE108" s="145" cm="1">
        <f t="array" ref="BE108">IF(TbTradesBinance[[#This Row],[Tipo]]="EMPTY",0,BE107+IF(TbTradesBinance[[#This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Row],[Par]]))),$1:$1,0)),-(BD107-BD108)/BD107*BE107),0),0)+IF(TbTradesBinance[[#This Row],[Tipo]]="SELL",IF(ISNUMBER(FIND(MID(BE$1,10,5),TbTradesBinance[[#This Row],[Par]])),IF(FIND(MID(BE$1,10,5),TbTradesBinance[[#This Row],[Par]])=1, -(BD107-BD108)/BD107*BE107,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Row],[Par]])),(-(BD107-BD108)/BD107*BE107)+IF(TbTradesBinance[[#This Row],[Resultado]]&gt;0,0,TbTradesBinance[[#This Row],[Taxa]]),0),0))</f>
        <v>105.81619120195663</v>
      </c>
      <c r="BF108" s="145">
        <f t="shared" si="34"/>
        <v>185.94909359638109</v>
      </c>
      <c r="BG10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Row],[Tipo]]="DROP"),BG107+TbTradesBinance[[#This Row],[Qtt]],BG107-TbTradesBinance[[#This Row],[Qtt]]),IF(TbTradesBinance[[#This Row],[Tipo]]="BUY",BG107-TbTradesBinance[[#This Row],[Qtt]]*TbTradesBinance[[#This Row],[Preço]],BG107+TbTradesBinance[[#This Row],[Qtt]]*TbTradesBinance[[#This Row],[Preço]])),BG107)-IF(TbTradesBinance[[#This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Row],[Tipo]]="DROP"),BG107+TbTradesBinance[[#This Row],[Qtt]],BG107-TbTradesBinance[[#This Row],[Qtt]]),IF(TbTradesBinance[[#This Row],[Tipo]]="BUY",BG107-TbTradesBinance[[#This Row],[Qtt]]*TbTradesBinance[[#This Row],[Preço]],BG107+TbTradesBinance[[#This Row],[Qtt]]*TbTradesBinance[[#This Row],[Preço]])),BG107)-IF(TbTradesBinance[[#This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Row],[Tipo]]="DROP"),BG107+TbTradesBinance[[#This Row],[Qtt]],BG107-TbTradesBinance[[#This Row],[Qtt]]),IF(TbTradesBinance[[#This Row],[Tipo]]="BUY",BG107-TbTradesBinance[[#This Row],[Qtt]]*TbTradesBinance[[#This Row],[Preço]],BG107+TbTradesBinance[[#This Row],[Qtt]]*TbTradesBinance[[#This Row],[Preço]])),BG107)-IF(TbTradesBinance[[#This Row],[Moeda da Taxa]]=MID(BG$1,9,5),TbTradesBinance[[#This Row],[Taxa]],0),8)))</f>
        <v>0</v>
      </c>
      <c r="BH108" s="145" cm="1">
        <f t="array" ref="BH108">IF(TbTradesBinance[[#This Row],[Tipo]]="EMPTY",0,BH107+IF(TbTradesBinance[[#This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Row],[Par]]))),$1:$1,0)),-(BG107-BG108)/BG107*BH107),0),0)+IF(TbTradesBinance[[#This Row],[Tipo]]="SELL",IF(ISNUMBER(FIND(MID(BH$1,10,5),TbTradesBinance[[#This Row],[Par]])),IF(FIND(MID(BH$1,10,5),TbTradesBinance[[#This Row],[Par]])=1, -(BG107-BG108)/BG107*BH107,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Row],[Par]])),(-(BG107-BG108)/BG107*BH107)+IF(TbTradesBinance[[#This Row],[Resultado]]&gt;0,0,TbTradesBinance[[#This Row],[Taxa]]),0),0))</f>
        <v>0</v>
      </c>
      <c r="BI108" s="145">
        <f t="shared" si="35"/>
        <v>0</v>
      </c>
      <c r="BJ10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Row],[Tipo]]="DROP"),BJ107+TbTradesBinance[[#This Row],[Qtt]],BJ107-TbTradesBinance[[#This Row],[Qtt]]),IF(TbTradesBinance[[#This Row],[Tipo]]="BUY",BJ107-TbTradesBinance[[#This Row],[Qtt]]*TbTradesBinance[[#This Row],[Preço]],BJ107+TbTradesBinance[[#This Row],[Qtt]]*TbTradesBinance[[#This Row],[Preço]])),BJ107)-IF(TbTradesBinance[[#This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Row],[Tipo]]="DROP"),BJ107+TbTradesBinance[[#This Row],[Qtt]],BJ107-TbTradesBinance[[#This Row],[Qtt]]),IF(TbTradesBinance[[#This Row],[Tipo]]="BUY",BJ107-TbTradesBinance[[#This Row],[Qtt]]*TbTradesBinance[[#This Row],[Preço]],BJ107+TbTradesBinance[[#This Row],[Qtt]]*TbTradesBinance[[#This Row],[Preço]])),BJ107)-IF(TbTradesBinance[[#This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Row],[Tipo]]="DROP"),BJ107+TbTradesBinance[[#This Row],[Qtt]],BJ107-TbTradesBinance[[#This Row],[Qtt]]),IF(TbTradesBinance[[#This Row],[Tipo]]="BUY",BJ107-TbTradesBinance[[#This Row],[Qtt]]*TbTradesBinance[[#This Row],[Preço]],BJ107+TbTradesBinance[[#This Row],[Qtt]]*TbTradesBinance[[#This Row],[Preço]])),BJ107)-IF(TbTradesBinance[[#This Row],[Moeda da Taxa]]=MID(BJ$1,9,5),TbTradesBinance[[#This Row],[Taxa]],0),8)))</f>
        <v>0</v>
      </c>
      <c r="BK108" s="145" cm="1">
        <f t="array" ref="BK108">IF(TbTradesBinance[[#This Row],[Tipo]]="EMPTY",0,BK107+IF(TbTradesBinance[[#This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Row],[Par]]))),$1:$1,0)),-(BJ107-BJ108)/BJ107*BK107),0),0)+IF(TbTradesBinance[[#This Row],[Tipo]]="SELL",IF(ISNUMBER(FIND(MID(BK$1,10,5),TbTradesBinance[[#This Row],[Par]])),IF(FIND(MID(BK$1,10,5),TbTradesBinance[[#This Row],[Par]])=1, -(BJ107-BJ108)/BJ107*BK107,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Row],[Par]])),(-(BJ107-BJ108)/BJ107*BK107)+IF(TbTradesBinance[[#This Row],[Resultado]]&gt;0,0,TbTradesBinance[[#This Row],[Taxa]]),0),0))</f>
        <v>0</v>
      </c>
      <c r="BL108" s="145">
        <f t="shared" si="36"/>
        <v>0</v>
      </c>
      <c r="BM10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Row],[Tipo]]="DROP"),BM107+TbTradesBinance[[#This Row],[Qtt]],BM107-TbTradesBinance[[#This Row],[Qtt]]),IF(TbTradesBinance[[#This Row],[Tipo]]="BUY",BM107-TbTradesBinance[[#This Row],[Qtt]]*TbTradesBinance[[#This Row],[Preço]],BM107+TbTradesBinance[[#This Row],[Qtt]]*TbTradesBinance[[#This Row],[Preço]])),BM107)-IF(TbTradesBinance[[#This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Row],[Tipo]]="DROP"),BM107+TbTradesBinance[[#This Row],[Qtt]],BM107-TbTradesBinance[[#This Row],[Qtt]]),IF(TbTradesBinance[[#This Row],[Tipo]]="BUY",BM107-TbTradesBinance[[#This Row],[Qtt]]*TbTradesBinance[[#This Row],[Preço]],BM107+TbTradesBinance[[#This Row],[Qtt]]*TbTradesBinance[[#This Row],[Preço]])),BM107)-IF(TbTradesBinance[[#This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Row],[Tipo]]="DROP"),BM107+TbTradesBinance[[#This Row],[Qtt]],BM107-TbTradesBinance[[#This Row],[Qtt]]),IF(TbTradesBinance[[#This Row],[Tipo]]="BUY",BM107-TbTradesBinance[[#This Row],[Qtt]]*TbTradesBinance[[#This Row],[Preço]],BM107+TbTradesBinance[[#This Row],[Qtt]]*TbTradesBinance[[#This Row],[Preço]])),BM107)-IF(TbTradesBinance[[#This Row],[Moeda da Taxa]]=MID(BM$1,9,5),TbTradesBinance[[#This Row],[Taxa]],0),8)))</f>
        <v>0</v>
      </c>
      <c r="BN108" s="145" cm="1">
        <f t="array" ref="BN108">IF(TbTradesBinance[[#This Row],[Tipo]]="EMPTY",0,BN107+IF(TbTradesBinance[[#This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Row],[Par]]))),$1:$1,0)),-(BM107-BM108)/BM107*BN107),0),0)+IF(TbTradesBinance[[#This Row],[Tipo]]="SELL",IF(ISNUMBER(FIND(MID(BN$1,10,5),TbTradesBinance[[#This Row],[Par]])),IF(FIND(MID(BN$1,10,5),TbTradesBinance[[#This Row],[Par]])=1, -(BM107-BM108)/BM107*BN107,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Row],[Par]])),(-(BM107-BM108)/BM107*BN107)+IF(TbTradesBinance[[#This Row],[Resultado]]&gt;0,0,TbTradesBinance[[#This Row],[Taxa]]),0),0))</f>
        <v>0</v>
      </c>
      <c r="BO108" s="145">
        <f t="shared" si="37"/>
        <v>0</v>
      </c>
    </row>
    <row r="109" spans="2:67" x14ac:dyDescent="0.3">
      <c r="B109" s="51"/>
      <c r="C109" s="40">
        <f>TRUNC(IF(AND(TbTradesBinance[[#This Row],[Tipo]]="SEND",TbTradesBinance[[#This Row],[Par]]="BRL"),TbTradesBinance[[#This Row],[Qtt]]*(1-P107)-IF(TbTradesBinance[[#This Row],[Moeda da Taxa]]="BRL",TbTradesBinance[[#This Row],[Taxa]],0),0)+IF(AND(TbTradesBinance[[#This Row],[Tipo]]="BURN",TbTradesBinance[[#This Row],[Par]]="BRL"),-TbTradesBinance[[#This Row],[Qtt]]*P107,0),2)</f>
        <v>0</v>
      </c>
      <c r="D109" s="53">
        <v>44273.889444444445</v>
      </c>
      <c r="E109" s="37" t="s">
        <v>238</v>
      </c>
      <c r="F109" s="47" t="s">
        <v>140</v>
      </c>
      <c r="G109" s="38">
        <v>29</v>
      </c>
      <c r="H109" s="38">
        <v>0.56000000000000005</v>
      </c>
      <c r="I109" s="38">
        <v>4.7679999999999998E-5</v>
      </c>
      <c r="J109" s="37" t="s">
        <v>45</v>
      </c>
      <c r="K109" s="52">
        <v>5.4850000000000003</v>
      </c>
      <c r="L109" s="40">
        <f t="shared" si="19"/>
        <v>159.06</v>
      </c>
      <c r="M109" s="40">
        <f>IF(OR(TbTradesBinance[[#This Row],[Tipo]]="BUY",TbTradesBinance[[#This Row],[Tipo]]="RECEIVE",TbTradesBinance[[#This Row],[Tipo]]="DROP"),L109*H109,-L109*H109)</f>
        <v>-89.073600000000013</v>
      </c>
      <c r="N10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Row],[Tipo]]="DROP"),N108+TbTradesBinance[[#This Row],[Qtt]],N108-TbTradesBinance[[#This Row],[Qtt]]),IF(TbTradesBinance[[#This Row],[Tipo]]="BUY",N108-TbTradesBinance[[#This Row],[Qtt]]*TbTradesBinance[[#This Row],[Preço]],N108+TbTradesBinance[[#This Row],[Qtt]]*TbTradesBinance[[#This Row],[Preço]])),N108)-IF(TbTradesBinance[[#This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Row],[Tipo]]="DROP"),N108+TbTradesBinance[[#This Row],[Qtt]],N108-TbTradesBinance[[#This Row],[Qtt]]),IF(TbTradesBinance[[#This Row],[Tipo]]="BUY",N108-TbTradesBinance[[#This Row],[Qtt]]*TbTradesBinance[[#This Row],[Preço]],N108+TbTradesBinance[[#This Row],[Qtt]]*TbTradesBinance[[#This Row],[Preço]])),N108)-IF(TbTradesBinance[[#This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Row],[Tipo]]="DROP"),N108+TbTradesBinance[[#This Row],[Qtt]],N108-TbTradesBinance[[#This Row],[Qtt]]),IF(TbTradesBinance[[#This Row],[Tipo]]="BUY",N108-TbTradesBinance[[#This Row],[Qtt]]*TbTradesBinance[[#This Row],[Preço]],N108+TbTradesBinance[[#This Row],[Qtt]]*TbTradesBinance[[#This Row],[Preço]])),N108)-IF(TbTradesBinance[[#This Row],[Moeda da Taxa]]=MID(N$1,9,5),TbTradesBinance[[#This Row],[Taxa]],0),8)))</f>
        <v>119745.70050707999</v>
      </c>
      <c r="O109" s="145" cm="1">
        <f t="array" ref="O109">IF(TbTradesBinance[[#This Row],[Tipo]]="EMPTY",0,O108+IF(TbTradesBinance[[#This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Row],[Par]]))),$1:$1,0)),-(N108-N109)/N108*O108),0),0)+IF(TbTradesBinance[[#This Row],[Tipo]]="SELL",IF(ISNUMBER(FIND(MID(O$1,10,5),TbTradesBinance[[#This Row],[Par]])),IF(FIND(MID(O$1,10,5),TbTradesBinance[[#This Row],[Par]])=1, -(N108-N109)/N108*O108,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Row],[Par]])),(-(N108-N109)/N108*O108)+IF(TbTradesBinance[[#This Row],[Resultado]]&gt;0,0,TbTradesBinance[[#This Row],[Taxa]]),0),0))</f>
        <v>119733.82450611531</v>
      </c>
      <c r="P109" s="145">
        <f t="shared" si="20"/>
        <v>0.99990082315344608</v>
      </c>
      <c r="Q10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Row],[Tipo]]="DROP"),Q108+TbTradesBinance[[#This Row],[Qtt]],Q108-TbTradesBinance[[#This Row],[Qtt]]),IF(TbTradesBinance[[#This Row],[Tipo]]="BUY",Q108-TbTradesBinance[[#This Row],[Qtt]]*TbTradesBinance[[#This Row],[Preço]],Q108+TbTradesBinance[[#This Row],[Qtt]]*TbTradesBinance[[#This Row],[Preço]])),Q108)-IF(TbTradesBinance[[#This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Row],[Tipo]]="DROP"),Q108+TbTradesBinance[[#This Row],[Qtt]],Q108-TbTradesBinance[[#This Row],[Qtt]]),IF(TbTradesBinance[[#This Row],[Tipo]]="BUY",Q108-TbTradesBinance[[#This Row],[Qtt]]*TbTradesBinance[[#This Row],[Preço]],Q108+TbTradesBinance[[#This Row],[Qtt]]*TbTradesBinance[[#This Row],[Preço]])),Q108)-IF(TbTradesBinance[[#This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Row],[Tipo]]="DROP"),Q108+TbTradesBinance[[#This Row],[Qtt]],Q108-TbTradesBinance[[#This Row],[Qtt]]),IF(TbTradesBinance[[#This Row],[Tipo]]="BUY",Q108-TbTradesBinance[[#This Row],[Qtt]]*TbTradesBinance[[#This Row],[Preço]],Q108+TbTradesBinance[[#This Row],[Qtt]]*TbTradesBinance[[#This Row],[Preço]])),Q108)-IF(TbTradesBinance[[#This Row],[Moeda da Taxa]]=MID(Q$1,9,5),TbTradesBinance[[#This Row],[Taxa]],0),8)))</f>
        <v>44.57609128</v>
      </c>
      <c r="R109" s="145" cm="1">
        <f t="array" ref="R109">IF(TbTradesBinance[[#This Row],[Tipo]]="EMPTY",0,R108+IF(TbTradesBinance[[#This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Row],[Par]]))),$1:$1,0)),-(Q108-Q109)/Q108*R108),0),0)+IF(TbTradesBinance[[#This Row],[Tipo]]="SELL",IF(ISNUMBER(FIND(MID(R$1,10,5),TbTradesBinance[[#This Row],[Par]])),IF(FIND(MID(R$1,10,5),TbTradesBinance[[#This Row],[Par]])=1, -(Q108-Q109)/Q108*R108,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Row],[Par]])),(-(Q108-Q109)/Q108*R108)+IF(TbTradesBinance[[#This Row],[Resultado]]&gt;0,0,TbTradesBinance[[#This Row],[Taxa]]),0),0))</f>
        <v>244.85887347596821</v>
      </c>
      <c r="S109" s="145">
        <f t="shared" si="21"/>
        <v>5.4930539319365872</v>
      </c>
      <c r="T10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Row],[Tipo]]="DROP"),T108+TbTradesBinance[[#This Row],[Qtt]],T108-TbTradesBinance[[#This Row],[Qtt]]),IF(TbTradesBinance[[#This Row],[Tipo]]="BUY",T108-TbTradesBinance[[#This Row],[Qtt]]*TbTradesBinance[[#This Row],[Preço]],T108+TbTradesBinance[[#This Row],[Qtt]]*TbTradesBinance[[#This Row],[Preço]])),T108)-IF(TbTradesBinance[[#This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Row],[Tipo]]="DROP"),T108+TbTradesBinance[[#This Row],[Qtt]],T108-TbTradesBinance[[#This Row],[Qtt]]),IF(TbTradesBinance[[#This Row],[Tipo]]="BUY",T108-TbTradesBinance[[#This Row],[Qtt]]*TbTradesBinance[[#This Row],[Preço]],T108+TbTradesBinance[[#This Row],[Qtt]]*TbTradesBinance[[#This Row],[Preço]])),T108)-IF(TbTradesBinance[[#This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Row],[Tipo]]="DROP"),T108+TbTradesBinance[[#This Row],[Qtt]],T108-TbTradesBinance[[#This Row],[Qtt]]),IF(TbTradesBinance[[#This Row],[Tipo]]="BUY",T108-TbTradesBinance[[#This Row],[Qtt]]*TbTradesBinance[[#This Row],[Preço]],T108+TbTradesBinance[[#This Row],[Qtt]]*TbTradesBinance[[#This Row],[Preço]])),T108)-IF(TbTradesBinance[[#This Row],[Moeda da Taxa]]=MID(T$1,9,5),TbTradesBinance[[#This Row],[Taxa]],0),8)))</f>
        <v>199735.32000169999</v>
      </c>
      <c r="U109" s="145" cm="1">
        <f t="array" ref="U109">IF(TbTradesBinance[[#This Row],[Tipo]]="EMPTY",0,U108+IF(TbTradesBinance[[#This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Row],[Par]]))),$1:$1,0)),-(T108-T109)/T108*U108),0),0)+IF(TbTradesBinance[[#This Row],[Tipo]]="SELL",IF(ISNUMBER(FIND(MID(U$1,10,5),TbTradesBinance[[#This Row],[Par]])),IF(FIND(MID(U$1,10,5),TbTradesBinance[[#This Row],[Par]])=1, -(T108-T109)/T108*U108,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Row],[Par]])),(-(T108-T109)/T108*U108)+IF(TbTradesBinance[[#This Row],[Resultado]]&gt;0,0,TbTradesBinance[[#This Row],[Taxa]]),0),0))</f>
        <v>1328239.8809817513</v>
      </c>
      <c r="V109" s="145">
        <f t="shared" si="22"/>
        <v>6.6500000148719129</v>
      </c>
      <c r="W10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Row],[Tipo]]="DROP"),W108+TbTradesBinance[[#This Row],[Qtt]],W108-TbTradesBinance[[#This Row],[Qtt]]),IF(TbTradesBinance[[#This Row],[Tipo]]="BUY",W108-TbTradesBinance[[#This Row],[Qtt]]*TbTradesBinance[[#This Row],[Preço]],W108+TbTradesBinance[[#This Row],[Qtt]]*TbTradesBinance[[#This Row],[Preço]])),W108)-IF(TbTradesBinance[[#This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Row],[Tipo]]="DROP"),W108+TbTradesBinance[[#This Row],[Qtt]],W108-TbTradesBinance[[#This Row],[Qtt]]),IF(TbTradesBinance[[#This Row],[Tipo]]="BUY",W108-TbTradesBinance[[#This Row],[Qtt]]*TbTradesBinance[[#This Row],[Preço]],W108+TbTradesBinance[[#This Row],[Qtt]]*TbTradesBinance[[#This Row],[Preço]])),W108)-IF(TbTradesBinance[[#This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Row],[Tipo]]="DROP"),W108+TbTradesBinance[[#This Row],[Qtt]],W108-TbTradesBinance[[#This Row],[Qtt]]),IF(TbTradesBinance[[#This Row],[Tipo]]="BUY",W108-TbTradesBinance[[#This Row],[Qtt]]*TbTradesBinance[[#This Row],[Preço]],W108+TbTradesBinance[[#This Row],[Qtt]]*TbTradesBinance[[#This Row],[Preço]])),W108)-IF(TbTradesBinance[[#This Row],[Moeda da Taxa]]=MID(W$1,9,5),TbTradesBinance[[#This Row],[Taxa]],0),8)))</f>
        <v>2.48036E-3</v>
      </c>
      <c r="X109" s="145" cm="1">
        <f t="array" ref="X109">IF(TbTradesBinance[[#This Row],[Tipo]]="EMPTY",0,X108+IF(TbTradesBinance[[#This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Row],[Par]]))),$1:$1,0)),-(W108-W109)/W108*X108),0),0)+IF(TbTradesBinance[[#This Row],[Tipo]]="SELL",IF(ISNUMBER(FIND(MID(X$1,10,5),TbTradesBinance[[#This Row],[Par]])),IF(FIND(MID(X$1,10,5),TbTradesBinance[[#This Row],[Par]])=1, -(W108-W109)/W108*X108,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Row],[Par]])),(-(W108-W109)/W108*X108)+IF(TbTradesBinance[[#This Row],[Resultado]]&gt;0,0,TbTradesBinance[[#This Row],[Taxa]]),0),0))</f>
        <v>832.53731315140135</v>
      </c>
      <c r="Y109" s="145">
        <f t="shared" si="23"/>
        <v>335651.8058472969</v>
      </c>
      <c r="Z10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Row],[Tipo]]="DROP"),Z108+TbTradesBinance[[#This Row],[Qtt]],Z108-TbTradesBinance[[#This Row],[Qtt]]),IF(TbTradesBinance[[#This Row],[Tipo]]="BUY",Z108-TbTradesBinance[[#This Row],[Qtt]]*TbTradesBinance[[#This Row],[Preço]],Z108+TbTradesBinance[[#This Row],[Qtt]]*TbTradesBinance[[#This Row],[Preço]])),Z108)-IF(TbTradesBinance[[#This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Row],[Tipo]]="DROP"),Z108+TbTradesBinance[[#This Row],[Qtt]],Z108-TbTradesBinance[[#This Row],[Qtt]]),IF(TbTradesBinance[[#This Row],[Tipo]]="BUY",Z108-TbTradesBinance[[#This Row],[Qtt]]*TbTradesBinance[[#This Row],[Preço]],Z108+TbTradesBinance[[#This Row],[Qtt]]*TbTradesBinance[[#This Row],[Preço]])),Z108)-IF(TbTradesBinance[[#This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Row],[Tipo]]="DROP"),Z108+TbTradesBinance[[#This Row],[Qtt]],Z108-TbTradesBinance[[#This Row],[Qtt]]),IF(TbTradesBinance[[#This Row],[Tipo]]="BUY",Z108-TbTradesBinance[[#This Row],[Qtt]]*TbTradesBinance[[#This Row],[Preço]],Z108+TbTradesBinance[[#This Row],[Qtt]]*TbTradesBinance[[#This Row],[Preço]])),Z108)-IF(TbTradesBinance[[#This Row],[Moeda da Taxa]]=MID(Z$1,9,5),TbTradesBinance[[#This Row],[Taxa]],0),8)))</f>
        <v>2.0629350000000001E-2</v>
      </c>
      <c r="AA109" s="145" cm="1">
        <f t="array" ref="AA109">IF(TbTradesBinance[[#This Row],[Tipo]]="EMPTY",0,AA108+IF(TbTradesBinance[[#This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Row],[Par]]))),$1:$1,0)),-(Z108-Z109)/Z108*AA108),0),0)+IF(TbTradesBinance[[#This Row],[Tipo]]="SELL",IF(ISNUMBER(FIND(MID(AA$1,10,5),TbTradesBinance[[#This Row],[Par]])),IF(FIND(MID(AA$1,10,5),TbTradesBinance[[#This Row],[Par]])=1, -(Z108-Z109)/Z108*AA108,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Row],[Par]])),(-(Z108-Z109)/Z108*AA108)+IF(TbTradesBinance[[#This Row],[Resultado]]&gt;0,0,TbTradesBinance[[#This Row],[Taxa]]),0),0))</f>
        <v>214.62129483695568</v>
      </c>
      <c r="AB109" s="145">
        <f t="shared" si="24"/>
        <v>10403.686729681531</v>
      </c>
      <c r="AC10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Row],[Tipo]]="DROP"),AC108+TbTradesBinance[[#This Row],[Qtt]],AC108-TbTradesBinance[[#This Row],[Qtt]]),IF(TbTradesBinance[[#This Row],[Tipo]]="BUY",AC108-TbTradesBinance[[#This Row],[Qtt]]*TbTradesBinance[[#This Row],[Preço]],AC108+TbTradesBinance[[#This Row],[Qtt]]*TbTradesBinance[[#This Row],[Preço]])),AC108)-IF(TbTradesBinance[[#This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Row],[Tipo]]="DROP"),AC108+TbTradesBinance[[#This Row],[Qtt]],AC108-TbTradesBinance[[#This Row],[Qtt]]),IF(TbTradesBinance[[#This Row],[Tipo]]="BUY",AC108-TbTradesBinance[[#This Row],[Qtt]]*TbTradesBinance[[#This Row],[Preço]],AC108+TbTradesBinance[[#This Row],[Qtt]]*TbTradesBinance[[#This Row],[Preço]])),AC108)-IF(TbTradesBinance[[#This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Row],[Tipo]]="DROP"),AC108+TbTradesBinance[[#This Row],[Qtt]],AC108-TbTradesBinance[[#This Row],[Qtt]]),IF(TbTradesBinance[[#This Row],[Tipo]]="BUY",AC108-TbTradesBinance[[#This Row],[Qtt]]*TbTradesBinance[[#This Row],[Preço]],AC108+TbTradesBinance[[#This Row],[Qtt]]*TbTradesBinance[[#This Row],[Preço]])),AC108)-IF(TbTradesBinance[[#This Row],[Moeda da Taxa]]=MID(AC$1,9,5),TbTradesBinance[[#This Row],[Taxa]],0),8)))</f>
        <v>9.6999E-4</v>
      </c>
      <c r="AD109" s="145" cm="1">
        <f t="array" ref="AD109">IF(TbTradesBinance[[#This Row],[Tipo]]="EMPTY",0,AD108+IF(TbTradesBinance[[#This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Row],[Par]]))),$1:$1,0)),-(AC108-AC109)/AC108*AD108),0),0)+IF(TbTradesBinance[[#This Row],[Tipo]]="SELL",IF(ISNUMBER(FIND(MID(AD$1,10,5),TbTradesBinance[[#This Row],[Par]])),IF(FIND(MID(AD$1,10,5),TbTradesBinance[[#This Row],[Par]])=1, -(AC108-AC109)/AC108*AD108,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Row],[Par]])),(-(AC108-AC109)/AC108*AD108)+IF(TbTradesBinance[[#This Row],[Resultado]]&gt;0,0,TbTradesBinance[[#This Row],[Taxa]]),0),0))</f>
        <v>1.9483868939812083</v>
      </c>
      <c r="AE109" s="145">
        <f t="shared" si="25"/>
        <v>2008.6669903619711</v>
      </c>
      <c r="AF10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Row],[Tipo]]="DROP"),AF108+TbTradesBinance[[#This Row],[Qtt]],AF108-TbTradesBinance[[#This Row],[Qtt]]),IF(TbTradesBinance[[#This Row],[Tipo]]="BUY",AF108-TbTradesBinance[[#This Row],[Qtt]]*TbTradesBinance[[#This Row],[Preço]],AF108+TbTradesBinance[[#This Row],[Qtt]]*TbTradesBinance[[#This Row],[Preço]])),AF108)-IF(TbTradesBinance[[#This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Row],[Tipo]]="DROP"),AF108+TbTradesBinance[[#This Row],[Qtt]],AF108-TbTradesBinance[[#This Row],[Qtt]]),IF(TbTradesBinance[[#This Row],[Tipo]]="BUY",AF108-TbTradesBinance[[#This Row],[Qtt]]*TbTradesBinance[[#This Row],[Preço]],AF108+TbTradesBinance[[#This Row],[Qtt]]*TbTradesBinance[[#This Row],[Preço]])),AF108)-IF(TbTradesBinance[[#This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Row],[Tipo]]="DROP"),AF108+TbTradesBinance[[#This Row],[Qtt]],AF108-TbTradesBinance[[#This Row],[Qtt]]),IF(TbTradesBinance[[#This Row],[Tipo]]="BUY",AF108-TbTradesBinance[[#This Row],[Qtt]]*TbTradesBinance[[#This Row],[Preço]],AF108+TbTradesBinance[[#This Row],[Qtt]]*TbTradesBinance[[#This Row],[Preço]])),AF108)-IF(TbTradesBinance[[#This Row],[Moeda da Taxa]]=MID(AF$1,9,5),TbTradesBinance[[#This Row],[Taxa]],0),8)))</f>
        <v>0.08</v>
      </c>
      <c r="AG109" s="145" cm="1">
        <f t="array" ref="AG109">IF(TbTradesBinance[[#This Row],[Tipo]]="EMPTY",0,AG108+IF(TbTradesBinance[[#This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Row],[Par]]))),$1:$1,0)),-(AF108-AF109)/AF108*AG108),0),0)+IF(TbTradesBinance[[#This Row],[Tipo]]="SELL",IF(ISNUMBER(FIND(MID(AG$1,10,5),TbTradesBinance[[#This Row],[Par]])),IF(FIND(MID(AG$1,10,5),TbTradesBinance[[#This Row],[Par]])=1, -(AF108-AF109)/AF108*AG108,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Row],[Par]])),(-(AF108-AF109)/AF108*AG108)+IF(TbTradesBinance[[#This Row],[Resultado]]&gt;0,0,TbTradesBinance[[#This Row],[Taxa]]),0),0))</f>
        <v>0.49666397429723474</v>
      </c>
      <c r="AH109" s="145">
        <f t="shared" si="26"/>
        <v>6.2082996787154343</v>
      </c>
      <c r="AI10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Row],[Tipo]]="DROP"),AI108+TbTradesBinance[[#This Row],[Qtt]],AI108-TbTradesBinance[[#This Row],[Qtt]]),IF(TbTradesBinance[[#This Row],[Tipo]]="BUY",AI108-TbTradesBinance[[#This Row],[Qtt]]*TbTradesBinance[[#This Row],[Preço]],AI108+TbTradesBinance[[#This Row],[Qtt]]*TbTradesBinance[[#This Row],[Preço]])),AI108)-IF(TbTradesBinance[[#This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Row],[Tipo]]="DROP"),AI108+TbTradesBinance[[#This Row],[Qtt]],AI108-TbTradesBinance[[#This Row],[Qtt]]),IF(TbTradesBinance[[#This Row],[Tipo]]="BUY",AI108-TbTradesBinance[[#This Row],[Qtt]]*TbTradesBinance[[#This Row],[Preço]],AI108+TbTradesBinance[[#This Row],[Qtt]]*TbTradesBinance[[#This Row],[Preço]])),AI108)-IF(TbTradesBinance[[#This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Row],[Tipo]]="DROP"),AI108+TbTradesBinance[[#This Row],[Qtt]],AI108-TbTradesBinance[[#This Row],[Qtt]]),IF(TbTradesBinance[[#This Row],[Tipo]]="BUY",AI108-TbTradesBinance[[#This Row],[Qtt]]*TbTradesBinance[[#This Row],[Preço]],AI108+TbTradesBinance[[#This Row],[Qtt]]*TbTradesBinance[[#This Row],[Preço]])),AI108)-IF(TbTradesBinance[[#This Row],[Moeda da Taxa]]=MID(AI$1,9,5),TbTradesBinance[[#This Row],[Taxa]],0),8)))</f>
        <v>0</v>
      </c>
      <c r="AJ109" s="145" cm="1">
        <f t="array" ref="AJ109">IF(TbTradesBinance[[#This Row],[Tipo]]="EMPTY",0,AJ108+IF(TbTradesBinance[[#This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Row],[Par]]))),$1:$1,0)),-(AI108-AI109)/AI108*AJ108),0),0)+IF(TbTradesBinance[[#This Row],[Tipo]]="SELL",IF(ISNUMBER(FIND(MID(AJ$1,10,5),TbTradesBinance[[#This Row],[Par]])),IF(FIND(MID(AJ$1,10,5),TbTradesBinance[[#This Row],[Par]])=1, -(AI108-AI109)/AI108*AJ108,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Row],[Par]])),(-(AI108-AI109)/AI108*AJ108)+IF(TbTradesBinance[[#This Row],[Resultado]]&gt;0,0,TbTradesBinance[[#This Row],[Taxa]]),0),0))</f>
        <v>0</v>
      </c>
      <c r="AK109" s="145">
        <f t="shared" si="27"/>
        <v>0</v>
      </c>
      <c r="AL10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Row],[Tipo]]="DROP"),AL108+TbTradesBinance[[#This Row],[Qtt]],AL108-TbTradesBinance[[#This Row],[Qtt]]),IF(TbTradesBinance[[#This Row],[Tipo]]="BUY",AL108-TbTradesBinance[[#This Row],[Qtt]]*TbTradesBinance[[#This Row],[Preço]],AL108+TbTradesBinance[[#This Row],[Qtt]]*TbTradesBinance[[#This Row],[Preço]])),AL108)-IF(TbTradesBinance[[#This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Row],[Tipo]]="DROP"),AL108+TbTradesBinance[[#This Row],[Qtt]],AL108-TbTradesBinance[[#This Row],[Qtt]]),IF(TbTradesBinance[[#This Row],[Tipo]]="BUY",AL108-TbTradesBinance[[#This Row],[Qtt]]*TbTradesBinance[[#This Row],[Preço]],AL108+TbTradesBinance[[#This Row],[Qtt]]*TbTradesBinance[[#This Row],[Preço]])),AL108)-IF(TbTradesBinance[[#This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Row],[Tipo]]="DROP"),AL108+TbTradesBinance[[#This Row],[Qtt]],AL108-TbTradesBinance[[#This Row],[Qtt]]),IF(TbTradesBinance[[#This Row],[Tipo]]="BUY",AL108-TbTradesBinance[[#This Row],[Qtt]]*TbTradesBinance[[#This Row],[Preço]],AL108+TbTradesBinance[[#This Row],[Qtt]]*TbTradesBinance[[#This Row],[Preço]])),AL108)-IF(TbTradesBinance[[#This Row],[Moeda da Taxa]]=MID(AL$1,9,5),TbTradesBinance[[#This Row],[Taxa]],0),8)))</f>
        <v>8.2400000000000008E-3</v>
      </c>
      <c r="AM109" s="145" cm="1">
        <f t="array" ref="AM109">IF(TbTradesBinance[[#This Row],[Tipo]]="EMPTY",0,AM108+IF(TbTradesBinance[[#This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Row],[Par]]))),$1:$1,0)),-(AL108-AL109)/AL108*AM108),0),0)+IF(TbTradesBinance[[#This Row],[Tipo]]="SELL",IF(ISNUMBER(FIND(MID(AM$1,10,5),TbTradesBinance[[#This Row],[Par]])),IF(FIND(MID(AM$1,10,5),TbTradesBinance[[#This Row],[Par]])=1, -(AL108-AL109)/AL108*AM108,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Row],[Par]])),(-(AL108-AL109)/AL108*AM108)+IF(TbTradesBinance[[#This Row],[Resultado]]&gt;0,0,TbTradesBinance[[#This Row],[Taxa]]),0),0))</f>
        <v>0.67751089887772764</v>
      </c>
      <c r="AN109" s="145">
        <f t="shared" si="28"/>
        <v>82.222196465743636</v>
      </c>
      <c r="AO10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Row],[Tipo]]="DROP"),AO108+TbTradesBinance[[#This Row],[Qtt]],AO108-TbTradesBinance[[#This Row],[Qtt]]),IF(TbTradesBinance[[#This Row],[Tipo]]="BUY",AO108-TbTradesBinance[[#This Row],[Qtt]]*TbTradesBinance[[#This Row],[Preço]],AO108+TbTradesBinance[[#This Row],[Qtt]]*TbTradesBinance[[#This Row],[Preço]])),AO108)-IF(TbTradesBinance[[#This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Row],[Tipo]]="DROP"),AO108+TbTradesBinance[[#This Row],[Qtt]],AO108-TbTradesBinance[[#This Row],[Qtt]]),IF(TbTradesBinance[[#This Row],[Tipo]]="BUY",AO108-TbTradesBinance[[#This Row],[Qtt]]*TbTradesBinance[[#This Row],[Preço]],AO108+TbTradesBinance[[#This Row],[Qtt]]*TbTradesBinance[[#This Row],[Preço]])),AO108)-IF(TbTradesBinance[[#This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Row],[Tipo]]="DROP"),AO108+TbTradesBinance[[#This Row],[Qtt]],AO108-TbTradesBinance[[#This Row],[Qtt]]),IF(TbTradesBinance[[#This Row],[Tipo]]="BUY",AO108-TbTradesBinance[[#This Row],[Qtt]]*TbTradesBinance[[#This Row],[Preço]],AO108+TbTradesBinance[[#This Row],[Qtt]]*TbTradesBinance[[#This Row],[Preço]])),AO108)-IF(TbTradesBinance[[#This Row],[Moeda da Taxa]]=MID(AO$1,9,5),TbTradesBinance[[#This Row],[Taxa]],0),8)))</f>
        <v>7.475561E-2</v>
      </c>
      <c r="AP109" s="145" cm="1">
        <f t="array" ref="AP109">IF(TbTradesBinance[[#This Row],[Tipo]]="EMPTY",0,AP108+IF(TbTradesBinance[[#This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Row],[Par]]))),$1:$1,0)),-(AO108-AO109)/AO108*AP108),0),0)+IF(TbTradesBinance[[#This Row],[Tipo]]="SELL",IF(ISNUMBER(FIND(MID(AP$1,10,5),TbTradesBinance[[#This Row],[Par]])),IF(FIND(MID(AP$1,10,5),TbTradesBinance[[#This Row],[Par]])=1, -(AO108-AO109)/AO108*AP108,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Row],[Par]])),(-(AO108-AO109)/AO108*AP108)+IF(TbTradesBinance[[#This Row],[Resultado]]&gt;0,0,TbTradesBinance[[#This Row],[Taxa]]),0),0))</f>
        <v>113.87766627073657</v>
      </c>
      <c r="AQ109" s="145">
        <f t="shared" si="29"/>
        <v>1523.3327140362653</v>
      </c>
      <c r="AR10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Row],[Tipo]]="DROP"),AR108+TbTradesBinance[[#This Row],[Qtt]],AR108-TbTradesBinance[[#This Row],[Qtt]]),IF(TbTradesBinance[[#This Row],[Tipo]]="BUY",AR108-TbTradesBinance[[#This Row],[Qtt]]*TbTradesBinance[[#This Row],[Preço]],AR108+TbTradesBinance[[#This Row],[Qtt]]*TbTradesBinance[[#This Row],[Preço]])),AR108)-IF(TbTradesBinance[[#This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Row],[Tipo]]="DROP"),AR108+TbTradesBinance[[#This Row],[Qtt]],AR108-TbTradesBinance[[#This Row],[Qtt]]),IF(TbTradesBinance[[#This Row],[Tipo]]="BUY",AR108-TbTradesBinance[[#This Row],[Qtt]]*TbTradesBinance[[#This Row],[Preço]],AR108+TbTradesBinance[[#This Row],[Qtt]]*TbTradesBinance[[#This Row],[Preço]])),AR108)-IF(TbTradesBinance[[#This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Row],[Tipo]]="DROP"),AR108+TbTradesBinance[[#This Row],[Qtt]],AR108-TbTradesBinance[[#This Row],[Qtt]]),IF(TbTradesBinance[[#This Row],[Tipo]]="BUY",AR108-TbTradesBinance[[#This Row],[Qtt]]*TbTradesBinance[[#This Row],[Preço]],AR108+TbTradesBinance[[#This Row],[Qtt]]*TbTradesBinance[[#This Row],[Preço]])),AR108)-IF(TbTradesBinance[[#This Row],[Moeda da Taxa]]=MID(AR$1,9,5),TbTradesBinance[[#This Row],[Taxa]],0),8)))</f>
        <v>61.251199999999997</v>
      </c>
      <c r="AS109" s="145" cm="1">
        <f t="array" ref="AS109">IF(TbTradesBinance[[#This Row],[Tipo]]="EMPTY",0,AS108+IF(TbTradesBinance[[#This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Row],[Par]]))),$1:$1,0)),-(AR108-AR109)/AR108*AS108),0),0)+IF(TbTradesBinance[[#This Row],[Tipo]]="SELL",IF(ISNUMBER(FIND(MID(AS$1,10,5),TbTradesBinance[[#This Row],[Par]])),IF(FIND(MID(AS$1,10,5),TbTradesBinance[[#This Row],[Par]])=1, -(AR108-AR109)/AR108*AS108,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Row],[Par]])),(-(AR108-AR109)/AR108*AS108)+IF(TbTradesBinance[[#This Row],[Resultado]]&gt;0,0,TbTradesBinance[[#This Row],[Taxa]]),0),0))</f>
        <v>230.84001376053044</v>
      </c>
      <c r="AT109" s="145">
        <f t="shared" si="30"/>
        <v>3.7687427146003745</v>
      </c>
      <c r="AU10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Row],[Tipo]]="DROP"),AU108+TbTradesBinance[[#This Row],[Qtt]],AU108-TbTradesBinance[[#This Row],[Qtt]]),IF(TbTradesBinance[[#This Row],[Tipo]]="BUY",AU108-TbTradesBinance[[#This Row],[Qtt]]*TbTradesBinance[[#This Row],[Preço]],AU108+TbTradesBinance[[#This Row],[Qtt]]*TbTradesBinance[[#This Row],[Preço]])),AU108)-IF(TbTradesBinance[[#This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Row],[Tipo]]="DROP"),AU108+TbTradesBinance[[#This Row],[Qtt]],AU108-TbTradesBinance[[#This Row],[Qtt]]),IF(TbTradesBinance[[#This Row],[Tipo]]="BUY",AU108-TbTradesBinance[[#This Row],[Qtt]]*TbTradesBinance[[#This Row],[Preço]],AU108+TbTradesBinance[[#This Row],[Qtt]]*TbTradesBinance[[#This Row],[Preço]])),AU108)-IF(TbTradesBinance[[#This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Row],[Tipo]]="DROP"),AU108+TbTradesBinance[[#This Row],[Qtt]],AU108-TbTradesBinance[[#This Row],[Qtt]]),IF(TbTradesBinance[[#This Row],[Tipo]]="BUY",AU108-TbTradesBinance[[#This Row],[Qtt]]*TbTradesBinance[[#This Row],[Preço]],AU108+TbTradesBinance[[#This Row],[Qtt]]*TbTradesBinance[[#This Row],[Preço]])),AU108)-IF(TbTradesBinance[[#This Row],[Moeda da Taxa]]=MID(AU$1,9,5),TbTradesBinance[[#This Row],[Taxa]],0),8)))</f>
        <v>0</v>
      </c>
      <c r="AV109" s="145" cm="1">
        <f t="array" ref="AV109">IF(TbTradesBinance[[#This Row],[Tipo]]="EMPTY",0,AV108+IF(TbTradesBinance[[#This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Row],[Par]]))),$1:$1,0)),-(AU108-AU109)/AU108*AV108),0),0)+IF(TbTradesBinance[[#This Row],[Tipo]]="SELL",IF(ISNUMBER(FIND(MID(AV$1,10,5),TbTradesBinance[[#This Row],[Par]])),IF(FIND(MID(AV$1,10,5),TbTradesBinance[[#This Row],[Par]])=1, -(AU108-AU109)/AU108*AV108,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Row],[Par]])),(-(AU108-AU109)/AU108*AV108)+IF(TbTradesBinance[[#This Row],[Resultado]]&gt;0,0,TbTradesBinance[[#This Row],[Taxa]]),0),0))</f>
        <v>0</v>
      </c>
      <c r="AW109" s="145">
        <f t="shared" si="31"/>
        <v>0</v>
      </c>
      <c r="AX10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Row],[Tipo]]="DROP"),AX108+TbTradesBinance[[#This Row],[Qtt]],AX108-TbTradesBinance[[#This Row],[Qtt]]),IF(TbTradesBinance[[#This Row],[Tipo]]="BUY",AX108-TbTradesBinance[[#This Row],[Qtt]]*TbTradesBinance[[#This Row],[Preço]],AX108+TbTradesBinance[[#This Row],[Qtt]]*TbTradesBinance[[#This Row],[Preço]])),AX108)-IF(TbTradesBinance[[#This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Row],[Tipo]]="DROP"),AX108+TbTradesBinance[[#This Row],[Qtt]],AX108-TbTradesBinance[[#This Row],[Qtt]]),IF(TbTradesBinance[[#This Row],[Tipo]]="BUY",AX108-TbTradesBinance[[#This Row],[Qtt]]*TbTradesBinance[[#This Row],[Preço]],AX108+TbTradesBinance[[#This Row],[Qtt]]*TbTradesBinance[[#This Row],[Preço]])),AX108)-IF(TbTradesBinance[[#This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Row],[Tipo]]="DROP"),AX108+TbTradesBinance[[#This Row],[Qtt]],AX108-TbTradesBinance[[#This Row],[Qtt]]),IF(TbTradesBinance[[#This Row],[Tipo]]="BUY",AX108-TbTradesBinance[[#This Row],[Qtt]]*TbTradesBinance[[#This Row],[Preço]],AX108+TbTradesBinance[[#This Row],[Qtt]]*TbTradesBinance[[#This Row],[Preço]])),AX108)-IF(TbTradesBinance[[#This Row],[Moeda da Taxa]]=MID(AX$1,9,5),TbTradesBinance[[#This Row],[Taxa]],0),8)))</f>
        <v>0.85636999999999996</v>
      </c>
      <c r="AY109" s="145" cm="1">
        <f t="array" ref="AY109">IF(TbTradesBinance[[#This Row],[Tipo]]="EMPTY",0,AY108+IF(TbTradesBinance[[#This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Row],[Par]]))),$1:$1,0)),-(AX108-AX109)/AX108*AY108),0),0)+IF(TbTradesBinance[[#This Row],[Tipo]]="SELL",IF(ISNUMBER(FIND(MID(AY$1,10,5),TbTradesBinance[[#This Row],[Par]])),IF(FIND(MID(AY$1,10,5),TbTradesBinance[[#This Row],[Par]])=1, -(AX108-AX109)/AX108*AY108,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Row],[Par]])),(-(AX108-AX109)/AX108*AY108)+IF(TbTradesBinance[[#This Row],[Resultado]]&gt;0,0,TbTradesBinance[[#This Row],[Taxa]]),0),0))</f>
        <v>131.82971181780295</v>
      </c>
      <c r="AZ109" s="145">
        <f t="shared" si="32"/>
        <v>153.94013314081874</v>
      </c>
      <c r="BA10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Row],[Tipo]]="DROP"),BA108+TbTradesBinance[[#This Row],[Qtt]],BA108-TbTradesBinance[[#This Row],[Qtt]]),IF(TbTradesBinance[[#This Row],[Tipo]]="BUY",BA108-TbTradesBinance[[#This Row],[Qtt]]*TbTradesBinance[[#This Row],[Preço]],BA108+TbTradesBinance[[#This Row],[Qtt]]*TbTradesBinance[[#This Row],[Preço]])),BA108)-IF(TbTradesBinance[[#This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Row],[Tipo]]="DROP"),BA108+TbTradesBinance[[#This Row],[Qtt]],BA108-TbTradesBinance[[#This Row],[Qtt]]),IF(TbTradesBinance[[#This Row],[Tipo]]="BUY",BA108-TbTradesBinance[[#This Row],[Qtt]]*TbTradesBinance[[#This Row],[Preço]],BA108+TbTradesBinance[[#This Row],[Qtt]]*TbTradesBinance[[#This Row],[Preço]])),BA108)-IF(TbTradesBinance[[#This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Row],[Tipo]]="DROP"),BA108+TbTradesBinance[[#This Row],[Qtt]],BA108-TbTradesBinance[[#This Row],[Qtt]]),IF(TbTradesBinance[[#This Row],[Tipo]]="BUY",BA108-TbTradesBinance[[#This Row],[Qtt]]*TbTradesBinance[[#This Row],[Preço]],BA108+TbTradesBinance[[#This Row],[Qtt]]*TbTradesBinance[[#This Row],[Preço]])),BA108)-IF(TbTradesBinance[[#This Row],[Moeda da Taxa]]=MID(BA$1,9,5),TbTradesBinance[[#This Row],[Taxa]],0),8)))</f>
        <v>0</v>
      </c>
      <c r="BB109" s="145" cm="1">
        <f t="array" ref="BB109">IF(TbTradesBinance[[#This Row],[Tipo]]="EMPTY",0,BB108+IF(TbTradesBinance[[#This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Row],[Par]]))),$1:$1,0)),-(BA108-BA109)/BA108*BB108),0),0)+IF(TbTradesBinance[[#This Row],[Tipo]]="SELL",IF(ISNUMBER(FIND(MID(BB$1,10,5),TbTradesBinance[[#This Row],[Par]])),IF(FIND(MID(BB$1,10,5),TbTradesBinance[[#This Row],[Par]])=1, -(BA108-BA109)/BA108*BB108,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Row],[Par]])),(-(BA108-BA109)/BA108*BB108)+IF(TbTradesBinance[[#This Row],[Resultado]]&gt;0,0,TbTradesBinance[[#This Row],[Taxa]]),0),0))</f>
        <v>0</v>
      </c>
      <c r="BC109" s="145">
        <f t="shared" si="33"/>
        <v>0</v>
      </c>
      <c r="BD10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Row],[Tipo]]="DROP"),BD108+TbTradesBinance[[#This Row],[Qtt]],BD108-TbTradesBinance[[#This Row],[Qtt]]),IF(TbTradesBinance[[#This Row],[Tipo]]="BUY",BD108-TbTradesBinance[[#This Row],[Qtt]]*TbTradesBinance[[#This Row],[Preço]],BD108+TbTradesBinance[[#This Row],[Qtt]]*TbTradesBinance[[#This Row],[Preço]])),BD108)-IF(TbTradesBinance[[#This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Row],[Tipo]]="DROP"),BD108+TbTradesBinance[[#This Row],[Qtt]],BD108-TbTradesBinance[[#This Row],[Qtt]]),IF(TbTradesBinance[[#This Row],[Tipo]]="BUY",BD108-TbTradesBinance[[#This Row],[Qtt]]*TbTradesBinance[[#This Row],[Preço]],BD108+TbTradesBinance[[#This Row],[Qtt]]*TbTradesBinance[[#This Row],[Preço]])),BD108)-IF(TbTradesBinance[[#This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Row],[Tipo]]="DROP"),BD108+TbTradesBinance[[#This Row],[Qtt]],BD108-TbTradesBinance[[#This Row],[Qtt]]),IF(TbTradesBinance[[#This Row],[Tipo]]="BUY",BD108-TbTradesBinance[[#This Row],[Qtt]]*TbTradesBinance[[#This Row],[Preço]],BD108+TbTradesBinance[[#This Row],[Qtt]]*TbTradesBinance[[#This Row],[Preço]])),BD108)-IF(TbTradesBinance[[#This Row],[Moeda da Taxa]]=MID(BD$1,9,5),TbTradesBinance[[#This Row],[Taxa]],0),8)))</f>
        <v>9.0599900000000004E-3</v>
      </c>
      <c r="BE109" s="145" cm="1">
        <f t="array" ref="BE109">IF(TbTradesBinance[[#This Row],[Tipo]]="EMPTY",0,BE108+IF(TbTradesBinance[[#This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Row],[Par]]))),$1:$1,0)),-(BD108-BD109)/BD108*BE108),0),0)+IF(TbTradesBinance[[#This Row],[Tipo]]="SELL",IF(ISNUMBER(FIND(MID(BE$1,10,5),TbTradesBinance[[#This Row],[Par]])),IF(FIND(MID(BE$1,10,5),TbTradesBinance[[#This Row],[Par]])=1, -(BD108-BD109)/BD108*BE108,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Row],[Par]])),(-(BD108-BD109)/BD108*BE108)+IF(TbTradesBinance[[#This Row],[Resultado]]&gt;0,0,TbTradesBinance[[#This Row],[Taxa]]),0),0))</f>
        <v>1.6846969284922721</v>
      </c>
      <c r="BF109" s="145">
        <f t="shared" si="34"/>
        <v>185.94909359638058</v>
      </c>
      <c r="BG10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Row],[Tipo]]="DROP"),BG108+TbTradesBinance[[#This Row],[Qtt]],BG108-TbTradesBinance[[#This Row],[Qtt]]),IF(TbTradesBinance[[#This Row],[Tipo]]="BUY",BG108-TbTradesBinance[[#This Row],[Qtt]]*TbTradesBinance[[#This Row],[Preço]],BG108+TbTradesBinance[[#This Row],[Qtt]]*TbTradesBinance[[#This Row],[Preço]])),BG108)-IF(TbTradesBinance[[#This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Row],[Tipo]]="DROP"),BG108+TbTradesBinance[[#This Row],[Qtt]],BG108-TbTradesBinance[[#This Row],[Qtt]]),IF(TbTradesBinance[[#This Row],[Tipo]]="BUY",BG108-TbTradesBinance[[#This Row],[Qtt]]*TbTradesBinance[[#This Row],[Preço]],BG108+TbTradesBinance[[#This Row],[Qtt]]*TbTradesBinance[[#This Row],[Preço]])),BG108)-IF(TbTradesBinance[[#This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Row],[Tipo]]="DROP"),BG108+TbTradesBinance[[#This Row],[Qtt]],BG108-TbTradesBinance[[#This Row],[Qtt]]),IF(TbTradesBinance[[#This Row],[Tipo]]="BUY",BG108-TbTradesBinance[[#This Row],[Qtt]]*TbTradesBinance[[#This Row],[Preço]],BG108+TbTradesBinance[[#This Row],[Qtt]]*TbTradesBinance[[#This Row],[Preço]])),BG108)-IF(TbTradesBinance[[#This Row],[Moeda da Taxa]]=MID(BG$1,9,5),TbTradesBinance[[#This Row],[Taxa]],0),8)))</f>
        <v>0</v>
      </c>
      <c r="BH109" s="145" cm="1">
        <f t="array" ref="BH109">IF(TbTradesBinance[[#This Row],[Tipo]]="EMPTY",0,BH108+IF(TbTradesBinance[[#This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Row],[Par]]))),$1:$1,0)),-(BG108-BG109)/BG108*BH108),0),0)+IF(TbTradesBinance[[#This Row],[Tipo]]="SELL",IF(ISNUMBER(FIND(MID(BH$1,10,5),TbTradesBinance[[#This Row],[Par]])),IF(FIND(MID(BH$1,10,5),TbTradesBinance[[#This Row],[Par]])=1, -(BG108-BG109)/BG108*BH108,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Row],[Par]])),(-(BG108-BG109)/BG108*BH108)+IF(TbTradesBinance[[#This Row],[Resultado]]&gt;0,0,TbTradesBinance[[#This Row],[Taxa]]),0),0))</f>
        <v>0</v>
      </c>
      <c r="BI109" s="145">
        <f t="shared" si="35"/>
        <v>0</v>
      </c>
      <c r="BJ10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Row],[Tipo]]="DROP"),BJ108+TbTradesBinance[[#This Row],[Qtt]],BJ108-TbTradesBinance[[#This Row],[Qtt]]),IF(TbTradesBinance[[#This Row],[Tipo]]="BUY",BJ108-TbTradesBinance[[#This Row],[Qtt]]*TbTradesBinance[[#This Row],[Preço]],BJ108+TbTradesBinance[[#This Row],[Qtt]]*TbTradesBinance[[#This Row],[Preço]])),BJ108)-IF(TbTradesBinance[[#This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Row],[Tipo]]="DROP"),BJ108+TbTradesBinance[[#This Row],[Qtt]],BJ108-TbTradesBinance[[#This Row],[Qtt]]),IF(TbTradesBinance[[#This Row],[Tipo]]="BUY",BJ108-TbTradesBinance[[#This Row],[Qtt]]*TbTradesBinance[[#This Row],[Preço]],BJ108+TbTradesBinance[[#This Row],[Qtt]]*TbTradesBinance[[#This Row],[Preço]])),BJ108)-IF(TbTradesBinance[[#This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Row],[Tipo]]="DROP"),BJ108+TbTradesBinance[[#This Row],[Qtt]],BJ108-TbTradesBinance[[#This Row],[Qtt]]),IF(TbTradesBinance[[#This Row],[Tipo]]="BUY",BJ108-TbTradesBinance[[#This Row],[Qtt]]*TbTradesBinance[[#This Row],[Preço]],BJ108+TbTradesBinance[[#This Row],[Qtt]]*TbTradesBinance[[#This Row],[Preço]])),BJ108)-IF(TbTradesBinance[[#This Row],[Moeda da Taxa]]=MID(BJ$1,9,5),TbTradesBinance[[#This Row],[Taxa]],0),8)))</f>
        <v>0</v>
      </c>
      <c r="BK109" s="145" cm="1">
        <f t="array" ref="BK109">IF(TbTradesBinance[[#This Row],[Tipo]]="EMPTY",0,BK108+IF(TbTradesBinance[[#This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Row],[Par]]))),$1:$1,0)),-(BJ108-BJ109)/BJ108*BK108),0),0)+IF(TbTradesBinance[[#This Row],[Tipo]]="SELL",IF(ISNUMBER(FIND(MID(BK$1,10,5),TbTradesBinance[[#This Row],[Par]])),IF(FIND(MID(BK$1,10,5),TbTradesBinance[[#This Row],[Par]])=1, -(BJ108-BJ109)/BJ108*BK108,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Row],[Par]])),(-(BJ108-BJ109)/BJ108*BK108)+IF(TbTradesBinance[[#This Row],[Resultado]]&gt;0,0,TbTradesBinance[[#This Row],[Taxa]]),0),0))</f>
        <v>0</v>
      </c>
      <c r="BL109" s="145">
        <f t="shared" si="36"/>
        <v>0</v>
      </c>
      <c r="BM10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Row],[Tipo]]="DROP"),BM108+TbTradesBinance[[#This Row],[Qtt]],BM108-TbTradesBinance[[#This Row],[Qtt]]),IF(TbTradesBinance[[#This Row],[Tipo]]="BUY",BM108-TbTradesBinance[[#This Row],[Qtt]]*TbTradesBinance[[#This Row],[Preço]],BM108+TbTradesBinance[[#This Row],[Qtt]]*TbTradesBinance[[#This Row],[Preço]])),BM108)-IF(TbTradesBinance[[#This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Row],[Tipo]]="DROP"),BM108+TbTradesBinance[[#This Row],[Qtt]],BM108-TbTradesBinance[[#This Row],[Qtt]]),IF(TbTradesBinance[[#This Row],[Tipo]]="BUY",BM108-TbTradesBinance[[#This Row],[Qtt]]*TbTradesBinance[[#This Row],[Preço]],BM108+TbTradesBinance[[#This Row],[Qtt]]*TbTradesBinance[[#This Row],[Preço]])),BM108)-IF(TbTradesBinance[[#This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Row],[Tipo]]="DROP"),BM108+TbTradesBinance[[#This Row],[Qtt]],BM108-TbTradesBinance[[#This Row],[Qtt]]),IF(TbTradesBinance[[#This Row],[Tipo]]="BUY",BM108-TbTradesBinance[[#This Row],[Qtt]]*TbTradesBinance[[#This Row],[Preço]],BM108+TbTradesBinance[[#This Row],[Qtt]]*TbTradesBinance[[#This Row],[Preço]])),BM108)-IF(TbTradesBinance[[#This Row],[Moeda da Taxa]]=MID(BM$1,9,5),TbTradesBinance[[#This Row],[Taxa]],0),8)))</f>
        <v>0</v>
      </c>
      <c r="BN109" s="145" cm="1">
        <f t="array" ref="BN109">IF(TbTradesBinance[[#This Row],[Tipo]]="EMPTY",0,BN108+IF(TbTradesBinance[[#This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Row],[Par]]))),$1:$1,0)),-(BM108-BM109)/BM108*BN108),0),0)+IF(TbTradesBinance[[#This Row],[Tipo]]="SELL",IF(ISNUMBER(FIND(MID(BN$1,10,5),TbTradesBinance[[#This Row],[Par]])),IF(FIND(MID(BN$1,10,5),TbTradesBinance[[#This Row],[Par]])=1, -(BM108-BM109)/BM108*BN108,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Row],[Par]])),(-(BM108-BM109)/BM108*BN108)+IF(TbTradesBinance[[#This Row],[Resultado]]&gt;0,0,TbTradesBinance[[#This Row],[Taxa]]),0),0))</f>
        <v>0</v>
      </c>
      <c r="BO109" s="145">
        <f t="shared" si="37"/>
        <v>0</v>
      </c>
    </row>
    <row r="110" spans="2:67" x14ac:dyDescent="0.3">
      <c r="B110" s="51"/>
      <c r="C110" s="40">
        <f>TRUNC(IF(AND(TbTradesBinance[[#This Row],[Tipo]]="SEND",TbTradesBinance[[#This Row],[Par]]="BRL"),TbTradesBinance[[#This Row],[Qtt]]*(1-P108)-IF(TbTradesBinance[[#This Row],[Moeda da Taxa]]="BRL",TbTradesBinance[[#This Row],[Taxa]],0),0)+IF(AND(TbTradesBinance[[#This Row],[Tipo]]="BURN",TbTradesBinance[[#This Row],[Par]]="BRL"),-TbTradesBinance[[#This Row],[Qtt]]*P108,0),2)</f>
        <v>0</v>
      </c>
      <c r="D110" s="53">
        <v>44274.516805555555</v>
      </c>
      <c r="E110" s="37" t="s">
        <v>249</v>
      </c>
      <c r="F110" s="47" t="s">
        <v>139</v>
      </c>
      <c r="G110" s="38">
        <v>58752.07</v>
      </c>
      <c r="H110" s="38">
        <v>2.05E-4</v>
      </c>
      <c r="I110" s="38">
        <v>3.4749999999999998E-5</v>
      </c>
      <c r="J110" s="37" t="s">
        <v>45</v>
      </c>
      <c r="K110" s="52">
        <v>5.4850000000000003</v>
      </c>
      <c r="L110" s="40">
        <f t="shared" si="19"/>
        <v>322255.09999999998</v>
      </c>
      <c r="M110" s="40">
        <f>IF(OR(TbTradesBinance[[#This Row],[Tipo]]="BUY",TbTradesBinance[[#This Row],[Tipo]]="RECEIVE",TbTradesBinance[[#This Row],[Tipo]]="DROP"),L110*H110,-L110*H110)</f>
        <v>66.062295499999991</v>
      </c>
      <c r="N11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Row],[Tipo]]="DROP"),N109+TbTradesBinance[[#This Row],[Qtt]],N109-TbTradesBinance[[#This Row],[Qtt]]),IF(TbTradesBinance[[#This Row],[Tipo]]="BUY",N109-TbTradesBinance[[#This Row],[Qtt]]*TbTradesBinance[[#This Row],[Preço]],N109+TbTradesBinance[[#This Row],[Qtt]]*TbTradesBinance[[#This Row],[Preço]])),N109)-IF(TbTradesBinance[[#This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Row],[Tipo]]="DROP"),N109+TbTradesBinance[[#This Row],[Qtt]],N109-TbTradesBinance[[#This Row],[Qtt]]),IF(TbTradesBinance[[#This Row],[Tipo]]="BUY",N109-TbTradesBinance[[#This Row],[Qtt]]*TbTradesBinance[[#This Row],[Preço]],N109+TbTradesBinance[[#This Row],[Qtt]]*TbTradesBinance[[#This Row],[Preço]])),N109)-IF(TbTradesBinance[[#This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Row],[Tipo]]="DROP"),N109+TbTradesBinance[[#This Row],[Qtt]],N109-TbTradesBinance[[#This Row],[Qtt]]),IF(TbTradesBinance[[#This Row],[Tipo]]="BUY",N109-TbTradesBinance[[#This Row],[Qtt]]*TbTradesBinance[[#This Row],[Preço]],N109+TbTradesBinance[[#This Row],[Qtt]]*TbTradesBinance[[#This Row],[Preço]])),N109)-IF(TbTradesBinance[[#This Row],[Moeda da Taxa]]=MID(N$1,9,5),TbTradesBinance[[#This Row],[Taxa]],0),8)))</f>
        <v>119745.70050707999</v>
      </c>
      <c r="O110" s="145" cm="1">
        <f t="array" ref="O110">IF(TbTradesBinance[[#This Row],[Tipo]]="EMPTY",0,O109+IF(TbTradesBinance[[#This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Row],[Par]]))),$1:$1,0)),-(N109-N110)/N109*O109),0),0)+IF(TbTradesBinance[[#This Row],[Tipo]]="SELL",IF(ISNUMBER(FIND(MID(O$1,10,5),TbTradesBinance[[#This Row],[Par]])),IF(FIND(MID(O$1,10,5),TbTradesBinance[[#This Row],[Par]])=1, -(N109-N110)/N109*O109,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Row],[Par]])),(-(N109-N110)/N109*O109)+IF(TbTradesBinance[[#This Row],[Resultado]]&gt;0,0,TbTradesBinance[[#This Row],[Taxa]]),0),0))</f>
        <v>119733.82450611531</v>
      </c>
      <c r="P110" s="145">
        <f t="shared" si="20"/>
        <v>0.99990082315344608</v>
      </c>
      <c r="Q11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Row],[Tipo]]="DROP"),Q109+TbTradesBinance[[#This Row],[Qtt]],Q109-TbTradesBinance[[#This Row],[Qtt]]),IF(TbTradesBinance[[#This Row],[Tipo]]="BUY",Q109-TbTradesBinance[[#This Row],[Qtt]]*TbTradesBinance[[#This Row],[Preço]],Q109+TbTradesBinance[[#This Row],[Qtt]]*TbTradesBinance[[#This Row],[Preço]])),Q109)-IF(TbTradesBinance[[#This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Row],[Tipo]]="DROP"),Q109+TbTradesBinance[[#This Row],[Qtt]],Q109-TbTradesBinance[[#This Row],[Qtt]]),IF(TbTradesBinance[[#This Row],[Tipo]]="BUY",Q109-TbTradesBinance[[#This Row],[Qtt]]*TbTradesBinance[[#This Row],[Preço]],Q109+TbTradesBinance[[#This Row],[Qtt]]*TbTradesBinance[[#This Row],[Preço]])),Q109)-IF(TbTradesBinance[[#This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Row],[Tipo]]="DROP"),Q109+TbTradesBinance[[#This Row],[Qtt]],Q109-TbTradesBinance[[#This Row],[Qtt]]),IF(TbTradesBinance[[#This Row],[Tipo]]="BUY",Q109-TbTradesBinance[[#This Row],[Qtt]]*TbTradesBinance[[#This Row],[Preço]],Q109+TbTradesBinance[[#This Row],[Qtt]]*TbTradesBinance[[#This Row],[Preço]])),Q109)-IF(TbTradesBinance[[#This Row],[Moeda da Taxa]]=MID(Q$1,9,5),TbTradesBinance[[#This Row],[Taxa]],0),8)))</f>
        <v>32.531916930000001</v>
      </c>
      <c r="R110" s="145" cm="1">
        <f t="array" ref="R110">IF(TbTradesBinance[[#This Row],[Tipo]]="EMPTY",0,R109+IF(TbTradesBinance[[#This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Row],[Par]]))),$1:$1,0)),-(Q109-Q110)/Q109*R109),0),0)+IF(TbTradesBinance[[#This Row],[Tipo]]="SELL",IF(ISNUMBER(FIND(MID(R$1,10,5),TbTradesBinance[[#This Row],[Par]])),IF(FIND(MID(R$1,10,5),TbTradesBinance[[#This Row],[Par]])=1, -(Q109-Q110)/Q109*R109,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Row],[Par]])),(-(Q109-Q110)/Q109*R109)+IF(TbTradesBinance[[#This Row],[Resultado]]&gt;0,0,TbTradesBinance[[#This Row],[Taxa]]),0),0))</f>
        <v>178.69957420577094</v>
      </c>
      <c r="S110" s="145">
        <f t="shared" si="21"/>
        <v>5.4930539319365872</v>
      </c>
      <c r="T11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Row],[Tipo]]="DROP"),T109+TbTradesBinance[[#This Row],[Qtt]],T109-TbTradesBinance[[#This Row],[Qtt]]),IF(TbTradesBinance[[#This Row],[Tipo]]="BUY",T109-TbTradesBinance[[#This Row],[Qtt]]*TbTradesBinance[[#This Row],[Preço]],T109+TbTradesBinance[[#This Row],[Qtt]]*TbTradesBinance[[#This Row],[Preço]])),T109)-IF(TbTradesBinance[[#This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Row],[Tipo]]="DROP"),T109+TbTradesBinance[[#This Row],[Qtt]],T109-TbTradesBinance[[#This Row],[Qtt]]),IF(TbTradesBinance[[#This Row],[Tipo]]="BUY",T109-TbTradesBinance[[#This Row],[Qtt]]*TbTradesBinance[[#This Row],[Preço]],T109+TbTradesBinance[[#This Row],[Qtt]]*TbTradesBinance[[#This Row],[Preço]])),T109)-IF(TbTradesBinance[[#This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Row],[Tipo]]="DROP"),T109+TbTradesBinance[[#This Row],[Qtt]],T109-TbTradesBinance[[#This Row],[Qtt]]),IF(TbTradesBinance[[#This Row],[Tipo]]="BUY",T109-TbTradesBinance[[#This Row],[Qtt]]*TbTradesBinance[[#This Row],[Preço]],T109+TbTradesBinance[[#This Row],[Qtt]]*TbTradesBinance[[#This Row],[Preço]])),T109)-IF(TbTradesBinance[[#This Row],[Moeda da Taxa]]=MID(T$1,9,5),TbTradesBinance[[#This Row],[Taxa]],0),8)))</f>
        <v>199735.32000169999</v>
      </c>
      <c r="U110" s="145" cm="1">
        <f t="array" ref="U110">IF(TbTradesBinance[[#This Row],[Tipo]]="EMPTY",0,U109+IF(TbTradesBinance[[#This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Row],[Par]]))),$1:$1,0)),-(T109-T110)/T109*U109),0),0)+IF(TbTradesBinance[[#This Row],[Tipo]]="SELL",IF(ISNUMBER(FIND(MID(U$1,10,5),TbTradesBinance[[#This Row],[Par]])),IF(FIND(MID(U$1,10,5),TbTradesBinance[[#This Row],[Par]])=1, -(T109-T110)/T109*U109,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Row],[Par]])),(-(T109-T110)/T109*U109)+IF(TbTradesBinance[[#This Row],[Resultado]]&gt;0,0,TbTradesBinance[[#This Row],[Taxa]]),0),0))</f>
        <v>1328239.8809817513</v>
      </c>
      <c r="V110" s="145">
        <f t="shared" si="22"/>
        <v>6.6500000148719129</v>
      </c>
      <c r="W11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Row],[Tipo]]="DROP"),W109+TbTradesBinance[[#This Row],[Qtt]],W109-TbTradesBinance[[#This Row],[Qtt]]),IF(TbTradesBinance[[#This Row],[Tipo]]="BUY",W109-TbTradesBinance[[#This Row],[Qtt]]*TbTradesBinance[[#This Row],[Preço]],W109+TbTradesBinance[[#This Row],[Qtt]]*TbTradesBinance[[#This Row],[Preço]])),W109)-IF(TbTradesBinance[[#This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Row],[Tipo]]="DROP"),W109+TbTradesBinance[[#This Row],[Qtt]],W109-TbTradesBinance[[#This Row],[Qtt]]),IF(TbTradesBinance[[#This Row],[Tipo]]="BUY",W109-TbTradesBinance[[#This Row],[Qtt]]*TbTradesBinance[[#This Row],[Preço]],W109+TbTradesBinance[[#This Row],[Qtt]]*TbTradesBinance[[#This Row],[Preço]])),W109)-IF(TbTradesBinance[[#This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Row],[Tipo]]="DROP"),W109+TbTradesBinance[[#This Row],[Qtt]],W109-TbTradesBinance[[#This Row],[Qtt]]),IF(TbTradesBinance[[#This Row],[Tipo]]="BUY",W109-TbTradesBinance[[#This Row],[Qtt]]*TbTradesBinance[[#This Row],[Preço]],W109+TbTradesBinance[[#This Row],[Qtt]]*TbTradesBinance[[#This Row],[Preço]])),W109)-IF(TbTradesBinance[[#This Row],[Moeda da Taxa]]=MID(W$1,9,5),TbTradesBinance[[#This Row],[Taxa]],0),8)))</f>
        <v>2.6853599999999999E-3</v>
      </c>
      <c r="X110" s="145" cm="1">
        <f t="array" ref="X110">IF(TbTradesBinance[[#This Row],[Tipo]]="EMPTY",0,X109+IF(TbTradesBinance[[#This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Row],[Par]]))),$1:$1,0)),-(W109-W110)/W109*X109),0),0)+IF(TbTradesBinance[[#This Row],[Tipo]]="SELL",IF(ISNUMBER(FIND(MID(X$1,10,5),TbTradesBinance[[#This Row],[Par]])),IF(FIND(MID(X$1,10,5),TbTradesBinance[[#This Row],[Par]])=1, -(W109-W110)/W109*X109,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Row],[Par]])),(-(W109-W110)/W109*X109)+IF(TbTradesBinance[[#This Row],[Resultado]]&gt;0,0,TbTradesBinance[[#This Row],[Taxa]]),0),0))</f>
        <v>898.69661242159862</v>
      </c>
      <c r="Y110" s="145">
        <f t="shared" si="23"/>
        <v>334665.22642088908</v>
      </c>
      <c r="Z11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Row],[Tipo]]="DROP"),Z109+TbTradesBinance[[#This Row],[Qtt]],Z109-TbTradesBinance[[#This Row],[Qtt]]),IF(TbTradesBinance[[#This Row],[Tipo]]="BUY",Z109-TbTradesBinance[[#This Row],[Qtt]]*TbTradesBinance[[#This Row],[Preço]],Z109+TbTradesBinance[[#This Row],[Qtt]]*TbTradesBinance[[#This Row],[Preço]])),Z109)-IF(TbTradesBinance[[#This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Row],[Tipo]]="DROP"),Z109+TbTradesBinance[[#This Row],[Qtt]],Z109-TbTradesBinance[[#This Row],[Qtt]]),IF(TbTradesBinance[[#This Row],[Tipo]]="BUY",Z109-TbTradesBinance[[#This Row],[Qtt]]*TbTradesBinance[[#This Row],[Preço]],Z109+TbTradesBinance[[#This Row],[Qtt]]*TbTradesBinance[[#This Row],[Preço]])),Z109)-IF(TbTradesBinance[[#This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Row],[Tipo]]="DROP"),Z109+TbTradesBinance[[#This Row],[Qtt]],Z109-TbTradesBinance[[#This Row],[Qtt]]),IF(TbTradesBinance[[#This Row],[Tipo]]="BUY",Z109-TbTradesBinance[[#This Row],[Qtt]]*TbTradesBinance[[#This Row],[Preço]],Z109+TbTradesBinance[[#This Row],[Qtt]]*TbTradesBinance[[#This Row],[Preço]])),Z109)-IF(TbTradesBinance[[#This Row],[Moeda da Taxa]]=MID(Z$1,9,5),TbTradesBinance[[#This Row],[Taxa]],0),8)))</f>
        <v>2.0629350000000001E-2</v>
      </c>
      <c r="AA110" s="145" cm="1">
        <f t="array" ref="AA110">IF(TbTradesBinance[[#This Row],[Tipo]]="EMPTY",0,AA109+IF(TbTradesBinance[[#This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Row],[Par]]))),$1:$1,0)),-(Z109-Z110)/Z109*AA109),0),0)+IF(TbTradesBinance[[#This Row],[Tipo]]="SELL",IF(ISNUMBER(FIND(MID(AA$1,10,5),TbTradesBinance[[#This Row],[Par]])),IF(FIND(MID(AA$1,10,5),TbTradesBinance[[#This Row],[Par]])=1, -(Z109-Z110)/Z109*AA109,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Row],[Par]])),(-(Z109-Z110)/Z109*AA109)+IF(TbTradesBinance[[#This Row],[Resultado]]&gt;0,0,TbTradesBinance[[#This Row],[Taxa]]),0),0))</f>
        <v>214.62129483695568</v>
      </c>
      <c r="AB110" s="145">
        <f t="shared" si="24"/>
        <v>10403.686729681531</v>
      </c>
      <c r="AC11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Row],[Tipo]]="DROP"),AC109+TbTradesBinance[[#This Row],[Qtt]],AC109-TbTradesBinance[[#This Row],[Qtt]]),IF(TbTradesBinance[[#This Row],[Tipo]]="BUY",AC109-TbTradesBinance[[#This Row],[Qtt]]*TbTradesBinance[[#This Row],[Preço]],AC109+TbTradesBinance[[#This Row],[Qtt]]*TbTradesBinance[[#This Row],[Preço]])),AC109)-IF(TbTradesBinance[[#This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Row],[Tipo]]="DROP"),AC109+TbTradesBinance[[#This Row],[Qtt]],AC109-TbTradesBinance[[#This Row],[Qtt]]),IF(TbTradesBinance[[#This Row],[Tipo]]="BUY",AC109-TbTradesBinance[[#This Row],[Qtt]]*TbTradesBinance[[#This Row],[Preço]],AC109+TbTradesBinance[[#This Row],[Qtt]]*TbTradesBinance[[#This Row],[Preço]])),AC109)-IF(TbTradesBinance[[#This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Row],[Tipo]]="DROP"),AC109+TbTradesBinance[[#This Row],[Qtt]],AC109-TbTradesBinance[[#This Row],[Qtt]]),IF(TbTradesBinance[[#This Row],[Tipo]]="BUY",AC109-TbTradesBinance[[#This Row],[Qtt]]*TbTradesBinance[[#This Row],[Preço]],AC109+TbTradesBinance[[#This Row],[Qtt]]*TbTradesBinance[[#This Row],[Preço]])),AC109)-IF(TbTradesBinance[[#This Row],[Moeda da Taxa]]=MID(AC$1,9,5),TbTradesBinance[[#This Row],[Taxa]],0),8)))</f>
        <v>9.6999E-4</v>
      </c>
      <c r="AD110" s="145" cm="1">
        <f t="array" ref="AD110">IF(TbTradesBinance[[#This Row],[Tipo]]="EMPTY",0,AD109+IF(TbTradesBinance[[#This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Row],[Par]]))),$1:$1,0)),-(AC109-AC110)/AC109*AD109),0),0)+IF(TbTradesBinance[[#This Row],[Tipo]]="SELL",IF(ISNUMBER(FIND(MID(AD$1,10,5),TbTradesBinance[[#This Row],[Par]])),IF(FIND(MID(AD$1,10,5),TbTradesBinance[[#This Row],[Par]])=1, -(AC109-AC110)/AC109*AD109,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Row],[Par]])),(-(AC109-AC110)/AC109*AD109)+IF(TbTradesBinance[[#This Row],[Resultado]]&gt;0,0,TbTradesBinance[[#This Row],[Taxa]]),0),0))</f>
        <v>1.9483868939812083</v>
      </c>
      <c r="AE110" s="145">
        <f t="shared" si="25"/>
        <v>2008.6669903619711</v>
      </c>
      <c r="AF11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Row],[Tipo]]="DROP"),AF109+TbTradesBinance[[#This Row],[Qtt]],AF109-TbTradesBinance[[#This Row],[Qtt]]),IF(TbTradesBinance[[#This Row],[Tipo]]="BUY",AF109-TbTradesBinance[[#This Row],[Qtt]]*TbTradesBinance[[#This Row],[Preço]],AF109+TbTradesBinance[[#This Row],[Qtt]]*TbTradesBinance[[#This Row],[Preço]])),AF109)-IF(TbTradesBinance[[#This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Row],[Tipo]]="DROP"),AF109+TbTradesBinance[[#This Row],[Qtt]],AF109-TbTradesBinance[[#This Row],[Qtt]]),IF(TbTradesBinance[[#This Row],[Tipo]]="BUY",AF109-TbTradesBinance[[#This Row],[Qtt]]*TbTradesBinance[[#This Row],[Preço]],AF109+TbTradesBinance[[#This Row],[Qtt]]*TbTradesBinance[[#This Row],[Preço]])),AF109)-IF(TbTradesBinance[[#This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Row],[Tipo]]="DROP"),AF109+TbTradesBinance[[#This Row],[Qtt]],AF109-TbTradesBinance[[#This Row],[Qtt]]),IF(TbTradesBinance[[#This Row],[Tipo]]="BUY",AF109-TbTradesBinance[[#This Row],[Qtt]]*TbTradesBinance[[#This Row],[Preço]],AF109+TbTradesBinance[[#This Row],[Qtt]]*TbTradesBinance[[#This Row],[Preço]])),AF109)-IF(TbTradesBinance[[#This Row],[Moeda da Taxa]]=MID(AF$1,9,5),TbTradesBinance[[#This Row],[Taxa]],0),8)))</f>
        <v>0.08</v>
      </c>
      <c r="AG110" s="145" cm="1">
        <f t="array" ref="AG110">IF(TbTradesBinance[[#This Row],[Tipo]]="EMPTY",0,AG109+IF(TbTradesBinance[[#This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Row],[Par]]))),$1:$1,0)),-(AF109-AF110)/AF109*AG109),0),0)+IF(TbTradesBinance[[#This Row],[Tipo]]="SELL",IF(ISNUMBER(FIND(MID(AG$1,10,5),TbTradesBinance[[#This Row],[Par]])),IF(FIND(MID(AG$1,10,5),TbTradesBinance[[#This Row],[Par]])=1, -(AF109-AF110)/AF109*AG109,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Row],[Par]])),(-(AF109-AF110)/AF109*AG109)+IF(TbTradesBinance[[#This Row],[Resultado]]&gt;0,0,TbTradesBinance[[#This Row],[Taxa]]),0),0))</f>
        <v>0.49666397429723474</v>
      </c>
      <c r="AH110" s="145">
        <f t="shared" si="26"/>
        <v>6.2082996787154343</v>
      </c>
      <c r="AI11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Row],[Tipo]]="DROP"),AI109+TbTradesBinance[[#This Row],[Qtt]],AI109-TbTradesBinance[[#This Row],[Qtt]]),IF(TbTradesBinance[[#This Row],[Tipo]]="BUY",AI109-TbTradesBinance[[#This Row],[Qtt]]*TbTradesBinance[[#This Row],[Preço]],AI109+TbTradesBinance[[#This Row],[Qtt]]*TbTradesBinance[[#This Row],[Preço]])),AI109)-IF(TbTradesBinance[[#This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Row],[Tipo]]="DROP"),AI109+TbTradesBinance[[#This Row],[Qtt]],AI109-TbTradesBinance[[#This Row],[Qtt]]),IF(TbTradesBinance[[#This Row],[Tipo]]="BUY",AI109-TbTradesBinance[[#This Row],[Qtt]]*TbTradesBinance[[#This Row],[Preço]],AI109+TbTradesBinance[[#This Row],[Qtt]]*TbTradesBinance[[#This Row],[Preço]])),AI109)-IF(TbTradesBinance[[#This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Row],[Tipo]]="DROP"),AI109+TbTradesBinance[[#This Row],[Qtt]],AI109-TbTradesBinance[[#This Row],[Qtt]]),IF(TbTradesBinance[[#This Row],[Tipo]]="BUY",AI109-TbTradesBinance[[#This Row],[Qtt]]*TbTradesBinance[[#This Row],[Preço]],AI109+TbTradesBinance[[#This Row],[Qtt]]*TbTradesBinance[[#This Row],[Preço]])),AI109)-IF(TbTradesBinance[[#This Row],[Moeda da Taxa]]=MID(AI$1,9,5),TbTradesBinance[[#This Row],[Taxa]],0),8)))</f>
        <v>0</v>
      </c>
      <c r="AJ110" s="145" cm="1">
        <f t="array" ref="AJ110">IF(TbTradesBinance[[#This Row],[Tipo]]="EMPTY",0,AJ109+IF(TbTradesBinance[[#This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Row],[Par]]))),$1:$1,0)),-(AI109-AI110)/AI109*AJ109),0),0)+IF(TbTradesBinance[[#This Row],[Tipo]]="SELL",IF(ISNUMBER(FIND(MID(AJ$1,10,5),TbTradesBinance[[#This Row],[Par]])),IF(FIND(MID(AJ$1,10,5),TbTradesBinance[[#This Row],[Par]])=1, -(AI109-AI110)/AI109*AJ109,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Row],[Par]])),(-(AI109-AI110)/AI109*AJ109)+IF(TbTradesBinance[[#This Row],[Resultado]]&gt;0,0,TbTradesBinance[[#This Row],[Taxa]]),0),0))</f>
        <v>0</v>
      </c>
      <c r="AK110" s="145">
        <f t="shared" si="27"/>
        <v>0</v>
      </c>
      <c r="AL11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Row],[Tipo]]="DROP"),AL109+TbTradesBinance[[#This Row],[Qtt]],AL109-TbTradesBinance[[#This Row],[Qtt]]),IF(TbTradesBinance[[#This Row],[Tipo]]="BUY",AL109-TbTradesBinance[[#This Row],[Qtt]]*TbTradesBinance[[#This Row],[Preço]],AL109+TbTradesBinance[[#This Row],[Qtt]]*TbTradesBinance[[#This Row],[Preço]])),AL109)-IF(TbTradesBinance[[#This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Row],[Tipo]]="DROP"),AL109+TbTradesBinance[[#This Row],[Qtt]],AL109-TbTradesBinance[[#This Row],[Qtt]]),IF(TbTradesBinance[[#This Row],[Tipo]]="BUY",AL109-TbTradesBinance[[#This Row],[Qtt]]*TbTradesBinance[[#This Row],[Preço]],AL109+TbTradesBinance[[#This Row],[Qtt]]*TbTradesBinance[[#This Row],[Preço]])),AL109)-IF(TbTradesBinance[[#This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Row],[Tipo]]="DROP"),AL109+TbTradesBinance[[#This Row],[Qtt]],AL109-TbTradesBinance[[#This Row],[Qtt]]),IF(TbTradesBinance[[#This Row],[Tipo]]="BUY",AL109-TbTradesBinance[[#This Row],[Qtt]]*TbTradesBinance[[#This Row],[Preço]],AL109+TbTradesBinance[[#This Row],[Qtt]]*TbTradesBinance[[#This Row],[Preço]])),AL109)-IF(TbTradesBinance[[#This Row],[Moeda da Taxa]]=MID(AL$1,9,5),TbTradesBinance[[#This Row],[Taxa]],0),8)))</f>
        <v>8.2400000000000008E-3</v>
      </c>
      <c r="AM110" s="145" cm="1">
        <f t="array" ref="AM110">IF(TbTradesBinance[[#This Row],[Tipo]]="EMPTY",0,AM109+IF(TbTradesBinance[[#This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Row],[Par]]))),$1:$1,0)),-(AL109-AL110)/AL109*AM109),0),0)+IF(TbTradesBinance[[#This Row],[Tipo]]="SELL",IF(ISNUMBER(FIND(MID(AM$1,10,5),TbTradesBinance[[#This Row],[Par]])),IF(FIND(MID(AM$1,10,5),TbTradesBinance[[#This Row],[Par]])=1, -(AL109-AL110)/AL109*AM109,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Row],[Par]])),(-(AL109-AL110)/AL109*AM109)+IF(TbTradesBinance[[#This Row],[Resultado]]&gt;0,0,TbTradesBinance[[#This Row],[Taxa]]),0),0))</f>
        <v>0.67751089887772764</v>
      </c>
      <c r="AN110" s="145">
        <f t="shared" si="28"/>
        <v>82.222196465743636</v>
      </c>
      <c r="AO11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Row],[Tipo]]="DROP"),AO109+TbTradesBinance[[#This Row],[Qtt]],AO109-TbTradesBinance[[#This Row],[Qtt]]),IF(TbTradesBinance[[#This Row],[Tipo]]="BUY",AO109-TbTradesBinance[[#This Row],[Qtt]]*TbTradesBinance[[#This Row],[Preço]],AO109+TbTradesBinance[[#This Row],[Qtt]]*TbTradesBinance[[#This Row],[Preço]])),AO109)-IF(TbTradesBinance[[#This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Row],[Tipo]]="DROP"),AO109+TbTradesBinance[[#This Row],[Qtt]],AO109-TbTradesBinance[[#This Row],[Qtt]]),IF(TbTradesBinance[[#This Row],[Tipo]]="BUY",AO109-TbTradesBinance[[#This Row],[Qtt]]*TbTradesBinance[[#This Row],[Preço]],AO109+TbTradesBinance[[#This Row],[Qtt]]*TbTradesBinance[[#This Row],[Preço]])),AO109)-IF(TbTradesBinance[[#This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Row],[Tipo]]="DROP"),AO109+TbTradesBinance[[#This Row],[Qtt]],AO109-TbTradesBinance[[#This Row],[Qtt]]),IF(TbTradesBinance[[#This Row],[Tipo]]="BUY",AO109-TbTradesBinance[[#This Row],[Qtt]]*TbTradesBinance[[#This Row],[Preço]],AO109+TbTradesBinance[[#This Row],[Qtt]]*TbTradesBinance[[#This Row],[Preço]])),AO109)-IF(TbTradesBinance[[#This Row],[Moeda da Taxa]]=MID(AO$1,9,5),TbTradesBinance[[#This Row],[Taxa]],0),8)))</f>
        <v>7.472086E-2</v>
      </c>
      <c r="AP110" s="145" cm="1">
        <f t="array" ref="AP110">IF(TbTradesBinance[[#This Row],[Tipo]]="EMPTY",0,AP109+IF(TbTradesBinance[[#This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Row],[Par]]))),$1:$1,0)),-(AO109-AO110)/AO109*AP109),0),0)+IF(TbTradesBinance[[#This Row],[Tipo]]="SELL",IF(ISNUMBER(FIND(MID(AP$1,10,5),TbTradesBinance[[#This Row],[Par]])),IF(FIND(MID(AP$1,10,5),TbTradesBinance[[#This Row],[Par]])=1, -(AO109-AO110)/AO109*AP109,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Row],[Par]])),(-(AO109-AO110)/AO109*AP109)+IF(TbTradesBinance[[#This Row],[Resultado]]&gt;0,0,TbTradesBinance[[#This Row],[Taxa]]),0),0))</f>
        <v>113.87766627073657</v>
      </c>
      <c r="AQ110" s="145">
        <f t="shared" si="29"/>
        <v>1524.041161607837</v>
      </c>
      <c r="AR11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Row],[Tipo]]="DROP"),AR109+TbTradesBinance[[#This Row],[Qtt]],AR109-TbTradesBinance[[#This Row],[Qtt]]),IF(TbTradesBinance[[#This Row],[Tipo]]="BUY",AR109-TbTradesBinance[[#This Row],[Qtt]]*TbTradesBinance[[#This Row],[Preço]],AR109+TbTradesBinance[[#This Row],[Qtt]]*TbTradesBinance[[#This Row],[Preço]])),AR109)-IF(TbTradesBinance[[#This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Row],[Tipo]]="DROP"),AR109+TbTradesBinance[[#This Row],[Qtt]],AR109-TbTradesBinance[[#This Row],[Qtt]]),IF(TbTradesBinance[[#This Row],[Tipo]]="BUY",AR109-TbTradesBinance[[#This Row],[Qtt]]*TbTradesBinance[[#This Row],[Preço]],AR109+TbTradesBinance[[#This Row],[Qtt]]*TbTradesBinance[[#This Row],[Preço]])),AR109)-IF(TbTradesBinance[[#This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Row],[Tipo]]="DROP"),AR109+TbTradesBinance[[#This Row],[Qtt]],AR109-TbTradesBinance[[#This Row],[Qtt]]),IF(TbTradesBinance[[#This Row],[Tipo]]="BUY",AR109-TbTradesBinance[[#This Row],[Qtt]]*TbTradesBinance[[#This Row],[Preço]],AR109+TbTradesBinance[[#This Row],[Qtt]]*TbTradesBinance[[#This Row],[Preço]])),AR109)-IF(TbTradesBinance[[#This Row],[Moeda da Taxa]]=MID(AR$1,9,5),TbTradesBinance[[#This Row],[Taxa]],0),8)))</f>
        <v>61.251199999999997</v>
      </c>
      <c r="AS110" s="145" cm="1">
        <f t="array" ref="AS110">IF(TbTradesBinance[[#This Row],[Tipo]]="EMPTY",0,AS109+IF(TbTradesBinance[[#This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Row],[Par]]))),$1:$1,0)),-(AR109-AR110)/AR109*AS109),0),0)+IF(TbTradesBinance[[#This Row],[Tipo]]="SELL",IF(ISNUMBER(FIND(MID(AS$1,10,5),TbTradesBinance[[#This Row],[Par]])),IF(FIND(MID(AS$1,10,5),TbTradesBinance[[#This Row],[Par]])=1, -(AR109-AR110)/AR109*AS109,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Row],[Par]])),(-(AR109-AR110)/AR109*AS109)+IF(TbTradesBinance[[#This Row],[Resultado]]&gt;0,0,TbTradesBinance[[#This Row],[Taxa]]),0),0))</f>
        <v>230.84001376053044</v>
      </c>
      <c r="AT110" s="145">
        <f t="shared" si="30"/>
        <v>3.7687427146003745</v>
      </c>
      <c r="AU11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Row],[Tipo]]="DROP"),AU109+TbTradesBinance[[#This Row],[Qtt]],AU109-TbTradesBinance[[#This Row],[Qtt]]),IF(TbTradesBinance[[#This Row],[Tipo]]="BUY",AU109-TbTradesBinance[[#This Row],[Qtt]]*TbTradesBinance[[#This Row],[Preço]],AU109+TbTradesBinance[[#This Row],[Qtt]]*TbTradesBinance[[#This Row],[Preço]])),AU109)-IF(TbTradesBinance[[#This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Row],[Tipo]]="DROP"),AU109+TbTradesBinance[[#This Row],[Qtt]],AU109-TbTradesBinance[[#This Row],[Qtt]]),IF(TbTradesBinance[[#This Row],[Tipo]]="BUY",AU109-TbTradesBinance[[#This Row],[Qtt]]*TbTradesBinance[[#This Row],[Preço]],AU109+TbTradesBinance[[#This Row],[Qtt]]*TbTradesBinance[[#This Row],[Preço]])),AU109)-IF(TbTradesBinance[[#This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Row],[Tipo]]="DROP"),AU109+TbTradesBinance[[#This Row],[Qtt]],AU109-TbTradesBinance[[#This Row],[Qtt]]),IF(TbTradesBinance[[#This Row],[Tipo]]="BUY",AU109-TbTradesBinance[[#This Row],[Qtt]]*TbTradesBinance[[#This Row],[Preço]],AU109+TbTradesBinance[[#This Row],[Qtt]]*TbTradesBinance[[#This Row],[Preço]])),AU109)-IF(TbTradesBinance[[#This Row],[Moeda da Taxa]]=MID(AU$1,9,5),TbTradesBinance[[#This Row],[Taxa]],0),8)))</f>
        <v>0</v>
      </c>
      <c r="AV110" s="145" cm="1">
        <f t="array" ref="AV110">IF(TbTradesBinance[[#This Row],[Tipo]]="EMPTY",0,AV109+IF(TbTradesBinance[[#This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Row],[Par]]))),$1:$1,0)),-(AU109-AU110)/AU109*AV109),0),0)+IF(TbTradesBinance[[#This Row],[Tipo]]="SELL",IF(ISNUMBER(FIND(MID(AV$1,10,5),TbTradesBinance[[#This Row],[Par]])),IF(FIND(MID(AV$1,10,5),TbTradesBinance[[#This Row],[Par]])=1, -(AU109-AU110)/AU109*AV109,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Row],[Par]])),(-(AU109-AU110)/AU109*AV109)+IF(TbTradesBinance[[#This Row],[Resultado]]&gt;0,0,TbTradesBinance[[#This Row],[Taxa]]),0),0))</f>
        <v>0</v>
      </c>
      <c r="AW110" s="145">
        <f t="shared" si="31"/>
        <v>0</v>
      </c>
      <c r="AX11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Row],[Tipo]]="DROP"),AX109+TbTradesBinance[[#This Row],[Qtt]],AX109-TbTradesBinance[[#This Row],[Qtt]]),IF(TbTradesBinance[[#This Row],[Tipo]]="BUY",AX109-TbTradesBinance[[#This Row],[Qtt]]*TbTradesBinance[[#This Row],[Preço]],AX109+TbTradesBinance[[#This Row],[Qtt]]*TbTradesBinance[[#This Row],[Preço]])),AX109)-IF(TbTradesBinance[[#This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Row],[Tipo]]="DROP"),AX109+TbTradesBinance[[#This Row],[Qtt]],AX109-TbTradesBinance[[#This Row],[Qtt]]),IF(TbTradesBinance[[#This Row],[Tipo]]="BUY",AX109-TbTradesBinance[[#This Row],[Qtt]]*TbTradesBinance[[#This Row],[Preço]],AX109+TbTradesBinance[[#This Row],[Qtt]]*TbTradesBinance[[#This Row],[Preço]])),AX109)-IF(TbTradesBinance[[#This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Row],[Tipo]]="DROP"),AX109+TbTradesBinance[[#This Row],[Qtt]],AX109-TbTradesBinance[[#This Row],[Qtt]]),IF(TbTradesBinance[[#This Row],[Tipo]]="BUY",AX109-TbTradesBinance[[#This Row],[Qtt]]*TbTradesBinance[[#This Row],[Preço]],AX109+TbTradesBinance[[#This Row],[Qtt]]*TbTradesBinance[[#This Row],[Preço]])),AX109)-IF(TbTradesBinance[[#This Row],[Moeda da Taxa]]=MID(AX$1,9,5),TbTradesBinance[[#This Row],[Taxa]],0),8)))</f>
        <v>0.85636999999999996</v>
      </c>
      <c r="AY110" s="145" cm="1">
        <f t="array" ref="AY110">IF(TbTradesBinance[[#This Row],[Tipo]]="EMPTY",0,AY109+IF(TbTradesBinance[[#This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Row],[Par]]))),$1:$1,0)),-(AX109-AX110)/AX109*AY109),0),0)+IF(TbTradesBinance[[#This Row],[Tipo]]="SELL",IF(ISNUMBER(FIND(MID(AY$1,10,5),TbTradesBinance[[#This Row],[Par]])),IF(FIND(MID(AY$1,10,5),TbTradesBinance[[#This Row],[Par]])=1, -(AX109-AX110)/AX109*AY109,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Row],[Par]])),(-(AX109-AX110)/AX109*AY109)+IF(TbTradesBinance[[#This Row],[Resultado]]&gt;0,0,TbTradesBinance[[#This Row],[Taxa]]),0),0))</f>
        <v>131.82971181780295</v>
      </c>
      <c r="AZ110" s="145">
        <f t="shared" si="32"/>
        <v>153.94013314081874</v>
      </c>
      <c r="BA11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Row],[Tipo]]="DROP"),BA109+TbTradesBinance[[#This Row],[Qtt]],BA109-TbTradesBinance[[#This Row],[Qtt]]),IF(TbTradesBinance[[#This Row],[Tipo]]="BUY",BA109-TbTradesBinance[[#This Row],[Qtt]]*TbTradesBinance[[#This Row],[Preço]],BA109+TbTradesBinance[[#This Row],[Qtt]]*TbTradesBinance[[#This Row],[Preço]])),BA109)-IF(TbTradesBinance[[#This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Row],[Tipo]]="DROP"),BA109+TbTradesBinance[[#This Row],[Qtt]],BA109-TbTradesBinance[[#This Row],[Qtt]]),IF(TbTradesBinance[[#This Row],[Tipo]]="BUY",BA109-TbTradesBinance[[#This Row],[Qtt]]*TbTradesBinance[[#This Row],[Preço]],BA109+TbTradesBinance[[#This Row],[Qtt]]*TbTradesBinance[[#This Row],[Preço]])),BA109)-IF(TbTradesBinance[[#This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Row],[Tipo]]="DROP"),BA109+TbTradesBinance[[#This Row],[Qtt]],BA109-TbTradesBinance[[#This Row],[Qtt]]),IF(TbTradesBinance[[#This Row],[Tipo]]="BUY",BA109-TbTradesBinance[[#This Row],[Qtt]]*TbTradesBinance[[#This Row],[Preço]],BA109+TbTradesBinance[[#This Row],[Qtt]]*TbTradesBinance[[#This Row],[Preço]])),BA109)-IF(TbTradesBinance[[#This Row],[Moeda da Taxa]]=MID(BA$1,9,5),TbTradesBinance[[#This Row],[Taxa]],0),8)))</f>
        <v>0</v>
      </c>
      <c r="BB110" s="145" cm="1">
        <f t="array" ref="BB110">IF(TbTradesBinance[[#This Row],[Tipo]]="EMPTY",0,BB109+IF(TbTradesBinance[[#This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Row],[Par]]))),$1:$1,0)),-(BA109-BA110)/BA109*BB109),0),0)+IF(TbTradesBinance[[#This Row],[Tipo]]="SELL",IF(ISNUMBER(FIND(MID(BB$1,10,5),TbTradesBinance[[#This Row],[Par]])),IF(FIND(MID(BB$1,10,5),TbTradesBinance[[#This Row],[Par]])=1, -(BA109-BA110)/BA109*BB109,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Row],[Par]])),(-(BA109-BA110)/BA109*BB109)+IF(TbTradesBinance[[#This Row],[Resultado]]&gt;0,0,TbTradesBinance[[#This Row],[Taxa]]),0),0))</f>
        <v>0</v>
      </c>
      <c r="BC110" s="145">
        <f t="shared" si="33"/>
        <v>0</v>
      </c>
      <c r="BD11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Row],[Tipo]]="DROP"),BD109+TbTradesBinance[[#This Row],[Qtt]],BD109-TbTradesBinance[[#This Row],[Qtt]]),IF(TbTradesBinance[[#This Row],[Tipo]]="BUY",BD109-TbTradesBinance[[#This Row],[Qtt]]*TbTradesBinance[[#This Row],[Preço]],BD109+TbTradesBinance[[#This Row],[Qtt]]*TbTradesBinance[[#This Row],[Preço]])),BD109)-IF(TbTradesBinance[[#This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Row],[Tipo]]="DROP"),BD109+TbTradesBinance[[#This Row],[Qtt]],BD109-TbTradesBinance[[#This Row],[Qtt]]),IF(TbTradesBinance[[#This Row],[Tipo]]="BUY",BD109-TbTradesBinance[[#This Row],[Qtt]]*TbTradesBinance[[#This Row],[Preço]],BD109+TbTradesBinance[[#This Row],[Qtt]]*TbTradesBinance[[#This Row],[Preço]])),BD109)-IF(TbTradesBinance[[#This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Row],[Tipo]]="DROP"),BD109+TbTradesBinance[[#This Row],[Qtt]],BD109-TbTradesBinance[[#This Row],[Qtt]]),IF(TbTradesBinance[[#This Row],[Tipo]]="BUY",BD109-TbTradesBinance[[#This Row],[Qtt]]*TbTradesBinance[[#This Row],[Preço]],BD109+TbTradesBinance[[#This Row],[Qtt]]*TbTradesBinance[[#This Row],[Preço]])),BD109)-IF(TbTradesBinance[[#This Row],[Moeda da Taxa]]=MID(BD$1,9,5),TbTradesBinance[[#This Row],[Taxa]],0),8)))</f>
        <v>9.0599900000000004E-3</v>
      </c>
      <c r="BE110" s="145" cm="1">
        <f t="array" ref="BE110">IF(TbTradesBinance[[#This Row],[Tipo]]="EMPTY",0,BE109+IF(TbTradesBinance[[#This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Row],[Par]]))),$1:$1,0)),-(BD109-BD110)/BD109*BE109),0),0)+IF(TbTradesBinance[[#This Row],[Tipo]]="SELL",IF(ISNUMBER(FIND(MID(BE$1,10,5),TbTradesBinance[[#This Row],[Par]])),IF(FIND(MID(BE$1,10,5),TbTradesBinance[[#This Row],[Par]])=1, -(BD109-BD110)/BD109*BE109,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Row],[Par]])),(-(BD109-BD110)/BD109*BE109)+IF(TbTradesBinance[[#This Row],[Resultado]]&gt;0,0,TbTradesBinance[[#This Row],[Taxa]]),0),0))</f>
        <v>1.6846969284922721</v>
      </c>
      <c r="BF110" s="145">
        <f t="shared" si="34"/>
        <v>185.94909359638058</v>
      </c>
      <c r="BG11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Row],[Tipo]]="DROP"),BG109+TbTradesBinance[[#This Row],[Qtt]],BG109-TbTradesBinance[[#This Row],[Qtt]]),IF(TbTradesBinance[[#This Row],[Tipo]]="BUY",BG109-TbTradesBinance[[#This Row],[Qtt]]*TbTradesBinance[[#This Row],[Preço]],BG109+TbTradesBinance[[#This Row],[Qtt]]*TbTradesBinance[[#This Row],[Preço]])),BG109)-IF(TbTradesBinance[[#This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Row],[Tipo]]="DROP"),BG109+TbTradesBinance[[#This Row],[Qtt]],BG109-TbTradesBinance[[#This Row],[Qtt]]),IF(TbTradesBinance[[#This Row],[Tipo]]="BUY",BG109-TbTradesBinance[[#This Row],[Qtt]]*TbTradesBinance[[#This Row],[Preço]],BG109+TbTradesBinance[[#This Row],[Qtt]]*TbTradesBinance[[#This Row],[Preço]])),BG109)-IF(TbTradesBinance[[#This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Row],[Tipo]]="DROP"),BG109+TbTradesBinance[[#This Row],[Qtt]],BG109-TbTradesBinance[[#This Row],[Qtt]]),IF(TbTradesBinance[[#This Row],[Tipo]]="BUY",BG109-TbTradesBinance[[#This Row],[Qtt]]*TbTradesBinance[[#This Row],[Preço]],BG109+TbTradesBinance[[#This Row],[Qtt]]*TbTradesBinance[[#This Row],[Preço]])),BG109)-IF(TbTradesBinance[[#This Row],[Moeda da Taxa]]=MID(BG$1,9,5),TbTradesBinance[[#This Row],[Taxa]],0),8)))</f>
        <v>0</v>
      </c>
      <c r="BH110" s="145" cm="1">
        <f t="array" ref="BH110">IF(TbTradesBinance[[#This Row],[Tipo]]="EMPTY",0,BH109+IF(TbTradesBinance[[#This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Row],[Par]]))),$1:$1,0)),-(BG109-BG110)/BG109*BH109),0),0)+IF(TbTradesBinance[[#This Row],[Tipo]]="SELL",IF(ISNUMBER(FIND(MID(BH$1,10,5),TbTradesBinance[[#This Row],[Par]])),IF(FIND(MID(BH$1,10,5),TbTradesBinance[[#This Row],[Par]])=1, -(BG109-BG110)/BG109*BH109,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Row],[Par]])),(-(BG109-BG110)/BG109*BH109)+IF(TbTradesBinance[[#This Row],[Resultado]]&gt;0,0,TbTradesBinance[[#This Row],[Taxa]]),0),0))</f>
        <v>0</v>
      </c>
      <c r="BI110" s="145">
        <f t="shared" si="35"/>
        <v>0</v>
      </c>
      <c r="BJ11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Row],[Tipo]]="DROP"),BJ109+TbTradesBinance[[#This Row],[Qtt]],BJ109-TbTradesBinance[[#This Row],[Qtt]]),IF(TbTradesBinance[[#This Row],[Tipo]]="BUY",BJ109-TbTradesBinance[[#This Row],[Qtt]]*TbTradesBinance[[#This Row],[Preço]],BJ109+TbTradesBinance[[#This Row],[Qtt]]*TbTradesBinance[[#This Row],[Preço]])),BJ109)-IF(TbTradesBinance[[#This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Row],[Tipo]]="DROP"),BJ109+TbTradesBinance[[#This Row],[Qtt]],BJ109-TbTradesBinance[[#This Row],[Qtt]]),IF(TbTradesBinance[[#This Row],[Tipo]]="BUY",BJ109-TbTradesBinance[[#This Row],[Qtt]]*TbTradesBinance[[#This Row],[Preço]],BJ109+TbTradesBinance[[#This Row],[Qtt]]*TbTradesBinance[[#This Row],[Preço]])),BJ109)-IF(TbTradesBinance[[#This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Row],[Tipo]]="DROP"),BJ109+TbTradesBinance[[#This Row],[Qtt]],BJ109-TbTradesBinance[[#This Row],[Qtt]]),IF(TbTradesBinance[[#This Row],[Tipo]]="BUY",BJ109-TbTradesBinance[[#This Row],[Qtt]]*TbTradesBinance[[#This Row],[Preço]],BJ109+TbTradesBinance[[#This Row],[Qtt]]*TbTradesBinance[[#This Row],[Preço]])),BJ109)-IF(TbTradesBinance[[#This Row],[Moeda da Taxa]]=MID(BJ$1,9,5),TbTradesBinance[[#This Row],[Taxa]],0),8)))</f>
        <v>0</v>
      </c>
      <c r="BK110" s="145" cm="1">
        <f t="array" ref="BK110">IF(TbTradesBinance[[#This Row],[Tipo]]="EMPTY",0,BK109+IF(TbTradesBinance[[#This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Row],[Par]]))),$1:$1,0)),-(BJ109-BJ110)/BJ109*BK109),0),0)+IF(TbTradesBinance[[#This Row],[Tipo]]="SELL",IF(ISNUMBER(FIND(MID(BK$1,10,5),TbTradesBinance[[#This Row],[Par]])),IF(FIND(MID(BK$1,10,5),TbTradesBinance[[#This Row],[Par]])=1, -(BJ109-BJ110)/BJ109*BK109,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Row],[Par]])),(-(BJ109-BJ110)/BJ109*BK109)+IF(TbTradesBinance[[#This Row],[Resultado]]&gt;0,0,TbTradesBinance[[#This Row],[Taxa]]),0),0))</f>
        <v>0</v>
      </c>
      <c r="BL110" s="145">
        <f t="shared" si="36"/>
        <v>0</v>
      </c>
      <c r="BM11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Row],[Tipo]]="DROP"),BM109+TbTradesBinance[[#This Row],[Qtt]],BM109-TbTradesBinance[[#This Row],[Qtt]]),IF(TbTradesBinance[[#This Row],[Tipo]]="BUY",BM109-TbTradesBinance[[#This Row],[Qtt]]*TbTradesBinance[[#This Row],[Preço]],BM109+TbTradesBinance[[#This Row],[Qtt]]*TbTradesBinance[[#This Row],[Preço]])),BM109)-IF(TbTradesBinance[[#This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Row],[Tipo]]="DROP"),BM109+TbTradesBinance[[#This Row],[Qtt]],BM109-TbTradesBinance[[#This Row],[Qtt]]),IF(TbTradesBinance[[#This Row],[Tipo]]="BUY",BM109-TbTradesBinance[[#This Row],[Qtt]]*TbTradesBinance[[#This Row],[Preço]],BM109+TbTradesBinance[[#This Row],[Qtt]]*TbTradesBinance[[#This Row],[Preço]])),BM109)-IF(TbTradesBinance[[#This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Row],[Tipo]]="DROP"),BM109+TbTradesBinance[[#This Row],[Qtt]],BM109-TbTradesBinance[[#This Row],[Qtt]]),IF(TbTradesBinance[[#This Row],[Tipo]]="BUY",BM109-TbTradesBinance[[#This Row],[Qtt]]*TbTradesBinance[[#This Row],[Preço]],BM109+TbTradesBinance[[#This Row],[Qtt]]*TbTradesBinance[[#This Row],[Preço]])),BM109)-IF(TbTradesBinance[[#This Row],[Moeda da Taxa]]=MID(BM$1,9,5),TbTradesBinance[[#This Row],[Taxa]],0),8)))</f>
        <v>0</v>
      </c>
      <c r="BN110" s="145" cm="1">
        <f t="array" ref="BN110">IF(TbTradesBinance[[#This Row],[Tipo]]="EMPTY",0,BN109+IF(TbTradesBinance[[#This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Row],[Par]]))),$1:$1,0)),-(BM109-BM110)/BM109*BN109),0),0)+IF(TbTradesBinance[[#This Row],[Tipo]]="SELL",IF(ISNUMBER(FIND(MID(BN$1,10,5),TbTradesBinance[[#This Row],[Par]])),IF(FIND(MID(BN$1,10,5),TbTradesBinance[[#This Row],[Par]])=1, -(BM109-BM110)/BM109*BN109,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Row],[Par]])),(-(BM109-BM110)/BM109*BN109)+IF(TbTradesBinance[[#This Row],[Resultado]]&gt;0,0,TbTradesBinance[[#This Row],[Taxa]]),0),0))</f>
        <v>0</v>
      </c>
      <c r="BO110" s="145">
        <f t="shared" si="37"/>
        <v>0</v>
      </c>
    </row>
    <row r="111" spans="2:67" x14ac:dyDescent="0.3">
      <c r="B111" s="51"/>
      <c r="C111" s="40">
        <f>TRUNC(IF(AND(TbTradesBinance[[#This Row],[Tipo]]="SEND",TbTradesBinance[[#This Row],[Par]]="BRL"),TbTradesBinance[[#This Row],[Qtt]]*(1-P109)-IF(TbTradesBinance[[#This Row],[Moeda da Taxa]]="BRL",TbTradesBinance[[#This Row],[Taxa]],0),0)+IF(AND(TbTradesBinance[[#This Row],[Tipo]]="BURN",TbTradesBinance[[#This Row],[Par]]="BRL"),-TbTradesBinance[[#This Row],[Qtt]]*P109,0),2)</f>
        <v>0</v>
      </c>
      <c r="D111" s="53">
        <v>44274.517777777779</v>
      </c>
      <c r="E111" s="37" t="s">
        <v>249</v>
      </c>
      <c r="F111" s="47" t="s">
        <v>139</v>
      </c>
      <c r="G111" s="38">
        <v>58652.07</v>
      </c>
      <c r="H111" s="38">
        <v>2.1599999999999999E-4</v>
      </c>
      <c r="I111" s="38">
        <v>3.6350000000000003E-5</v>
      </c>
      <c r="J111" s="37" t="s">
        <v>45</v>
      </c>
      <c r="K111" s="52">
        <v>5.4850000000000003</v>
      </c>
      <c r="L111" s="40">
        <f t="shared" si="19"/>
        <v>321706.59999999998</v>
      </c>
      <c r="M111" s="40">
        <f>IF(OR(TbTradesBinance[[#This Row],[Tipo]]="BUY",TbTradesBinance[[#This Row],[Tipo]]="RECEIVE",TbTradesBinance[[#This Row],[Tipo]]="DROP"),L111*H111,-L111*H111)</f>
        <v>69.488625599999992</v>
      </c>
      <c r="N11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Row],[Tipo]]="DROP"),N110+TbTradesBinance[[#This Row],[Qtt]],N110-TbTradesBinance[[#This Row],[Qtt]]),IF(TbTradesBinance[[#This Row],[Tipo]]="BUY",N110-TbTradesBinance[[#This Row],[Qtt]]*TbTradesBinance[[#This Row],[Preço]],N110+TbTradesBinance[[#This Row],[Qtt]]*TbTradesBinance[[#This Row],[Preço]])),N110)-IF(TbTradesBinance[[#This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Row],[Tipo]]="DROP"),N110+TbTradesBinance[[#This Row],[Qtt]],N110-TbTradesBinance[[#This Row],[Qtt]]),IF(TbTradesBinance[[#This Row],[Tipo]]="BUY",N110-TbTradesBinance[[#This Row],[Qtt]]*TbTradesBinance[[#This Row],[Preço]],N110+TbTradesBinance[[#This Row],[Qtt]]*TbTradesBinance[[#This Row],[Preço]])),N110)-IF(TbTradesBinance[[#This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Row],[Tipo]]="DROP"),N110+TbTradesBinance[[#This Row],[Qtt]],N110-TbTradesBinance[[#This Row],[Qtt]]),IF(TbTradesBinance[[#This Row],[Tipo]]="BUY",N110-TbTradesBinance[[#This Row],[Qtt]]*TbTradesBinance[[#This Row],[Preço]],N110+TbTradesBinance[[#This Row],[Qtt]]*TbTradesBinance[[#This Row],[Preço]])),N110)-IF(TbTradesBinance[[#This Row],[Moeda da Taxa]]=MID(N$1,9,5),TbTradesBinance[[#This Row],[Taxa]],0),8)))</f>
        <v>119745.70050707999</v>
      </c>
      <c r="O111" s="145" cm="1">
        <f t="array" ref="O111">IF(TbTradesBinance[[#This Row],[Tipo]]="EMPTY",0,O110+IF(TbTradesBinance[[#This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Row],[Par]]))),$1:$1,0)),-(N110-N111)/N110*O110),0),0)+IF(TbTradesBinance[[#This Row],[Tipo]]="SELL",IF(ISNUMBER(FIND(MID(O$1,10,5),TbTradesBinance[[#This Row],[Par]])),IF(FIND(MID(O$1,10,5),TbTradesBinance[[#This Row],[Par]])=1, -(N110-N111)/N110*O110,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Row],[Par]])),(-(N110-N111)/N110*O110)+IF(TbTradesBinance[[#This Row],[Resultado]]&gt;0,0,TbTradesBinance[[#This Row],[Taxa]]),0),0))</f>
        <v>119733.82450611531</v>
      </c>
      <c r="P111" s="145">
        <f t="shared" si="20"/>
        <v>0.99990082315344608</v>
      </c>
      <c r="Q11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Row],[Tipo]]="DROP"),Q110+TbTradesBinance[[#This Row],[Qtt]],Q110-TbTradesBinance[[#This Row],[Qtt]]),IF(TbTradesBinance[[#This Row],[Tipo]]="BUY",Q110-TbTradesBinance[[#This Row],[Qtt]]*TbTradesBinance[[#This Row],[Preço]],Q110+TbTradesBinance[[#This Row],[Qtt]]*TbTradesBinance[[#This Row],[Preço]])),Q110)-IF(TbTradesBinance[[#This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Row],[Tipo]]="DROP"),Q110+TbTradesBinance[[#This Row],[Qtt]],Q110-TbTradesBinance[[#This Row],[Qtt]]),IF(TbTradesBinance[[#This Row],[Tipo]]="BUY",Q110-TbTradesBinance[[#This Row],[Qtt]]*TbTradesBinance[[#This Row],[Preço]],Q110+TbTradesBinance[[#This Row],[Qtt]]*TbTradesBinance[[#This Row],[Preço]])),Q110)-IF(TbTradesBinance[[#This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Row],[Tipo]]="DROP"),Q110+TbTradesBinance[[#This Row],[Qtt]],Q110-TbTradesBinance[[#This Row],[Qtt]]),IF(TbTradesBinance[[#This Row],[Tipo]]="BUY",Q110-TbTradesBinance[[#This Row],[Qtt]]*TbTradesBinance[[#This Row],[Preço]],Q110+TbTradesBinance[[#This Row],[Qtt]]*TbTradesBinance[[#This Row],[Preço]])),Q110)-IF(TbTradesBinance[[#This Row],[Moeda da Taxa]]=MID(Q$1,9,5),TbTradesBinance[[#This Row],[Taxa]],0),8)))</f>
        <v>19.863069809999999</v>
      </c>
      <c r="R111" s="145" cm="1">
        <f t="array" ref="R111">IF(TbTradesBinance[[#This Row],[Tipo]]="EMPTY",0,R110+IF(TbTradesBinance[[#This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Row],[Par]]))),$1:$1,0)),-(Q110-Q111)/Q110*R110),0),0)+IF(TbTradesBinance[[#This Row],[Tipo]]="SELL",IF(ISNUMBER(FIND(MID(R$1,10,5),TbTradesBinance[[#This Row],[Par]])),IF(FIND(MID(R$1,10,5),TbTradesBinance[[#This Row],[Par]])=1, -(Q110-Q111)/Q110*R110,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Row],[Par]])),(-(Q110-Q111)/Q110*R110)+IF(TbTradesBinance[[#This Row],[Resultado]]&gt;0,0,TbTradesBinance[[#This Row],[Taxa]]),0),0))</f>
        <v>109.10891372015142</v>
      </c>
      <c r="S111" s="145">
        <f t="shared" si="21"/>
        <v>5.4930539319365872</v>
      </c>
      <c r="T11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Row],[Tipo]]="DROP"),T110+TbTradesBinance[[#This Row],[Qtt]],T110-TbTradesBinance[[#This Row],[Qtt]]),IF(TbTradesBinance[[#This Row],[Tipo]]="BUY",T110-TbTradesBinance[[#This Row],[Qtt]]*TbTradesBinance[[#This Row],[Preço]],T110+TbTradesBinance[[#This Row],[Qtt]]*TbTradesBinance[[#This Row],[Preço]])),T110)-IF(TbTradesBinance[[#This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Row],[Tipo]]="DROP"),T110+TbTradesBinance[[#This Row],[Qtt]],T110-TbTradesBinance[[#This Row],[Qtt]]),IF(TbTradesBinance[[#This Row],[Tipo]]="BUY",T110-TbTradesBinance[[#This Row],[Qtt]]*TbTradesBinance[[#This Row],[Preço]],T110+TbTradesBinance[[#This Row],[Qtt]]*TbTradesBinance[[#This Row],[Preço]])),T110)-IF(TbTradesBinance[[#This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Row],[Tipo]]="DROP"),T110+TbTradesBinance[[#This Row],[Qtt]],T110-TbTradesBinance[[#This Row],[Qtt]]),IF(TbTradesBinance[[#This Row],[Tipo]]="BUY",T110-TbTradesBinance[[#This Row],[Qtt]]*TbTradesBinance[[#This Row],[Preço]],T110+TbTradesBinance[[#This Row],[Qtt]]*TbTradesBinance[[#This Row],[Preço]])),T110)-IF(TbTradesBinance[[#This Row],[Moeda da Taxa]]=MID(T$1,9,5),TbTradesBinance[[#This Row],[Taxa]],0),8)))</f>
        <v>199735.32000169999</v>
      </c>
      <c r="U111" s="145" cm="1">
        <f t="array" ref="U111">IF(TbTradesBinance[[#This Row],[Tipo]]="EMPTY",0,U110+IF(TbTradesBinance[[#This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Row],[Par]]))),$1:$1,0)),-(T110-T111)/T110*U110),0),0)+IF(TbTradesBinance[[#This Row],[Tipo]]="SELL",IF(ISNUMBER(FIND(MID(U$1,10,5),TbTradesBinance[[#This Row],[Par]])),IF(FIND(MID(U$1,10,5),TbTradesBinance[[#This Row],[Par]])=1, -(T110-T111)/T110*U110,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Row],[Par]])),(-(T110-T111)/T110*U110)+IF(TbTradesBinance[[#This Row],[Resultado]]&gt;0,0,TbTradesBinance[[#This Row],[Taxa]]),0),0))</f>
        <v>1328239.8809817513</v>
      </c>
      <c r="V111" s="145">
        <f t="shared" si="22"/>
        <v>6.6500000148719129</v>
      </c>
      <c r="W11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Row],[Tipo]]="DROP"),W110+TbTradesBinance[[#This Row],[Qtt]],W110-TbTradesBinance[[#This Row],[Qtt]]),IF(TbTradesBinance[[#This Row],[Tipo]]="BUY",W110-TbTradesBinance[[#This Row],[Qtt]]*TbTradesBinance[[#This Row],[Preço]],W110+TbTradesBinance[[#This Row],[Qtt]]*TbTradesBinance[[#This Row],[Preço]])),W110)-IF(TbTradesBinance[[#This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Row],[Tipo]]="DROP"),W110+TbTradesBinance[[#This Row],[Qtt]],W110-TbTradesBinance[[#This Row],[Qtt]]),IF(TbTradesBinance[[#This Row],[Tipo]]="BUY",W110-TbTradesBinance[[#This Row],[Qtt]]*TbTradesBinance[[#This Row],[Preço]],W110+TbTradesBinance[[#This Row],[Qtt]]*TbTradesBinance[[#This Row],[Preço]])),W110)-IF(TbTradesBinance[[#This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Row],[Tipo]]="DROP"),W110+TbTradesBinance[[#This Row],[Qtt]],W110-TbTradesBinance[[#This Row],[Qtt]]),IF(TbTradesBinance[[#This Row],[Tipo]]="BUY",W110-TbTradesBinance[[#This Row],[Qtt]]*TbTradesBinance[[#This Row],[Preço]],W110+TbTradesBinance[[#This Row],[Qtt]]*TbTradesBinance[[#This Row],[Preço]])),W110)-IF(TbTradesBinance[[#This Row],[Moeda da Taxa]]=MID(W$1,9,5),TbTradesBinance[[#This Row],[Taxa]],0),8)))</f>
        <v>2.90136E-3</v>
      </c>
      <c r="X111" s="145" cm="1">
        <f t="array" ref="X111">IF(TbTradesBinance[[#This Row],[Tipo]]="EMPTY",0,X110+IF(TbTradesBinance[[#This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Row],[Par]]))),$1:$1,0)),-(W110-W111)/W110*X110),0),0)+IF(TbTradesBinance[[#This Row],[Tipo]]="SELL",IF(ISNUMBER(FIND(MID(X$1,10,5),TbTradesBinance[[#This Row],[Par]])),IF(FIND(MID(X$1,10,5),TbTradesBinance[[#This Row],[Par]])=1, -(W110-W111)/W110*X110,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Row],[Par]])),(-(W110-W111)/W110*X110)+IF(TbTradesBinance[[#This Row],[Resultado]]&gt;0,0,TbTradesBinance[[#This Row],[Taxa]]),0),0))</f>
        <v>968.28727290721815</v>
      </c>
      <c r="Y111" s="145">
        <f t="shared" si="23"/>
        <v>333735.65255853056</v>
      </c>
      <c r="Z11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Row],[Tipo]]="DROP"),Z110+TbTradesBinance[[#This Row],[Qtt]],Z110-TbTradesBinance[[#This Row],[Qtt]]),IF(TbTradesBinance[[#This Row],[Tipo]]="BUY",Z110-TbTradesBinance[[#This Row],[Qtt]]*TbTradesBinance[[#This Row],[Preço]],Z110+TbTradesBinance[[#This Row],[Qtt]]*TbTradesBinance[[#This Row],[Preço]])),Z110)-IF(TbTradesBinance[[#This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Row],[Tipo]]="DROP"),Z110+TbTradesBinance[[#This Row],[Qtt]],Z110-TbTradesBinance[[#This Row],[Qtt]]),IF(TbTradesBinance[[#This Row],[Tipo]]="BUY",Z110-TbTradesBinance[[#This Row],[Qtt]]*TbTradesBinance[[#This Row],[Preço]],Z110+TbTradesBinance[[#This Row],[Qtt]]*TbTradesBinance[[#This Row],[Preço]])),Z110)-IF(TbTradesBinance[[#This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Row],[Tipo]]="DROP"),Z110+TbTradesBinance[[#This Row],[Qtt]],Z110-TbTradesBinance[[#This Row],[Qtt]]),IF(TbTradesBinance[[#This Row],[Tipo]]="BUY",Z110-TbTradesBinance[[#This Row],[Qtt]]*TbTradesBinance[[#This Row],[Preço]],Z110+TbTradesBinance[[#This Row],[Qtt]]*TbTradesBinance[[#This Row],[Preço]])),Z110)-IF(TbTradesBinance[[#This Row],[Moeda da Taxa]]=MID(Z$1,9,5),TbTradesBinance[[#This Row],[Taxa]],0),8)))</f>
        <v>2.0629350000000001E-2</v>
      </c>
      <c r="AA111" s="145" cm="1">
        <f t="array" ref="AA111">IF(TbTradesBinance[[#This Row],[Tipo]]="EMPTY",0,AA110+IF(TbTradesBinance[[#This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Row],[Par]]))),$1:$1,0)),-(Z110-Z111)/Z110*AA110),0),0)+IF(TbTradesBinance[[#This Row],[Tipo]]="SELL",IF(ISNUMBER(FIND(MID(AA$1,10,5),TbTradesBinance[[#This Row],[Par]])),IF(FIND(MID(AA$1,10,5),TbTradesBinance[[#This Row],[Par]])=1, -(Z110-Z111)/Z110*AA110,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Row],[Par]])),(-(Z110-Z111)/Z110*AA110)+IF(TbTradesBinance[[#This Row],[Resultado]]&gt;0,0,TbTradesBinance[[#This Row],[Taxa]]),0),0))</f>
        <v>214.62129483695568</v>
      </c>
      <c r="AB111" s="145">
        <f t="shared" si="24"/>
        <v>10403.686729681531</v>
      </c>
      <c r="AC11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Row],[Tipo]]="DROP"),AC110+TbTradesBinance[[#This Row],[Qtt]],AC110-TbTradesBinance[[#This Row],[Qtt]]),IF(TbTradesBinance[[#This Row],[Tipo]]="BUY",AC110-TbTradesBinance[[#This Row],[Qtt]]*TbTradesBinance[[#This Row],[Preço]],AC110+TbTradesBinance[[#This Row],[Qtt]]*TbTradesBinance[[#This Row],[Preço]])),AC110)-IF(TbTradesBinance[[#This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Row],[Tipo]]="DROP"),AC110+TbTradesBinance[[#This Row],[Qtt]],AC110-TbTradesBinance[[#This Row],[Qtt]]),IF(TbTradesBinance[[#This Row],[Tipo]]="BUY",AC110-TbTradesBinance[[#This Row],[Qtt]]*TbTradesBinance[[#This Row],[Preço]],AC110+TbTradesBinance[[#This Row],[Qtt]]*TbTradesBinance[[#This Row],[Preço]])),AC110)-IF(TbTradesBinance[[#This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Row],[Tipo]]="DROP"),AC110+TbTradesBinance[[#This Row],[Qtt]],AC110-TbTradesBinance[[#This Row],[Qtt]]),IF(TbTradesBinance[[#This Row],[Tipo]]="BUY",AC110-TbTradesBinance[[#This Row],[Qtt]]*TbTradesBinance[[#This Row],[Preço]],AC110+TbTradesBinance[[#This Row],[Qtt]]*TbTradesBinance[[#This Row],[Preço]])),AC110)-IF(TbTradesBinance[[#This Row],[Moeda da Taxa]]=MID(AC$1,9,5),TbTradesBinance[[#This Row],[Taxa]],0),8)))</f>
        <v>9.6999E-4</v>
      </c>
      <c r="AD111" s="145" cm="1">
        <f t="array" ref="AD111">IF(TbTradesBinance[[#This Row],[Tipo]]="EMPTY",0,AD110+IF(TbTradesBinance[[#This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Row],[Par]]))),$1:$1,0)),-(AC110-AC111)/AC110*AD110),0),0)+IF(TbTradesBinance[[#This Row],[Tipo]]="SELL",IF(ISNUMBER(FIND(MID(AD$1,10,5),TbTradesBinance[[#This Row],[Par]])),IF(FIND(MID(AD$1,10,5),TbTradesBinance[[#This Row],[Par]])=1, -(AC110-AC111)/AC110*AD110,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Row],[Par]])),(-(AC110-AC111)/AC110*AD110)+IF(TbTradesBinance[[#This Row],[Resultado]]&gt;0,0,TbTradesBinance[[#This Row],[Taxa]]),0),0))</f>
        <v>1.9483868939812083</v>
      </c>
      <c r="AE111" s="145">
        <f t="shared" si="25"/>
        <v>2008.6669903619711</v>
      </c>
      <c r="AF11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Row],[Tipo]]="DROP"),AF110+TbTradesBinance[[#This Row],[Qtt]],AF110-TbTradesBinance[[#This Row],[Qtt]]),IF(TbTradesBinance[[#This Row],[Tipo]]="BUY",AF110-TbTradesBinance[[#This Row],[Qtt]]*TbTradesBinance[[#This Row],[Preço]],AF110+TbTradesBinance[[#This Row],[Qtt]]*TbTradesBinance[[#This Row],[Preço]])),AF110)-IF(TbTradesBinance[[#This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Row],[Tipo]]="DROP"),AF110+TbTradesBinance[[#This Row],[Qtt]],AF110-TbTradesBinance[[#This Row],[Qtt]]),IF(TbTradesBinance[[#This Row],[Tipo]]="BUY",AF110-TbTradesBinance[[#This Row],[Qtt]]*TbTradesBinance[[#This Row],[Preço]],AF110+TbTradesBinance[[#This Row],[Qtt]]*TbTradesBinance[[#This Row],[Preço]])),AF110)-IF(TbTradesBinance[[#This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Row],[Tipo]]="DROP"),AF110+TbTradesBinance[[#This Row],[Qtt]],AF110-TbTradesBinance[[#This Row],[Qtt]]),IF(TbTradesBinance[[#This Row],[Tipo]]="BUY",AF110-TbTradesBinance[[#This Row],[Qtt]]*TbTradesBinance[[#This Row],[Preço]],AF110+TbTradesBinance[[#This Row],[Qtt]]*TbTradesBinance[[#This Row],[Preço]])),AF110)-IF(TbTradesBinance[[#This Row],[Moeda da Taxa]]=MID(AF$1,9,5),TbTradesBinance[[#This Row],[Taxa]],0),8)))</f>
        <v>0.08</v>
      </c>
      <c r="AG111" s="145" cm="1">
        <f t="array" ref="AG111">IF(TbTradesBinance[[#This Row],[Tipo]]="EMPTY",0,AG110+IF(TbTradesBinance[[#This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Row],[Par]]))),$1:$1,0)),-(AF110-AF111)/AF110*AG110),0),0)+IF(TbTradesBinance[[#This Row],[Tipo]]="SELL",IF(ISNUMBER(FIND(MID(AG$1,10,5),TbTradesBinance[[#This Row],[Par]])),IF(FIND(MID(AG$1,10,5),TbTradesBinance[[#This Row],[Par]])=1, -(AF110-AF111)/AF110*AG110,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Row],[Par]])),(-(AF110-AF111)/AF110*AG110)+IF(TbTradesBinance[[#This Row],[Resultado]]&gt;0,0,TbTradesBinance[[#This Row],[Taxa]]),0),0))</f>
        <v>0.49666397429723474</v>
      </c>
      <c r="AH111" s="145">
        <f t="shared" si="26"/>
        <v>6.2082996787154343</v>
      </c>
      <c r="AI11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Row],[Tipo]]="DROP"),AI110+TbTradesBinance[[#This Row],[Qtt]],AI110-TbTradesBinance[[#This Row],[Qtt]]),IF(TbTradesBinance[[#This Row],[Tipo]]="BUY",AI110-TbTradesBinance[[#This Row],[Qtt]]*TbTradesBinance[[#This Row],[Preço]],AI110+TbTradesBinance[[#This Row],[Qtt]]*TbTradesBinance[[#This Row],[Preço]])),AI110)-IF(TbTradesBinance[[#This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Row],[Tipo]]="DROP"),AI110+TbTradesBinance[[#This Row],[Qtt]],AI110-TbTradesBinance[[#This Row],[Qtt]]),IF(TbTradesBinance[[#This Row],[Tipo]]="BUY",AI110-TbTradesBinance[[#This Row],[Qtt]]*TbTradesBinance[[#This Row],[Preço]],AI110+TbTradesBinance[[#This Row],[Qtt]]*TbTradesBinance[[#This Row],[Preço]])),AI110)-IF(TbTradesBinance[[#This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Row],[Tipo]]="DROP"),AI110+TbTradesBinance[[#This Row],[Qtt]],AI110-TbTradesBinance[[#This Row],[Qtt]]),IF(TbTradesBinance[[#This Row],[Tipo]]="BUY",AI110-TbTradesBinance[[#This Row],[Qtt]]*TbTradesBinance[[#This Row],[Preço]],AI110+TbTradesBinance[[#This Row],[Qtt]]*TbTradesBinance[[#This Row],[Preço]])),AI110)-IF(TbTradesBinance[[#This Row],[Moeda da Taxa]]=MID(AI$1,9,5),TbTradesBinance[[#This Row],[Taxa]],0),8)))</f>
        <v>0</v>
      </c>
      <c r="AJ111" s="145" cm="1">
        <f t="array" ref="AJ111">IF(TbTradesBinance[[#This Row],[Tipo]]="EMPTY",0,AJ110+IF(TbTradesBinance[[#This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Row],[Par]]))),$1:$1,0)),-(AI110-AI111)/AI110*AJ110),0),0)+IF(TbTradesBinance[[#This Row],[Tipo]]="SELL",IF(ISNUMBER(FIND(MID(AJ$1,10,5),TbTradesBinance[[#This Row],[Par]])),IF(FIND(MID(AJ$1,10,5),TbTradesBinance[[#This Row],[Par]])=1, -(AI110-AI111)/AI110*AJ110,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Row],[Par]])),(-(AI110-AI111)/AI110*AJ110)+IF(TbTradesBinance[[#This Row],[Resultado]]&gt;0,0,TbTradesBinance[[#This Row],[Taxa]]),0),0))</f>
        <v>0</v>
      </c>
      <c r="AK111" s="145">
        <f t="shared" si="27"/>
        <v>0</v>
      </c>
      <c r="AL11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Row],[Tipo]]="DROP"),AL110+TbTradesBinance[[#This Row],[Qtt]],AL110-TbTradesBinance[[#This Row],[Qtt]]),IF(TbTradesBinance[[#This Row],[Tipo]]="BUY",AL110-TbTradesBinance[[#This Row],[Qtt]]*TbTradesBinance[[#This Row],[Preço]],AL110+TbTradesBinance[[#This Row],[Qtt]]*TbTradesBinance[[#This Row],[Preço]])),AL110)-IF(TbTradesBinance[[#This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Row],[Tipo]]="DROP"),AL110+TbTradesBinance[[#This Row],[Qtt]],AL110-TbTradesBinance[[#This Row],[Qtt]]),IF(TbTradesBinance[[#This Row],[Tipo]]="BUY",AL110-TbTradesBinance[[#This Row],[Qtt]]*TbTradesBinance[[#This Row],[Preço]],AL110+TbTradesBinance[[#This Row],[Qtt]]*TbTradesBinance[[#This Row],[Preço]])),AL110)-IF(TbTradesBinance[[#This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Row],[Tipo]]="DROP"),AL110+TbTradesBinance[[#This Row],[Qtt]],AL110-TbTradesBinance[[#This Row],[Qtt]]),IF(TbTradesBinance[[#This Row],[Tipo]]="BUY",AL110-TbTradesBinance[[#This Row],[Qtt]]*TbTradesBinance[[#This Row],[Preço]],AL110+TbTradesBinance[[#This Row],[Qtt]]*TbTradesBinance[[#This Row],[Preço]])),AL110)-IF(TbTradesBinance[[#This Row],[Moeda da Taxa]]=MID(AL$1,9,5),TbTradesBinance[[#This Row],[Taxa]],0),8)))</f>
        <v>8.2400000000000008E-3</v>
      </c>
      <c r="AM111" s="145" cm="1">
        <f t="array" ref="AM111">IF(TbTradesBinance[[#This Row],[Tipo]]="EMPTY",0,AM110+IF(TbTradesBinance[[#This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Row],[Par]]))),$1:$1,0)),-(AL110-AL111)/AL110*AM110),0),0)+IF(TbTradesBinance[[#This Row],[Tipo]]="SELL",IF(ISNUMBER(FIND(MID(AM$1,10,5),TbTradesBinance[[#This Row],[Par]])),IF(FIND(MID(AM$1,10,5),TbTradesBinance[[#This Row],[Par]])=1, -(AL110-AL111)/AL110*AM110,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Row],[Par]])),(-(AL110-AL111)/AL110*AM110)+IF(TbTradesBinance[[#This Row],[Resultado]]&gt;0,0,TbTradesBinance[[#This Row],[Taxa]]),0),0))</f>
        <v>0.67751089887772764</v>
      </c>
      <c r="AN111" s="145">
        <f t="shared" si="28"/>
        <v>82.222196465743636</v>
      </c>
      <c r="AO11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Row],[Tipo]]="DROP"),AO110+TbTradesBinance[[#This Row],[Qtt]],AO110-TbTradesBinance[[#This Row],[Qtt]]),IF(TbTradesBinance[[#This Row],[Tipo]]="BUY",AO110-TbTradesBinance[[#This Row],[Qtt]]*TbTradesBinance[[#This Row],[Preço]],AO110+TbTradesBinance[[#This Row],[Qtt]]*TbTradesBinance[[#This Row],[Preço]])),AO110)-IF(TbTradesBinance[[#This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Row],[Tipo]]="DROP"),AO110+TbTradesBinance[[#This Row],[Qtt]],AO110-TbTradesBinance[[#This Row],[Qtt]]),IF(TbTradesBinance[[#This Row],[Tipo]]="BUY",AO110-TbTradesBinance[[#This Row],[Qtt]]*TbTradesBinance[[#This Row],[Preço]],AO110+TbTradesBinance[[#This Row],[Qtt]]*TbTradesBinance[[#This Row],[Preço]])),AO110)-IF(TbTradesBinance[[#This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Row],[Tipo]]="DROP"),AO110+TbTradesBinance[[#This Row],[Qtt]],AO110-TbTradesBinance[[#This Row],[Qtt]]),IF(TbTradesBinance[[#This Row],[Tipo]]="BUY",AO110-TbTradesBinance[[#This Row],[Qtt]]*TbTradesBinance[[#This Row],[Preço]],AO110+TbTradesBinance[[#This Row],[Qtt]]*TbTradesBinance[[#This Row],[Preço]])),AO110)-IF(TbTradesBinance[[#This Row],[Moeda da Taxa]]=MID(AO$1,9,5),TbTradesBinance[[#This Row],[Taxa]],0),8)))</f>
        <v>7.4684509999999996E-2</v>
      </c>
      <c r="AP111" s="145" cm="1">
        <f t="array" ref="AP111">IF(TbTradesBinance[[#This Row],[Tipo]]="EMPTY",0,AP110+IF(TbTradesBinance[[#This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Row],[Par]]))),$1:$1,0)),-(AO110-AO111)/AO110*AP110),0),0)+IF(TbTradesBinance[[#This Row],[Tipo]]="SELL",IF(ISNUMBER(FIND(MID(AP$1,10,5),TbTradesBinance[[#This Row],[Par]])),IF(FIND(MID(AP$1,10,5),TbTradesBinance[[#This Row],[Par]])=1, -(AO110-AO111)/AO110*AP110,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Row],[Par]])),(-(AO110-AO111)/AO110*AP110)+IF(TbTradesBinance[[#This Row],[Resultado]]&gt;0,0,TbTradesBinance[[#This Row],[Taxa]]),0),0))</f>
        <v>113.87766627073657</v>
      </c>
      <c r="AQ111" s="145">
        <f t="shared" si="29"/>
        <v>1524.7829338471468</v>
      </c>
      <c r="AR11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Row],[Tipo]]="DROP"),AR110+TbTradesBinance[[#This Row],[Qtt]],AR110-TbTradesBinance[[#This Row],[Qtt]]),IF(TbTradesBinance[[#This Row],[Tipo]]="BUY",AR110-TbTradesBinance[[#This Row],[Qtt]]*TbTradesBinance[[#This Row],[Preço]],AR110+TbTradesBinance[[#This Row],[Qtt]]*TbTradesBinance[[#This Row],[Preço]])),AR110)-IF(TbTradesBinance[[#This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Row],[Tipo]]="DROP"),AR110+TbTradesBinance[[#This Row],[Qtt]],AR110-TbTradesBinance[[#This Row],[Qtt]]),IF(TbTradesBinance[[#This Row],[Tipo]]="BUY",AR110-TbTradesBinance[[#This Row],[Qtt]]*TbTradesBinance[[#This Row],[Preço]],AR110+TbTradesBinance[[#This Row],[Qtt]]*TbTradesBinance[[#This Row],[Preço]])),AR110)-IF(TbTradesBinance[[#This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Row],[Tipo]]="DROP"),AR110+TbTradesBinance[[#This Row],[Qtt]],AR110-TbTradesBinance[[#This Row],[Qtt]]),IF(TbTradesBinance[[#This Row],[Tipo]]="BUY",AR110-TbTradesBinance[[#This Row],[Qtt]]*TbTradesBinance[[#This Row],[Preço]],AR110+TbTradesBinance[[#This Row],[Qtt]]*TbTradesBinance[[#This Row],[Preço]])),AR110)-IF(TbTradesBinance[[#This Row],[Moeda da Taxa]]=MID(AR$1,9,5),TbTradesBinance[[#This Row],[Taxa]],0),8)))</f>
        <v>61.251199999999997</v>
      </c>
      <c r="AS111" s="145" cm="1">
        <f t="array" ref="AS111">IF(TbTradesBinance[[#This Row],[Tipo]]="EMPTY",0,AS110+IF(TbTradesBinance[[#This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Row],[Par]]))),$1:$1,0)),-(AR110-AR111)/AR110*AS110),0),0)+IF(TbTradesBinance[[#This Row],[Tipo]]="SELL",IF(ISNUMBER(FIND(MID(AS$1,10,5),TbTradesBinance[[#This Row],[Par]])),IF(FIND(MID(AS$1,10,5),TbTradesBinance[[#This Row],[Par]])=1, -(AR110-AR111)/AR110*AS110,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Row],[Par]])),(-(AR110-AR111)/AR110*AS110)+IF(TbTradesBinance[[#This Row],[Resultado]]&gt;0,0,TbTradesBinance[[#This Row],[Taxa]]),0),0))</f>
        <v>230.84001376053044</v>
      </c>
      <c r="AT111" s="145">
        <f t="shared" si="30"/>
        <v>3.7687427146003745</v>
      </c>
      <c r="AU11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Row],[Tipo]]="DROP"),AU110+TbTradesBinance[[#This Row],[Qtt]],AU110-TbTradesBinance[[#This Row],[Qtt]]),IF(TbTradesBinance[[#This Row],[Tipo]]="BUY",AU110-TbTradesBinance[[#This Row],[Qtt]]*TbTradesBinance[[#This Row],[Preço]],AU110+TbTradesBinance[[#This Row],[Qtt]]*TbTradesBinance[[#This Row],[Preço]])),AU110)-IF(TbTradesBinance[[#This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Row],[Tipo]]="DROP"),AU110+TbTradesBinance[[#This Row],[Qtt]],AU110-TbTradesBinance[[#This Row],[Qtt]]),IF(TbTradesBinance[[#This Row],[Tipo]]="BUY",AU110-TbTradesBinance[[#This Row],[Qtt]]*TbTradesBinance[[#This Row],[Preço]],AU110+TbTradesBinance[[#This Row],[Qtt]]*TbTradesBinance[[#This Row],[Preço]])),AU110)-IF(TbTradesBinance[[#This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Row],[Tipo]]="DROP"),AU110+TbTradesBinance[[#This Row],[Qtt]],AU110-TbTradesBinance[[#This Row],[Qtt]]),IF(TbTradesBinance[[#This Row],[Tipo]]="BUY",AU110-TbTradesBinance[[#This Row],[Qtt]]*TbTradesBinance[[#This Row],[Preço]],AU110+TbTradesBinance[[#This Row],[Qtt]]*TbTradesBinance[[#This Row],[Preço]])),AU110)-IF(TbTradesBinance[[#This Row],[Moeda da Taxa]]=MID(AU$1,9,5),TbTradesBinance[[#This Row],[Taxa]],0),8)))</f>
        <v>0</v>
      </c>
      <c r="AV111" s="145" cm="1">
        <f t="array" ref="AV111">IF(TbTradesBinance[[#This Row],[Tipo]]="EMPTY",0,AV110+IF(TbTradesBinance[[#This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Row],[Par]]))),$1:$1,0)),-(AU110-AU111)/AU110*AV110),0),0)+IF(TbTradesBinance[[#This Row],[Tipo]]="SELL",IF(ISNUMBER(FIND(MID(AV$1,10,5),TbTradesBinance[[#This Row],[Par]])),IF(FIND(MID(AV$1,10,5),TbTradesBinance[[#This Row],[Par]])=1, -(AU110-AU111)/AU110*AV110,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Row],[Par]])),(-(AU110-AU111)/AU110*AV110)+IF(TbTradesBinance[[#This Row],[Resultado]]&gt;0,0,TbTradesBinance[[#This Row],[Taxa]]),0),0))</f>
        <v>0</v>
      </c>
      <c r="AW111" s="145">
        <f t="shared" si="31"/>
        <v>0</v>
      </c>
      <c r="AX11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Row],[Tipo]]="DROP"),AX110+TbTradesBinance[[#This Row],[Qtt]],AX110-TbTradesBinance[[#This Row],[Qtt]]),IF(TbTradesBinance[[#This Row],[Tipo]]="BUY",AX110-TbTradesBinance[[#This Row],[Qtt]]*TbTradesBinance[[#This Row],[Preço]],AX110+TbTradesBinance[[#This Row],[Qtt]]*TbTradesBinance[[#This Row],[Preço]])),AX110)-IF(TbTradesBinance[[#This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Row],[Tipo]]="DROP"),AX110+TbTradesBinance[[#This Row],[Qtt]],AX110-TbTradesBinance[[#This Row],[Qtt]]),IF(TbTradesBinance[[#This Row],[Tipo]]="BUY",AX110-TbTradesBinance[[#This Row],[Qtt]]*TbTradesBinance[[#This Row],[Preço]],AX110+TbTradesBinance[[#This Row],[Qtt]]*TbTradesBinance[[#This Row],[Preço]])),AX110)-IF(TbTradesBinance[[#This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Row],[Tipo]]="DROP"),AX110+TbTradesBinance[[#This Row],[Qtt]],AX110-TbTradesBinance[[#This Row],[Qtt]]),IF(TbTradesBinance[[#This Row],[Tipo]]="BUY",AX110-TbTradesBinance[[#This Row],[Qtt]]*TbTradesBinance[[#This Row],[Preço]],AX110+TbTradesBinance[[#This Row],[Qtt]]*TbTradesBinance[[#This Row],[Preço]])),AX110)-IF(TbTradesBinance[[#This Row],[Moeda da Taxa]]=MID(AX$1,9,5),TbTradesBinance[[#This Row],[Taxa]],0),8)))</f>
        <v>0.85636999999999996</v>
      </c>
      <c r="AY111" s="145" cm="1">
        <f t="array" ref="AY111">IF(TbTradesBinance[[#This Row],[Tipo]]="EMPTY",0,AY110+IF(TbTradesBinance[[#This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Row],[Par]]))),$1:$1,0)),-(AX110-AX111)/AX110*AY110),0),0)+IF(TbTradesBinance[[#This Row],[Tipo]]="SELL",IF(ISNUMBER(FIND(MID(AY$1,10,5),TbTradesBinance[[#This Row],[Par]])),IF(FIND(MID(AY$1,10,5),TbTradesBinance[[#This Row],[Par]])=1, -(AX110-AX111)/AX110*AY110,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Row],[Par]])),(-(AX110-AX111)/AX110*AY110)+IF(TbTradesBinance[[#This Row],[Resultado]]&gt;0,0,TbTradesBinance[[#This Row],[Taxa]]),0),0))</f>
        <v>131.82971181780295</v>
      </c>
      <c r="AZ111" s="145">
        <f t="shared" si="32"/>
        <v>153.94013314081874</v>
      </c>
      <c r="BA11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Row],[Tipo]]="DROP"),BA110+TbTradesBinance[[#This Row],[Qtt]],BA110-TbTradesBinance[[#This Row],[Qtt]]),IF(TbTradesBinance[[#This Row],[Tipo]]="BUY",BA110-TbTradesBinance[[#This Row],[Qtt]]*TbTradesBinance[[#This Row],[Preço]],BA110+TbTradesBinance[[#This Row],[Qtt]]*TbTradesBinance[[#This Row],[Preço]])),BA110)-IF(TbTradesBinance[[#This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Row],[Tipo]]="DROP"),BA110+TbTradesBinance[[#This Row],[Qtt]],BA110-TbTradesBinance[[#This Row],[Qtt]]),IF(TbTradesBinance[[#This Row],[Tipo]]="BUY",BA110-TbTradesBinance[[#This Row],[Qtt]]*TbTradesBinance[[#This Row],[Preço]],BA110+TbTradesBinance[[#This Row],[Qtt]]*TbTradesBinance[[#This Row],[Preço]])),BA110)-IF(TbTradesBinance[[#This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Row],[Tipo]]="DROP"),BA110+TbTradesBinance[[#This Row],[Qtt]],BA110-TbTradesBinance[[#This Row],[Qtt]]),IF(TbTradesBinance[[#This Row],[Tipo]]="BUY",BA110-TbTradesBinance[[#This Row],[Qtt]]*TbTradesBinance[[#This Row],[Preço]],BA110+TbTradesBinance[[#This Row],[Qtt]]*TbTradesBinance[[#This Row],[Preço]])),BA110)-IF(TbTradesBinance[[#This Row],[Moeda da Taxa]]=MID(BA$1,9,5),TbTradesBinance[[#This Row],[Taxa]],0),8)))</f>
        <v>0</v>
      </c>
      <c r="BB111" s="145" cm="1">
        <f t="array" ref="BB111">IF(TbTradesBinance[[#This Row],[Tipo]]="EMPTY",0,BB110+IF(TbTradesBinance[[#This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Row],[Par]]))),$1:$1,0)),-(BA110-BA111)/BA110*BB110),0),0)+IF(TbTradesBinance[[#This Row],[Tipo]]="SELL",IF(ISNUMBER(FIND(MID(BB$1,10,5),TbTradesBinance[[#This Row],[Par]])),IF(FIND(MID(BB$1,10,5),TbTradesBinance[[#This Row],[Par]])=1, -(BA110-BA111)/BA110*BB110,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Row],[Par]])),(-(BA110-BA111)/BA110*BB110)+IF(TbTradesBinance[[#This Row],[Resultado]]&gt;0,0,TbTradesBinance[[#This Row],[Taxa]]),0),0))</f>
        <v>0</v>
      </c>
      <c r="BC111" s="145">
        <f t="shared" si="33"/>
        <v>0</v>
      </c>
      <c r="BD11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Row],[Tipo]]="DROP"),BD110+TbTradesBinance[[#This Row],[Qtt]],BD110-TbTradesBinance[[#This Row],[Qtt]]),IF(TbTradesBinance[[#This Row],[Tipo]]="BUY",BD110-TbTradesBinance[[#This Row],[Qtt]]*TbTradesBinance[[#This Row],[Preço]],BD110+TbTradesBinance[[#This Row],[Qtt]]*TbTradesBinance[[#This Row],[Preço]])),BD110)-IF(TbTradesBinance[[#This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Row],[Tipo]]="DROP"),BD110+TbTradesBinance[[#This Row],[Qtt]],BD110-TbTradesBinance[[#This Row],[Qtt]]),IF(TbTradesBinance[[#This Row],[Tipo]]="BUY",BD110-TbTradesBinance[[#This Row],[Qtt]]*TbTradesBinance[[#This Row],[Preço]],BD110+TbTradesBinance[[#This Row],[Qtt]]*TbTradesBinance[[#This Row],[Preço]])),BD110)-IF(TbTradesBinance[[#This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Row],[Tipo]]="DROP"),BD110+TbTradesBinance[[#This Row],[Qtt]],BD110-TbTradesBinance[[#This Row],[Qtt]]),IF(TbTradesBinance[[#This Row],[Tipo]]="BUY",BD110-TbTradesBinance[[#This Row],[Qtt]]*TbTradesBinance[[#This Row],[Preço]],BD110+TbTradesBinance[[#This Row],[Qtt]]*TbTradesBinance[[#This Row],[Preço]])),BD110)-IF(TbTradesBinance[[#This Row],[Moeda da Taxa]]=MID(BD$1,9,5),TbTradesBinance[[#This Row],[Taxa]],0),8)))</f>
        <v>9.0599900000000004E-3</v>
      </c>
      <c r="BE111" s="145" cm="1">
        <f t="array" ref="BE111">IF(TbTradesBinance[[#This Row],[Tipo]]="EMPTY",0,BE110+IF(TbTradesBinance[[#This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Row],[Par]]))),$1:$1,0)),-(BD110-BD111)/BD110*BE110),0),0)+IF(TbTradesBinance[[#This Row],[Tipo]]="SELL",IF(ISNUMBER(FIND(MID(BE$1,10,5),TbTradesBinance[[#This Row],[Par]])),IF(FIND(MID(BE$1,10,5),TbTradesBinance[[#This Row],[Par]])=1, -(BD110-BD111)/BD110*BE110,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Row],[Par]])),(-(BD110-BD111)/BD110*BE110)+IF(TbTradesBinance[[#This Row],[Resultado]]&gt;0,0,TbTradesBinance[[#This Row],[Taxa]]),0),0))</f>
        <v>1.6846969284922721</v>
      </c>
      <c r="BF111" s="145">
        <f t="shared" si="34"/>
        <v>185.94909359638058</v>
      </c>
      <c r="BG11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Row],[Tipo]]="DROP"),BG110+TbTradesBinance[[#This Row],[Qtt]],BG110-TbTradesBinance[[#This Row],[Qtt]]),IF(TbTradesBinance[[#This Row],[Tipo]]="BUY",BG110-TbTradesBinance[[#This Row],[Qtt]]*TbTradesBinance[[#This Row],[Preço]],BG110+TbTradesBinance[[#This Row],[Qtt]]*TbTradesBinance[[#This Row],[Preço]])),BG110)-IF(TbTradesBinance[[#This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Row],[Tipo]]="DROP"),BG110+TbTradesBinance[[#This Row],[Qtt]],BG110-TbTradesBinance[[#This Row],[Qtt]]),IF(TbTradesBinance[[#This Row],[Tipo]]="BUY",BG110-TbTradesBinance[[#This Row],[Qtt]]*TbTradesBinance[[#This Row],[Preço]],BG110+TbTradesBinance[[#This Row],[Qtt]]*TbTradesBinance[[#This Row],[Preço]])),BG110)-IF(TbTradesBinance[[#This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Row],[Tipo]]="DROP"),BG110+TbTradesBinance[[#This Row],[Qtt]],BG110-TbTradesBinance[[#This Row],[Qtt]]),IF(TbTradesBinance[[#This Row],[Tipo]]="BUY",BG110-TbTradesBinance[[#This Row],[Qtt]]*TbTradesBinance[[#This Row],[Preço]],BG110+TbTradesBinance[[#This Row],[Qtt]]*TbTradesBinance[[#This Row],[Preço]])),BG110)-IF(TbTradesBinance[[#This Row],[Moeda da Taxa]]=MID(BG$1,9,5),TbTradesBinance[[#This Row],[Taxa]],0),8)))</f>
        <v>0</v>
      </c>
      <c r="BH111" s="145" cm="1">
        <f t="array" ref="BH111">IF(TbTradesBinance[[#This Row],[Tipo]]="EMPTY",0,BH110+IF(TbTradesBinance[[#This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Row],[Par]]))),$1:$1,0)),-(BG110-BG111)/BG110*BH110),0),0)+IF(TbTradesBinance[[#This Row],[Tipo]]="SELL",IF(ISNUMBER(FIND(MID(BH$1,10,5),TbTradesBinance[[#This Row],[Par]])),IF(FIND(MID(BH$1,10,5),TbTradesBinance[[#This Row],[Par]])=1, -(BG110-BG111)/BG110*BH110,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Row],[Par]])),(-(BG110-BG111)/BG110*BH110)+IF(TbTradesBinance[[#This Row],[Resultado]]&gt;0,0,TbTradesBinance[[#This Row],[Taxa]]),0),0))</f>
        <v>0</v>
      </c>
      <c r="BI111" s="145">
        <f t="shared" si="35"/>
        <v>0</v>
      </c>
      <c r="BJ11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Row],[Tipo]]="DROP"),BJ110+TbTradesBinance[[#This Row],[Qtt]],BJ110-TbTradesBinance[[#This Row],[Qtt]]),IF(TbTradesBinance[[#This Row],[Tipo]]="BUY",BJ110-TbTradesBinance[[#This Row],[Qtt]]*TbTradesBinance[[#This Row],[Preço]],BJ110+TbTradesBinance[[#This Row],[Qtt]]*TbTradesBinance[[#This Row],[Preço]])),BJ110)-IF(TbTradesBinance[[#This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Row],[Tipo]]="DROP"),BJ110+TbTradesBinance[[#This Row],[Qtt]],BJ110-TbTradesBinance[[#This Row],[Qtt]]),IF(TbTradesBinance[[#This Row],[Tipo]]="BUY",BJ110-TbTradesBinance[[#This Row],[Qtt]]*TbTradesBinance[[#This Row],[Preço]],BJ110+TbTradesBinance[[#This Row],[Qtt]]*TbTradesBinance[[#This Row],[Preço]])),BJ110)-IF(TbTradesBinance[[#This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Row],[Tipo]]="DROP"),BJ110+TbTradesBinance[[#This Row],[Qtt]],BJ110-TbTradesBinance[[#This Row],[Qtt]]),IF(TbTradesBinance[[#This Row],[Tipo]]="BUY",BJ110-TbTradesBinance[[#This Row],[Qtt]]*TbTradesBinance[[#This Row],[Preço]],BJ110+TbTradesBinance[[#This Row],[Qtt]]*TbTradesBinance[[#This Row],[Preço]])),BJ110)-IF(TbTradesBinance[[#This Row],[Moeda da Taxa]]=MID(BJ$1,9,5),TbTradesBinance[[#This Row],[Taxa]],0),8)))</f>
        <v>0</v>
      </c>
      <c r="BK111" s="145" cm="1">
        <f t="array" ref="BK111">IF(TbTradesBinance[[#This Row],[Tipo]]="EMPTY",0,BK110+IF(TbTradesBinance[[#This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Row],[Par]]))),$1:$1,0)),-(BJ110-BJ111)/BJ110*BK110),0),0)+IF(TbTradesBinance[[#This Row],[Tipo]]="SELL",IF(ISNUMBER(FIND(MID(BK$1,10,5),TbTradesBinance[[#This Row],[Par]])),IF(FIND(MID(BK$1,10,5),TbTradesBinance[[#This Row],[Par]])=1, -(BJ110-BJ111)/BJ110*BK110,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Row],[Par]])),(-(BJ110-BJ111)/BJ110*BK110)+IF(TbTradesBinance[[#This Row],[Resultado]]&gt;0,0,TbTradesBinance[[#This Row],[Taxa]]),0),0))</f>
        <v>0</v>
      </c>
      <c r="BL111" s="145">
        <f t="shared" si="36"/>
        <v>0</v>
      </c>
      <c r="BM11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Row],[Tipo]]="DROP"),BM110+TbTradesBinance[[#This Row],[Qtt]],BM110-TbTradesBinance[[#This Row],[Qtt]]),IF(TbTradesBinance[[#This Row],[Tipo]]="BUY",BM110-TbTradesBinance[[#This Row],[Qtt]]*TbTradesBinance[[#This Row],[Preço]],BM110+TbTradesBinance[[#This Row],[Qtt]]*TbTradesBinance[[#This Row],[Preço]])),BM110)-IF(TbTradesBinance[[#This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Row],[Tipo]]="DROP"),BM110+TbTradesBinance[[#This Row],[Qtt]],BM110-TbTradesBinance[[#This Row],[Qtt]]),IF(TbTradesBinance[[#This Row],[Tipo]]="BUY",BM110-TbTradesBinance[[#This Row],[Qtt]]*TbTradesBinance[[#This Row],[Preço]],BM110+TbTradesBinance[[#This Row],[Qtt]]*TbTradesBinance[[#This Row],[Preço]])),BM110)-IF(TbTradesBinance[[#This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Row],[Tipo]]="DROP"),BM110+TbTradesBinance[[#This Row],[Qtt]],BM110-TbTradesBinance[[#This Row],[Qtt]]),IF(TbTradesBinance[[#This Row],[Tipo]]="BUY",BM110-TbTradesBinance[[#This Row],[Qtt]]*TbTradesBinance[[#This Row],[Preço]],BM110+TbTradesBinance[[#This Row],[Qtt]]*TbTradesBinance[[#This Row],[Preço]])),BM110)-IF(TbTradesBinance[[#This Row],[Moeda da Taxa]]=MID(BM$1,9,5),TbTradesBinance[[#This Row],[Taxa]],0),8)))</f>
        <v>0</v>
      </c>
      <c r="BN111" s="145" cm="1">
        <f t="array" ref="BN111">IF(TbTradesBinance[[#This Row],[Tipo]]="EMPTY",0,BN110+IF(TbTradesBinance[[#This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Row],[Par]]))),$1:$1,0)),-(BM110-BM111)/BM110*BN110),0),0)+IF(TbTradesBinance[[#This Row],[Tipo]]="SELL",IF(ISNUMBER(FIND(MID(BN$1,10,5),TbTradesBinance[[#This Row],[Par]])),IF(FIND(MID(BN$1,10,5),TbTradesBinance[[#This Row],[Par]])=1, -(BM110-BM111)/BM110*BN110,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Row],[Par]])),(-(BM110-BM111)/BM110*BN110)+IF(TbTradesBinance[[#This Row],[Resultado]]&gt;0,0,TbTradesBinance[[#This Row],[Taxa]]),0),0))</f>
        <v>0</v>
      </c>
      <c r="BO111" s="145">
        <f t="shared" si="37"/>
        <v>0</v>
      </c>
    </row>
    <row r="112" spans="2:67" x14ac:dyDescent="0.3">
      <c r="B112" s="51"/>
      <c r="C112" s="40">
        <f>TRUNC(IF(AND(TbTradesBinance[[#This Row],[Tipo]]="SEND",TbTradesBinance[[#This Row],[Par]]="BRL"),TbTradesBinance[[#This Row],[Qtt]]*(1-P110)-IF(TbTradesBinance[[#This Row],[Moeda da Taxa]]="BRL",TbTradesBinance[[#This Row],[Taxa]],0),0)+IF(AND(TbTradesBinance[[#This Row],[Tipo]]="BURN",TbTradesBinance[[#This Row],[Par]]="BRL"),-TbTradesBinance[[#This Row],[Qtt]]*P110,0),2)</f>
        <v>0</v>
      </c>
      <c r="D112" s="53">
        <v>44274.716666666667</v>
      </c>
      <c r="E112" s="37" t="s">
        <v>145</v>
      </c>
      <c r="F112" s="47" t="s">
        <v>140</v>
      </c>
      <c r="G112" s="38">
        <v>1838</v>
      </c>
      <c r="H112" s="38">
        <v>1.031E-2</v>
      </c>
      <c r="I112" s="38">
        <v>5.321E-5</v>
      </c>
      <c r="J112" s="37" t="s">
        <v>45</v>
      </c>
      <c r="K112" s="52">
        <v>5.4850000000000003</v>
      </c>
      <c r="L112" s="40">
        <f t="shared" si="19"/>
        <v>10081.43</v>
      </c>
      <c r="M112" s="40">
        <f>IF(OR(TbTradesBinance[[#This Row],[Tipo]]="BUY",TbTradesBinance[[#This Row],[Tipo]]="RECEIVE",TbTradesBinance[[#This Row],[Tipo]]="DROP"),L112*H112,-L112*H112)</f>
        <v>-103.9395433</v>
      </c>
      <c r="N11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Row],[Tipo]]="DROP"),N111+TbTradesBinance[[#This Row],[Qtt]],N111-TbTradesBinance[[#This Row],[Qtt]]),IF(TbTradesBinance[[#This Row],[Tipo]]="BUY",N111-TbTradesBinance[[#This Row],[Qtt]]*TbTradesBinance[[#This Row],[Preço]],N111+TbTradesBinance[[#This Row],[Qtt]]*TbTradesBinance[[#This Row],[Preço]])),N111)-IF(TbTradesBinance[[#This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Row],[Tipo]]="DROP"),N111+TbTradesBinance[[#This Row],[Qtt]],N111-TbTradesBinance[[#This Row],[Qtt]]),IF(TbTradesBinance[[#This Row],[Tipo]]="BUY",N111-TbTradesBinance[[#This Row],[Qtt]]*TbTradesBinance[[#This Row],[Preço]],N111+TbTradesBinance[[#This Row],[Qtt]]*TbTradesBinance[[#This Row],[Preço]])),N111)-IF(TbTradesBinance[[#This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Row],[Tipo]]="DROP"),N111+TbTradesBinance[[#This Row],[Qtt]],N111-TbTradesBinance[[#This Row],[Qtt]]),IF(TbTradesBinance[[#This Row],[Tipo]]="BUY",N111-TbTradesBinance[[#This Row],[Qtt]]*TbTradesBinance[[#This Row],[Preço]],N111+TbTradesBinance[[#This Row],[Qtt]]*TbTradesBinance[[#This Row],[Preço]])),N111)-IF(TbTradesBinance[[#This Row],[Moeda da Taxa]]=MID(N$1,9,5),TbTradesBinance[[#This Row],[Taxa]],0),8)))</f>
        <v>119745.70050707999</v>
      </c>
      <c r="O112" s="145" cm="1">
        <f t="array" ref="O112">IF(TbTradesBinance[[#This Row],[Tipo]]="EMPTY",0,O111+IF(TbTradesBinance[[#This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Row],[Par]]))),$1:$1,0)),-(N111-N112)/N111*O111),0),0)+IF(TbTradesBinance[[#This Row],[Tipo]]="SELL",IF(ISNUMBER(FIND(MID(O$1,10,5),TbTradesBinance[[#This Row],[Par]])),IF(FIND(MID(O$1,10,5),TbTradesBinance[[#This Row],[Par]])=1, -(N111-N112)/N111*O111,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Row],[Par]])),(-(N111-N112)/N111*O111)+IF(TbTradesBinance[[#This Row],[Resultado]]&gt;0,0,TbTradesBinance[[#This Row],[Taxa]]),0),0))</f>
        <v>119733.82450611531</v>
      </c>
      <c r="P112" s="145">
        <f t="shared" si="20"/>
        <v>0.99990082315344608</v>
      </c>
      <c r="Q11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Row],[Tipo]]="DROP"),Q111+TbTradesBinance[[#This Row],[Qtt]],Q111-TbTradesBinance[[#This Row],[Qtt]]),IF(TbTradesBinance[[#This Row],[Tipo]]="BUY",Q111-TbTradesBinance[[#This Row],[Qtt]]*TbTradesBinance[[#This Row],[Preço]],Q111+TbTradesBinance[[#This Row],[Qtt]]*TbTradesBinance[[#This Row],[Preço]])),Q111)-IF(TbTradesBinance[[#This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Row],[Tipo]]="DROP"),Q111+TbTradesBinance[[#This Row],[Qtt]],Q111-TbTradesBinance[[#This Row],[Qtt]]),IF(TbTradesBinance[[#This Row],[Tipo]]="BUY",Q111-TbTradesBinance[[#This Row],[Qtt]]*TbTradesBinance[[#This Row],[Preço]],Q111+TbTradesBinance[[#This Row],[Qtt]]*TbTradesBinance[[#This Row],[Preço]])),Q111)-IF(TbTradesBinance[[#This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Row],[Tipo]]="DROP"),Q111+TbTradesBinance[[#This Row],[Qtt]],Q111-TbTradesBinance[[#This Row],[Qtt]]),IF(TbTradesBinance[[#This Row],[Tipo]]="BUY",Q111-TbTradesBinance[[#This Row],[Qtt]]*TbTradesBinance[[#This Row],[Preço]],Q111+TbTradesBinance[[#This Row],[Qtt]]*TbTradesBinance[[#This Row],[Preço]])),Q111)-IF(TbTradesBinance[[#This Row],[Moeda da Taxa]]=MID(Q$1,9,5),TbTradesBinance[[#This Row],[Taxa]],0),8)))</f>
        <v>38.812849810000003</v>
      </c>
      <c r="R112" s="145" cm="1">
        <f t="array" ref="R112">IF(TbTradesBinance[[#This Row],[Tipo]]="EMPTY",0,R111+IF(TbTradesBinance[[#This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Row],[Par]]))),$1:$1,0)),-(Q111-Q112)/Q111*R111),0),0)+IF(TbTradesBinance[[#This Row],[Tipo]]="SELL",IF(ISNUMBER(FIND(MID(R$1,10,5),TbTradesBinance[[#This Row],[Par]])),IF(FIND(MID(R$1,10,5),TbTradesBinance[[#This Row],[Par]])=1, -(Q111-Q112)/Q111*R111,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Row],[Par]])),(-(Q111-Q112)/Q111*R111)+IF(TbTradesBinance[[#This Row],[Resultado]]&gt;0,0,TbTradesBinance[[#This Row],[Taxa]]),0),0))</f>
        <v>216.37092390316801</v>
      </c>
      <c r="S112" s="145">
        <f t="shared" si="21"/>
        <v>5.5747239628722332</v>
      </c>
      <c r="T11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Row],[Tipo]]="DROP"),T111+TbTradesBinance[[#This Row],[Qtt]],T111-TbTradesBinance[[#This Row],[Qtt]]),IF(TbTradesBinance[[#This Row],[Tipo]]="BUY",T111-TbTradesBinance[[#This Row],[Qtt]]*TbTradesBinance[[#This Row],[Preço]],T111+TbTradesBinance[[#This Row],[Qtt]]*TbTradesBinance[[#This Row],[Preço]])),T111)-IF(TbTradesBinance[[#This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Row],[Tipo]]="DROP"),T111+TbTradesBinance[[#This Row],[Qtt]],T111-TbTradesBinance[[#This Row],[Qtt]]),IF(TbTradesBinance[[#This Row],[Tipo]]="BUY",T111-TbTradesBinance[[#This Row],[Qtt]]*TbTradesBinance[[#This Row],[Preço]],T111+TbTradesBinance[[#This Row],[Qtt]]*TbTradesBinance[[#This Row],[Preço]])),T111)-IF(TbTradesBinance[[#This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Row],[Tipo]]="DROP"),T111+TbTradesBinance[[#This Row],[Qtt]],T111-TbTradesBinance[[#This Row],[Qtt]]),IF(TbTradesBinance[[#This Row],[Tipo]]="BUY",T111-TbTradesBinance[[#This Row],[Qtt]]*TbTradesBinance[[#This Row],[Preço]],T111+TbTradesBinance[[#This Row],[Qtt]]*TbTradesBinance[[#This Row],[Preço]])),T111)-IF(TbTradesBinance[[#This Row],[Moeda da Taxa]]=MID(T$1,9,5),TbTradesBinance[[#This Row],[Taxa]],0),8)))</f>
        <v>199735.32000169999</v>
      </c>
      <c r="U112" s="145" cm="1">
        <f t="array" ref="U112">IF(TbTradesBinance[[#This Row],[Tipo]]="EMPTY",0,U111+IF(TbTradesBinance[[#This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Row],[Par]]))),$1:$1,0)),-(T111-T112)/T111*U111),0),0)+IF(TbTradesBinance[[#This Row],[Tipo]]="SELL",IF(ISNUMBER(FIND(MID(U$1,10,5),TbTradesBinance[[#This Row],[Par]])),IF(FIND(MID(U$1,10,5),TbTradesBinance[[#This Row],[Par]])=1, -(T111-T112)/T111*U111,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Row],[Par]])),(-(T111-T112)/T111*U111)+IF(TbTradesBinance[[#This Row],[Resultado]]&gt;0,0,TbTradesBinance[[#This Row],[Taxa]]),0),0))</f>
        <v>1328239.8809817513</v>
      </c>
      <c r="V112" s="145">
        <f t="shared" si="22"/>
        <v>6.6500000148719129</v>
      </c>
      <c r="W11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Row],[Tipo]]="DROP"),W111+TbTradesBinance[[#This Row],[Qtt]],W111-TbTradesBinance[[#This Row],[Qtt]]),IF(TbTradesBinance[[#This Row],[Tipo]]="BUY",W111-TbTradesBinance[[#This Row],[Qtt]]*TbTradesBinance[[#This Row],[Preço]],W111+TbTradesBinance[[#This Row],[Qtt]]*TbTradesBinance[[#This Row],[Preço]])),W111)-IF(TbTradesBinance[[#This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Row],[Tipo]]="DROP"),W111+TbTradesBinance[[#This Row],[Qtt]],W111-TbTradesBinance[[#This Row],[Qtt]]),IF(TbTradesBinance[[#This Row],[Tipo]]="BUY",W111-TbTradesBinance[[#This Row],[Qtt]]*TbTradesBinance[[#This Row],[Preço]],W111+TbTradesBinance[[#This Row],[Qtt]]*TbTradesBinance[[#This Row],[Preço]])),W111)-IF(TbTradesBinance[[#This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Row],[Tipo]]="DROP"),W111+TbTradesBinance[[#This Row],[Qtt]],W111-TbTradesBinance[[#This Row],[Qtt]]),IF(TbTradesBinance[[#This Row],[Tipo]]="BUY",W111-TbTradesBinance[[#This Row],[Qtt]]*TbTradesBinance[[#This Row],[Preço]],W111+TbTradesBinance[[#This Row],[Qtt]]*TbTradesBinance[[#This Row],[Preço]])),W111)-IF(TbTradesBinance[[#This Row],[Moeda da Taxa]]=MID(W$1,9,5),TbTradesBinance[[#This Row],[Taxa]],0),8)))</f>
        <v>2.90136E-3</v>
      </c>
      <c r="X112" s="145" cm="1">
        <f t="array" ref="X112">IF(TbTradesBinance[[#This Row],[Tipo]]="EMPTY",0,X111+IF(TbTradesBinance[[#This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Row],[Par]]))),$1:$1,0)),-(W111-W112)/W111*X111),0),0)+IF(TbTradesBinance[[#This Row],[Tipo]]="SELL",IF(ISNUMBER(FIND(MID(X$1,10,5),TbTradesBinance[[#This Row],[Par]])),IF(FIND(MID(X$1,10,5),TbTradesBinance[[#This Row],[Par]])=1, -(W111-W112)/W111*X111,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Row],[Par]])),(-(W111-W112)/W111*X111)+IF(TbTradesBinance[[#This Row],[Resultado]]&gt;0,0,TbTradesBinance[[#This Row],[Taxa]]),0),0))</f>
        <v>968.28727290721815</v>
      </c>
      <c r="Y112" s="145">
        <f t="shared" si="23"/>
        <v>333735.65255853056</v>
      </c>
      <c r="Z11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Row],[Tipo]]="DROP"),Z111+TbTradesBinance[[#This Row],[Qtt]],Z111-TbTradesBinance[[#This Row],[Qtt]]),IF(TbTradesBinance[[#This Row],[Tipo]]="BUY",Z111-TbTradesBinance[[#This Row],[Qtt]]*TbTradesBinance[[#This Row],[Preço]],Z111+TbTradesBinance[[#This Row],[Qtt]]*TbTradesBinance[[#This Row],[Preço]])),Z111)-IF(TbTradesBinance[[#This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Row],[Tipo]]="DROP"),Z111+TbTradesBinance[[#This Row],[Qtt]],Z111-TbTradesBinance[[#This Row],[Qtt]]),IF(TbTradesBinance[[#This Row],[Tipo]]="BUY",Z111-TbTradesBinance[[#This Row],[Qtt]]*TbTradesBinance[[#This Row],[Preço]],Z111+TbTradesBinance[[#This Row],[Qtt]]*TbTradesBinance[[#This Row],[Preço]])),Z111)-IF(TbTradesBinance[[#This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Row],[Tipo]]="DROP"),Z111+TbTradesBinance[[#This Row],[Qtt]],Z111-TbTradesBinance[[#This Row],[Qtt]]),IF(TbTradesBinance[[#This Row],[Tipo]]="BUY",Z111-TbTradesBinance[[#This Row],[Qtt]]*TbTradesBinance[[#This Row],[Preço]],Z111+TbTradesBinance[[#This Row],[Qtt]]*TbTradesBinance[[#This Row],[Preço]])),Z111)-IF(TbTradesBinance[[#This Row],[Moeda da Taxa]]=MID(Z$1,9,5),TbTradesBinance[[#This Row],[Taxa]],0),8)))</f>
        <v>1.031935E-2</v>
      </c>
      <c r="AA112" s="145" cm="1">
        <f t="array" ref="AA112">IF(TbTradesBinance[[#This Row],[Tipo]]="EMPTY",0,AA111+IF(TbTradesBinance[[#This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Row],[Par]]))),$1:$1,0)),-(Z111-Z112)/Z111*AA111),0),0)+IF(TbTradesBinance[[#This Row],[Tipo]]="SELL",IF(ISNUMBER(FIND(MID(AA$1,10,5),TbTradesBinance[[#This Row],[Par]])),IF(FIND(MID(AA$1,10,5),TbTradesBinance[[#This Row],[Par]])=1, -(Z111-Z112)/Z111*AA111,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Row],[Par]])),(-(Z111-Z112)/Z111*AA111)+IF(TbTradesBinance[[#This Row],[Resultado]]&gt;0,0,TbTradesBinance[[#This Row],[Taxa]]),0),0))</f>
        <v>107.3592846539391</v>
      </c>
      <c r="AB112" s="145">
        <f t="shared" si="24"/>
        <v>10403.686729681531</v>
      </c>
      <c r="AC11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Row],[Tipo]]="DROP"),AC111+TbTradesBinance[[#This Row],[Qtt]],AC111-TbTradesBinance[[#This Row],[Qtt]]),IF(TbTradesBinance[[#This Row],[Tipo]]="BUY",AC111-TbTradesBinance[[#This Row],[Qtt]]*TbTradesBinance[[#This Row],[Preço]],AC111+TbTradesBinance[[#This Row],[Qtt]]*TbTradesBinance[[#This Row],[Preço]])),AC111)-IF(TbTradesBinance[[#This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Row],[Tipo]]="DROP"),AC111+TbTradesBinance[[#This Row],[Qtt]],AC111-TbTradesBinance[[#This Row],[Qtt]]),IF(TbTradesBinance[[#This Row],[Tipo]]="BUY",AC111-TbTradesBinance[[#This Row],[Qtt]]*TbTradesBinance[[#This Row],[Preço]],AC111+TbTradesBinance[[#This Row],[Qtt]]*TbTradesBinance[[#This Row],[Preço]])),AC111)-IF(TbTradesBinance[[#This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Row],[Tipo]]="DROP"),AC111+TbTradesBinance[[#This Row],[Qtt]],AC111-TbTradesBinance[[#This Row],[Qtt]]),IF(TbTradesBinance[[#This Row],[Tipo]]="BUY",AC111-TbTradesBinance[[#This Row],[Qtt]]*TbTradesBinance[[#This Row],[Preço]],AC111+TbTradesBinance[[#This Row],[Qtt]]*TbTradesBinance[[#This Row],[Preço]])),AC111)-IF(TbTradesBinance[[#This Row],[Moeda da Taxa]]=MID(AC$1,9,5),TbTradesBinance[[#This Row],[Taxa]],0),8)))</f>
        <v>9.6999E-4</v>
      </c>
      <c r="AD112" s="145" cm="1">
        <f t="array" ref="AD112">IF(TbTradesBinance[[#This Row],[Tipo]]="EMPTY",0,AD111+IF(TbTradesBinance[[#This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Row],[Par]]))),$1:$1,0)),-(AC111-AC112)/AC111*AD111),0),0)+IF(TbTradesBinance[[#This Row],[Tipo]]="SELL",IF(ISNUMBER(FIND(MID(AD$1,10,5),TbTradesBinance[[#This Row],[Par]])),IF(FIND(MID(AD$1,10,5),TbTradesBinance[[#This Row],[Par]])=1, -(AC111-AC112)/AC111*AD111,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Row],[Par]])),(-(AC111-AC112)/AC111*AD111)+IF(TbTradesBinance[[#This Row],[Resultado]]&gt;0,0,TbTradesBinance[[#This Row],[Taxa]]),0),0))</f>
        <v>1.9483868939812083</v>
      </c>
      <c r="AE112" s="145">
        <f t="shared" si="25"/>
        <v>2008.6669903619711</v>
      </c>
      <c r="AF11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Row],[Tipo]]="DROP"),AF111+TbTradesBinance[[#This Row],[Qtt]],AF111-TbTradesBinance[[#This Row],[Qtt]]),IF(TbTradesBinance[[#This Row],[Tipo]]="BUY",AF111-TbTradesBinance[[#This Row],[Qtt]]*TbTradesBinance[[#This Row],[Preço]],AF111+TbTradesBinance[[#This Row],[Qtt]]*TbTradesBinance[[#This Row],[Preço]])),AF111)-IF(TbTradesBinance[[#This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Row],[Tipo]]="DROP"),AF111+TbTradesBinance[[#This Row],[Qtt]],AF111-TbTradesBinance[[#This Row],[Qtt]]),IF(TbTradesBinance[[#This Row],[Tipo]]="BUY",AF111-TbTradesBinance[[#This Row],[Qtt]]*TbTradesBinance[[#This Row],[Preço]],AF111+TbTradesBinance[[#This Row],[Qtt]]*TbTradesBinance[[#This Row],[Preço]])),AF111)-IF(TbTradesBinance[[#This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Row],[Tipo]]="DROP"),AF111+TbTradesBinance[[#This Row],[Qtt]],AF111-TbTradesBinance[[#This Row],[Qtt]]),IF(TbTradesBinance[[#This Row],[Tipo]]="BUY",AF111-TbTradesBinance[[#This Row],[Qtt]]*TbTradesBinance[[#This Row],[Preço]],AF111+TbTradesBinance[[#This Row],[Qtt]]*TbTradesBinance[[#This Row],[Preço]])),AF111)-IF(TbTradesBinance[[#This Row],[Moeda da Taxa]]=MID(AF$1,9,5),TbTradesBinance[[#This Row],[Taxa]],0),8)))</f>
        <v>0.08</v>
      </c>
      <c r="AG112" s="145" cm="1">
        <f t="array" ref="AG112">IF(TbTradesBinance[[#This Row],[Tipo]]="EMPTY",0,AG111+IF(TbTradesBinance[[#This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Row],[Par]]))),$1:$1,0)),-(AF111-AF112)/AF111*AG111),0),0)+IF(TbTradesBinance[[#This Row],[Tipo]]="SELL",IF(ISNUMBER(FIND(MID(AG$1,10,5),TbTradesBinance[[#This Row],[Par]])),IF(FIND(MID(AG$1,10,5),TbTradesBinance[[#This Row],[Par]])=1, -(AF111-AF112)/AF111*AG111,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Row],[Par]])),(-(AF111-AF112)/AF111*AG111)+IF(TbTradesBinance[[#This Row],[Resultado]]&gt;0,0,TbTradesBinance[[#This Row],[Taxa]]),0),0))</f>
        <v>0.49666397429723474</v>
      </c>
      <c r="AH112" s="145">
        <f t="shared" si="26"/>
        <v>6.2082996787154343</v>
      </c>
      <c r="AI11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Row],[Tipo]]="DROP"),AI111+TbTradesBinance[[#This Row],[Qtt]],AI111-TbTradesBinance[[#This Row],[Qtt]]),IF(TbTradesBinance[[#This Row],[Tipo]]="BUY",AI111-TbTradesBinance[[#This Row],[Qtt]]*TbTradesBinance[[#This Row],[Preço]],AI111+TbTradesBinance[[#This Row],[Qtt]]*TbTradesBinance[[#This Row],[Preço]])),AI111)-IF(TbTradesBinance[[#This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Row],[Tipo]]="DROP"),AI111+TbTradesBinance[[#This Row],[Qtt]],AI111-TbTradesBinance[[#This Row],[Qtt]]),IF(TbTradesBinance[[#This Row],[Tipo]]="BUY",AI111-TbTradesBinance[[#This Row],[Qtt]]*TbTradesBinance[[#This Row],[Preço]],AI111+TbTradesBinance[[#This Row],[Qtt]]*TbTradesBinance[[#This Row],[Preço]])),AI111)-IF(TbTradesBinance[[#This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Row],[Tipo]]="DROP"),AI111+TbTradesBinance[[#This Row],[Qtt]],AI111-TbTradesBinance[[#This Row],[Qtt]]),IF(TbTradesBinance[[#This Row],[Tipo]]="BUY",AI111-TbTradesBinance[[#This Row],[Qtt]]*TbTradesBinance[[#This Row],[Preço]],AI111+TbTradesBinance[[#This Row],[Qtt]]*TbTradesBinance[[#This Row],[Preço]])),AI111)-IF(TbTradesBinance[[#This Row],[Moeda da Taxa]]=MID(AI$1,9,5),TbTradesBinance[[#This Row],[Taxa]],0),8)))</f>
        <v>0</v>
      </c>
      <c r="AJ112" s="145" cm="1">
        <f t="array" ref="AJ112">IF(TbTradesBinance[[#This Row],[Tipo]]="EMPTY",0,AJ111+IF(TbTradesBinance[[#This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Row],[Par]]))),$1:$1,0)),-(AI111-AI112)/AI111*AJ111),0),0)+IF(TbTradesBinance[[#This Row],[Tipo]]="SELL",IF(ISNUMBER(FIND(MID(AJ$1,10,5),TbTradesBinance[[#This Row],[Par]])),IF(FIND(MID(AJ$1,10,5),TbTradesBinance[[#This Row],[Par]])=1, -(AI111-AI112)/AI111*AJ111,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Row],[Par]])),(-(AI111-AI112)/AI111*AJ111)+IF(TbTradesBinance[[#This Row],[Resultado]]&gt;0,0,TbTradesBinance[[#This Row],[Taxa]]),0),0))</f>
        <v>0</v>
      </c>
      <c r="AK112" s="145">
        <f t="shared" si="27"/>
        <v>0</v>
      </c>
      <c r="AL11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Row],[Tipo]]="DROP"),AL111+TbTradesBinance[[#This Row],[Qtt]],AL111-TbTradesBinance[[#This Row],[Qtt]]),IF(TbTradesBinance[[#This Row],[Tipo]]="BUY",AL111-TbTradesBinance[[#This Row],[Qtt]]*TbTradesBinance[[#This Row],[Preço]],AL111+TbTradesBinance[[#This Row],[Qtt]]*TbTradesBinance[[#This Row],[Preço]])),AL111)-IF(TbTradesBinance[[#This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Row],[Tipo]]="DROP"),AL111+TbTradesBinance[[#This Row],[Qtt]],AL111-TbTradesBinance[[#This Row],[Qtt]]),IF(TbTradesBinance[[#This Row],[Tipo]]="BUY",AL111-TbTradesBinance[[#This Row],[Qtt]]*TbTradesBinance[[#This Row],[Preço]],AL111+TbTradesBinance[[#This Row],[Qtt]]*TbTradesBinance[[#This Row],[Preço]])),AL111)-IF(TbTradesBinance[[#This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Row],[Tipo]]="DROP"),AL111+TbTradesBinance[[#This Row],[Qtt]],AL111-TbTradesBinance[[#This Row],[Qtt]]),IF(TbTradesBinance[[#This Row],[Tipo]]="BUY",AL111-TbTradesBinance[[#This Row],[Qtt]]*TbTradesBinance[[#This Row],[Preço]],AL111+TbTradesBinance[[#This Row],[Qtt]]*TbTradesBinance[[#This Row],[Preço]])),AL111)-IF(TbTradesBinance[[#This Row],[Moeda da Taxa]]=MID(AL$1,9,5),TbTradesBinance[[#This Row],[Taxa]],0),8)))</f>
        <v>8.2400000000000008E-3</v>
      </c>
      <c r="AM112" s="145" cm="1">
        <f t="array" ref="AM112">IF(TbTradesBinance[[#This Row],[Tipo]]="EMPTY",0,AM111+IF(TbTradesBinance[[#This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Row],[Par]]))),$1:$1,0)),-(AL111-AL112)/AL111*AM111),0),0)+IF(TbTradesBinance[[#This Row],[Tipo]]="SELL",IF(ISNUMBER(FIND(MID(AM$1,10,5),TbTradesBinance[[#This Row],[Par]])),IF(FIND(MID(AM$1,10,5),TbTradesBinance[[#This Row],[Par]])=1, -(AL111-AL112)/AL111*AM111,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Row],[Par]])),(-(AL111-AL112)/AL111*AM111)+IF(TbTradesBinance[[#This Row],[Resultado]]&gt;0,0,TbTradesBinance[[#This Row],[Taxa]]),0),0))</f>
        <v>0.67751089887772764</v>
      </c>
      <c r="AN112" s="145">
        <f t="shared" si="28"/>
        <v>82.222196465743636</v>
      </c>
      <c r="AO11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Row],[Tipo]]="DROP"),AO111+TbTradesBinance[[#This Row],[Qtt]],AO111-TbTradesBinance[[#This Row],[Qtt]]),IF(TbTradesBinance[[#This Row],[Tipo]]="BUY",AO111-TbTradesBinance[[#This Row],[Qtt]]*TbTradesBinance[[#This Row],[Preço]],AO111+TbTradesBinance[[#This Row],[Qtt]]*TbTradesBinance[[#This Row],[Preço]])),AO111)-IF(TbTradesBinance[[#This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Row],[Tipo]]="DROP"),AO111+TbTradesBinance[[#This Row],[Qtt]],AO111-TbTradesBinance[[#This Row],[Qtt]]),IF(TbTradesBinance[[#This Row],[Tipo]]="BUY",AO111-TbTradesBinance[[#This Row],[Qtt]]*TbTradesBinance[[#This Row],[Preço]],AO111+TbTradesBinance[[#This Row],[Qtt]]*TbTradesBinance[[#This Row],[Preço]])),AO111)-IF(TbTradesBinance[[#This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Row],[Tipo]]="DROP"),AO111+TbTradesBinance[[#This Row],[Qtt]],AO111-TbTradesBinance[[#This Row],[Qtt]]),IF(TbTradesBinance[[#This Row],[Tipo]]="BUY",AO111-TbTradesBinance[[#This Row],[Qtt]]*TbTradesBinance[[#This Row],[Preço]],AO111+TbTradesBinance[[#This Row],[Qtt]]*TbTradesBinance[[#This Row],[Preço]])),AO111)-IF(TbTradesBinance[[#This Row],[Moeda da Taxa]]=MID(AO$1,9,5),TbTradesBinance[[#This Row],[Taxa]],0),8)))</f>
        <v>7.4631299999999998E-2</v>
      </c>
      <c r="AP112" s="145" cm="1">
        <f t="array" ref="AP112">IF(TbTradesBinance[[#This Row],[Tipo]]="EMPTY",0,AP111+IF(TbTradesBinance[[#This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Row],[Par]]))),$1:$1,0)),-(AO111-AO112)/AO111*AP111),0),0)+IF(TbTradesBinance[[#This Row],[Tipo]]="SELL",IF(ISNUMBER(FIND(MID(AP$1,10,5),TbTradesBinance[[#This Row],[Par]])),IF(FIND(MID(AP$1,10,5),TbTradesBinance[[#This Row],[Par]])=1, -(AO111-AO112)/AO111*AP111,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Row],[Par]])),(-(AO111-AO112)/AO111*AP111)+IF(TbTradesBinance[[#This Row],[Resultado]]&gt;0,0,TbTradesBinance[[#This Row],[Taxa]]),0),0))</f>
        <v>113.87766627073657</v>
      </c>
      <c r="AQ112" s="145">
        <f t="shared" si="29"/>
        <v>1525.8700608288557</v>
      </c>
      <c r="AR11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Row],[Tipo]]="DROP"),AR111+TbTradesBinance[[#This Row],[Qtt]],AR111-TbTradesBinance[[#This Row],[Qtt]]),IF(TbTradesBinance[[#This Row],[Tipo]]="BUY",AR111-TbTradesBinance[[#This Row],[Qtt]]*TbTradesBinance[[#This Row],[Preço]],AR111+TbTradesBinance[[#This Row],[Qtt]]*TbTradesBinance[[#This Row],[Preço]])),AR111)-IF(TbTradesBinance[[#This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Row],[Tipo]]="DROP"),AR111+TbTradesBinance[[#This Row],[Qtt]],AR111-TbTradesBinance[[#This Row],[Qtt]]),IF(TbTradesBinance[[#This Row],[Tipo]]="BUY",AR111-TbTradesBinance[[#This Row],[Qtt]]*TbTradesBinance[[#This Row],[Preço]],AR111+TbTradesBinance[[#This Row],[Qtt]]*TbTradesBinance[[#This Row],[Preço]])),AR111)-IF(TbTradesBinance[[#This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Row],[Tipo]]="DROP"),AR111+TbTradesBinance[[#This Row],[Qtt]],AR111-TbTradesBinance[[#This Row],[Qtt]]),IF(TbTradesBinance[[#This Row],[Tipo]]="BUY",AR111-TbTradesBinance[[#This Row],[Qtt]]*TbTradesBinance[[#This Row],[Preço]],AR111+TbTradesBinance[[#This Row],[Qtt]]*TbTradesBinance[[#This Row],[Preço]])),AR111)-IF(TbTradesBinance[[#This Row],[Moeda da Taxa]]=MID(AR$1,9,5),TbTradesBinance[[#This Row],[Taxa]],0),8)))</f>
        <v>61.251199999999997</v>
      </c>
      <c r="AS112" s="145" cm="1">
        <f t="array" ref="AS112">IF(TbTradesBinance[[#This Row],[Tipo]]="EMPTY",0,AS111+IF(TbTradesBinance[[#This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Row],[Par]]))),$1:$1,0)),-(AR111-AR112)/AR111*AS111),0),0)+IF(TbTradesBinance[[#This Row],[Tipo]]="SELL",IF(ISNUMBER(FIND(MID(AS$1,10,5),TbTradesBinance[[#This Row],[Par]])),IF(FIND(MID(AS$1,10,5),TbTradesBinance[[#This Row],[Par]])=1, -(AR111-AR112)/AR111*AS111,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Row],[Par]])),(-(AR111-AR112)/AR111*AS111)+IF(TbTradesBinance[[#This Row],[Resultado]]&gt;0,0,TbTradesBinance[[#This Row],[Taxa]]),0),0))</f>
        <v>230.84001376053044</v>
      </c>
      <c r="AT112" s="145">
        <f t="shared" si="30"/>
        <v>3.7687427146003745</v>
      </c>
      <c r="AU11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Row],[Tipo]]="DROP"),AU111+TbTradesBinance[[#This Row],[Qtt]],AU111-TbTradesBinance[[#This Row],[Qtt]]),IF(TbTradesBinance[[#This Row],[Tipo]]="BUY",AU111-TbTradesBinance[[#This Row],[Qtt]]*TbTradesBinance[[#This Row],[Preço]],AU111+TbTradesBinance[[#This Row],[Qtt]]*TbTradesBinance[[#This Row],[Preço]])),AU111)-IF(TbTradesBinance[[#This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Row],[Tipo]]="DROP"),AU111+TbTradesBinance[[#This Row],[Qtt]],AU111-TbTradesBinance[[#This Row],[Qtt]]),IF(TbTradesBinance[[#This Row],[Tipo]]="BUY",AU111-TbTradesBinance[[#This Row],[Qtt]]*TbTradesBinance[[#This Row],[Preço]],AU111+TbTradesBinance[[#This Row],[Qtt]]*TbTradesBinance[[#This Row],[Preço]])),AU111)-IF(TbTradesBinance[[#This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Row],[Tipo]]="DROP"),AU111+TbTradesBinance[[#This Row],[Qtt]],AU111-TbTradesBinance[[#This Row],[Qtt]]),IF(TbTradesBinance[[#This Row],[Tipo]]="BUY",AU111-TbTradesBinance[[#This Row],[Qtt]]*TbTradesBinance[[#This Row],[Preço]],AU111+TbTradesBinance[[#This Row],[Qtt]]*TbTradesBinance[[#This Row],[Preço]])),AU111)-IF(TbTradesBinance[[#This Row],[Moeda da Taxa]]=MID(AU$1,9,5),TbTradesBinance[[#This Row],[Taxa]],0),8)))</f>
        <v>0</v>
      </c>
      <c r="AV112" s="145" cm="1">
        <f t="array" ref="AV112">IF(TbTradesBinance[[#This Row],[Tipo]]="EMPTY",0,AV111+IF(TbTradesBinance[[#This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Row],[Par]]))),$1:$1,0)),-(AU111-AU112)/AU111*AV111),0),0)+IF(TbTradesBinance[[#This Row],[Tipo]]="SELL",IF(ISNUMBER(FIND(MID(AV$1,10,5),TbTradesBinance[[#This Row],[Par]])),IF(FIND(MID(AV$1,10,5),TbTradesBinance[[#This Row],[Par]])=1, -(AU111-AU112)/AU111*AV111,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Row],[Par]])),(-(AU111-AU112)/AU111*AV111)+IF(TbTradesBinance[[#This Row],[Resultado]]&gt;0,0,TbTradesBinance[[#This Row],[Taxa]]),0),0))</f>
        <v>0</v>
      </c>
      <c r="AW112" s="145">
        <f t="shared" si="31"/>
        <v>0</v>
      </c>
      <c r="AX11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Row],[Tipo]]="DROP"),AX111+TbTradesBinance[[#This Row],[Qtt]],AX111-TbTradesBinance[[#This Row],[Qtt]]),IF(TbTradesBinance[[#This Row],[Tipo]]="BUY",AX111-TbTradesBinance[[#This Row],[Qtt]]*TbTradesBinance[[#This Row],[Preço]],AX111+TbTradesBinance[[#This Row],[Qtt]]*TbTradesBinance[[#This Row],[Preço]])),AX111)-IF(TbTradesBinance[[#This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Row],[Tipo]]="DROP"),AX111+TbTradesBinance[[#This Row],[Qtt]],AX111-TbTradesBinance[[#This Row],[Qtt]]),IF(TbTradesBinance[[#This Row],[Tipo]]="BUY",AX111-TbTradesBinance[[#This Row],[Qtt]]*TbTradesBinance[[#This Row],[Preço]],AX111+TbTradesBinance[[#This Row],[Qtt]]*TbTradesBinance[[#This Row],[Preço]])),AX111)-IF(TbTradesBinance[[#This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Row],[Tipo]]="DROP"),AX111+TbTradesBinance[[#This Row],[Qtt]],AX111-TbTradesBinance[[#This Row],[Qtt]]),IF(TbTradesBinance[[#This Row],[Tipo]]="BUY",AX111-TbTradesBinance[[#This Row],[Qtt]]*TbTradesBinance[[#This Row],[Preço]],AX111+TbTradesBinance[[#This Row],[Qtt]]*TbTradesBinance[[#This Row],[Preço]])),AX111)-IF(TbTradesBinance[[#This Row],[Moeda da Taxa]]=MID(AX$1,9,5),TbTradesBinance[[#This Row],[Taxa]],0),8)))</f>
        <v>0.85636999999999996</v>
      </c>
      <c r="AY112" s="145" cm="1">
        <f t="array" ref="AY112">IF(TbTradesBinance[[#This Row],[Tipo]]="EMPTY",0,AY111+IF(TbTradesBinance[[#This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Row],[Par]]))),$1:$1,0)),-(AX111-AX112)/AX111*AY111),0),0)+IF(TbTradesBinance[[#This Row],[Tipo]]="SELL",IF(ISNUMBER(FIND(MID(AY$1,10,5),TbTradesBinance[[#This Row],[Par]])),IF(FIND(MID(AY$1,10,5),TbTradesBinance[[#This Row],[Par]])=1, -(AX111-AX112)/AX111*AY111,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Row],[Par]])),(-(AX111-AX112)/AX111*AY111)+IF(TbTradesBinance[[#This Row],[Resultado]]&gt;0,0,TbTradesBinance[[#This Row],[Taxa]]),0),0))</f>
        <v>131.82971181780295</v>
      </c>
      <c r="AZ112" s="145">
        <f t="shared" si="32"/>
        <v>153.94013314081874</v>
      </c>
      <c r="BA11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Row],[Tipo]]="DROP"),BA111+TbTradesBinance[[#This Row],[Qtt]],BA111-TbTradesBinance[[#This Row],[Qtt]]),IF(TbTradesBinance[[#This Row],[Tipo]]="BUY",BA111-TbTradesBinance[[#This Row],[Qtt]]*TbTradesBinance[[#This Row],[Preço]],BA111+TbTradesBinance[[#This Row],[Qtt]]*TbTradesBinance[[#This Row],[Preço]])),BA111)-IF(TbTradesBinance[[#This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Row],[Tipo]]="DROP"),BA111+TbTradesBinance[[#This Row],[Qtt]],BA111-TbTradesBinance[[#This Row],[Qtt]]),IF(TbTradesBinance[[#This Row],[Tipo]]="BUY",BA111-TbTradesBinance[[#This Row],[Qtt]]*TbTradesBinance[[#This Row],[Preço]],BA111+TbTradesBinance[[#This Row],[Qtt]]*TbTradesBinance[[#This Row],[Preço]])),BA111)-IF(TbTradesBinance[[#This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Row],[Tipo]]="DROP"),BA111+TbTradesBinance[[#This Row],[Qtt]],BA111-TbTradesBinance[[#This Row],[Qtt]]),IF(TbTradesBinance[[#This Row],[Tipo]]="BUY",BA111-TbTradesBinance[[#This Row],[Qtt]]*TbTradesBinance[[#This Row],[Preço]],BA111+TbTradesBinance[[#This Row],[Qtt]]*TbTradesBinance[[#This Row],[Preço]])),BA111)-IF(TbTradesBinance[[#This Row],[Moeda da Taxa]]=MID(BA$1,9,5),TbTradesBinance[[#This Row],[Taxa]],0),8)))</f>
        <v>0</v>
      </c>
      <c r="BB112" s="145" cm="1">
        <f t="array" ref="BB112">IF(TbTradesBinance[[#This Row],[Tipo]]="EMPTY",0,BB111+IF(TbTradesBinance[[#This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Row],[Par]]))),$1:$1,0)),-(BA111-BA112)/BA111*BB111),0),0)+IF(TbTradesBinance[[#This Row],[Tipo]]="SELL",IF(ISNUMBER(FIND(MID(BB$1,10,5),TbTradesBinance[[#This Row],[Par]])),IF(FIND(MID(BB$1,10,5),TbTradesBinance[[#This Row],[Par]])=1, -(BA111-BA112)/BA111*BB111,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Row],[Par]])),(-(BA111-BA112)/BA111*BB111)+IF(TbTradesBinance[[#This Row],[Resultado]]&gt;0,0,TbTradesBinance[[#This Row],[Taxa]]),0),0))</f>
        <v>0</v>
      </c>
      <c r="BC112" s="145">
        <f t="shared" si="33"/>
        <v>0</v>
      </c>
      <c r="BD11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Row],[Tipo]]="DROP"),BD111+TbTradesBinance[[#This Row],[Qtt]],BD111-TbTradesBinance[[#This Row],[Qtt]]),IF(TbTradesBinance[[#This Row],[Tipo]]="BUY",BD111-TbTradesBinance[[#This Row],[Qtt]]*TbTradesBinance[[#This Row],[Preço]],BD111+TbTradesBinance[[#This Row],[Qtt]]*TbTradesBinance[[#This Row],[Preço]])),BD111)-IF(TbTradesBinance[[#This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Row],[Tipo]]="DROP"),BD111+TbTradesBinance[[#This Row],[Qtt]],BD111-TbTradesBinance[[#This Row],[Qtt]]),IF(TbTradesBinance[[#This Row],[Tipo]]="BUY",BD111-TbTradesBinance[[#This Row],[Qtt]]*TbTradesBinance[[#This Row],[Preço]],BD111+TbTradesBinance[[#This Row],[Qtt]]*TbTradesBinance[[#This Row],[Preço]])),BD111)-IF(TbTradesBinance[[#This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Row],[Tipo]]="DROP"),BD111+TbTradesBinance[[#This Row],[Qtt]],BD111-TbTradesBinance[[#This Row],[Qtt]]),IF(TbTradesBinance[[#This Row],[Tipo]]="BUY",BD111-TbTradesBinance[[#This Row],[Qtt]]*TbTradesBinance[[#This Row],[Preço]],BD111+TbTradesBinance[[#This Row],[Qtt]]*TbTradesBinance[[#This Row],[Preço]])),BD111)-IF(TbTradesBinance[[#This Row],[Moeda da Taxa]]=MID(BD$1,9,5),TbTradesBinance[[#This Row],[Taxa]],0),8)))</f>
        <v>9.0599900000000004E-3</v>
      </c>
      <c r="BE112" s="145" cm="1">
        <f t="array" ref="BE112">IF(TbTradesBinance[[#This Row],[Tipo]]="EMPTY",0,BE111+IF(TbTradesBinance[[#This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Row],[Par]]))),$1:$1,0)),-(BD111-BD112)/BD111*BE111),0),0)+IF(TbTradesBinance[[#This Row],[Tipo]]="SELL",IF(ISNUMBER(FIND(MID(BE$1,10,5),TbTradesBinance[[#This Row],[Par]])),IF(FIND(MID(BE$1,10,5),TbTradesBinance[[#This Row],[Par]])=1, -(BD111-BD112)/BD111*BE111,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Row],[Par]])),(-(BD111-BD112)/BD111*BE111)+IF(TbTradesBinance[[#This Row],[Resultado]]&gt;0,0,TbTradesBinance[[#This Row],[Taxa]]),0),0))</f>
        <v>1.6846969284922721</v>
      </c>
      <c r="BF112" s="145">
        <f t="shared" si="34"/>
        <v>185.94909359638058</v>
      </c>
      <c r="BG11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Row],[Tipo]]="DROP"),BG111+TbTradesBinance[[#This Row],[Qtt]],BG111-TbTradesBinance[[#This Row],[Qtt]]),IF(TbTradesBinance[[#This Row],[Tipo]]="BUY",BG111-TbTradesBinance[[#This Row],[Qtt]]*TbTradesBinance[[#This Row],[Preço]],BG111+TbTradesBinance[[#This Row],[Qtt]]*TbTradesBinance[[#This Row],[Preço]])),BG111)-IF(TbTradesBinance[[#This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Row],[Tipo]]="DROP"),BG111+TbTradesBinance[[#This Row],[Qtt]],BG111-TbTradesBinance[[#This Row],[Qtt]]),IF(TbTradesBinance[[#This Row],[Tipo]]="BUY",BG111-TbTradesBinance[[#This Row],[Qtt]]*TbTradesBinance[[#This Row],[Preço]],BG111+TbTradesBinance[[#This Row],[Qtt]]*TbTradesBinance[[#This Row],[Preço]])),BG111)-IF(TbTradesBinance[[#This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Row],[Tipo]]="DROP"),BG111+TbTradesBinance[[#This Row],[Qtt]],BG111-TbTradesBinance[[#This Row],[Qtt]]),IF(TbTradesBinance[[#This Row],[Tipo]]="BUY",BG111-TbTradesBinance[[#This Row],[Qtt]]*TbTradesBinance[[#This Row],[Preço]],BG111+TbTradesBinance[[#This Row],[Qtt]]*TbTradesBinance[[#This Row],[Preço]])),BG111)-IF(TbTradesBinance[[#This Row],[Moeda da Taxa]]=MID(BG$1,9,5),TbTradesBinance[[#This Row],[Taxa]],0),8)))</f>
        <v>0</v>
      </c>
      <c r="BH112" s="145" cm="1">
        <f t="array" ref="BH112">IF(TbTradesBinance[[#This Row],[Tipo]]="EMPTY",0,BH111+IF(TbTradesBinance[[#This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Row],[Par]]))),$1:$1,0)),-(BG111-BG112)/BG111*BH111),0),0)+IF(TbTradesBinance[[#This Row],[Tipo]]="SELL",IF(ISNUMBER(FIND(MID(BH$1,10,5),TbTradesBinance[[#This Row],[Par]])),IF(FIND(MID(BH$1,10,5),TbTradesBinance[[#This Row],[Par]])=1, -(BG111-BG112)/BG111*BH111,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Row],[Par]])),(-(BG111-BG112)/BG111*BH111)+IF(TbTradesBinance[[#This Row],[Resultado]]&gt;0,0,TbTradesBinance[[#This Row],[Taxa]]),0),0))</f>
        <v>0</v>
      </c>
      <c r="BI112" s="145">
        <f t="shared" si="35"/>
        <v>0</v>
      </c>
      <c r="BJ11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Row],[Tipo]]="DROP"),BJ111+TbTradesBinance[[#This Row],[Qtt]],BJ111-TbTradesBinance[[#This Row],[Qtt]]),IF(TbTradesBinance[[#This Row],[Tipo]]="BUY",BJ111-TbTradesBinance[[#This Row],[Qtt]]*TbTradesBinance[[#This Row],[Preço]],BJ111+TbTradesBinance[[#This Row],[Qtt]]*TbTradesBinance[[#This Row],[Preço]])),BJ111)-IF(TbTradesBinance[[#This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Row],[Tipo]]="DROP"),BJ111+TbTradesBinance[[#This Row],[Qtt]],BJ111-TbTradesBinance[[#This Row],[Qtt]]),IF(TbTradesBinance[[#This Row],[Tipo]]="BUY",BJ111-TbTradesBinance[[#This Row],[Qtt]]*TbTradesBinance[[#This Row],[Preço]],BJ111+TbTradesBinance[[#This Row],[Qtt]]*TbTradesBinance[[#This Row],[Preço]])),BJ111)-IF(TbTradesBinance[[#This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Row],[Tipo]]="DROP"),BJ111+TbTradesBinance[[#This Row],[Qtt]],BJ111-TbTradesBinance[[#This Row],[Qtt]]),IF(TbTradesBinance[[#This Row],[Tipo]]="BUY",BJ111-TbTradesBinance[[#This Row],[Qtt]]*TbTradesBinance[[#This Row],[Preço]],BJ111+TbTradesBinance[[#This Row],[Qtt]]*TbTradesBinance[[#This Row],[Preço]])),BJ111)-IF(TbTradesBinance[[#This Row],[Moeda da Taxa]]=MID(BJ$1,9,5),TbTradesBinance[[#This Row],[Taxa]],0),8)))</f>
        <v>0</v>
      </c>
      <c r="BK112" s="145" cm="1">
        <f t="array" ref="BK112">IF(TbTradesBinance[[#This Row],[Tipo]]="EMPTY",0,BK111+IF(TbTradesBinance[[#This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Row],[Par]]))),$1:$1,0)),-(BJ111-BJ112)/BJ111*BK111),0),0)+IF(TbTradesBinance[[#This Row],[Tipo]]="SELL",IF(ISNUMBER(FIND(MID(BK$1,10,5),TbTradesBinance[[#This Row],[Par]])),IF(FIND(MID(BK$1,10,5),TbTradesBinance[[#This Row],[Par]])=1, -(BJ111-BJ112)/BJ111*BK111,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Row],[Par]])),(-(BJ111-BJ112)/BJ111*BK111)+IF(TbTradesBinance[[#This Row],[Resultado]]&gt;0,0,TbTradesBinance[[#This Row],[Taxa]]),0),0))</f>
        <v>0</v>
      </c>
      <c r="BL112" s="145">
        <f t="shared" si="36"/>
        <v>0</v>
      </c>
      <c r="BM11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Row],[Tipo]]="DROP"),BM111+TbTradesBinance[[#This Row],[Qtt]],BM111-TbTradesBinance[[#This Row],[Qtt]]),IF(TbTradesBinance[[#This Row],[Tipo]]="BUY",BM111-TbTradesBinance[[#This Row],[Qtt]]*TbTradesBinance[[#This Row],[Preço]],BM111+TbTradesBinance[[#This Row],[Qtt]]*TbTradesBinance[[#This Row],[Preço]])),BM111)-IF(TbTradesBinance[[#This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Row],[Tipo]]="DROP"),BM111+TbTradesBinance[[#This Row],[Qtt]],BM111-TbTradesBinance[[#This Row],[Qtt]]),IF(TbTradesBinance[[#This Row],[Tipo]]="BUY",BM111-TbTradesBinance[[#This Row],[Qtt]]*TbTradesBinance[[#This Row],[Preço]],BM111+TbTradesBinance[[#This Row],[Qtt]]*TbTradesBinance[[#This Row],[Preço]])),BM111)-IF(TbTradesBinance[[#This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Row],[Tipo]]="DROP"),BM111+TbTradesBinance[[#This Row],[Qtt]],BM111-TbTradesBinance[[#This Row],[Qtt]]),IF(TbTradesBinance[[#This Row],[Tipo]]="BUY",BM111-TbTradesBinance[[#This Row],[Qtt]]*TbTradesBinance[[#This Row],[Preço]],BM111+TbTradesBinance[[#This Row],[Qtt]]*TbTradesBinance[[#This Row],[Preço]])),BM111)-IF(TbTradesBinance[[#This Row],[Moeda da Taxa]]=MID(BM$1,9,5),TbTradesBinance[[#This Row],[Taxa]],0),8)))</f>
        <v>0</v>
      </c>
      <c r="BN112" s="145" cm="1">
        <f t="array" ref="BN112">IF(TbTradesBinance[[#This Row],[Tipo]]="EMPTY",0,BN111+IF(TbTradesBinance[[#This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Row],[Par]]))),$1:$1,0)),-(BM111-BM112)/BM111*BN111),0),0)+IF(TbTradesBinance[[#This Row],[Tipo]]="SELL",IF(ISNUMBER(FIND(MID(BN$1,10,5),TbTradesBinance[[#This Row],[Par]])),IF(FIND(MID(BN$1,10,5),TbTradesBinance[[#This Row],[Par]])=1, -(BM111-BM112)/BM111*BN111,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Row],[Par]])),(-(BM111-BM112)/BM111*BN111)+IF(TbTradesBinance[[#This Row],[Resultado]]&gt;0,0,TbTradesBinance[[#This Row],[Taxa]]),0),0))</f>
        <v>0</v>
      </c>
      <c r="BO112" s="145">
        <f t="shared" si="37"/>
        <v>0</v>
      </c>
    </row>
    <row r="113" spans="2:67" x14ac:dyDescent="0.3">
      <c r="B113" s="51"/>
      <c r="C113" s="40">
        <f>TRUNC(IF(AND(TbTradesBinance[[#This Row],[Tipo]]="SEND",TbTradesBinance[[#This Row],[Par]]="BRL"),TbTradesBinance[[#This Row],[Qtt]]*(1-P111)-IF(TbTradesBinance[[#This Row],[Moeda da Taxa]]="BRL",TbTradesBinance[[#This Row],[Taxa]],0),0)+IF(AND(TbTradesBinance[[#This Row],[Tipo]]="BURN",TbTradesBinance[[#This Row],[Par]]="BRL"),-TbTradesBinance[[#This Row],[Qtt]]*P111,0),2)</f>
        <v>0</v>
      </c>
      <c r="D113" s="53">
        <v>44275.662835648145</v>
      </c>
      <c r="E113" s="37" t="s">
        <v>237</v>
      </c>
      <c r="F113" s="47" t="s">
        <v>140</v>
      </c>
      <c r="G113" s="38">
        <v>5.5579999999999998</v>
      </c>
      <c r="H113" s="38">
        <v>37.26</v>
      </c>
      <c r="I113" s="38">
        <v>0</v>
      </c>
      <c r="J113" s="37" t="s">
        <v>45</v>
      </c>
      <c r="K113" s="52">
        <v>1</v>
      </c>
      <c r="L113" s="40">
        <f t="shared" si="19"/>
        <v>5.55</v>
      </c>
      <c r="M113" s="40">
        <f>IF(OR(TbTradesBinance[[#This Row],[Tipo]]="BUY",TbTradesBinance[[#This Row],[Tipo]]="RECEIVE",TbTradesBinance[[#This Row],[Tipo]]="DROP"),L113*H113,-L113*H113)</f>
        <v>-206.79299999999998</v>
      </c>
      <c r="N11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Row],[Tipo]]="DROP"),N112+TbTradesBinance[[#This Row],[Qtt]],N112-TbTradesBinance[[#This Row],[Qtt]]),IF(TbTradesBinance[[#This Row],[Tipo]]="BUY",N112-TbTradesBinance[[#This Row],[Qtt]]*TbTradesBinance[[#This Row],[Preço]],N112+TbTradesBinance[[#This Row],[Qtt]]*TbTradesBinance[[#This Row],[Preço]])),N112)-IF(TbTradesBinance[[#This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Row],[Tipo]]="DROP"),N112+TbTradesBinance[[#This Row],[Qtt]],N112-TbTradesBinance[[#This Row],[Qtt]]),IF(TbTradesBinance[[#This Row],[Tipo]]="BUY",N112-TbTradesBinance[[#This Row],[Qtt]]*TbTradesBinance[[#This Row],[Preço]],N112+TbTradesBinance[[#This Row],[Qtt]]*TbTradesBinance[[#This Row],[Preço]])),N112)-IF(TbTradesBinance[[#This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Row],[Tipo]]="DROP"),N112+TbTradesBinance[[#This Row],[Qtt]],N112-TbTradesBinance[[#This Row],[Qtt]]),IF(TbTradesBinance[[#This Row],[Tipo]]="BUY",N112-TbTradesBinance[[#This Row],[Qtt]]*TbTradesBinance[[#This Row],[Preço]],N112+TbTradesBinance[[#This Row],[Qtt]]*TbTradesBinance[[#This Row],[Preço]])),N112)-IF(TbTradesBinance[[#This Row],[Moeda da Taxa]]=MID(N$1,9,5),TbTradesBinance[[#This Row],[Taxa]],0),8)))</f>
        <v>119952.79158708001</v>
      </c>
      <c r="O113" s="145" cm="1">
        <f t="array" ref="O113">IF(TbTradesBinance[[#This Row],[Tipo]]="EMPTY",0,O112+IF(TbTradesBinance[[#This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Row],[Par]]))),$1:$1,0)),-(N112-N113)/N112*O112),0),0)+IF(TbTradesBinance[[#This Row],[Tipo]]="SELL",IF(ISNUMBER(FIND(MID(O$1,10,5),TbTradesBinance[[#This Row],[Par]])),IF(FIND(MID(O$1,10,5),TbTradesBinance[[#This Row],[Par]])=1, -(N112-N113)/N112*O112,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Row],[Par]])),(-(N112-N113)/N112*O112)+IF(TbTradesBinance[[#This Row],[Resultado]]&gt;0,0,TbTradesBinance[[#This Row],[Taxa]]),0),0))</f>
        <v>119941.53872097193</v>
      </c>
      <c r="P113" s="145">
        <f t="shared" si="20"/>
        <v>0.99990618921027863</v>
      </c>
      <c r="Q11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Row],[Tipo]]="DROP"),Q112+TbTradesBinance[[#This Row],[Qtt]],Q112-TbTradesBinance[[#This Row],[Qtt]]),IF(TbTradesBinance[[#This Row],[Tipo]]="BUY",Q112-TbTradesBinance[[#This Row],[Qtt]]*TbTradesBinance[[#This Row],[Preço]],Q112+TbTradesBinance[[#This Row],[Qtt]]*TbTradesBinance[[#This Row],[Preço]])),Q112)-IF(TbTradesBinance[[#This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Row],[Tipo]]="DROP"),Q112+TbTradesBinance[[#This Row],[Qtt]],Q112-TbTradesBinance[[#This Row],[Qtt]]),IF(TbTradesBinance[[#This Row],[Tipo]]="BUY",Q112-TbTradesBinance[[#This Row],[Qtt]]*TbTradesBinance[[#This Row],[Preço]],Q112+TbTradesBinance[[#This Row],[Qtt]]*TbTradesBinance[[#This Row],[Preço]])),Q112)-IF(TbTradesBinance[[#This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Row],[Tipo]]="DROP"),Q112+TbTradesBinance[[#This Row],[Qtt]],Q112-TbTradesBinance[[#This Row],[Qtt]]),IF(TbTradesBinance[[#This Row],[Tipo]]="BUY",Q112-TbTradesBinance[[#This Row],[Qtt]]*TbTradesBinance[[#This Row],[Preço]],Q112+TbTradesBinance[[#This Row],[Qtt]]*TbTradesBinance[[#This Row],[Preço]])),Q112)-IF(TbTradesBinance[[#This Row],[Moeda da Taxa]]=MID(Q$1,9,5),TbTradesBinance[[#This Row],[Taxa]],0),8)))</f>
        <v>1.5528498100000001</v>
      </c>
      <c r="R113" s="145" cm="1">
        <f t="array" ref="R113">IF(TbTradesBinance[[#This Row],[Tipo]]="EMPTY",0,R112+IF(TbTradesBinance[[#This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Row],[Par]]))),$1:$1,0)),-(Q112-Q113)/Q112*R112),0),0)+IF(TbTradesBinance[[#This Row],[Tipo]]="SELL",IF(ISNUMBER(FIND(MID(R$1,10,5),TbTradesBinance[[#This Row],[Par]])),IF(FIND(MID(R$1,10,5),TbTradesBinance[[#This Row],[Par]])=1, -(Q112-Q113)/Q112*R112,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Row],[Par]])),(-(Q112-Q113)/Q112*R112)+IF(TbTradesBinance[[#This Row],[Resultado]]&gt;0,0,TbTradesBinance[[#This Row],[Taxa]]),0),0))</f>
        <v>8.6567090465485705</v>
      </c>
      <c r="S113" s="145">
        <f t="shared" si="21"/>
        <v>5.5747239628722172</v>
      </c>
      <c r="T11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Row],[Tipo]]="DROP"),T112+TbTradesBinance[[#This Row],[Qtt]],T112-TbTradesBinance[[#This Row],[Qtt]]),IF(TbTradesBinance[[#This Row],[Tipo]]="BUY",T112-TbTradesBinance[[#This Row],[Qtt]]*TbTradesBinance[[#This Row],[Preço]],T112+TbTradesBinance[[#This Row],[Qtt]]*TbTradesBinance[[#This Row],[Preço]])),T112)-IF(TbTradesBinance[[#This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Row],[Tipo]]="DROP"),T112+TbTradesBinance[[#This Row],[Qtt]],T112-TbTradesBinance[[#This Row],[Qtt]]),IF(TbTradesBinance[[#This Row],[Tipo]]="BUY",T112-TbTradesBinance[[#This Row],[Qtt]]*TbTradesBinance[[#This Row],[Preço]],T112+TbTradesBinance[[#This Row],[Qtt]]*TbTradesBinance[[#This Row],[Preço]])),T112)-IF(TbTradesBinance[[#This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Row],[Tipo]]="DROP"),T112+TbTradesBinance[[#This Row],[Qtt]],T112-TbTradesBinance[[#This Row],[Qtt]]),IF(TbTradesBinance[[#This Row],[Tipo]]="BUY",T112-TbTradesBinance[[#This Row],[Qtt]]*TbTradesBinance[[#This Row],[Preço]],T112+TbTradesBinance[[#This Row],[Qtt]]*TbTradesBinance[[#This Row],[Preço]])),T112)-IF(TbTradesBinance[[#This Row],[Moeda da Taxa]]=MID(T$1,9,5),TbTradesBinance[[#This Row],[Taxa]],0),8)))</f>
        <v>199735.32000169999</v>
      </c>
      <c r="U113" s="145" cm="1">
        <f t="array" ref="U113">IF(TbTradesBinance[[#This Row],[Tipo]]="EMPTY",0,U112+IF(TbTradesBinance[[#This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Row],[Par]]))),$1:$1,0)),-(T112-T113)/T112*U112),0),0)+IF(TbTradesBinance[[#This Row],[Tipo]]="SELL",IF(ISNUMBER(FIND(MID(U$1,10,5),TbTradesBinance[[#This Row],[Par]])),IF(FIND(MID(U$1,10,5),TbTradesBinance[[#This Row],[Par]])=1, -(T112-T113)/T112*U112,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Row],[Par]])),(-(T112-T113)/T112*U112)+IF(TbTradesBinance[[#This Row],[Resultado]]&gt;0,0,TbTradesBinance[[#This Row],[Taxa]]),0),0))</f>
        <v>1328239.8809817513</v>
      </c>
      <c r="V113" s="145">
        <f t="shared" si="22"/>
        <v>6.6500000148719129</v>
      </c>
      <c r="W11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Row],[Tipo]]="DROP"),W112+TbTradesBinance[[#This Row],[Qtt]],W112-TbTradesBinance[[#This Row],[Qtt]]),IF(TbTradesBinance[[#This Row],[Tipo]]="BUY",W112-TbTradesBinance[[#This Row],[Qtt]]*TbTradesBinance[[#This Row],[Preço]],W112+TbTradesBinance[[#This Row],[Qtt]]*TbTradesBinance[[#This Row],[Preço]])),W112)-IF(TbTradesBinance[[#This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Row],[Tipo]]="DROP"),W112+TbTradesBinance[[#This Row],[Qtt]],W112-TbTradesBinance[[#This Row],[Qtt]]),IF(TbTradesBinance[[#This Row],[Tipo]]="BUY",W112-TbTradesBinance[[#This Row],[Qtt]]*TbTradesBinance[[#This Row],[Preço]],W112+TbTradesBinance[[#This Row],[Qtt]]*TbTradesBinance[[#This Row],[Preço]])),W112)-IF(TbTradesBinance[[#This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Row],[Tipo]]="DROP"),W112+TbTradesBinance[[#This Row],[Qtt]],W112-TbTradesBinance[[#This Row],[Qtt]]),IF(TbTradesBinance[[#This Row],[Tipo]]="BUY",W112-TbTradesBinance[[#This Row],[Qtt]]*TbTradesBinance[[#This Row],[Preço]],W112+TbTradesBinance[[#This Row],[Qtt]]*TbTradesBinance[[#This Row],[Preço]])),W112)-IF(TbTradesBinance[[#This Row],[Moeda da Taxa]]=MID(W$1,9,5),TbTradesBinance[[#This Row],[Taxa]],0),8)))</f>
        <v>2.90136E-3</v>
      </c>
      <c r="X113" s="145" cm="1">
        <f t="array" ref="X113">IF(TbTradesBinance[[#This Row],[Tipo]]="EMPTY",0,X112+IF(TbTradesBinance[[#This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Row],[Par]]))),$1:$1,0)),-(W112-W113)/W112*X112),0),0)+IF(TbTradesBinance[[#This Row],[Tipo]]="SELL",IF(ISNUMBER(FIND(MID(X$1,10,5),TbTradesBinance[[#This Row],[Par]])),IF(FIND(MID(X$1,10,5),TbTradesBinance[[#This Row],[Par]])=1, -(W112-W113)/W112*X112,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Row],[Par]])),(-(W112-W113)/W112*X112)+IF(TbTradesBinance[[#This Row],[Resultado]]&gt;0,0,TbTradesBinance[[#This Row],[Taxa]]),0),0))</f>
        <v>968.28727290721815</v>
      </c>
      <c r="Y113" s="145">
        <f t="shared" si="23"/>
        <v>333735.65255853056</v>
      </c>
      <c r="Z11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Row],[Tipo]]="DROP"),Z112+TbTradesBinance[[#This Row],[Qtt]],Z112-TbTradesBinance[[#This Row],[Qtt]]),IF(TbTradesBinance[[#This Row],[Tipo]]="BUY",Z112-TbTradesBinance[[#This Row],[Qtt]]*TbTradesBinance[[#This Row],[Preço]],Z112+TbTradesBinance[[#This Row],[Qtt]]*TbTradesBinance[[#This Row],[Preço]])),Z112)-IF(TbTradesBinance[[#This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Row],[Tipo]]="DROP"),Z112+TbTradesBinance[[#This Row],[Qtt]],Z112-TbTradesBinance[[#This Row],[Qtt]]),IF(TbTradesBinance[[#This Row],[Tipo]]="BUY",Z112-TbTradesBinance[[#This Row],[Qtt]]*TbTradesBinance[[#This Row],[Preço]],Z112+TbTradesBinance[[#This Row],[Qtt]]*TbTradesBinance[[#This Row],[Preço]])),Z112)-IF(TbTradesBinance[[#This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Row],[Tipo]]="DROP"),Z112+TbTradesBinance[[#This Row],[Qtt]],Z112-TbTradesBinance[[#This Row],[Qtt]]),IF(TbTradesBinance[[#This Row],[Tipo]]="BUY",Z112-TbTradesBinance[[#This Row],[Qtt]]*TbTradesBinance[[#This Row],[Preço]],Z112+TbTradesBinance[[#This Row],[Qtt]]*TbTradesBinance[[#This Row],[Preço]])),Z112)-IF(TbTradesBinance[[#This Row],[Moeda da Taxa]]=MID(Z$1,9,5),TbTradesBinance[[#This Row],[Taxa]],0),8)))</f>
        <v>1.031935E-2</v>
      </c>
      <c r="AA113" s="145" cm="1">
        <f t="array" ref="AA113">IF(TbTradesBinance[[#This Row],[Tipo]]="EMPTY",0,AA112+IF(TbTradesBinance[[#This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Row],[Par]]))),$1:$1,0)),-(Z112-Z113)/Z112*AA112),0),0)+IF(TbTradesBinance[[#This Row],[Tipo]]="SELL",IF(ISNUMBER(FIND(MID(AA$1,10,5),TbTradesBinance[[#This Row],[Par]])),IF(FIND(MID(AA$1,10,5),TbTradesBinance[[#This Row],[Par]])=1, -(Z112-Z113)/Z112*AA112,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Row],[Par]])),(-(Z112-Z113)/Z112*AA112)+IF(TbTradesBinance[[#This Row],[Resultado]]&gt;0,0,TbTradesBinance[[#This Row],[Taxa]]),0),0))</f>
        <v>107.3592846539391</v>
      </c>
      <c r="AB113" s="145">
        <f t="shared" si="24"/>
        <v>10403.686729681531</v>
      </c>
      <c r="AC11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Row],[Tipo]]="DROP"),AC112+TbTradesBinance[[#This Row],[Qtt]],AC112-TbTradesBinance[[#This Row],[Qtt]]),IF(TbTradesBinance[[#This Row],[Tipo]]="BUY",AC112-TbTradesBinance[[#This Row],[Qtt]]*TbTradesBinance[[#This Row],[Preço]],AC112+TbTradesBinance[[#This Row],[Qtt]]*TbTradesBinance[[#This Row],[Preço]])),AC112)-IF(TbTradesBinance[[#This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Row],[Tipo]]="DROP"),AC112+TbTradesBinance[[#This Row],[Qtt]],AC112-TbTradesBinance[[#This Row],[Qtt]]),IF(TbTradesBinance[[#This Row],[Tipo]]="BUY",AC112-TbTradesBinance[[#This Row],[Qtt]]*TbTradesBinance[[#This Row],[Preço]],AC112+TbTradesBinance[[#This Row],[Qtt]]*TbTradesBinance[[#This Row],[Preço]])),AC112)-IF(TbTradesBinance[[#This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Row],[Tipo]]="DROP"),AC112+TbTradesBinance[[#This Row],[Qtt]],AC112-TbTradesBinance[[#This Row],[Qtt]]),IF(TbTradesBinance[[#This Row],[Tipo]]="BUY",AC112-TbTradesBinance[[#This Row],[Qtt]]*TbTradesBinance[[#This Row],[Preço]],AC112+TbTradesBinance[[#This Row],[Qtt]]*TbTradesBinance[[#This Row],[Preço]])),AC112)-IF(TbTradesBinance[[#This Row],[Moeda da Taxa]]=MID(AC$1,9,5),TbTradesBinance[[#This Row],[Taxa]],0),8)))</f>
        <v>9.6999E-4</v>
      </c>
      <c r="AD113" s="145" cm="1">
        <f t="array" ref="AD113">IF(TbTradesBinance[[#This Row],[Tipo]]="EMPTY",0,AD112+IF(TbTradesBinance[[#This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Row],[Par]]))),$1:$1,0)),-(AC112-AC113)/AC112*AD112),0),0)+IF(TbTradesBinance[[#This Row],[Tipo]]="SELL",IF(ISNUMBER(FIND(MID(AD$1,10,5),TbTradesBinance[[#This Row],[Par]])),IF(FIND(MID(AD$1,10,5),TbTradesBinance[[#This Row],[Par]])=1, -(AC112-AC113)/AC112*AD112,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Row],[Par]])),(-(AC112-AC113)/AC112*AD112)+IF(TbTradesBinance[[#This Row],[Resultado]]&gt;0,0,TbTradesBinance[[#This Row],[Taxa]]),0),0))</f>
        <v>1.9483868939812083</v>
      </c>
      <c r="AE113" s="145">
        <f t="shared" si="25"/>
        <v>2008.6669903619711</v>
      </c>
      <c r="AF11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Row],[Tipo]]="DROP"),AF112+TbTradesBinance[[#This Row],[Qtt]],AF112-TbTradesBinance[[#This Row],[Qtt]]),IF(TbTradesBinance[[#This Row],[Tipo]]="BUY",AF112-TbTradesBinance[[#This Row],[Qtt]]*TbTradesBinance[[#This Row],[Preço]],AF112+TbTradesBinance[[#This Row],[Qtt]]*TbTradesBinance[[#This Row],[Preço]])),AF112)-IF(TbTradesBinance[[#This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Row],[Tipo]]="DROP"),AF112+TbTradesBinance[[#This Row],[Qtt]],AF112-TbTradesBinance[[#This Row],[Qtt]]),IF(TbTradesBinance[[#This Row],[Tipo]]="BUY",AF112-TbTradesBinance[[#This Row],[Qtt]]*TbTradesBinance[[#This Row],[Preço]],AF112+TbTradesBinance[[#This Row],[Qtt]]*TbTradesBinance[[#This Row],[Preço]])),AF112)-IF(TbTradesBinance[[#This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Row],[Tipo]]="DROP"),AF112+TbTradesBinance[[#This Row],[Qtt]],AF112-TbTradesBinance[[#This Row],[Qtt]]),IF(TbTradesBinance[[#This Row],[Tipo]]="BUY",AF112-TbTradesBinance[[#This Row],[Qtt]]*TbTradesBinance[[#This Row],[Preço]],AF112+TbTradesBinance[[#This Row],[Qtt]]*TbTradesBinance[[#This Row],[Preço]])),AF112)-IF(TbTradesBinance[[#This Row],[Moeda da Taxa]]=MID(AF$1,9,5),TbTradesBinance[[#This Row],[Taxa]],0),8)))</f>
        <v>0.08</v>
      </c>
      <c r="AG113" s="145" cm="1">
        <f t="array" ref="AG113">IF(TbTradesBinance[[#This Row],[Tipo]]="EMPTY",0,AG112+IF(TbTradesBinance[[#This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Row],[Par]]))),$1:$1,0)),-(AF112-AF113)/AF112*AG112),0),0)+IF(TbTradesBinance[[#This Row],[Tipo]]="SELL",IF(ISNUMBER(FIND(MID(AG$1,10,5),TbTradesBinance[[#This Row],[Par]])),IF(FIND(MID(AG$1,10,5),TbTradesBinance[[#This Row],[Par]])=1, -(AF112-AF113)/AF112*AG112,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Row],[Par]])),(-(AF112-AF113)/AF112*AG112)+IF(TbTradesBinance[[#This Row],[Resultado]]&gt;0,0,TbTradesBinance[[#This Row],[Taxa]]),0),0))</f>
        <v>0.49666397429723474</v>
      </c>
      <c r="AH113" s="145">
        <f t="shared" si="26"/>
        <v>6.2082996787154343</v>
      </c>
      <c r="AI11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Row],[Tipo]]="DROP"),AI112+TbTradesBinance[[#This Row],[Qtt]],AI112-TbTradesBinance[[#This Row],[Qtt]]),IF(TbTradesBinance[[#This Row],[Tipo]]="BUY",AI112-TbTradesBinance[[#This Row],[Qtt]]*TbTradesBinance[[#This Row],[Preço]],AI112+TbTradesBinance[[#This Row],[Qtt]]*TbTradesBinance[[#This Row],[Preço]])),AI112)-IF(TbTradesBinance[[#This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Row],[Tipo]]="DROP"),AI112+TbTradesBinance[[#This Row],[Qtt]],AI112-TbTradesBinance[[#This Row],[Qtt]]),IF(TbTradesBinance[[#This Row],[Tipo]]="BUY",AI112-TbTradesBinance[[#This Row],[Qtt]]*TbTradesBinance[[#This Row],[Preço]],AI112+TbTradesBinance[[#This Row],[Qtt]]*TbTradesBinance[[#This Row],[Preço]])),AI112)-IF(TbTradesBinance[[#This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Row],[Tipo]]="DROP"),AI112+TbTradesBinance[[#This Row],[Qtt]],AI112-TbTradesBinance[[#This Row],[Qtt]]),IF(TbTradesBinance[[#This Row],[Tipo]]="BUY",AI112-TbTradesBinance[[#This Row],[Qtt]]*TbTradesBinance[[#This Row],[Preço]],AI112+TbTradesBinance[[#This Row],[Qtt]]*TbTradesBinance[[#This Row],[Preço]])),AI112)-IF(TbTradesBinance[[#This Row],[Moeda da Taxa]]=MID(AI$1,9,5),TbTradesBinance[[#This Row],[Taxa]],0),8)))</f>
        <v>0</v>
      </c>
      <c r="AJ113" s="145" cm="1">
        <f t="array" ref="AJ113">IF(TbTradesBinance[[#This Row],[Tipo]]="EMPTY",0,AJ112+IF(TbTradesBinance[[#This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Row],[Par]]))),$1:$1,0)),-(AI112-AI113)/AI112*AJ112),0),0)+IF(TbTradesBinance[[#This Row],[Tipo]]="SELL",IF(ISNUMBER(FIND(MID(AJ$1,10,5),TbTradesBinance[[#This Row],[Par]])),IF(FIND(MID(AJ$1,10,5),TbTradesBinance[[#This Row],[Par]])=1, -(AI112-AI113)/AI112*AJ112,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Row],[Par]])),(-(AI112-AI113)/AI112*AJ112)+IF(TbTradesBinance[[#This Row],[Resultado]]&gt;0,0,TbTradesBinance[[#This Row],[Taxa]]),0),0))</f>
        <v>0</v>
      </c>
      <c r="AK113" s="145">
        <f t="shared" si="27"/>
        <v>0</v>
      </c>
      <c r="AL11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Row],[Tipo]]="DROP"),AL112+TbTradesBinance[[#This Row],[Qtt]],AL112-TbTradesBinance[[#This Row],[Qtt]]),IF(TbTradesBinance[[#This Row],[Tipo]]="BUY",AL112-TbTradesBinance[[#This Row],[Qtt]]*TbTradesBinance[[#This Row],[Preço]],AL112+TbTradesBinance[[#This Row],[Qtt]]*TbTradesBinance[[#This Row],[Preço]])),AL112)-IF(TbTradesBinance[[#This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Row],[Tipo]]="DROP"),AL112+TbTradesBinance[[#This Row],[Qtt]],AL112-TbTradesBinance[[#This Row],[Qtt]]),IF(TbTradesBinance[[#This Row],[Tipo]]="BUY",AL112-TbTradesBinance[[#This Row],[Qtt]]*TbTradesBinance[[#This Row],[Preço]],AL112+TbTradesBinance[[#This Row],[Qtt]]*TbTradesBinance[[#This Row],[Preço]])),AL112)-IF(TbTradesBinance[[#This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Row],[Tipo]]="DROP"),AL112+TbTradesBinance[[#This Row],[Qtt]],AL112-TbTradesBinance[[#This Row],[Qtt]]),IF(TbTradesBinance[[#This Row],[Tipo]]="BUY",AL112-TbTradesBinance[[#This Row],[Qtt]]*TbTradesBinance[[#This Row],[Preço]],AL112+TbTradesBinance[[#This Row],[Qtt]]*TbTradesBinance[[#This Row],[Preço]])),AL112)-IF(TbTradesBinance[[#This Row],[Moeda da Taxa]]=MID(AL$1,9,5),TbTradesBinance[[#This Row],[Taxa]],0),8)))</f>
        <v>8.2400000000000008E-3</v>
      </c>
      <c r="AM113" s="145" cm="1">
        <f t="array" ref="AM113">IF(TbTradesBinance[[#This Row],[Tipo]]="EMPTY",0,AM112+IF(TbTradesBinance[[#This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Row],[Par]]))),$1:$1,0)),-(AL112-AL113)/AL112*AM112),0),0)+IF(TbTradesBinance[[#This Row],[Tipo]]="SELL",IF(ISNUMBER(FIND(MID(AM$1,10,5),TbTradesBinance[[#This Row],[Par]])),IF(FIND(MID(AM$1,10,5),TbTradesBinance[[#This Row],[Par]])=1, -(AL112-AL113)/AL112*AM112,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Row],[Par]])),(-(AL112-AL113)/AL112*AM112)+IF(TbTradesBinance[[#This Row],[Resultado]]&gt;0,0,TbTradesBinance[[#This Row],[Taxa]]),0),0))</f>
        <v>0.67751089887772764</v>
      </c>
      <c r="AN113" s="145">
        <f t="shared" si="28"/>
        <v>82.222196465743636</v>
      </c>
      <c r="AO11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Row],[Tipo]]="DROP"),AO112+TbTradesBinance[[#This Row],[Qtt]],AO112-TbTradesBinance[[#This Row],[Qtt]]),IF(TbTradesBinance[[#This Row],[Tipo]]="BUY",AO112-TbTradesBinance[[#This Row],[Qtt]]*TbTradesBinance[[#This Row],[Preço]],AO112+TbTradesBinance[[#This Row],[Qtt]]*TbTradesBinance[[#This Row],[Preço]])),AO112)-IF(TbTradesBinance[[#This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Row],[Tipo]]="DROP"),AO112+TbTradesBinance[[#This Row],[Qtt]],AO112-TbTradesBinance[[#This Row],[Qtt]]),IF(TbTradesBinance[[#This Row],[Tipo]]="BUY",AO112-TbTradesBinance[[#This Row],[Qtt]]*TbTradesBinance[[#This Row],[Preço]],AO112+TbTradesBinance[[#This Row],[Qtt]]*TbTradesBinance[[#This Row],[Preço]])),AO112)-IF(TbTradesBinance[[#This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Row],[Tipo]]="DROP"),AO112+TbTradesBinance[[#This Row],[Qtt]],AO112-TbTradesBinance[[#This Row],[Qtt]]),IF(TbTradesBinance[[#This Row],[Tipo]]="BUY",AO112-TbTradesBinance[[#This Row],[Qtt]]*TbTradesBinance[[#This Row],[Preço]],AO112+TbTradesBinance[[#This Row],[Qtt]]*TbTradesBinance[[#This Row],[Preço]])),AO112)-IF(TbTradesBinance[[#This Row],[Moeda da Taxa]]=MID(AO$1,9,5),TbTradesBinance[[#This Row],[Taxa]],0),8)))</f>
        <v>7.4631299999999998E-2</v>
      </c>
      <c r="AP113" s="145" cm="1">
        <f t="array" ref="AP113">IF(TbTradesBinance[[#This Row],[Tipo]]="EMPTY",0,AP112+IF(TbTradesBinance[[#This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Row],[Par]]))),$1:$1,0)),-(AO112-AO113)/AO112*AP112),0),0)+IF(TbTradesBinance[[#This Row],[Tipo]]="SELL",IF(ISNUMBER(FIND(MID(AP$1,10,5),TbTradesBinance[[#This Row],[Par]])),IF(FIND(MID(AP$1,10,5),TbTradesBinance[[#This Row],[Par]])=1, -(AO112-AO113)/AO112*AP112,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Row],[Par]])),(-(AO112-AO113)/AO112*AP112)+IF(TbTradesBinance[[#This Row],[Resultado]]&gt;0,0,TbTradesBinance[[#This Row],[Taxa]]),0),0))</f>
        <v>113.87766627073657</v>
      </c>
      <c r="AQ113" s="145">
        <f t="shared" si="29"/>
        <v>1525.8700608288557</v>
      </c>
      <c r="AR11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Row],[Tipo]]="DROP"),AR112+TbTradesBinance[[#This Row],[Qtt]],AR112-TbTradesBinance[[#This Row],[Qtt]]),IF(TbTradesBinance[[#This Row],[Tipo]]="BUY",AR112-TbTradesBinance[[#This Row],[Qtt]]*TbTradesBinance[[#This Row],[Preço]],AR112+TbTradesBinance[[#This Row],[Qtt]]*TbTradesBinance[[#This Row],[Preço]])),AR112)-IF(TbTradesBinance[[#This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Row],[Tipo]]="DROP"),AR112+TbTradesBinance[[#This Row],[Qtt]],AR112-TbTradesBinance[[#This Row],[Qtt]]),IF(TbTradesBinance[[#This Row],[Tipo]]="BUY",AR112-TbTradesBinance[[#This Row],[Qtt]]*TbTradesBinance[[#This Row],[Preço]],AR112+TbTradesBinance[[#This Row],[Qtt]]*TbTradesBinance[[#This Row],[Preço]])),AR112)-IF(TbTradesBinance[[#This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Row],[Tipo]]="DROP"),AR112+TbTradesBinance[[#This Row],[Qtt]],AR112-TbTradesBinance[[#This Row],[Qtt]]),IF(TbTradesBinance[[#This Row],[Tipo]]="BUY",AR112-TbTradesBinance[[#This Row],[Qtt]]*TbTradesBinance[[#This Row],[Preço]],AR112+TbTradesBinance[[#This Row],[Qtt]]*TbTradesBinance[[#This Row],[Preço]])),AR112)-IF(TbTradesBinance[[#This Row],[Moeda da Taxa]]=MID(AR$1,9,5),TbTradesBinance[[#This Row],[Taxa]],0),8)))</f>
        <v>61.251199999999997</v>
      </c>
      <c r="AS113" s="145" cm="1">
        <f t="array" ref="AS113">IF(TbTradesBinance[[#This Row],[Tipo]]="EMPTY",0,AS112+IF(TbTradesBinance[[#This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Row],[Par]]))),$1:$1,0)),-(AR112-AR113)/AR112*AS112),0),0)+IF(TbTradesBinance[[#This Row],[Tipo]]="SELL",IF(ISNUMBER(FIND(MID(AS$1,10,5),TbTradesBinance[[#This Row],[Par]])),IF(FIND(MID(AS$1,10,5),TbTradesBinance[[#This Row],[Par]])=1, -(AR112-AR113)/AR112*AS112,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Row],[Par]])),(-(AR112-AR113)/AR112*AS112)+IF(TbTradesBinance[[#This Row],[Resultado]]&gt;0,0,TbTradesBinance[[#This Row],[Taxa]]),0),0))</f>
        <v>230.84001376053044</v>
      </c>
      <c r="AT113" s="145">
        <f t="shared" si="30"/>
        <v>3.7687427146003745</v>
      </c>
      <c r="AU11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Row],[Tipo]]="DROP"),AU112+TbTradesBinance[[#This Row],[Qtt]],AU112-TbTradesBinance[[#This Row],[Qtt]]),IF(TbTradesBinance[[#This Row],[Tipo]]="BUY",AU112-TbTradesBinance[[#This Row],[Qtt]]*TbTradesBinance[[#This Row],[Preço]],AU112+TbTradesBinance[[#This Row],[Qtt]]*TbTradesBinance[[#This Row],[Preço]])),AU112)-IF(TbTradesBinance[[#This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Row],[Tipo]]="DROP"),AU112+TbTradesBinance[[#This Row],[Qtt]],AU112-TbTradesBinance[[#This Row],[Qtt]]),IF(TbTradesBinance[[#This Row],[Tipo]]="BUY",AU112-TbTradesBinance[[#This Row],[Qtt]]*TbTradesBinance[[#This Row],[Preço]],AU112+TbTradesBinance[[#This Row],[Qtt]]*TbTradesBinance[[#This Row],[Preço]])),AU112)-IF(TbTradesBinance[[#This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Row],[Tipo]]="DROP"),AU112+TbTradesBinance[[#This Row],[Qtt]],AU112-TbTradesBinance[[#This Row],[Qtt]]),IF(TbTradesBinance[[#This Row],[Tipo]]="BUY",AU112-TbTradesBinance[[#This Row],[Qtt]]*TbTradesBinance[[#This Row],[Preço]],AU112+TbTradesBinance[[#This Row],[Qtt]]*TbTradesBinance[[#This Row],[Preço]])),AU112)-IF(TbTradesBinance[[#This Row],[Moeda da Taxa]]=MID(AU$1,9,5),TbTradesBinance[[#This Row],[Taxa]],0),8)))</f>
        <v>0</v>
      </c>
      <c r="AV113" s="145" cm="1">
        <f t="array" ref="AV113">IF(TbTradesBinance[[#This Row],[Tipo]]="EMPTY",0,AV112+IF(TbTradesBinance[[#This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Row],[Par]]))),$1:$1,0)),-(AU112-AU113)/AU112*AV112),0),0)+IF(TbTradesBinance[[#This Row],[Tipo]]="SELL",IF(ISNUMBER(FIND(MID(AV$1,10,5),TbTradesBinance[[#This Row],[Par]])),IF(FIND(MID(AV$1,10,5),TbTradesBinance[[#This Row],[Par]])=1, -(AU112-AU113)/AU112*AV112,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Row],[Par]])),(-(AU112-AU113)/AU112*AV112)+IF(TbTradesBinance[[#This Row],[Resultado]]&gt;0,0,TbTradesBinance[[#This Row],[Taxa]]),0),0))</f>
        <v>0</v>
      </c>
      <c r="AW113" s="145">
        <f t="shared" si="31"/>
        <v>0</v>
      </c>
      <c r="AX11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Row],[Tipo]]="DROP"),AX112+TbTradesBinance[[#This Row],[Qtt]],AX112-TbTradesBinance[[#This Row],[Qtt]]),IF(TbTradesBinance[[#This Row],[Tipo]]="BUY",AX112-TbTradesBinance[[#This Row],[Qtt]]*TbTradesBinance[[#This Row],[Preço]],AX112+TbTradesBinance[[#This Row],[Qtt]]*TbTradesBinance[[#This Row],[Preço]])),AX112)-IF(TbTradesBinance[[#This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Row],[Tipo]]="DROP"),AX112+TbTradesBinance[[#This Row],[Qtt]],AX112-TbTradesBinance[[#This Row],[Qtt]]),IF(TbTradesBinance[[#This Row],[Tipo]]="BUY",AX112-TbTradesBinance[[#This Row],[Qtt]]*TbTradesBinance[[#This Row],[Preço]],AX112+TbTradesBinance[[#This Row],[Qtt]]*TbTradesBinance[[#This Row],[Preço]])),AX112)-IF(TbTradesBinance[[#This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Row],[Tipo]]="DROP"),AX112+TbTradesBinance[[#This Row],[Qtt]],AX112-TbTradesBinance[[#This Row],[Qtt]]),IF(TbTradesBinance[[#This Row],[Tipo]]="BUY",AX112-TbTradesBinance[[#This Row],[Qtt]]*TbTradesBinance[[#This Row],[Preço]],AX112+TbTradesBinance[[#This Row],[Qtt]]*TbTradesBinance[[#This Row],[Preço]])),AX112)-IF(TbTradesBinance[[#This Row],[Moeda da Taxa]]=MID(AX$1,9,5),TbTradesBinance[[#This Row],[Taxa]],0),8)))</f>
        <v>0.85636999999999996</v>
      </c>
      <c r="AY113" s="145" cm="1">
        <f t="array" ref="AY113">IF(TbTradesBinance[[#This Row],[Tipo]]="EMPTY",0,AY112+IF(TbTradesBinance[[#This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Row],[Par]]))),$1:$1,0)),-(AX112-AX113)/AX112*AY112),0),0)+IF(TbTradesBinance[[#This Row],[Tipo]]="SELL",IF(ISNUMBER(FIND(MID(AY$1,10,5),TbTradesBinance[[#This Row],[Par]])),IF(FIND(MID(AY$1,10,5),TbTradesBinance[[#This Row],[Par]])=1, -(AX112-AX113)/AX112*AY112,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Row],[Par]])),(-(AX112-AX113)/AX112*AY112)+IF(TbTradesBinance[[#This Row],[Resultado]]&gt;0,0,TbTradesBinance[[#This Row],[Taxa]]),0),0))</f>
        <v>131.82971181780295</v>
      </c>
      <c r="AZ113" s="145">
        <f t="shared" si="32"/>
        <v>153.94013314081874</v>
      </c>
      <c r="BA11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Row],[Tipo]]="DROP"),BA112+TbTradesBinance[[#This Row],[Qtt]],BA112-TbTradesBinance[[#This Row],[Qtt]]),IF(TbTradesBinance[[#This Row],[Tipo]]="BUY",BA112-TbTradesBinance[[#This Row],[Qtt]]*TbTradesBinance[[#This Row],[Preço]],BA112+TbTradesBinance[[#This Row],[Qtt]]*TbTradesBinance[[#This Row],[Preço]])),BA112)-IF(TbTradesBinance[[#This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Row],[Tipo]]="DROP"),BA112+TbTradesBinance[[#This Row],[Qtt]],BA112-TbTradesBinance[[#This Row],[Qtt]]),IF(TbTradesBinance[[#This Row],[Tipo]]="BUY",BA112-TbTradesBinance[[#This Row],[Qtt]]*TbTradesBinance[[#This Row],[Preço]],BA112+TbTradesBinance[[#This Row],[Qtt]]*TbTradesBinance[[#This Row],[Preço]])),BA112)-IF(TbTradesBinance[[#This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Row],[Tipo]]="DROP"),BA112+TbTradesBinance[[#This Row],[Qtt]],BA112-TbTradesBinance[[#This Row],[Qtt]]),IF(TbTradesBinance[[#This Row],[Tipo]]="BUY",BA112-TbTradesBinance[[#This Row],[Qtt]]*TbTradesBinance[[#This Row],[Preço]],BA112+TbTradesBinance[[#This Row],[Qtt]]*TbTradesBinance[[#This Row],[Preço]])),BA112)-IF(TbTradesBinance[[#This Row],[Moeda da Taxa]]=MID(BA$1,9,5),TbTradesBinance[[#This Row],[Taxa]],0),8)))</f>
        <v>0</v>
      </c>
      <c r="BB113" s="145" cm="1">
        <f t="array" ref="BB113">IF(TbTradesBinance[[#This Row],[Tipo]]="EMPTY",0,BB112+IF(TbTradesBinance[[#This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Row],[Par]]))),$1:$1,0)),-(BA112-BA113)/BA112*BB112),0),0)+IF(TbTradesBinance[[#This Row],[Tipo]]="SELL",IF(ISNUMBER(FIND(MID(BB$1,10,5),TbTradesBinance[[#This Row],[Par]])),IF(FIND(MID(BB$1,10,5),TbTradesBinance[[#This Row],[Par]])=1, -(BA112-BA113)/BA112*BB112,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Row],[Par]])),(-(BA112-BA113)/BA112*BB112)+IF(TbTradesBinance[[#This Row],[Resultado]]&gt;0,0,TbTradesBinance[[#This Row],[Taxa]]),0),0))</f>
        <v>0</v>
      </c>
      <c r="BC113" s="145">
        <f t="shared" si="33"/>
        <v>0</v>
      </c>
      <c r="BD11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Row],[Tipo]]="DROP"),BD112+TbTradesBinance[[#This Row],[Qtt]],BD112-TbTradesBinance[[#This Row],[Qtt]]),IF(TbTradesBinance[[#This Row],[Tipo]]="BUY",BD112-TbTradesBinance[[#This Row],[Qtt]]*TbTradesBinance[[#This Row],[Preço]],BD112+TbTradesBinance[[#This Row],[Qtt]]*TbTradesBinance[[#This Row],[Preço]])),BD112)-IF(TbTradesBinance[[#This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Row],[Tipo]]="DROP"),BD112+TbTradesBinance[[#This Row],[Qtt]],BD112-TbTradesBinance[[#This Row],[Qtt]]),IF(TbTradesBinance[[#This Row],[Tipo]]="BUY",BD112-TbTradesBinance[[#This Row],[Qtt]]*TbTradesBinance[[#This Row],[Preço]],BD112+TbTradesBinance[[#This Row],[Qtt]]*TbTradesBinance[[#This Row],[Preço]])),BD112)-IF(TbTradesBinance[[#This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Row],[Tipo]]="DROP"),BD112+TbTradesBinance[[#This Row],[Qtt]],BD112-TbTradesBinance[[#This Row],[Qtt]]),IF(TbTradesBinance[[#This Row],[Tipo]]="BUY",BD112-TbTradesBinance[[#This Row],[Qtt]]*TbTradesBinance[[#This Row],[Preço]],BD112+TbTradesBinance[[#This Row],[Qtt]]*TbTradesBinance[[#This Row],[Preço]])),BD112)-IF(TbTradesBinance[[#This Row],[Moeda da Taxa]]=MID(BD$1,9,5),TbTradesBinance[[#This Row],[Taxa]],0),8)))</f>
        <v>9.0599900000000004E-3</v>
      </c>
      <c r="BE113" s="145" cm="1">
        <f t="array" ref="BE113">IF(TbTradesBinance[[#This Row],[Tipo]]="EMPTY",0,BE112+IF(TbTradesBinance[[#This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Row],[Par]]))),$1:$1,0)),-(BD112-BD113)/BD112*BE112),0),0)+IF(TbTradesBinance[[#This Row],[Tipo]]="SELL",IF(ISNUMBER(FIND(MID(BE$1,10,5),TbTradesBinance[[#This Row],[Par]])),IF(FIND(MID(BE$1,10,5),TbTradesBinance[[#This Row],[Par]])=1, -(BD112-BD113)/BD112*BE112,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Row],[Par]])),(-(BD112-BD113)/BD112*BE112)+IF(TbTradesBinance[[#This Row],[Resultado]]&gt;0,0,TbTradesBinance[[#This Row],[Taxa]]),0),0))</f>
        <v>1.6846969284922721</v>
      </c>
      <c r="BF113" s="145">
        <f t="shared" si="34"/>
        <v>185.94909359638058</v>
      </c>
      <c r="BG11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Row],[Tipo]]="DROP"),BG112+TbTradesBinance[[#This Row],[Qtt]],BG112-TbTradesBinance[[#This Row],[Qtt]]),IF(TbTradesBinance[[#This Row],[Tipo]]="BUY",BG112-TbTradesBinance[[#This Row],[Qtt]]*TbTradesBinance[[#This Row],[Preço]],BG112+TbTradesBinance[[#This Row],[Qtt]]*TbTradesBinance[[#This Row],[Preço]])),BG112)-IF(TbTradesBinance[[#This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Row],[Tipo]]="DROP"),BG112+TbTradesBinance[[#This Row],[Qtt]],BG112-TbTradesBinance[[#This Row],[Qtt]]),IF(TbTradesBinance[[#This Row],[Tipo]]="BUY",BG112-TbTradesBinance[[#This Row],[Qtt]]*TbTradesBinance[[#This Row],[Preço]],BG112+TbTradesBinance[[#This Row],[Qtt]]*TbTradesBinance[[#This Row],[Preço]])),BG112)-IF(TbTradesBinance[[#This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Row],[Tipo]]="DROP"),BG112+TbTradesBinance[[#This Row],[Qtt]],BG112-TbTradesBinance[[#This Row],[Qtt]]),IF(TbTradesBinance[[#This Row],[Tipo]]="BUY",BG112-TbTradesBinance[[#This Row],[Qtt]]*TbTradesBinance[[#This Row],[Preço]],BG112+TbTradesBinance[[#This Row],[Qtt]]*TbTradesBinance[[#This Row],[Preço]])),BG112)-IF(TbTradesBinance[[#This Row],[Moeda da Taxa]]=MID(BG$1,9,5),TbTradesBinance[[#This Row],[Taxa]],0),8)))</f>
        <v>0</v>
      </c>
      <c r="BH113" s="145" cm="1">
        <f t="array" ref="BH113">IF(TbTradesBinance[[#This Row],[Tipo]]="EMPTY",0,BH112+IF(TbTradesBinance[[#This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Row],[Par]]))),$1:$1,0)),-(BG112-BG113)/BG112*BH112),0),0)+IF(TbTradesBinance[[#This Row],[Tipo]]="SELL",IF(ISNUMBER(FIND(MID(BH$1,10,5),TbTradesBinance[[#This Row],[Par]])),IF(FIND(MID(BH$1,10,5),TbTradesBinance[[#This Row],[Par]])=1, -(BG112-BG113)/BG112*BH112,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Row],[Par]])),(-(BG112-BG113)/BG112*BH112)+IF(TbTradesBinance[[#This Row],[Resultado]]&gt;0,0,TbTradesBinance[[#This Row],[Taxa]]),0),0))</f>
        <v>0</v>
      </c>
      <c r="BI113" s="145">
        <f t="shared" si="35"/>
        <v>0</v>
      </c>
      <c r="BJ11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Row],[Tipo]]="DROP"),BJ112+TbTradesBinance[[#This Row],[Qtt]],BJ112-TbTradesBinance[[#This Row],[Qtt]]),IF(TbTradesBinance[[#This Row],[Tipo]]="BUY",BJ112-TbTradesBinance[[#This Row],[Qtt]]*TbTradesBinance[[#This Row],[Preço]],BJ112+TbTradesBinance[[#This Row],[Qtt]]*TbTradesBinance[[#This Row],[Preço]])),BJ112)-IF(TbTradesBinance[[#This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Row],[Tipo]]="DROP"),BJ112+TbTradesBinance[[#This Row],[Qtt]],BJ112-TbTradesBinance[[#This Row],[Qtt]]),IF(TbTradesBinance[[#This Row],[Tipo]]="BUY",BJ112-TbTradesBinance[[#This Row],[Qtt]]*TbTradesBinance[[#This Row],[Preço]],BJ112+TbTradesBinance[[#This Row],[Qtt]]*TbTradesBinance[[#This Row],[Preço]])),BJ112)-IF(TbTradesBinance[[#This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Row],[Tipo]]="DROP"),BJ112+TbTradesBinance[[#This Row],[Qtt]],BJ112-TbTradesBinance[[#This Row],[Qtt]]),IF(TbTradesBinance[[#This Row],[Tipo]]="BUY",BJ112-TbTradesBinance[[#This Row],[Qtt]]*TbTradesBinance[[#This Row],[Preço]],BJ112+TbTradesBinance[[#This Row],[Qtt]]*TbTradesBinance[[#This Row],[Preço]])),BJ112)-IF(TbTradesBinance[[#This Row],[Moeda da Taxa]]=MID(BJ$1,9,5),TbTradesBinance[[#This Row],[Taxa]],0),8)))</f>
        <v>0</v>
      </c>
      <c r="BK113" s="145" cm="1">
        <f t="array" ref="BK113">IF(TbTradesBinance[[#This Row],[Tipo]]="EMPTY",0,BK112+IF(TbTradesBinance[[#This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Row],[Par]]))),$1:$1,0)),-(BJ112-BJ113)/BJ112*BK112),0),0)+IF(TbTradesBinance[[#This Row],[Tipo]]="SELL",IF(ISNUMBER(FIND(MID(BK$1,10,5),TbTradesBinance[[#This Row],[Par]])),IF(FIND(MID(BK$1,10,5),TbTradesBinance[[#This Row],[Par]])=1, -(BJ112-BJ113)/BJ112*BK112,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Row],[Par]])),(-(BJ112-BJ113)/BJ112*BK112)+IF(TbTradesBinance[[#This Row],[Resultado]]&gt;0,0,TbTradesBinance[[#This Row],[Taxa]]),0),0))</f>
        <v>0</v>
      </c>
      <c r="BL113" s="145">
        <f t="shared" si="36"/>
        <v>0</v>
      </c>
      <c r="BM11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Row],[Tipo]]="DROP"),BM112+TbTradesBinance[[#This Row],[Qtt]],BM112-TbTradesBinance[[#This Row],[Qtt]]),IF(TbTradesBinance[[#This Row],[Tipo]]="BUY",BM112-TbTradesBinance[[#This Row],[Qtt]]*TbTradesBinance[[#This Row],[Preço]],BM112+TbTradesBinance[[#This Row],[Qtt]]*TbTradesBinance[[#This Row],[Preço]])),BM112)-IF(TbTradesBinance[[#This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Row],[Tipo]]="DROP"),BM112+TbTradesBinance[[#This Row],[Qtt]],BM112-TbTradesBinance[[#This Row],[Qtt]]),IF(TbTradesBinance[[#This Row],[Tipo]]="BUY",BM112-TbTradesBinance[[#This Row],[Qtt]]*TbTradesBinance[[#This Row],[Preço]],BM112+TbTradesBinance[[#This Row],[Qtt]]*TbTradesBinance[[#This Row],[Preço]])),BM112)-IF(TbTradesBinance[[#This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Row],[Tipo]]="DROP"),BM112+TbTradesBinance[[#This Row],[Qtt]],BM112-TbTradesBinance[[#This Row],[Qtt]]),IF(TbTradesBinance[[#This Row],[Tipo]]="BUY",BM112-TbTradesBinance[[#This Row],[Qtt]]*TbTradesBinance[[#This Row],[Preço]],BM112+TbTradesBinance[[#This Row],[Qtt]]*TbTradesBinance[[#This Row],[Preço]])),BM112)-IF(TbTradesBinance[[#This Row],[Moeda da Taxa]]=MID(BM$1,9,5),TbTradesBinance[[#This Row],[Taxa]],0),8)))</f>
        <v>0</v>
      </c>
      <c r="BN113" s="145" cm="1">
        <f t="array" ref="BN113">IF(TbTradesBinance[[#This Row],[Tipo]]="EMPTY",0,BN112+IF(TbTradesBinance[[#This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Row],[Par]]))),$1:$1,0)),-(BM112-BM113)/BM112*BN112),0),0)+IF(TbTradesBinance[[#This Row],[Tipo]]="SELL",IF(ISNUMBER(FIND(MID(BN$1,10,5),TbTradesBinance[[#This Row],[Par]])),IF(FIND(MID(BN$1,10,5),TbTradesBinance[[#This Row],[Par]])=1, -(BM112-BM113)/BM112*BN112,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Row],[Par]])),(-(BM112-BM113)/BM112*BN112)+IF(TbTradesBinance[[#This Row],[Resultado]]&gt;0,0,TbTradesBinance[[#This Row],[Taxa]]),0),0))</f>
        <v>0</v>
      </c>
      <c r="BO113" s="145">
        <f t="shared" si="37"/>
        <v>0</v>
      </c>
    </row>
    <row r="114" spans="2:67" x14ac:dyDescent="0.3">
      <c r="B114" s="51"/>
      <c r="C114" s="40">
        <f>TRUNC(IF(AND(TbTradesBinance[[#This Row],[Tipo]]="SEND",TbTradesBinance[[#This Row],[Par]]="BRL"),TbTradesBinance[[#This Row],[Qtt]]*(1-P112)-IF(TbTradesBinance[[#This Row],[Moeda da Taxa]]="BRL",TbTradesBinance[[#This Row],[Taxa]],0),0)+IF(AND(TbTradesBinance[[#This Row],[Tipo]]="BURN",TbTradesBinance[[#This Row],[Par]]="BRL"),-TbTradesBinance[[#This Row],[Qtt]]*P112,0),2)</f>
        <v>0</v>
      </c>
      <c r="D114" s="53">
        <v>44275.665173611109</v>
      </c>
      <c r="E114" s="37" t="s">
        <v>237</v>
      </c>
      <c r="F114" s="47" t="s">
        <v>139</v>
      </c>
      <c r="G114" s="38">
        <v>5.556</v>
      </c>
      <c r="H114" s="38">
        <v>11.21</v>
      </c>
      <c r="I114" s="38">
        <v>0</v>
      </c>
      <c r="J114" s="37" t="s">
        <v>45</v>
      </c>
      <c r="K114" s="52">
        <v>1</v>
      </c>
      <c r="L114" s="40">
        <f t="shared" si="19"/>
        <v>5.55</v>
      </c>
      <c r="M114" s="40">
        <f>IF(OR(TbTradesBinance[[#This Row],[Tipo]]="BUY",TbTradesBinance[[#This Row],[Tipo]]="RECEIVE",TbTradesBinance[[#This Row],[Tipo]]="DROP"),L114*H114,-L114*H114)</f>
        <v>62.215500000000006</v>
      </c>
      <c r="N11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Row],[Tipo]]="DROP"),N113+TbTradesBinance[[#This Row],[Qtt]],N113-TbTradesBinance[[#This Row],[Qtt]]),IF(TbTradesBinance[[#This Row],[Tipo]]="BUY",N113-TbTradesBinance[[#This Row],[Qtt]]*TbTradesBinance[[#This Row],[Preço]],N113+TbTradesBinance[[#This Row],[Qtt]]*TbTradesBinance[[#This Row],[Preço]])),N113)-IF(TbTradesBinance[[#This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Row],[Tipo]]="DROP"),N113+TbTradesBinance[[#This Row],[Qtt]],N113-TbTradesBinance[[#This Row],[Qtt]]),IF(TbTradesBinance[[#This Row],[Tipo]]="BUY",N113-TbTradesBinance[[#This Row],[Qtt]]*TbTradesBinance[[#This Row],[Preço]],N113+TbTradesBinance[[#This Row],[Qtt]]*TbTradesBinance[[#This Row],[Preço]])),N113)-IF(TbTradesBinance[[#This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Row],[Tipo]]="DROP"),N113+TbTradesBinance[[#This Row],[Qtt]],N113-TbTradesBinance[[#This Row],[Qtt]]),IF(TbTradesBinance[[#This Row],[Tipo]]="BUY",N113-TbTradesBinance[[#This Row],[Qtt]]*TbTradesBinance[[#This Row],[Preço]],N113+TbTradesBinance[[#This Row],[Qtt]]*TbTradesBinance[[#This Row],[Preço]])),N113)-IF(TbTradesBinance[[#This Row],[Moeda da Taxa]]=MID(N$1,9,5),TbTradesBinance[[#This Row],[Taxa]],0),8)))</f>
        <v>119890.50882708</v>
      </c>
      <c r="O114" s="145" cm="1">
        <f t="array" ref="O114">IF(TbTradesBinance[[#This Row],[Tipo]]="EMPTY",0,O113+IF(TbTradesBinance[[#This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Row],[Par]]))),$1:$1,0)),-(N113-N114)/N113*O113),0),0)+IF(TbTradesBinance[[#This Row],[Tipo]]="SELL",IF(ISNUMBER(FIND(MID(O$1,10,5),TbTradesBinance[[#This Row],[Par]])),IF(FIND(MID(O$1,10,5),TbTradesBinance[[#This Row],[Par]])=1, -(N113-N114)/N113*O113,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Row],[Par]])),(-(N113-N114)/N113*O113)+IF(TbTradesBinance[[#This Row],[Resultado]]&gt;0,0,TbTradesBinance[[#This Row],[Taxa]]),0),0))</f>
        <v>119879.26180376683</v>
      </c>
      <c r="P114" s="145">
        <f t="shared" si="20"/>
        <v>0.99990618921027852</v>
      </c>
      <c r="Q11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Row],[Tipo]]="DROP"),Q113+TbTradesBinance[[#This Row],[Qtt]],Q113-TbTradesBinance[[#This Row],[Qtt]]),IF(TbTradesBinance[[#This Row],[Tipo]]="BUY",Q113-TbTradesBinance[[#This Row],[Qtt]]*TbTradesBinance[[#This Row],[Preço]],Q113+TbTradesBinance[[#This Row],[Qtt]]*TbTradesBinance[[#This Row],[Preço]])),Q113)-IF(TbTradesBinance[[#This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Row],[Tipo]]="DROP"),Q113+TbTradesBinance[[#This Row],[Qtt]],Q113-TbTradesBinance[[#This Row],[Qtt]]),IF(TbTradesBinance[[#This Row],[Tipo]]="BUY",Q113-TbTradesBinance[[#This Row],[Qtt]]*TbTradesBinance[[#This Row],[Preço]],Q113+TbTradesBinance[[#This Row],[Qtt]]*TbTradesBinance[[#This Row],[Preço]])),Q113)-IF(TbTradesBinance[[#This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Row],[Tipo]]="DROP"),Q113+TbTradesBinance[[#This Row],[Qtt]],Q113-TbTradesBinance[[#This Row],[Qtt]]),IF(TbTradesBinance[[#This Row],[Tipo]]="BUY",Q113-TbTradesBinance[[#This Row],[Qtt]]*TbTradesBinance[[#This Row],[Preço]],Q113+TbTradesBinance[[#This Row],[Qtt]]*TbTradesBinance[[#This Row],[Preço]])),Q113)-IF(TbTradesBinance[[#This Row],[Moeda da Taxa]]=MID(Q$1,9,5),TbTradesBinance[[#This Row],[Taxa]],0),8)))</f>
        <v>12.762849810000001</v>
      </c>
      <c r="R114" s="145" cm="1">
        <f t="array" ref="R114">IF(TbTradesBinance[[#This Row],[Tipo]]="EMPTY",0,R113+IF(TbTradesBinance[[#This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Row],[Par]]))),$1:$1,0)),-(Q113-Q114)/Q113*R113),0),0)+IF(TbTradesBinance[[#This Row],[Tipo]]="SELL",IF(ISNUMBER(FIND(MID(R$1,10,5),TbTradesBinance[[#This Row],[Par]])),IF(FIND(MID(R$1,10,5),TbTradesBinance[[#This Row],[Par]])=1, -(Q113-Q114)/Q113*R113,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Row],[Par]])),(-(Q113-Q114)/Q113*R113)+IF(TbTradesBinance[[#This Row],[Resultado]]&gt;0,0,TbTradesBinance[[#This Row],[Taxa]]),0),0))</f>
        <v>70.933626251648803</v>
      </c>
      <c r="S114" s="145">
        <f t="shared" si="21"/>
        <v>5.5578203385321201</v>
      </c>
      <c r="T11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Row],[Tipo]]="DROP"),T113+TbTradesBinance[[#This Row],[Qtt]],T113-TbTradesBinance[[#This Row],[Qtt]]),IF(TbTradesBinance[[#This Row],[Tipo]]="BUY",T113-TbTradesBinance[[#This Row],[Qtt]]*TbTradesBinance[[#This Row],[Preço]],T113+TbTradesBinance[[#This Row],[Qtt]]*TbTradesBinance[[#This Row],[Preço]])),T113)-IF(TbTradesBinance[[#This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Row],[Tipo]]="DROP"),T113+TbTradesBinance[[#This Row],[Qtt]],T113-TbTradesBinance[[#This Row],[Qtt]]),IF(TbTradesBinance[[#This Row],[Tipo]]="BUY",T113-TbTradesBinance[[#This Row],[Qtt]]*TbTradesBinance[[#This Row],[Preço]],T113+TbTradesBinance[[#This Row],[Qtt]]*TbTradesBinance[[#This Row],[Preço]])),T113)-IF(TbTradesBinance[[#This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Row],[Tipo]]="DROP"),T113+TbTradesBinance[[#This Row],[Qtt]],T113-TbTradesBinance[[#This Row],[Qtt]]),IF(TbTradesBinance[[#This Row],[Tipo]]="BUY",T113-TbTradesBinance[[#This Row],[Qtt]]*TbTradesBinance[[#This Row],[Preço]],T113+TbTradesBinance[[#This Row],[Qtt]]*TbTradesBinance[[#This Row],[Preço]])),T113)-IF(TbTradesBinance[[#This Row],[Moeda da Taxa]]=MID(T$1,9,5),TbTradesBinance[[#This Row],[Taxa]],0),8)))</f>
        <v>199735.32000169999</v>
      </c>
      <c r="U114" s="145" cm="1">
        <f t="array" ref="U114">IF(TbTradesBinance[[#This Row],[Tipo]]="EMPTY",0,U113+IF(TbTradesBinance[[#This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Row],[Par]]))),$1:$1,0)),-(T113-T114)/T113*U113),0),0)+IF(TbTradesBinance[[#This Row],[Tipo]]="SELL",IF(ISNUMBER(FIND(MID(U$1,10,5),TbTradesBinance[[#This Row],[Par]])),IF(FIND(MID(U$1,10,5),TbTradesBinance[[#This Row],[Par]])=1, -(T113-T114)/T113*U113,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Row],[Par]])),(-(T113-T114)/T113*U113)+IF(TbTradesBinance[[#This Row],[Resultado]]&gt;0,0,TbTradesBinance[[#This Row],[Taxa]]),0),0))</f>
        <v>1328239.8809817513</v>
      </c>
      <c r="V114" s="145">
        <f t="shared" si="22"/>
        <v>6.6500000148719129</v>
      </c>
      <c r="W11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Row],[Tipo]]="DROP"),W113+TbTradesBinance[[#This Row],[Qtt]],W113-TbTradesBinance[[#This Row],[Qtt]]),IF(TbTradesBinance[[#This Row],[Tipo]]="BUY",W113-TbTradesBinance[[#This Row],[Qtt]]*TbTradesBinance[[#This Row],[Preço]],W113+TbTradesBinance[[#This Row],[Qtt]]*TbTradesBinance[[#This Row],[Preço]])),W113)-IF(TbTradesBinance[[#This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Row],[Tipo]]="DROP"),W113+TbTradesBinance[[#This Row],[Qtt]],W113-TbTradesBinance[[#This Row],[Qtt]]),IF(TbTradesBinance[[#This Row],[Tipo]]="BUY",W113-TbTradesBinance[[#This Row],[Qtt]]*TbTradesBinance[[#This Row],[Preço]],W113+TbTradesBinance[[#This Row],[Qtt]]*TbTradesBinance[[#This Row],[Preço]])),W113)-IF(TbTradesBinance[[#This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Row],[Tipo]]="DROP"),W113+TbTradesBinance[[#This Row],[Qtt]],W113-TbTradesBinance[[#This Row],[Qtt]]),IF(TbTradesBinance[[#This Row],[Tipo]]="BUY",W113-TbTradesBinance[[#This Row],[Qtt]]*TbTradesBinance[[#This Row],[Preço]],W113+TbTradesBinance[[#This Row],[Qtt]]*TbTradesBinance[[#This Row],[Preço]])),W113)-IF(TbTradesBinance[[#This Row],[Moeda da Taxa]]=MID(W$1,9,5),TbTradesBinance[[#This Row],[Taxa]],0),8)))</f>
        <v>2.90136E-3</v>
      </c>
      <c r="X114" s="145" cm="1">
        <f t="array" ref="X114">IF(TbTradesBinance[[#This Row],[Tipo]]="EMPTY",0,X113+IF(TbTradesBinance[[#This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Row],[Par]]))),$1:$1,0)),-(W113-W114)/W113*X113),0),0)+IF(TbTradesBinance[[#This Row],[Tipo]]="SELL",IF(ISNUMBER(FIND(MID(X$1,10,5),TbTradesBinance[[#This Row],[Par]])),IF(FIND(MID(X$1,10,5),TbTradesBinance[[#This Row],[Par]])=1, -(W113-W114)/W113*X113,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Row],[Par]])),(-(W113-W114)/W113*X113)+IF(TbTradesBinance[[#This Row],[Resultado]]&gt;0,0,TbTradesBinance[[#This Row],[Taxa]]),0),0))</f>
        <v>968.28727290721815</v>
      </c>
      <c r="Y114" s="145">
        <f t="shared" si="23"/>
        <v>333735.65255853056</v>
      </c>
      <c r="Z11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Row],[Tipo]]="DROP"),Z113+TbTradesBinance[[#This Row],[Qtt]],Z113-TbTradesBinance[[#This Row],[Qtt]]),IF(TbTradesBinance[[#This Row],[Tipo]]="BUY",Z113-TbTradesBinance[[#This Row],[Qtt]]*TbTradesBinance[[#This Row],[Preço]],Z113+TbTradesBinance[[#This Row],[Qtt]]*TbTradesBinance[[#This Row],[Preço]])),Z113)-IF(TbTradesBinance[[#This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Row],[Tipo]]="DROP"),Z113+TbTradesBinance[[#This Row],[Qtt]],Z113-TbTradesBinance[[#This Row],[Qtt]]),IF(TbTradesBinance[[#This Row],[Tipo]]="BUY",Z113-TbTradesBinance[[#This Row],[Qtt]]*TbTradesBinance[[#This Row],[Preço]],Z113+TbTradesBinance[[#This Row],[Qtt]]*TbTradesBinance[[#This Row],[Preço]])),Z113)-IF(TbTradesBinance[[#This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Row],[Tipo]]="DROP"),Z113+TbTradesBinance[[#This Row],[Qtt]],Z113-TbTradesBinance[[#This Row],[Qtt]]),IF(TbTradesBinance[[#This Row],[Tipo]]="BUY",Z113-TbTradesBinance[[#This Row],[Qtt]]*TbTradesBinance[[#This Row],[Preço]],Z113+TbTradesBinance[[#This Row],[Qtt]]*TbTradesBinance[[#This Row],[Preço]])),Z113)-IF(TbTradesBinance[[#This Row],[Moeda da Taxa]]=MID(Z$1,9,5),TbTradesBinance[[#This Row],[Taxa]],0),8)))</f>
        <v>1.031935E-2</v>
      </c>
      <c r="AA114" s="145" cm="1">
        <f t="array" ref="AA114">IF(TbTradesBinance[[#This Row],[Tipo]]="EMPTY",0,AA113+IF(TbTradesBinance[[#This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Row],[Par]]))),$1:$1,0)),-(Z113-Z114)/Z113*AA113),0),0)+IF(TbTradesBinance[[#This Row],[Tipo]]="SELL",IF(ISNUMBER(FIND(MID(AA$1,10,5),TbTradesBinance[[#This Row],[Par]])),IF(FIND(MID(AA$1,10,5),TbTradesBinance[[#This Row],[Par]])=1, -(Z113-Z114)/Z113*AA113,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Row],[Par]])),(-(Z113-Z114)/Z113*AA113)+IF(TbTradesBinance[[#This Row],[Resultado]]&gt;0,0,TbTradesBinance[[#This Row],[Taxa]]),0),0))</f>
        <v>107.3592846539391</v>
      </c>
      <c r="AB114" s="145">
        <f t="shared" si="24"/>
        <v>10403.686729681531</v>
      </c>
      <c r="AC11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Row],[Tipo]]="DROP"),AC113+TbTradesBinance[[#This Row],[Qtt]],AC113-TbTradesBinance[[#This Row],[Qtt]]),IF(TbTradesBinance[[#This Row],[Tipo]]="BUY",AC113-TbTradesBinance[[#This Row],[Qtt]]*TbTradesBinance[[#This Row],[Preço]],AC113+TbTradesBinance[[#This Row],[Qtt]]*TbTradesBinance[[#This Row],[Preço]])),AC113)-IF(TbTradesBinance[[#This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Row],[Tipo]]="DROP"),AC113+TbTradesBinance[[#This Row],[Qtt]],AC113-TbTradesBinance[[#This Row],[Qtt]]),IF(TbTradesBinance[[#This Row],[Tipo]]="BUY",AC113-TbTradesBinance[[#This Row],[Qtt]]*TbTradesBinance[[#This Row],[Preço]],AC113+TbTradesBinance[[#This Row],[Qtt]]*TbTradesBinance[[#This Row],[Preço]])),AC113)-IF(TbTradesBinance[[#This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Row],[Tipo]]="DROP"),AC113+TbTradesBinance[[#This Row],[Qtt]],AC113-TbTradesBinance[[#This Row],[Qtt]]),IF(TbTradesBinance[[#This Row],[Tipo]]="BUY",AC113-TbTradesBinance[[#This Row],[Qtt]]*TbTradesBinance[[#This Row],[Preço]],AC113+TbTradesBinance[[#This Row],[Qtt]]*TbTradesBinance[[#This Row],[Preço]])),AC113)-IF(TbTradesBinance[[#This Row],[Moeda da Taxa]]=MID(AC$1,9,5),TbTradesBinance[[#This Row],[Taxa]],0),8)))</f>
        <v>9.6999E-4</v>
      </c>
      <c r="AD114" s="145" cm="1">
        <f t="array" ref="AD114">IF(TbTradesBinance[[#This Row],[Tipo]]="EMPTY",0,AD113+IF(TbTradesBinance[[#This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Row],[Par]]))),$1:$1,0)),-(AC113-AC114)/AC113*AD113),0),0)+IF(TbTradesBinance[[#This Row],[Tipo]]="SELL",IF(ISNUMBER(FIND(MID(AD$1,10,5),TbTradesBinance[[#This Row],[Par]])),IF(FIND(MID(AD$1,10,5),TbTradesBinance[[#This Row],[Par]])=1, -(AC113-AC114)/AC113*AD113,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Row],[Par]])),(-(AC113-AC114)/AC113*AD113)+IF(TbTradesBinance[[#This Row],[Resultado]]&gt;0,0,TbTradesBinance[[#This Row],[Taxa]]),0),0))</f>
        <v>1.9483868939812083</v>
      </c>
      <c r="AE114" s="145">
        <f t="shared" si="25"/>
        <v>2008.6669903619711</v>
      </c>
      <c r="AF11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Row],[Tipo]]="DROP"),AF113+TbTradesBinance[[#This Row],[Qtt]],AF113-TbTradesBinance[[#This Row],[Qtt]]),IF(TbTradesBinance[[#This Row],[Tipo]]="BUY",AF113-TbTradesBinance[[#This Row],[Qtt]]*TbTradesBinance[[#This Row],[Preço]],AF113+TbTradesBinance[[#This Row],[Qtt]]*TbTradesBinance[[#This Row],[Preço]])),AF113)-IF(TbTradesBinance[[#This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Row],[Tipo]]="DROP"),AF113+TbTradesBinance[[#This Row],[Qtt]],AF113-TbTradesBinance[[#This Row],[Qtt]]),IF(TbTradesBinance[[#This Row],[Tipo]]="BUY",AF113-TbTradesBinance[[#This Row],[Qtt]]*TbTradesBinance[[#This Row],[Preço]],AF113+TbTradesBinance[[#This Row],[Qtt]]*TbTradesBinance[[#This Row],[Preço]])),AF113)-IF(TbTradesBinance[[#This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Row],[Tipo]]="DROP"),AF113+TbTradesBinance[[#This Row],[Qtt]],AF113-TbTradesBinance[[#This Row],[Qtt]]),IF(TbTradesBinance[[#This Row],[Tipo]]="BUY",AF113-TbTradesBinance[[#This Row],[Qtt]]*TbTradesBinance[[#This Row],[Preço]],AF113+TbTradesBinance[[#This Row],[Qtt]]*TbTradesBinance[[#This Row],[Preço]])),AF113)-IF(TbTradesBinance[[#This Row],[Moeda da Taxa]]=MID(AF$1,9,5),TbTradesBinance[[#This Row],[Taxa]],0),8)))</f>
        <v>0.08</v>
      </c>
      <c r="AG114" s="145" cm="1">
        <f t="array" ref="AG114">IF(TbTradesBinance[[#This Row],[Tipo]]="EMPTY",0,AG113+IF(TbTradesBinance[[#This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Row],[Par]]))),$1:$1,0)),-(AF113-AF114)/AF113*AG113),0),0)+IF(TbTradesBinance[[#This Row],[Tipo]]="SELL",IF(ISNUMBER(FIND(MID(AG$1,10,5),TbTradesBinance[[#This Row],[Par]])),IF(FIND(MID(AG$1,10,5),TbTradesBinance[[#This Row],[Par]])=1, -(AF113-AF114)/AF113*AG113,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Row],[Par]])),(-(AF113-AF114)/AF113*AG113)+IF(TbTradesBinance[[#This Row],[Resultado]]&gt;0,0,TbTradesBinance[[#This Row],[Taxa]]),0),0))</f>
        <v>0.49666397429723474</v>
      </c>
      <c r="AH114" s="145">
        <f t="shared" si="26"/>
        <v>6.2082996787154343</v>
      </c>
      <c r="AI11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Row],[Tipo]]="DROP"),AI113+TbTradesBinance[[#This Row],[Qtt]],AI113-TbTradesBinance[[#This Row],[Qtt]]),IF(TbTradesBinance[[#This Row],[Tipo]]="BUY",AI113-TbTradesBinance[[#This Row],[Qtt]]*TbTradesBinance[[#This Row],[Preço]],AI113+TbTradesBinance[[#This Row],[Qtt]]*TbTradesBinance[[#This Row],[Preço]])),AI113)-IF(TbTradesBinance[[#This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Row],[Tipo]]="DROP"),AI113+TbTradesBinance[[#This Row],[Qtt]],AI113-TbTradesBinance[[#This Row],[Qtt]]),IF(TbTradesBinance[[#This Row],[Tipo]]="BUY",AI113-TbTradesBinance[[#This Row],[Qtt]]*TbTradesBinance[[#This Row],[Preço]],AI113+TbTradesBinance[[#This Row],[Qtt]]*TbTradesBinance[[#This Row],[Preço]])),AI113)-IF(TbTradesBinance[[#This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Row],[Tipo]]="DROP"),AI113+TbTradesBinance[[#This Row],[Qtt]],AI113-TbTradesBinance[[#This Row],[Qtt]]),IF(TbTradesBinance[[#This Row],[Tipo]]="BUY",AI113-TbTradesBinance[[#This Row],[Qtt]]*TbTradesBinance[[#This Row],[Preço]],AI113+TbTradesBinance[[#This Row],[Qtt]]*TbTradesBinance[[#This Row],[Preço]])),AI113)-IF(TbTradesBinance[[#This Row],[Moeda da Taxa]]=MID(AI$1,9,5),TbTradesBinance[[#This Row],[Taxa]],0),8)))</f>
        <v>0</v>
      </c>
      <c r="AJ114" s="145" cm="1">
        <f t="array" ref="AJ114">IF(TbTradesBinance[[#This Row],[Tipo]]="EMPTY",0,AJ113+IF(TbTradesBinance[[#This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Row],[Par]]))),$1:$1,0)),-(AI113-AI114)/AI113*AJ113),0),0)+IF(TbTradesBinance[[#This Row],[Tipo]]="SELL",IF(ISNUMBER(FIND(MID(AJ$1,10,5),TbTradesBinance[[#This Row],[Par]])),IF(FIND(MID(AJ$1,10,5),TbTradesBinance[[#This Row],[Par]])=1, -(AI113-AI114)/AI113*AJ113,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Row],[Par]])),(-(AI113-AI114)/AI113*AJ113)+IF(TbTradesBinance[[#This Row],[Resultado]]&gt;0,0,TbTradesBinance[[#This Row],[Taxa]]),0),0))</f>
        <v>0</v>
      </c>
      <c r="AK114" s="145">
        <f t="shared" si="27"/>
        <v>0</v>
      </c>
      <c r="AL11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Row],[Tipo]]="DROP"),AL113+TbTradesBinance[[#This Row],[Qtt]],AL113-TbTradesBinance[[#This Row],[Qtt]]),IF(TbTradesBinance[[#This Row],[Tipo]]="BUY",AL113-TbTradesBinance[[#This Row],[Qtt]]*TbTradesBinance[[#This Row],[Preço]],AL113+TbTradesBinance[[#This Row],[Qtt]]*TbTradesBinance[[#This Row],[Preço]])),AL113)-IF(TbTradesBinance[[#This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Row],[Tipo]]="DROP"),AL113+TbTradesBinance[[#This Row],[Qtt]],AL113-TbTradesBinance[[#This Row],[Qtt]]),IF(TbTradesBinance[[#This Row],[Tipo]]="BUY",AL113-TbTradesBinance[[#This Row],[Qtt]]*TbTradesBinance[[#This Row],[Preço]],AL113+TbTradesBinance[[#This Row],[Qtt]]*TbTradesBinance[[#This Row],[Preço]])),AL113)-IF(TbTradesBinance[[#This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Row],[Tipo]]="DROP"),AL113+TbTradesBinance[[#This Row],[Qtt]],AL113-TbTradesBinance[[#This Row],[Qtt]]),IF(TbTradesBinance[[#This Row],[Tipo]]="BUY",AL113-TbTradesBinance[[#This Row],[Qtt]]*TbTradesBinance[[#This Row],[Preço]],AL113+TbTradesBinance[[#This Row],[Qtt]]*TbTradesBinance[[#This Row],[Preço]])),AL113)-IF(TbTradesBinance[[#This Row],[Moeda da Taxa]]=MID(AL$1,9,5),TbTradesBinance[[#This Row],[Taxa]],0),8)))</f>
        <v>8.2400000000000008E-3</v>
      </c>
      <c r="AM114" s="145" cm="1">
        <f t="array" ref="AM114">IF(TbTradesBinance[[#This Row],[Tipo]]="EMPTY",0,AM113+IF(TbTradesBinance[[#This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Row],[Par]]))),$1:$1,0)),-(AL113-AL114)/AL113*AM113),0),0)+IF(TbTradesBinance[[#This Row],[Tipo]]="SELL",IF(ISNUMBER(FIND(MID(AM$1,10,5),TbTradesBinance[[#This Row],[Par]])),IF(FIND(MID(AM$1,10,5),TbTradesBinance[[#This Row],[Par]])=1, -(AL113-AL114)/AL113*AM113,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Row],[Par]])),(-(AL113-AL114)/AL113*AM113)+IF(TbTradesBinance[[#This Row],[Resultado]]&gt;0,0,TbTradesBinance[[#This Row],[Taxa]]),0),0))</f>
        <v>0.67751089887772764</v>
      </c>
      <c r="AN114" s="145">
        <f t="shared" si="28"/>
        <v>82.222196465743636</v>
      </c>
      <c r="AO11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Row],[Tipo]]="DROP"),AO113+TbTradesBinance[[#This Row],[Qtt]],AO113-TbTradesBinance[[#This Row],[Qtt]]),IF(TbTradesBinance[[#This Row],[Tipo]]="BUY",AO113-TbTradesBinance[[#This Row],[Qtt]]*TbTradesBinance[[#This Row],[Preço]],AO113+TbTradesBinance[[#This Row],[Qtt]]*TbTradesBinance[[#This Row],[Preço]])),AO113)-IF(TbTradesBinance[[#This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Row],[Tipo]]="DROP"),AO113+TbTradesBinance[[#This Row],[Qtt]],AO113-TbTradesBinance[[#This Row],[Qtt]]),IF(TbTradesBinance[[#This Row],[Tipo]]="BUY",AO113-TbTradesBinance[[#This Row],[Qtt]]*TbTradesBinance[[#This Row],[Preço]],AO113+TbTradesBinance[[#This Row],[Qtt]]*TbTradesBinance[[#This Row],[Preço]])),AO113)-IF(TbTradesBinance[[#This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Row],[Tipo]]="DROP"),AO113+TbTradesBinance[[#This Row],[Qtt]],AO113-TbTradesBinance[[#This Row],[Qtt]]),IF(TbTradesBinance[[#This Row],[Tipo]]="BUY",AO113-TbTradesBinance[[#This Row],[Qtt]]*TbTradesBinance[[#This Row],[Preço]],AO113+TbTradesBinance[[#This Row],[Qtt]]*TbTradesBinance[[#This Row],[Preço]])),AO113)-IF(TbTradesBinance[[#This Row],[Moeda da Taxa]]=MID(AO$1,9,5),TbTradesBinance[[#This Row],[Taxa]],0),8)))</f>
        <v>7.4631299999999998E-2</v>
      </c>
      <c r="AP114" s="145" cm="1">
        <f t="array" ref="AP114">IF(TbTradesBinance[[#This Row],[Tipo]]="EMPTY",0,AP113+IF(TbTradesBinance[[#This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Row],[Par]]))),$1:$1,0)),-(AO113-AO114)/AO113*AP113),0),0)+IF(TbTradesBinance[[#This Row],[Tipo]]="SELL",IF(ISNUMBER(FIND(MID(AP$1,10,5),TbTradesBinance[[#This Row],[Par]])),IF(FIND(MID(AP$1,10,5),TbTradesBinance[[#This Row],[Par]])=1, -(AO113-AO114)/AO113*AP113,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Row],[Par]])),(-(AO113-AO114)/AO113*AP113)+IF(TbTradesBinance[[#This Row],[Resultado]]&gt;0,0,TbTradesBinance[[#This Row],[Taxa]]),0),0))</f>
        <v>113.87766627073657</v>
      </c>
      <c r="AQ114" s="145">
        <f t="shared" si="29"/>
        <v>1525.8700608288557</v>
      </c>
      <c r="AR11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Row],[Tipo]]="DROP"),AR113+TbTradesBinance[[#This Row],[Qtt]],AR113-TbTradesBinance[[#This Row],[Qtt]]),IF(TbTradesBinance[[#This Row],[Tipo]]="BUY",AR113-TbTradesBinance[[#This Row],[Qtt]]*TbTradesBinance[[#This Row],[Preço]],AR113+TbTradesBinance[[#This Row],[Qtt]]*TbTradesBinance[[#This Row],[Preço]])),AR113)-IF(TbTradesBinance[[#This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Row],[Tipo]]="DROP"),AR113+TbTradesBinance[[#This Row],[Qtt]],AR113-TbTradesBinance[[#This Row],[Qtt]]),IF(TbTradesBinance[[#This Row],[Tipo]]="BUY",AR113-TbTradesBinance[[#This Row],[Qtt]]*TbTradesBinance[[#This Row],[Preço]],AR113+TbTradesBinance[[#This Row],[Qtt]]*TbTradesBinance[[#This Row],[Preço]])),AR113)-IF(TbTradesBinance[[#This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Row],[Tipo]]="DROP"),AR113+TbTradesBinance[[#This Row],[Qtt]],AR113-TbTradesBinance[[#This Row],[Qtt]]),IF(TbTradesBinance[[#This Row],[Tipo]]="BUY",AR113-TbTradesBinance[[#This Row],[Qtt]]*TbTradesBinance[[#This Row],[Preço]],AR113+TbTradesBinance[[#This Row],[Qtt]]*TbTradesBinance[[#This Row],[Preço]])),AR113)-IF(TbTradesBinance[[#This Row],[Moeda da Taxa]]=MID(AR$1,9,5),TbTradesBinance[[#This Row],[Taxa]],0),8)))</f>
        <v>61.251199999999997</v>
      </c>
      <c r="AS114" s="145" cm="1">
        <f t="array" ref="AS114">IF(TbTradesBinance[[#This Row],[Tipo]]="EMPTY",0,AS113+IF(TbTradesBinance[[#This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Row],[Par]]))),$1:$1,0)),-(AR113-AR114)/AR113*AS113),0),0)+IF(TbTradesBinance[[#This Row],[Tipo]]="SELL",IF(ISNUMBER(FIND(MID(AS$1,10,5),TbTradesBinance[[#This Row],[Par]])),IF(FIND(MID(AS$1,10,5),TbTradesBinance[[#This Row],[Par]])=1, -(AR113-AR114)/AR113*AS113,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Row],[Par]])),(-(AR113-AR114)/AR113*AS113)+IF(TbTradesBinance[[#This Row],[Resultado]]&gt;0,0,TbTradesBinance[[#This Row],[Taxa]]),0),0))</f>
        <v>230.84001376053044</v>
      </c>
      <c r="AT114" s="145">
        <f t="shared" si="30"/>
        <v>3.7687427146003745</v>
      </c>
      <c r="AU11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Row],[Tipo]]="DROP"),AU113+TbTradesBinance[[#This Row],[Qtt]],AU113-TbTradesBinance[[#This Row],[Qtt]]),IF(TbTradesBinance[[#This Row],[Tipo]]="BUY",AU113-TbTradesBinance[[#This Row],[Qtt]]*TbTradesBinance[[#This Row],[Preço]],AU113+TbTradesBinance[[#This Row],[Qtt]]*TbTradesBinance[[#This Row],[Preço]])),AU113)-IF(TbTradesBinance[[#This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Row],[Tipo]]="DROP"),AU113+TbTradesBinance[[#This Row],[Qtt]],AU113-TbTradesBinance[[#This Row],[Qtt]]),IF(TbTradesBinance[[#This Row],[Tipo]]="BUY",AU113-TbTradesBinance[[#This Row],[Qtt]]*TbTradesBinance[[#This Row],[Preço]],AU113+TbTradesBinance[[#This Row],[Qtt]]*TbTradesBinance[[#This Row],[Preço]])),AU113)-IF(TbTradesBinance[[#This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Row],[Tipo]]="DROP"),AU113+TbTradesBinance[[#This Row],[Qtt]],AU113-TbTradesBinance[[#This Row],[Qtt]]),IF(TbTradesBinance[[#This Row],[Tipo]]="BUY",AU113-TbTradesBinance[[#This Row],[Qtt]]*TbTradesBinance[[#This Row],[Preço]],AU113+TbTradesBinance[[#This Row],[Qtt]]*TbTradesBinance[[#This Row],[Preço]])),AU113)-IF(TbTradesBinance[[#This Row],[Moeda da Taxa]]=MID(AU$1,9,5),TbTradesBinance[[#This Row],[Taxa]],0),8)))</f>
        <v>0</v>
      </c>
      <c r="AV114" s="145" cm="1">
        <f t="array" ref="AV114">IF(TbTradesBinance[[#This Row],[Tipo]]="EMPTY",0,AV113+IF(TbTradesBinance[[#This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Row],[Par]]))),$1:$1,0)),-(AU113-AU114)/AU113*AV113),0),0)+IF(TbTradesBinance[[#This Row],[Tipo]]="SELL",IF(ISNUMBER(FIND(MID(AV$1,10,5),TbTradesBinance[[#This Row],[Par]])),IF(FIND(MID(AV$1,10,5),TbTradesBinance[[#This Row],[Par]])=1, -(AU113-AU114)/AU113*AV113,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Row],[Par]])),(-(AU113-AU114)/AU113*AV113)+IF(TbTradesBinance[[#This Row],[Resultado]]&gt;0,0,TbTradesBinance[[#This Row],[Taxa]]),0),0))</f>
        <v>0</v>
      </c>
      <c r="AW114" s="145">
        <f t="shared" si="31"/>
        <v>0</v>
      </c>
      <c r="AX11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Row],[Tipo]]="DROP"),AX113+TbTradesBinance[[#This Row],[Qtt]],AX113-TbTradesBinance[[#This Row],[Qtt]]),IF(TbTradesBinance[[#This Row],[Tipo]]="BUY",AX113-TbTradesBinance[[#This Row],[Qtt]]*TbTradesBinance[[#This Row],[Preço]],AX113+TbTradesBinance[[#This Row],[Qtt]]*TbTradesBinance[[#This Row],[Preço]])),AX113)-IF(TbTradesBinance[[#This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Row],[Tipo]]="DROP"),AX113+TbTradesBinance[[#This Row],[Qtt]],AX113-TbTradesBinance[[#This Row],[Qtt]]),IF(TbTradesBinance[[#This Row],[Tipo]]="BUY",AX113-TbTradesBinance[[#This Row],[Qtt]]*TbTradesBinance[[#This Row],[Preço]],AX113+TbTradesBinance[[#This Row],[Qtt]]*TbTradesBinance[[#This Row],[Preço]])),AX113)-IF(TbTradesBinance[[#This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Row],[Tipo]]="DROP"),AX113+TbTradesBinance[[#This Row],[Qtt]],AX113-TbTradesBinance[[#This Row],[Qtt]]),IF(TbTradesBinance[[#This Row],[Tipo]]="BUY",AX113-TbTradesBinance[[#This Row],[Qtt]]*TbTradesBinance[[#This Row],[Preço]],AX113+TbTradesBinance[[#This Row],[Qtt]]*TbTradesBinance[[#This Row],[Preço]])),AX113)-IF(TbTradesBinance[[#This Row],[Moeda da Taxa]]=MID(AX$1,9,5),TbTradesBinance[[#This Row],[Taxa]],0),8)))</f>
        <v>0.85636999999999996</v>
      </c>
      <c r="AY114" s="145" cm="1">
        <f t="array" ref="AY114">IF(TbTradesBinance[[#This Row],[Tipo]]="EMPTY",0,AY113+IF(TbTradesBinance[[#This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Row],[Par]]))),$1:$1,0)),-(AX113-AX114)/AX113*AY113),0),0)+IF(TbTradesBinance[[#This Row],[Tipo]]="SELL",IF(ISNUMBER(FIND(MID(AY$1,10,5),TbTradesBinance[[#This Row],[Par]])),IF(FIND(MID(AY$1,10,5),TbTradesBinance[[#This Row],[Par]])=1, -(AX113-AX114)/AX113*AY113,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Row],[Par]])),(-(AX113-AX114)/AX113*AY113)+IF(TbTradesBinance[[#This Row],[Resultado]]&gt;0,0,TbTradesBinance[[#This Row],[Taxa]]),0),0))</f>
        <v>131.82971181780295</v>
      </c>
      <c r="AZ114" s="145">
        <f t="shared" si="32"/>
        <v>153.94013314081874</v>
      </c>
      <c r="BA11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Row],[Tipo]]="DROP"),BA113+TbTradesBinance[[#This Row],[Qtt]],BA113-TbTradesBinance[[#This Row],[Qtt]]),IF(TbTradesBinance[[#This Row],[Tipo]]="BUY",BA113-TbTradesBinance[[#This Row],[Qtt]]*TbTradesBinance[[#This Row],[Preço]],BA113+TbTradesBinance[[#This Row],[Qtt]]*TbTradesBinance[[#This Row],[Preço]])),BA113)-IF(TbTradesBinance[[#This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Row],[Tipo]]="DROP"),BA113+TbTradesBinance[[#This Row],[Qtt]],BA113-TbTradesBinance[[#This Row],[Qtt]]),IF(TbTradesBinance[[#This Row],[Tipo]]="BUY",BA113-TbTradesBinance[[#This Row],[Qtt]]*TbTradesBinance[[#This Row],[Preço]],BA113+TbTradesBinance[[#This Row],[Qtt]]*TbTradesBinance[[#This Row],[Preço]])),BA113)-IF(TbTradesBinance[[#This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Row],[Tipo]]="DROP"),BA113+TbTradesBinance[[#This Row],[Qtt]],BA113-TbTradesBinance[[#This Row],[Qtt]]),IF(TbTradesBinance[[#This Row],[Tipo]]="BUY",BA113-TbTradesBinance[[#This Row],[Qtt]]*TbTradesBinance[[#This Row],[Preço]],BA113+TbTradesBinance[[#This Row],[Qtt]]*TbTradesBinance[[#This Row],[Preço]])),BA113)-IF(TbTradesBinance[[#This Row],[Moeda da Taxa]]=MID(BA$1,9,5),TbTradesBinance[[#This Row],[Taxa]],0),8)))</f>
        <v>0</v>
      </c>
      <c r="BB114" s="145" cm="1">
        <f t="array" ref="BB114">IF(TbTradesBinance[[#This Row],[Tipo]]="EMPTY",0,BB113+IF(TbTradesBinance[[#This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Row],[Par]]))),$1:$1,0)),-(BA113-BA114)/BA113*BB113),0),0)+IF(TbTradesBinance[[#This Row],[Tipo]]="SELL",IF(ISNUMBER(FIND(MID(BB$1,10,5),TbTradesBinance[[#This Row],[Par]])),IF(FIND(MID(BB$1,10,5),TbTradesBinance[[#This Row],[Par]])=1, -(BA113-BA114)/BA113*BB113,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Row],[Par]])),(-(BA113-BA114)/BA113*BB113)+IF(TbTradesBinance[[#This Row],[Resultado]]&gt;0,0,TbTradesBinance[[#This Row],[Taxa]]),0),0))</f>
        <v>0</v>
      </c>
      <c r="BC114" s="145">
        <f t="shared" si="33"/>
        <v>0</v>
      </c>
      <c r="BD11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Row],[Tipo]]="DROP"),BD113+TbTradesBinance[[#This Row],[Qtt]],BD113-TbTradesBinance[[#This Row],[Qtt]]),IF(TbTradesBinance[[#This Row],[Tipo]]="BUY",BD113-TbTradesBinance[[#This Row],[Qtt]]*TbTradesBinance[[#This Row],[Preço]],BD113+TbTradesBinance[[#This Row],[Qtt]]*TbTradesBinance[[#This Row],[Preço]])),BD113)-IF(TbTradesBinance[[#This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Row],[Tipo]]="DROP"),BD113+TbTradesBinance[[#This Row],[Qtt]],BD113-TbTradesBinance[[#This Row],[Qtt]]),IF(TbTradesBinance[[#This Row],[Tipo]]="BUY",BD113-TbTradesBinance[[#This Row],[Qtt]]*TbTradesBinance[[#This Row],[Preço]],BD113+TbTradesBinance[[#This Row],[Qtt]]*TbTradesBinance[[#This Row],[Preço]])),BD113)-IF(TbTradesBinance[[#This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Row],[Tipo]]="DROP"),BD113+TbTradesBinance[[#This Row],[Qtt]],BD113-TbTradesBinance[[#This Row],[Qtt]]),IF(TbTradesBinance[[#This Row],[Tipo]]="BUY",BD113-TbTradesBinance[[#This Row],[Qtt]]*TbTradesBinance[[#This Row],[Preço]],BD113+TbTradesBinance[[#This Row],[Qtt]]*TbTradesBinance[[#This Row],[Preço]])),BD113)-IF(TbTradesBinance[[#This Row],[Moeda da Taxa]]=MID(BD$1,9,5),TbTradesBinance[[#This Row],[Taxa]],0),8)))</f>
        <v>9.0599900000000004E-3</v>
      </c>
      <c r="BE114" s="145" cm="1">
        <f t="array" ref="BE114">IF(TbTradesBinance[[#This Row],[Tipo]]="EMPTY",0,BE113+IF(TbTradesBinance[[#This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Row],[Par]]))),$1:$1,0)),-(BD113-BD114)/BD113*BE113),0),0)+IF(TbTradesBinance[[#This Row],[Tipo]]="SELL",IF(ISNUMBER(FIND(MID(BE$1,10,5),TbTradesBinance[[#This Row],[Par]])),IF(FIND(MID(BE$1,10,5),TbTradesBinance[[#This Row],[Par]])=1, -(BD113-BD114)/BD113*BE113,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Row],[Par]])),(-(BD113-BD114)/BD113*BE113)+IF(TbTradesBinance[[#This Row],[Resultado]]&gt;0,0,TbTradesBinance[[#This Row],[Taxa]]),0),0))</f>
        <v>1.6846969284922721</v>
      </c>
      <c r="BF114" s="145">
        <f t="shared" si="34"/>
        <v>185.94909359638058</v>
      </c>
      <c r="BG11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Row],[Tipo]]="DROP"),BG113+TbTradesBinance[[#This Row],[Qtt]],BG113-TbTradesBinance[[#This Row],[Qtt]]),IF(TbTradesBinance[[#This Row],[Tipo]]="BUY",BG113-TbTradesBinance[[#This Row],[Qtt]]*TbTradesBinance[[#This Row],[Preço]],BG113+TbTradesBinance[[#This Row],[Qtt]]*TbTradesBinance[[#This Row],[Preço]])),BG113)-IF(TbTradesBinance[[#This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Row],[Tipo]]="DROP"),BG113+TbTradesBinance[[#This Row],[Qtt]],BG113-TbTradesBinance[[#This Row],[Qtt]]),IF(TbTradesBinance[[#This Row],[Tipo]]="BUY",BG113-TbTradesBinance[[#This Row],[Qtt]]*TbTradesBinance[[#This Row],[Preço]],BG113+TbTradesBinance[[#This Row],[Qtt]]*TbTradesBinance[[#This Row],[Preço]])),BG113)-IF(TbTradesBinance[[#This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Row],[Tipo]]="DROP"),BG113+TbTradesBinance[[#This Row],[Qtt]],BG113-TbTradesBinance[[#This Row],[Qtt]]),IF(TbTradesBinance[[#This Row],[Tipo]]="BUY",BG113-TbTradesBinance[[#This Row],[Qtt]]*TbTradesBinance[[#This Row],[Preço]],BG113+TbTradesBinance[[#This Row],[Qtt]]*TbTradesBinance[[#This Row],[Preço]])),BG113)-IF(TbTradesBinance[[#This Row],[Moeda da Taxa]]=MID(BG$1,9,5),TbTradesBinance[[#This Row],[Taxa]],0),8)))</f>
        <v>0</v>
      </c>
      <c r="BH114" s="145" cm="1">
        <f t="array" ref="BH114">IF(TbTradesBinance[[#This Row],[Tipo]]="EMPTY",0,BH113+IF(TbTradesBinance[[#This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Row],[Par]]))),$1:$1,0)),-(BG113-BG114)/BG113*BH113),0),0)+IF(TbTradesBinance[[#This Row],[Tipo]]="SELL",IF(ISNUMBER(FIND(MID(BH$1,10,5),TbTradesBinance[[#This Row],[Par]])),IF(FIND(MID(BH$1,10,5),TbTradesBinance[[#This Row],[Par]])=1, -(BG113-BG114)/BG113*BH113,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Row],[Par]])),(-(BG113-BG114)/BG113*BH113)+IF(TbTradesBinance[[#This Row],[Resultado]]&gt;0,0,TbTradesBinance[[#This Row],[Taxa]]),0),0))</f>
        <v>0</v>
      </c>
      <c r="BI114" s="145">
        <f t="shared" si="35"/>
        <v>0</v>
      </c>
      <c r="BJ11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Row],[Tipo]]="DROP"),BJ113+TbTradesBinance[[#This Row],[Qtt]],BJ113-TbTradesBinance[[#This Row],[Qtt]]),IF(TbTradesBinance[[#This Row],[Tipo]]="BUY",BJ113-TbTradesBinance[[#This Row],[Qtt]]*TbTradesBinance[[#This Row],[Preço]],BJ113+TbTradesBinance[[#This Row],[Qtt]]*TbTradesBinance[[#This Row],[Preço]])),BJ113)-IF(TbTradesBinance[[#This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Row],[Tipo]]="DROP"),BJ113+TbTradesBinance[[#This Row],[Qtt]],BJ113-TbTradesBinance[[#This Row],[Qtt]]),IF(TbTradesBinance[[#This Row],[Tipo]]="BUY",BJ113-TbTradesBinance[[#This Row],[Qtt]]*TbTradesBinance[[#This Row],[Preço]],BJ113+TbTradesBinance[[#This Row],[Qtt]]*TbTradesBinance[[#This Row],[Preço]])),BJ113)-IF(TbTradesBinance[[#This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Row],[Tipo]]="DROP"),BJ113+TbTradesBinance[[#This Row],[Qtt]],BJ113-TbTradesBinance[[#This Row],[Qtt]]),IF(TbTradesBinance[[#This Row],[Tipo]]="BUY",BJ113-TbTradesBinance[[#This Row],[Qtt]]*TbTradesBinance[[#This Row],[Preço]],BJ113+TbTradesBinance[[#This Row],[Qtt]]*TbTradesBinance[[#This Row],[Preço]])),BJ113)-IF(TbTradesBinance[[#This Row],[Moeda da Taxa]]=MID(BJ$1,9,5),TbTradesBinance[[#This Row],[Taxa]],0),8)))</f>
        <v>0</v>
      </c>
      <c r="BK114" s="145" cm="1">
        <f t="array" ref="BK114">IF(TbTradesBinance[[#This Row],[Tipo]]="EMPTY",0,BK113+IF(TbTradesBinance[[#This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Row],[Par]]))),$1:$1,0)),-(BJ113-BJ114)/BJ113*BK113),0),0)+IF(TbTradesBinance[[#This Row],[Tipo]]="SELL",IF(ISNUMBER(FIND(MID(BK$1,10,5),TbTradesBinance[[#This Row],[Par]])),IF(FIND(MID(BK$1,10,5),TbTradesBinance[[#This Row],[Par]])=1, -(BJ113-BJ114)/BJ113*BK113,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Row],[Par]])),(-(BJ113-BJ114)/BJ113*BK113)+IF(TbTradesBinance[[#This Row],[Resultado]]&gt;0,0,TbTradesBinance[[#This Row],[Taxa]]),0),0))</f>
        <v>0</v>
      </c>
      <c r="BL114" s="145">
        <f t="shared" si="36"/>
        <v>0</v>
      </c>
      <c r="BM11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Row],[Tipo]]="DROP"),BM113+TbTradesBinance[[#This Row],[Qtt]],BM113-TbTradesBinance[[#This Row],[Qtt]]),IF(TbTradesBinance[[#This Row],[Tipo]]="BUY",BM113-TbTradesBinance[[#This Row],[Qtt]]*TbTradesBinance[[#This Row],[Preço]],BM113+TbTradesBinance[[#This Row],[Qtt]]*TbTradesBinance[[#This Row],[Preço]])),BM113)-IF(TbTradesBinance[[#This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Row],[Tipo]]="DROP"),BM113+TbTradesBinance[[#This Row],[Qtt]],BM113-TbTradesBinance[[#This Row],[Qtt]]),IF(TbTradesBinance[[#This Row],[Tipo]]="BUY",BM113-TbTradesBinance[[#This Row],[Qtt]]*TbTradesBinance[[#This Row],[Preço]],BM113+TbTradesBinance[[#This Row],[Qtt]]*TbTradesBinance[[#This Row],[Preço]])),BM113)-IF(TbTradesBinance[[#This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Row],[Tipo]]="DROP"),BM113+TbTradesBinance[[#This Row],[Qtt]],BM113-TbTradesBinance[[#This Row],[Qtt]]),IF(TbTradesBinance[[#This Row],[Tipo]]="BUY",BM113-TbTradesBinance[[#This Row],[Qtt]]*TbTradesBinance[[#This Row],[Preço]],BM113+TbTradesBinance[[#This Row],[Qtt]]*TbTradesBinance[[#This Row],[Preço]])),BM113)-IF(TbTradesBinance[[#This Row],[Moeda da Taxa]]=MID(BM$1,9,5),TbTradesBinance[[#This Row],[Taxa]],0),8)))</f>
        <v>0</v>
      </c>
      <c r="BN114" s="145" cm="1">
        <f t="array" ref="BN114">IF(TbTradesBinance[[#This Row],[Tipo]]="EMPTY",0,BN113+IF(TbTradesBinance[[#This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Row],[Par]]))),$1:$1,0)),-(BM113-BM114)/BM113*BN113),0),0)+IF(TbTradesBinance[[#This Row],[Tipo]]="SELL",IF(ISNUMBER(FIND(MID(BN$1,10,5),TbTradesBinance[[#This Row],[Par]])),IF(FIND(MID(BN$1,10,5),TbTradesBinance[[#This Row],[Par]])=1, -(BM113-BM114)/BM113*BN113,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Row],[Par]])),(-(BM113-BM114)/BM113*BN113)+IF(TbTradesBinance[[#This Row],[Resultado]]&gt;0,0,TbTradesBinance[[#This Row],[Taxa]]),0),0))</f>
        <v>0</v>
      </c>
      <c r="BO114" s="145">
        <f t="shared" si="37"/>
        <v>0</v>
      </c>
    </row>
    <row r="115" spans="2:67" x14ac:dyDescent="0.3">
      <c r="B115" s="51"/>
      <c r="C115" s="40">
        <f>TRUNC(IF(AND(TbTradesBinance[[#This Row],[Tipo]]="SEND",TbTradesBinance[[#This Row],[Par]]="BRL"),TbTradesBinance[[#This Row],[Qtt]]*(1-P113)-IF(TbTradesBinance[[#This Row],[Moeda da Taxa]]="BRL",TbTradesBinance[[#This Row],[Taxa]],0),0)+IF(AND(TbTradesBinance[[#This Row],[Tipo]]="BURN",TbTradesBinance[[#This Row],[Par]]="BRL"),-TbTradesBinance[[#This Row],[Qtt]]*P113,0),2)</f>
        <v>0</v>
      </c>
      <c r="D115" s="53">
        <v>44275.665960648148</v>
      </c>
      <c r="E115" s="37" t="s">
        <v>237</v>
      </c>
      <c r="F115" s="47" t="s">
        <v>140</v>
      </c>
      <c r="G115" s="38">
        <v>5.5579999999999998</v>
      </c>
      <c r="H115" s="38">
        <v>12.76</v>
      </c>
      <c r="I115" s="38">
        <v>0</v>
      </c>
      <c r="J115" s="37" t="s">
        <v>45</v>
      </c>
      <c r="K115" s="52">
        <v>1</v>
      </c>
      <c r="L115" s="40">
        <f t="shared" si="19"/>
        <v>5.55</v>
      </c>
      <c r="M115" s="40">
        <f>IF(OR(TbTradesBinance[[#This Row],[Tipo]]="BUY",TbTradesBinance[[#This Row],[Tipo]]="RECEIVE",TbTradesBinance[[#This Row],[Tipo]]="DROP"),L115*H115,-L115*H115)</f>
        <v>-70.817999999999998</v>
      </c>
      <c r="N11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Row],[Tipo]]="DROP"),N114+TbTradesBinance[[#This Row],[Qtt]],N114-TbTradesBinance[[#This Row],[Qtt]]),IF(TbTradesBinance[[#This Row],[Tipo]]="BUY",N114-TbTradesBinance[[#This Row],[Qtt]]*TbTradesBinance[[#This Row],[Preço]],N114+TbTradesBinance[[#This Row],[Qtt]]*TbTradesBinance[[#This Row],[Preço]])),N114)-IF(TbTradesBinance[[#This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Row],[Tipo]]="DROP"),N114+TbTradesBinance[[#This Row],[Qtt]],N114-TbTradesBinance[[#This Row],[Qtt]]),IF(TbTradesBinance[[#This Row],[Tipo]]="BUY",N114-TbTradesBinance[[#This Row],[Qtt]]*TbTradesBinance[[#This Row],[Preço]],N114+TbTradesBinance[[#This Row],[Qtt]]*TbTradesBinance[[#This Row],[Preço]])),N114)-IF(TbTradesBinance[[#This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Row],[Tipo]]="DROP"),N114+TbTradesBinance[[#This Row],[Qtt]],N114-TbTradesBinance[[#This Row],[Qtt]]),IF(TbTradesBinance[[#This Row],[Tipo]]="BUY",N114-TbTradesBinance[[#This Row],[Qtt]]*TbTradesBinance[[#This Row],[Preço]],N114+TbTradesBinance[[#This Row],[Qtt]]*TbTradesBinance[[#This Row],[Preço]])),N114)-IF(TbTradesBinance[[#This Row],[Moeda da Taxa]]=MID(N$1,9,5),TbTradesBinance[[#This Row],[Taxa]],0),8)))</f>
        <v>119961.42890708</v>
      </c>
      <c r="O115" s="145" cm="1">
        <f t="array" ref="O115">IF(TbTradesBinance[[#This Row],[Tipo]]="EMPTY",0,O114+IF(TbTradesBinance[[#This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Row],[Par]]))),$1:$1,0)),-(N114-N115)/N114*O114),0),0)+IF(TbTradesBinance[[#This Row],[Tipo]]="SELL",IF(ISNUMBER(FIND(MID(O$1,10,5),TbTradesBinance[[#This Row],[Par]])),IF(FIND(MID(O$1,10,5),TbTradesBinance[[#This Row],[Par]])=1, -(N114-N115)/N114*O114,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Row],[Par]])),(-(N114-N115)/N114*O114)+IF(TbTradesBinance[[#This Row],[Resultado]]&gt;0,0,TbTradesBinance[[#This Row],[Taxa]]),0),0))</f>
        <v>119950.17959128651</v>
      </c>
      <c r="P115" s="145">
        <f t="shared" si="20"/>
        <v>0.99990622556019892</v>
      </c>
      <c r="Q11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Row],[Tipo]]="DROP"),Q114+TbTradesBinance[[#This Row],[Qtt]],Q114-TbTradesBinance[[#This Row],[Qtt]]),IF(TbTradesBinance[[#This Row],[Tipo]]="BUY",Q114-TbTradesBinance[[#This Row],[Qtt]]*TbTradesBinance[[#This Row],[Preço]],Q114+TbTradesBinance[[#This Row],[Qtt]]*TbTradesBinance[[#This Row],[Preço]])),Q114)-IF(TbTradesBinance[[#This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Row],[Tipo]]="DROP"),Q114+TbTradesBinance[[#This Row],[Qtt]],Q114-TbTradesBinance[[#This Row],[Qtt]]),IF(TbTradesBinance[[#This Row],[Tipo]]="BUY",Q114-TbTradesBinance[[#This Row],[Qtt]]*TbTradesBinance[[#This Row],[Preço]],Q114+TbTradesBinance[[#This Row],[Qtt]]*TbTradesBinance[[#This Row],[Preço]])),Q114)-IF(TbTradesBinance[[#This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Row],[Tipo]]="DROP"),Q114+TbTradesBinance[[#This Row],[Qtt]],Q114-TbTradesBinance[[#This Row],[Qtt]]),IF(TbTradesBinance[[#This Row],[Tipo]]="BUY",Q114-TbTradesBinance[[#This Row],[Qtt]]*TbTradesBinance[[#This Row],[Preço]],Q114+TbTradesBinance[[#This Row],[Qtt]]*TbTradesBinance[[#This Row],[Preço]])),Q114)-IF(TbTradesBinance[[#This Row],[Moeda da Taxa]]=MID(Q$1,9,5),TbTradesBinance[[#This Row],[Taxa]],0),8)))</f>
        <v>2.8498099999999999E-3</v>
      </c>
      <c r="R115" s="145" cm="1">
        <f t="array" ref="R115">IF(TbTradesBinance[[#This Row],[Tipo]]="EMPTY",0,R114+IF(TbTradesBinance[[#This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Row],[Par]]))),$1:$1,0)),-(Q114-Q115)/Q114*R114),0),0)+IF(TbTradesBinance[[#This Row],[Tipo]]="SELL",IF(ISNUMBER(FIND(MID(R$1,10,5),TbTradesBinance[[#This Row],[Par]])),IF(FIND(MID(R$1,10,5),TbTradesBinance[[#This Row],[Par]])=1, -(Q114-Q115)/Q114*R114,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Row],[Par]])),(-(Q114-Q115)/Q114*R114)+IF(TbTradesBinance[[#This Row],[Resultado]]&gt;0,0,TbTradesBinance[[#This Row],[Taxa]]),0),0))</f>
        <v>1.5838731978959686E-2</v>
      </c>
      <c r="S115" s="145">
        <f t="shared" si="21"/>
        <v>5.5578203385347393</v>
      </c>
      <c r="T11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Row],[Tipo]]="DROP"),T114+TbTradesBinance[[#This Row],[Qtt]],T114-TbTradesBinance[[#This Row],[Qtt]]),IF(TbTradesBinance[[#This Row],[Tipo]]="BUY",T114-TbTradesBinance[[#This Row],[Qtt]]*TbTradesBinance[[#This Row],[Preço]],T114+TbTradesBinance[[#This Row],[Qtt]]*TbTradesBinance[[#This Row],[Preço]])),T114)-IF(TbTradesBinance[[#This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Row],[Tipo]]="DROP"),T114+TbTradesBinance[[#This Row],[Qtt]],T114-TbTradesBinance[[#This Row],[Qtt]]),IF(TbTradesBinance[[#This Row],[Tipo]]="BUY",T114-TbTradesBinance[[#This Row],[Qtt]]*TbTradesBinance[[#This Row],[Preço]],T114+TbTradesBinance[[#This Row],[Qtt]]*TbTradesBinance[[#This Row],[Preço]])),T114)-IF(TbTradesBinance[[#This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Row],[Tipo]]="DROP"),T114+TbTradesBinance[[#This Row],[Qtt]],T114-TbTradesBinance[[#This Row],[Qtt]]),IF(TbTradesBinance[[#This Row],[Tipo]]="BUY",T114-TbTradesBinance[[#This Row],[Qtt]]*TbTradesBinance[[#This Row],[Preço]],T114+TbTradesBinance[[#This Row],[Qtt]]*TbTradesBinance[[#This Row],[Preço]])),T114)-IF(TbTradesBinance[[#This Row],[Moeda da Taxa]]=MID(T$1,9,5),TbTradesBinance[[#This Row],[Taxa]],0),8)))</f>
        <v>199735.32000169999</v>
      </c>
      <c r="U115" s="145" cm="1">
        <f t="array" ref="U115">IF(TbTradesBinance[[#This Row],[Tipo]]="EMPTY",0,U114+IF(TbTradesBinance[[#This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Row],[Par]]))),$1:$1,0)),-(T114-T115)/T114*U114),0),0)+IF(TbTradesBinance[[#This Row],[Tipo]]="SELL",IF(ISNUMBER(FIND(MID(U$1,10,5),TbTradesBinance[[#This Row],[Par]])),IF(FIND(MID(U$1,10,5),TbTradesBinance[[#This Row],[Par]])=1, -(T114-T115)/T114*U114,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Row],[Par]])),(-(T114-T115)/T114*U114)+IF(TbTradesBinance[[#This Row],[Resultado]]&gt;0,0,TbTradesBinance[[#This Row],[Taxa]]),0),0))</f>
        <v>1328239.8809817513</v>
      </c>
      <c r="V115" s="145">
        <f t="shared" si="22"/>
        <v>6.6500000148719129</v>
      </c>
      <c r="W11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Row],[Tipo]]="DROP"),W114+TbTradesBinance[[#This Row],[Qtt]],W114-TbTradesBinance[[#This Row],[Qtt]]),IF(TbTradesBinance[[#This Row],[Tipo]]="BUY",W114-TbTradesBinance[[#This Row],[Qtt]]*TbTradesBinance[[#This Row],[Preço]],W114+TbTradesBinance[[#This Row],[Qtt]]*TbTradesBinance[[#This Row],[Preço]])),W114)-IF(TbTradesBinance[[#This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Row],[Tipo]]="DROP"),W114+TbTradesBinance[[#This Row],[Qtt]],W114-TbTradesBinance[[#This Row],[Qtt]]),IF(TbTradesBinance[[#This Row],[Tipo]]="BUY",W114-TbTradesBinance[[#This Row],[Qtt]]*TbTradesBinance[[#This Row],[Preço]],W114+TbTradesBinance[[#This Row],[Qtt]]*TbTradesBinance[[#This Row],[Preço]])),W114)-IF(TbTradesBinance[[#This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Row],[Tipo]]="DROP"),W114+TbTradesBinance[[#This Row],[Qtt]],W114-TbTradesBinance[[#This Row],[Qtt]]),IF(TbTradesBinance[[#This Row],[Tipo]]="BUY",W114-TbTradesBinance[[#This Row],[Qtt]]*TbTradesBinance[[#This Row],[Preço]],W114+TbTradesBinance[[#This Row],[Qtt]]*TbTradesBinance[[#This Row],[Preço]])),W114)-IF(TbTradesBinance[[#This Row],[Moeda da Taxa]]=MID(W$1,9,5),TbTradesBinance[[#This Row],[Taxa]],0),8)))</f>
        <v>2.90136E-3</v>
      </c>
      <c r="X115" s="145" cm="1">
        <f t="array" ref="X115">IF(TbTradesBinance[[#This Row],[Tipo]]="EMPTY",0,X114+IF(TbTradesBinance[[#This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Row],[Par]]))),$1:$1,0)),-(W114-W115)/W114*X114),0),0)+IF(TbTradesBinance[[#This Row],[Tipo]]="SELL",IF(ISNUMBER(FIND(MID(X$1,10,5),TbTradesBinance[[#This Row],[Par]])),IF(FIND(MID(X$1,10,5),TbTradesBinance[[#This Row],[Par]])=1, -(W114-W115)/W114*X114,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Row],[Par]])),(-(W114-W115)/W114*X114)+IF(TbTradesBinance[[#This Row],[Resultado]]&gt;0,0,TbTradesBinance[[#This Row],[Taxa]]),0),0))</f>
        <v>968.28727290721815</v>
      </c>
      <c r="Y115" s="145">
        <f t="shared" si="23"/>
        <v>333735.65255853056</v>
      </c>
      <c r="Z11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Row],[Tipo]]="DROP"),Z114+TbTradesBinance[[#This Row],[Qtt]],Z114-TbTradesBinance[[#This Row],[Qtt]]),IF(TbTradesBinance[[#This Row],[Tipo]]="BUY",Z114-TbTradesBinance[[#This Row],[Qtt]]*TbTradesBinance[[#This Row],[Preço]],Z114+TbTradesBinance[[#This Row],[Qtt]]*TbTradesBinance[[#This Row],[Preço]])),Z114)-IF(TbTradesBinance[[#This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Row],[Tipo]]="DROP"),Z114+TbTradesBinance[[#This Row],[Qtt]],Z114-TbTradesBinance[[#This Row],[Qtt]]),IF(TbTradesBinance[[#This Row],[Tipo]]="BUY",Z114-TbTradesBinance[[#This Row],[Qtt]]*TbTradesBinance[[#This Row],[Preço]],Z114+TbTradesBinance[[#This Row],[Qtt]]*TbTradesBinance[[#This Row],[Preço]])),Z114)-IF(TbTradesBinance[[#This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Row],[Tipo]]="DROP"),Z114+TbTradesBinance[[#This Row],[Qtt]],Z114-TbTradesBinance[[#This Row],[Qtt]]),IF(TbTradesBinance[[#This Row],[Tipo]]="BUY",Z114-TbTradesBinance[[#This Row],[Qtt]]*TbTradesBinance[[#This Row],[Preço]],Z114+TbTradesBinance[[#This Row],[Qtt]]*TbTradesBinance[[#This Row],[Preço]])),Z114)-IF(TbTradesBinance[[#This Row],[Moeda da Taxa]]=MID(Z$1,9,5),TbTradesBinance[[#This Row],[Taxa]],0),8)))</f>
        <v>1.031935E-2</v>
      </c>
      <c r="AA115" s="145" cm="1">
        <f t="array" ref="AA115">IF(TbTradesBinance[[#This Row],[Tipo]]="EMPTY",0,AA114+IF(TbTradesBinance[[#This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Row],[Par]]))),$1:$1,0)),-(Z114-Z115)/Z114*AA114),0),0)+IF(TbTradesBinance[[#This Row],[Tipo]]="SELL",IF(ISNUMBER(FIND(MID(AA$1,10,5),TbTradesBinance[[#This Row],[Par]])),IF(FIND(MID(AA$1,10,5),TbTradesBinance[[#This Row],[Par]])=1, -(Z114-Z115)/Z114*AA114,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Row],[Par]])),(-(Z114-Z115)/Z114*AA114)+IF(TbTradesBinance[[#This Row],[Resultado]]&gt;0,0,TbTradesBinance[[#This Row],[Taxa]]),0),0))</f>
        <v>107.3592846539391</v>
      </c>
      <c r="AB115" s="145">
        <f t="shared" si="24"/>
        <v>10403.686729681531</v>
      </c>
      <c r="AC11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Row],[Tipo]]="DROP"),AC114+TbTradesBinance[[#This Row],[Qtt]],AC114-TbTradesBinance[[#This Row],[Qtt]]),IF(TbTradesBinance[[#This Row],[Tipo]]="BUY",AC114-TbTradesBinance[[#This Row],[Qtt]]*TbTradesBinance[[#This Row],[Preço]],AC114+TbTradesBinance[[#This Row],[Qtt]]*TbTradesBinance[[#This Row],[Preço]])),AC114)-IF(TbTradesBinance[[#This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Row],[Tipo]]="DROP"),AC114+TbTradesBinance[[#This Row],[Qtt]],AC114-TbTradesBinance[[#This Row],[Qtt]]),IF(TbTradesBinance[[#This Row],[Tipo]]="BUY",AC114-TbTradesBinance[[#This Row],[Qtt]]*TbTradesBinance[[#This Row],[Preço]],AC114+TbTradesBinance[[#This Row],[Qtt]]*TbTradesBinance[[#This Row],[Preço]])),AC114)-IF(TbTradesBinance[[#This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Row],[Tipo]]="DROP"),AC114+TbTradesBinance[[#This Row],[Qtt]],AC114-TbTradesBinance[[#This Row],[Qtt]]),IF(TbTradesBinance[[#This Row],[Tipo]]="BUY",AC114-TbTradesBinance[[#This Row],[Qtt]]*TbTradesBinance[[#This Row],[Preço]],AC114+TbTradesBinance[[#This Row],[Qtt]]*TbTradesBinance[[#This Row],[Preço]])),AC114)-IF(TbTradesBinance[[#This Row],[Moeda da Taxa]]=MID(AC$1,9,5),TbTradesBinance[[#This Row],[Taxa]],0),8)))</f>
        <v>9.6999E-4</v>
      </c>
      <c r="AD115" s="145" cm="1">
        <f t="array" ref="AD115">IF(TbTradesBinance[[#This Row],[Tipo]]="EMPTY",0,AD114+IF(TbTradesBinance[[#This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Row],[Par]]))),$1:$1,0)),-(AC114-AC115)/AC114*AD114),0),0)+IF(TbTradesBinance[[#This Row],[Tipo]]="SELL",IF(ISNUMBER(FIND(MID(AD$1,10,5),TbTradesBinance[[#This Row],[Par]])),IF(FIND(MID(AD$1,10,5),TbTradesBinance[[#This Row],[Par]])=1, -(AC114-AC115)/AC114*AD114,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Row],[Par]])),(-(AC114-AC115)/AC114*AD114)+IF(TbTradesBinance[[#This Row],[Resultado]]&gt;0,0,TbTradesBinance[[#This Row],[Taxa]]),0),0))</f>
        <v>1.9483868939812083</v>
      </c>
      <c r="AE115" s="145">
        <f t="shared" si="25"/>
        <v>2008.6669903619711</v>
      </c>
      <c r="AF11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Row],[Tipo]]="DROP"),AF114+TbTradesBinance[[#This Row],[Qtt]],AF114-TbTradesBinance[[#This Row],[Qtt]]),IF(TbTradesBinance[[#This Row],[Tipo]]="BUY",AF114-TbTradesBinance[[#This Row],[Qtt]]*TbTradesBinance[[#This Row],[Preço]],AF114+TbTradesBinance[[#This Row],[Qtt]]*TbTradesBinance[[#This Row],[Preço]])),AF114)-IF(TbTradesBinance[[#This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Row],[Tipo]]="DROP"),AF114+TbTradesBinance[[#This Row],[Qtt]],AF114-TbTradesBinance[[#This Row],[Qtt]]),IF(TbTradesBinance[[#This Row],[Tipo]]="BUY",AF114-TbTradesBinance[[#This Row],[Qtt]]*TbTradesBinance[[#This Row],[Preço]],AF114+TbTradesBinance[[#This Row],[Qtt]]*TbTradesBinance[[#This Row],[Preço]])),AF114)-IF(TbTradesBinance[[#This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Row],[Tipo]]="DROP"),AF114+TbTradesBinance[[#This Row],[Qtt]],AF114-TbTradesBinance[[#This Row],[Qtt]]),IF(TbTradesBinance[[#This Row],[Tipo]]="BUY",AF114-TbTradesBinance[[#This Row],[Qtt]]*TbTradesBinance[[#This Row],[Preço]],AF114+TbTradesBinance[[#This Row],[Qtt]]*TbTradesBinance[[#This Row],[Preço]])),AF114)-IF(TbTradesBinance[[#This Row],[Moeda da Taxa]]=MID(AF$1,9,5),TbTradesBinance[[#This Row],[Taxa]],0),8)))</f>
        <v>0.08</v>
      </c>
      <c r="AG115" s="145" cm="1">
        <f t="array" ref="AG115">IF(TbTradesBinance[[#This Row],[Tipo]]="EMPTY",0,AG114+IF(TbTradesBinance[[#This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Row],[Par]]))),$1:$1,0)),-(AF114-AF115)/AF114*AG114),0),0)+IF(TbTradesBinance[[#This Row],[Tipo]]="SELL",IF(ISNUMBER(FIND(MID(AG$1,10,5),TbTradesBinance[[#This Row],[Par]])),IF(FIND(MID(AG$1,10,5),TbTradesBinance[[#This Row],[Par]])=1, -(AF114-AF115)/AF114*AG114,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Row],[Par]])),(-(AF114-AF115)/AF114*AG114)+IF(TbTradesBinance[[#This Row],[Resultado]]&gt;0,0,TbTradesBinance[[#This Row],[Taxa]]),0),0))</f>
        <v>0.49666397429723474</v>
      </c>
      <c r="AH115" s="145">
        <f t="shared" si="26"/>
        <v>6.2082996787154343</v>
      </c>
      <c r="AI11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Row],[Tipo]]="DROP"),AI114+TbTradesBinance[[#This Row],[Qtt]],AI114-TbTradesBinance[[#This Row],[Qtt]]),IF(TbTradesBinance[[#This Row],[Tipo]]="BUY",AI114-TbTradesBinance[[#This Row],[Qtt]]*TbTradesBinance[[#This Row],[Preço]],AI114+TbTradesBinance[[#This Row],[Qtt]]*TbTradesBinance[[#This Row],[Preço]])),AI114)-IF(TbTradesBinance[[#This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Row],[Tipo]]="DROP"),AI114+TbTradesBinance[[#This Row],[Qtt]],AI114-TbTradesBinance[[#This Row],[Qtt]]),IF(TbTradesBinance[[#This Row],[Tipo]]="BUY",AI114-TbTradesBinance[[#This Row],[Qtt]]*TbTradesBinance[[#This Row],[Preço]],AI114+TbTradesBinance[[#This Row],[Qtt]]*TbTradesBinance[[#This Row],[Preço]])),AI114)-IF(TbTradesBinance[[#This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Row],[Tipo]]="DROP"),AI114+TbTradesBinance[[#This Row],[Qtt]],AI114-TbTradesBinance[[#This Row],[Qtt]]),IF(TbTradesBinance[[#This Row],[Tipo]]="BUY",AI114-TbTradesBinance[[#This Row],[Qtt]]*TbTradesBinance[[#This Row],[Preço]],AI114+TbTradesBinance[[#This Row],[Qtt]]*TbTradesBinance[[#This Row],[Preço]])),AI114)-IF(TbTradesBinance[[#This Row],[Moeda da Taxa]]=MID(AI$1,9,5),TbTradesBinance[[#This Row],[Taxa]],0),8)))</f>
        <v>0</v>
      </c>
      <c r="AJ115" s="145" cm="1">
        <f t="array" ref="AJ115">IF(TbTradesBinance[[#This Row],[Tipo]]="EMPTY",0,AJ114+IF(TbTradesBinance[[#This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Row],[Par]]))),$1:$1,0)),-(AI114-AI115)/AI114*AJ114),0),0)+IF(TbTradesBinance[[#This Row],[Tipo]]="SELL",IF(ISNUMBER(FIND(MID(AJ$1,10,5),TbTradesBinance[[#This Row],[Par]])),IF(FIND(MID(AJ$1,10,5),TbTradesBinance[[#This Row],[Par]])=1, -(AI114-AI115)/AI114*AJ114,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Row],[Par]])),(-(AI114-AI115)/AI114*AJ114)+IF(TbTradesBinance[[#This Row],[Resultado]]&gt;0,0,TbTradesBinance[[#This Row],[Taxa]]),0),0))</f>
        <v>0</v>
      </c>
      <c r="AK115" s="145">
        <f t="shared" si="27"/>
        <v>0</v>
      </c>
      <c r="AL11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Row],[Tipo]]="DROP"),AL114+TbTradesBinance[[#This Row],[Qtt]],AL114-TbTradesBinance[[#This Row],[Qtt]]),IF(TbTradesBinance[[#This Row],[Tipo]]="BUY",AL114-TbTradesBinance[[#This Row],[Qtt]]*TbTradesBinance[[#This Row],[Preço]],AL114+TbTradesBinance[[#This Row],[Qtt]]*TbTradesBinance[[#This Row],[Preço]])),AL114)-IF(TbTradesBinance[[#This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Row],[Tipo]]="DROP"),AL114+TbTradesBinance[[#This Row],[Qtt]],AL114-TbTradesBinance[[#This Row],[Qtt]]),IF(TbTradesBinance[[#This Row],[Tipo]]="BUY",AL114-TbTradesBinance[[#This Row],[Qtt]]*TbTradesBinance[[#This Row],[Preço]],AL114+TbTradesBinance[[#This Row],[Qtt]]*TbTradesBinance[[#This Row],[Preço]])),AL114)-IF(TbTradesBinance[[#This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Row],[Tipo]]="DROP"),AL114+TbTradesBinance[[#This Row],[Qtt]],AL114-TbTradesBinance[[#This Row],[Qtt]]),IF(TbTradesBinance[[#This Row],[Tipo]]="BUY",AL114-TbTradesBinance[[#This Row],[Qtt]]*TbTradesBinance[[#This Row],[Preço]],AL114+TbTradesBinance[[#This Row],[Qtt]]*TbTradesBinance[[#This Row],[Preço]])),AL114)-IF(TbTradesBinance[[#This Row],[Moeda da Taxa]]=MID(AL$1,9,5),TbTradesBinance[[#This Row],[Taxa]],0),8)))</f>
        <v>8.2400000000000008E-3</v>
      </c>
      <c r="AM115" s="145" cm="1">
        <f t="array" ref="AM115">IF(TbTradesBinance[[#This Row],[Tipo]]="EMPTY",0,AM114+IF(TbTradesBinance[[#This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Row],[Par]]))),$1:$1,0)),-(AL114-AL115)/AL114*AM114),0),0)+IF(TbTradesBinance[[#This Row],[Tipo]]="SELL",IF(ISNUMBER(FIND(MID(AM$1,10,5),TbTradesBinance[[#This Row],[Par]])),IF(FIND(MID(AM$1,10,5),TbTradesBinance[[#This Row],[Par]])=1, -(AL114-AL115)/AL114*AM114,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Row],[Par]])),(-(AL114-AL115)/AL114*AM114)+IF(TbTradesBinance[[#This Row],[Resultado]]&gt;0,0,TbTradesBinance[[#This Row],[Taxa]]),0),0))</f>
        <v>0.67751089887772764</v>
      </c>
      <c r="AN115" s="145">
        <f t="shared" si="28"/>
        <v>82.222196465743636</v>
      </c>
      <c r="AO11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Row],[Tipo]]="DROP"),AO114+TbTradesBinance[[#This Row],[Qtt]],AO114-TbTradesBinance[[#This Row],[Qtt]]),IF(TbTradesBinance[[#This Row],[Tipo]]="BUY",AO114-TbTradesBinance[[#This Row],[Qtt]]*TbTradesBinance[[#This Row],[Preço]],AO114+TbTradesBinance[[#This Row],[Qtt]]*TbTradesBinance[[#This Row],[Preço]])),AO114)-IF(TbTradesBinance[[#This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Row],[Tipo]]="DROP"),AO114+TbTradesBinance[[#This Row],[Qtt]],AO114-TbTradesBinance[[#This Row],[Qtt]]),IF(TbTradesBinance[[#This Row],[Tipo]]="BUY",AO114-TbTradesBinance[[#This Row],[Qtt]]*TbTradesBinance[[#This Row],[Preço]],AO114+TbTradesBinance[[#This Row],[Qtt]]*TbTradesBinance[[#This Row],[Preço]])),AO114)-IF(TbTradesBinance[[#This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Row],[Tipo]]="DROP"),AO114+TbTradesBinance[[#This Row],[Qtt]],AO114-TbTradesBinance[[#This Row],[Qtt]]),IF(TbTradesBinance[[#This Row],[Tipo]]="BUY",AO114-TbTradesBinance[[#This Row],[Qtt]]*TbTradesBinance[[#This Row],[Preço]],AO114+TbTradesBinance[[#This Row],[Qtt]]*TbTradesBinance[[#This Row],[Preço]])),AO114)-IF(TbTradesBinance[[#This Row],[Moeda da Taxa]]=MID(AO$1,9,5),TbTradesBinance[[#This Row],[Taxa]],0),8)))</f>
        <v>7.4631299999999998E-2</v>
      </c>
      <c r="AP115" s="145" cm="1">
        <f t="array" ref="AP115">IF(TbTradesBinance[[#This Row],[Tipo]]="EMPTY",0,AP114+IF(TbTradesBinance[[#This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Row],[Par]]))),$1:$1,0)),-(AO114-AO115)/AO114*AP114),0),0)+IF(TbTradesBinance[[#This Row],[Tipo]]="SELL",IF(ISNUMBER(FIND(MID(AP$1,10,5),TbTradesBinance[[#This Row],[Par]])),IF(FIND(MID(AP$1,10,5),TbTradesBinance[[#This Row],[Par]])=1, -(AO114-AO115)/AO114*AP114,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Row],[Par]])),(-(AO114-AO115)/AO114*AP114)+IF(TbTradesBinance[[#This Row],[Resultado]]&gt;0,0,TbTradesBinance[[#This Row],[Taxa]]),0),0))</f>
        <v>113.87766627073657</v>
      </c>
      <c r="AQ115" s="145">
        <f t="shared" si="29"/>
        <v>1525.8700608288557</v>
      </c>
      <c r="AR11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Row],[Tipo]]="DROP"),AR114+TbTradesBinance[[#This Row],[Qtt]],AR114-TbTradesBinance[[#This Row],[Qtt]]),IF(TbTradesBinance[[#This Row],[Tipo]]="BUY",AR114-TbTradesBinance[[#This Row],[Qtt]]*TbTradesBinance[[#This Row],[Preço]],AR114+TbTradesBinance[[#This Row],[Qtt]]*TbTradesBinance[[#This Row],[Preço]])),AR114)-IF(TbTradesBinance[[#This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Row],[Tipo]]="DROP"),AR114+TbTradesBinance[[#This Row],[Qtt]],AR114-TbTradesBinance[[#This Row],[Qtt]]),IF(TbTradesBinance[[#This Row],[Tipo]]="BUY",AR114-TbTradesBinance[[#This Row],[Qtt]]*TbTradesBinance[[#This Row],[Preço]],AR114+TbTradesBinance[[#This Row],[Qtt]]*TbTradesBinance[[#This Row],[Preço]])),AR114)-IF(TbTradesBinance[[#This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Row],[Tipo]]="DROP"),AR114+TbTradesBinance[[#This Row],[Qtt]],AR114-TbTradesBinance[[#This Row],[Qtt]]),IF(TbTradesBinance[[#This Row],[Tipo]]="BUY",AR114-TbTradesBinance[[#This Row],[Qtt]]*TbTradesBinance[[#This Row],[Preço]],AR114+TbTradesBinance[[#This Row],[Qtt]]*TbTradesBinance[[#This Row],[Preço]])),AR114)-IF(TbTradesBinance[[#This Row],[Moeda da Taxa]]=MID(AR$1,9,5),TbTradesBinance[[#This Row],[Taxa]],0),8)))</f>
        <v>61.251199999999997</v>
      </c>
      <c r="AS115" s="145" cm="1">
        <f t="array" ref="AS115">IF(TbTradesBinance[[#This Row],[Tipo]]="EMPTY",0,AS114+IF(TbTradesBinance[[#This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Row],[Par]]))),$1:$1,0)),-(AR114-AR115)/AR114*AS114),0),0)+IF(TbTradesBinance[[#This Row],[Tipo]]="SELL",IF(ISNUMBER(FIND(MID(AS$1,10,5),TbTradesBinance[[#This Row],[Par]])),IF(FIND(MID(AS$1,10,5),TbTradesBinance[[#This Row],[Par]])=1, -(AR114-AR115)/AR114*AS114,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Row],[Par]])),(-(AR114-AR115)/AR114*AS114)+IF(TbTradesBinance[[#This Row],[Resultado]]&gt;0,0,TbTradesBinance[[#This Row],[Taxa]]),0),0))</f>
        <v>230.84001376053044</v>
      </c>
      <c r="AT115" s="145">
        <f t="shared" si="30"/>
        <v>3.7687427146003745</v>
      </c>
      <c r="AU11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Row],[Tipo]]="DROP"),AU114+TbTradesBinance[[#This Row],[Qtt]],AU114-TbTradesBinance[[#This Row],[Qtt]]),IF(TbTradesBinance[[#This Row],[Tipo]]="BUY",AU114-TbTradesBinance[[#This Row],[Qtt]]*TbTradesBinance[[#This Row],[Preço]],AU114+TbTradesBinance[[#This Row],[Qtt]]*TbTradesBinance[[#This Row],[Preço]])),AU114)-IF(TbTradesBinance[[#This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Row],[Tipo]]="DROP"),AU114+TbTradesBinance[[#This Row],[Qtt]],AU114-TbTradesBinance[[#This Row],[Qtt]]),IF(TbTradesBinance[[#This Row],[Tipo]]="BUY",AU114-TbTradesBinance[[#This Row],[Qtt]]*TbTradesBinance[[#This Row],[Preço]],AU114+TbTradesBinance[[#This Row],[Qtt]]*TbTradesBinance[[#This Row],[Preço]])),AU114)-IF(TbTradesBinance[[#This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Row],[Tipo]]="DROP"),AU114+TbTradesBinance[[#This Row],[Qtt]],AU114-TbTradesBinance[[#This Row],[Qtt]]),IF(TbTradesBinance[[#This Row],[Tipo]]="BUY",AU114-TbTradesBinance[[#This Row],[Qtt]]*TbTradesBinance[[#This Row],[Preço]],AU114+TbTradesBinance[[#This Row],[Qtt]]*TbTradesBinance[[#This Row],[Preço]])),AU114)-IF(TbTradesBinance[[#This Row],[Moeda da Taxa]]=MID(AU$1,9,5),TbTradesBinance[[#This Row],[Taxa]],0),8)))</f>
        <v>0</v>
      </c>
      <c r="AV115" s="145" cm="1">
        <f t="array" ref="AV115">IF(TbTradesBinance[[#This Row],[Tipo]]="EMPTY",0,AV114+IF(TbTradesBinance[[#This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Row],[Par]]))),$1:$1,0)),-(AU114-AU115)/AU114*AV114),0),0)+IF(TbTradesBinance[[#This Row],[Tipo]]="SELL",IF(ISNUMBER(FIND(MID(AV$1,10,5),TbTradesBinance[[#This Row],[Par]])),IF(FIND(MID(AV$1,10,5),TbTradesBinance[[#This Row],[Par]])=1, -(AU114-AU115)/AU114*AV114,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Row],[Par]])),(-(AU114-AU115)/AU114*AV114)+IF(TbTradesBinance[[#This Row],[Resultado]]&gt;0,0,TbTradesBinance[[#This Row],[Taxa]]),0),0))</f>
        <v>0</v>
      </c>
      <c r="AW115" s="145">
        <f t="shared" si="31"/>
        <v>0</v>
      </c>
      <c r="AX11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Row],[Tipo]]="DROP"),AX114+TbTradesBinance[[#This Row],[Qtt]],AX114-TbTradesBinance[[#This Row],[Qtt]]),IF(TbTradesBinance[[#This Row],[Tipo]]="BUY",AX114-TbTradesBinance[[#This Row],[Qtt]]*TbTradesBinance[[#This Row],[Preço]],AX114+TbTradesBinance[[#This Row],[Qtt]]*TbTradesBinance[[#This Row],[Preço]])),AX114)-IF(TbTradesBinance[[#This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Row],[Tipo]]="DROP"),AX114+TbTradesBinance[[#This Row],[Qtt]],AX114-TbTradesBinance[[#This Row],[Qtt]]),IF(TbTradesBinance[[#This Row],[Tipo]]="BUY",AX114-TbTradesBinance[[#This Row],[Qtt]]*TbTradesBinance[[#This Row],[Preço]],AX114+TbTradesBinance[[#This Row],[Qtt]]*TbTradesBinance[[#This Row],[Preço]])),AX114)-IF(TbTradesBinance[[#This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Row],[Tipo]]="DROP"),AX114+TbTradesBinance[[#This Row],[Qtt]],AX114-TbTradesBinance[[#This Row],[Qtt]]),IF(TbTradesBinance[[#This Row],[Tipo]]="BUY",AX114-TbTradesBinance[[#This Row],[Qtt]]*TbTradesBinance[[#This Row],[Preço]],AX114+TbTradesBinance[[#This Row],[Qtt]]*TbTradesBinance[[#This Row],[Preço]])),AX114)-IF(TbTradesBinance[[#This Row],[Moeda da Taxa]]=MID(AX$1,9,5),TbTradesBinance[[#This Row],[Taxa]],0),8)))</f>
        <v>0.85636999999999996</v>
      </c>
      <c r="AY115" s="145" cm="1">
        <f t="array" ref="AY115">IF(TbTradesBinance[[#This Row],[Tipo]]="EMPTY",0,AY114+IF(TbTradesBinance[[#This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Row],[Par]]))),$1:$1,0)),-(AX114-AX115)/AX114*AY114),0),0)+IF(TbTradesBinance[[#This Row],[Tipo]]="SELL",IF(ISNUMBER(FIND(MID(AY$1,10,5),TbTradesBinance[[#This Row],[Par]])),IF(FIND(MID(AY$1,10,5),TbTradesBinance[[#This Row],[Par]])=1, -(AX114-AX115)/AX114*AY114,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Row],[Par]])),(-(AX114-AX115)/AX114*AY114)+IF(TbTradesBinance[[#This Row],[Resultado]]&gt;0,0,TbTradesBinance[[#This Row],[Taxa]]),0),0))</f>
        <v>131.82971181780295</v>
      </c>
      <c r="AZ115" s="145">
        <f t="shared" si="32"/>
        <v>153.94013314081874</v>
      </c>
      <c r="BA11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Row],[Tipo]]="DROP"),BA114+TbTradesBinance[[#This Row],[Qtt]],BA114-TbTradesBinance[[#This Row],[Qtt]]),IF(TbTradesBinance[[#This Row],[Tipo]]="BUY",BA114-TbTradesBinance[[#This Row],[Qtt]]*TbTradesBinance[[#This Row],[Preço]],BA114+TbTradesBinance[[#This Row],[Qtt]]*TbTradesBinance[[#This Row],[Preço]])),BA114)-IF(TbTradesBinance[[#This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Row],[Tipo]]="DROP"),BA114+TbTradesBinance[[#This Row],[Qtt]],BA114-TbTradesBinance[[#This Row],[Qtt]]),IF(TbTradesBinance[[#This Row],[Tipo]]="BUY",BA114-TbTradesBinance[[#This Row],[Qtt]]*TbTradesBinance[[#This Row],[Preço]],BA114+TbTradesBinance[[#This Row],[Qtt]]*TbTradesBinance[[#This Row],[Preço]])),BA114)-IF(TbTradesBinance[[#This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Row],[Tipo]]="DROP"),BA114+TbTradesBinance[[#This Row],[Qtt]],BA114-TbTradesBinance[[#This Row],[Qtt]]),IF(TbTradesBinance[[#This Row],[Tipo]]="BUY",BA114-TbTradesBinance[[#This Row],[Qtt]]*TbTradesBinance[[#This Row],[Preço]],BA114+TbTradesBinance[[#This Row],[Qtt]]*TbTradesBinance[[#This Row],[Preço]])),BA114)-IF(TbTradesBinance[[#This Row],[Moeda da Taxa]]=MID(BA$1,9,5),TbTradesBinance[[#This Row],[Taxa]],0),8)))</f>
        <v>0</v>
      </c>
      <c r="BB115" s="145" cm="1">
        <f t="array" ref="BB115">IF(TbTradesBinance[[#This Row],[Tipo]]="EMPTY",0,BB114+IF(TbTradesBinance[[#This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Row],[Par]]))),$1:$1,0)),-(BA114-BA115)/BA114*BB114),0),0)+IF(TbTradesBinance[[#This Row],[Tipo]]="SELL",IF(ISNUMBER(FIND(MID(BB$1,10,5),TbTradesBinance[[#This Row],[Par]])),IF(FIND(MID(BB$1,10,5),TbTradesBinance[[#This Row],[Par]])=1, -(BA114-BA115)/BA114*BB114,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Row],[Par]])),(-(BA114-BA115)/BA114*BB114)+IF(TbTradesBinance[[#This Row],[Resultado]]&gt;0,0,TbTradesBinance[[#This Row],[Taxa]]),0),0))</f>
        <v>0</v>
      </c>
      <c r="BC115" s="145">
        <f t="shared" si="33"/>
        <v>0</v>
      </c>
      <c r="BD11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Row],[Tipo]]="DROP"),BD114+TbTradesBinance[[#This Row],[Qtt]],BD114-TbTradesBinance[[#This Row],[Qtt]]),IF(TbTradesBinance[[#This Row],[Tipo]]="BUY",BD114-TbTradesBinance[[#This Row],[Qtt]]*TbTradesBinance[[#This Row],[Preço]],BD114+TbTradesBinance[[#This Row],[Qtt]]*TbTradesBinance[[#This Row],[Preço]])),BD114)-IF(TbTradesBinance[[#This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Row],[Tipo]]="DROP"),BD114+TbTradesBinance[[#This Row],[Qtt]],BD114-TbTradesBinance[[#This Row],[Qtt]]),IF(TbTradesBinance[[#This Row],[Tipo]]="BUY",BD114-TbTradesBinance[[#This Row],[Qtt]]*TbTradesBinance[[#This Row],[Preço]],BD114+TbTradesBinance[[#This Row],[Qtt]]*TbTradesBinance[[#This Row],[Preço]])),BD114)-IF(TbTradesBinance[[#This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Row],[Tipo]]="DROP"),BD114+TbTradesBinance[[#This Row],[Qtt]],BD114-TbTradesBinance[[#This Row],[Qtt]]),IF(TbTradesBinance[[#This Row],[Tipo]]="BUY",BD114-TbTradesBinance[[#This Row],[Qtt]]*TbTradesBinance[[#This Row],[Preço]],BD114+TbTradesBinance[[#This Row],[Qtt]]*TbTradesBinance[[#This Row],[Preço]])),BD114)-IF(TbTradesBinance[[#This Row],[Moeda da Taxa]]=MID(BD$1,9,5),TbTradesBinance[[#This Row],[Taxa]],0),8)))</f>
        <v>9.0599900000000004E-3</v>
      </c>
      <c r="BE115" s="145" cm="1">
        <f t="array" ref="BE115">IF(TbTradesBinance[[#This Row],[Tipo]]="EMPTY",0,BE114+IF(TbTradesBinance[[#This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Row],[Par]]))),$1:$1,0)),-(BD114-BD115)/BD114*BE114),0),0)+IF(TbTradesBinance[[#This Row],[Tipo]]="SELL",IF(ISNUMBER(FIND(MID(BE$1,10,5),TbTradesBinance[[#This Row],[Par]])),IF(FIND(MID(BE$1,10,5),TbTradesBinance[[#This Row],[Par]])=1, -(BD114-BD115)/BD114*BE114,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Row],[Par]])),(-(BD114-BD115)/BD114*BE114)+IF(TbTradesBinance[[#This Row],[Resultado]]&gt;0,0,TbTradesBinance[[#This Row],[Taxa]]),0),0))</f>
        <v>1.6846969284922721</v>
      </c>
      <c r="BF115" s="145">
        <f t="shared" si="34"/>
        <v>185.94909359638058</v>
      </c>
      <c r="BG11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Row],[Tipo]]="DROP"),BG114+TbTradesBinance[[#This Row],[Qtt]],BG114-TbTradesBinance[[#This Row],[Qtt]]),IF(TbTradesBinance[[#This Row],[Tipo]]="BUY",BG114-TbTradesBinance[[#This Row],[Qtt]]*TbTradesBinance[[#This Row],[Preço]],BG114+TbTradesBinance[[#This Row],[Qtt]]*TbTradesBinance[[#This Row],[Preço]])),BG114)-IF(TbTradesBinance[[#This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Row],[Tipo]]="DROP"),BG114+TbTradesBinance[[#This Row],[Qtt]],BG114-TbTradesBinance[[#This Row],[Qtt]]),IF(TbTradesBinance[[#This Row],[Tipo]]="BUY",BG114-TbTradesBinance[[#This Row],[Qtt]]*TbTradesBinance[[#This Row],[Preço]],BG114+TbTradesBinance[[#This Row],[Qtt]]*TbTradesBinance[[#This Row],[Preço]])),BG114)-IF(TbTradesBinance[[#This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Row],[Tipo]]="DROP"),BG114+TbTradesBinance[[#This Row],[Qtt]],BG114-TbTradesBinance[[#This Row],[Qtt]]),IF(TbTradesBinance[[#This Row],[Tipo]]="BUY",BG114-TbTradesBinance[[#This Row],[Qtt]]*TbTradesBinance[[#This Row],[Preço]],BG114+TbTradesBinance[[#This Row],[Qtt]]*TbTradesBinance[[#This Row],[Preço]])),BG114)-IF(TbTradesBinance[[#This Row],[Moeda da Taxa]]=MID(BG$1,9,5),TbTradesBinance[[#This Row],[Taxa]],0),8)))</f>
        <v>0</v>
      </c>
      <c r="BH115" s="145" cm="1">
        <f t="array" ref="BH115">IF(TbTradesBinance[[#This Row],[Tipo]]="EMPTY",0,BH114+IF(TbTradesBinance[[#This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Row],[Par]]))),$1:$1,0)),-(BG114-BG115)/BG114*BH114),0),0)+IF(TbTradesBinance[[#This Row],[Tipo]]="SELL",IF(ISNUMBER(FIND(MID(BH$1,10,5),TbTradesBinance[[#This Row],[Par]])),IF(FIND(MID(BH$1,10,5),TbTradesBinance[[#This Row],[Par]])=1, -(BG114-BG115)/BG114*BH114,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Row],[Par]])),(-(BG114-BG115)/BG114*BH114)+IF(TbTradesBinance[[#This Row],[Resultado]]&gt;0,0,TbTradesBinance[[#This Row],[Taxa]]),0),0))</f>
        <v>0</v>
      </c>
      <c r="BI115" s="145">
        <f t="shared" si="35"/>
        <v>0</v>
      </c>
      <c r="BJ11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Row],[Tipo]]="DROP"),BJ114+TbTradesBinance[[#This Row],[Qtt]],BJ114-TbTradesBinance[[#This Row],[Qtt]]),IF(TbTradesBinance[[#This Row],[Tipo]]="BUY",BJ114-TbTradesBinance[[#This Row],[Qtt]]*TbTradesBinance[[#This Row],[Preço]],BJ114+TbTradesBinance[[#This Row],[Qtt]]*TbTradesBinance[[#This Row],[Preço]])),BJ114)-IF(TbTradesBinance[[#This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Row],[Tipo]]="DROP"),BJ114+TbTradesBinance[[#This Row],[Qtt]],BJ114-TbTradesBinance[[#This Row],[Qtt]]),IF(TbTradesBinance[[#This Row],[Tipo]]="BUY",BJ114-TbTradesBinance[[#This Row],[Qtt]]*TbTradesBinance[[#This Row],[Preço]],BJ114+TbTradesBinance[[#This Row],[Qtt]]*TbTradesBinance[[#This Row],[Preço]])),BJ114)-IF(TbTradesBinance[[#This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Row],[Tipo]]="DROP"),BJ114+TbTradesBinance[[#This Row],[Qtt]],BJ114-TbTradesBinance[[#This Row],[Qtt]]),IF(TbTradesBinance[[#This Row],[Tipo]]="BUY",BJ114-TbTradesBinance[[#This Row],[Qtt]]*TbTradesBinance[[#This Row],[Preço]],BJ114+TbTradesBinance[[#This Row],[Qtt]]*TbTradesBinance[[#This Row],[Preço]])),BJ114)-IF(TbTradesBinance[[#This Row],[Moeda da Taxa]]=MID(BJ$1,9,5),TbTradesBinance[[#This Row],[Taxa]],0),8)))</f>
        <v>0</v>
      </c>
      <c r="BK115" s="145" cm="1">
        <f t="array" ref="BK115">IF(TbTradesBinance[[#This Row],[Tipo]]="EMPTY",0,BK114+IF(TbTradesBinance[[#This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Row],[Par]]))),$1:$1,0)),-(BJ114-BJ115)/BJ114*BK114),0),0)+IF(TbTradesBinance[[#This Row],[Tipo]]="SELL",IF(ISNUMBER(FIND(MID(BK$1,10,5),TbTradesBinance[[#This Row],[Par]])),IF(FIND(MID(BK$1,10,5),TbTradesBinance[[#This Row],[Par]])=1, -(BJ114-BJ115)/BJ114*BK114,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Row],[Par]])),(-(BJ114-BJ115)/BJ114*BK114)+IF(TbTradesBinance[[#This Row],[Resultado]]&gt;0,0,TbTradesBinance[[#This Row],[Taxa]]),0),0))</f>
        <v>0</v>
      </c>
      <c r="BL115" s="145">
        <f t="shared" si="36"/>
        <v>0</v>
      </c>
      <c r="BM11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Row],[Tipo]]="DROP"),BM114+TbTradesBinance[[#This Row],[Qtt]],BM114-TbTradesBinance[[#This Row],[Qtt]]),IF(TbTradesBinance[[#This Row],[Tipo]]="BUY",BM114-TbTradesBinance[[#This Row],[Qtt]]*TbTradesBinance[[#This Row],[Preço]],BM114+TbTradesBinance[[#This Row],[Qtt]]*TbTradesBinance[[#This Row],[Preço]])),BM114)-IF(TbTradesBinance[[#This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Row],[Tipo]]="DROP"),BM114+TbTradesBinance[[#This Row],[Qtt]],BM114-TbTradesBinance[[#This Row],[Qtt]]),IF(TbTradesBinance[[#This Row],[Tipo]]="BUY",BM114-TbTradesBinance[[#This Row],[Qtt]]*TbTradesBinance[[#This Row],[Preço]],BM114+TbTradesBinance[[#This Row],[Qtt]]*TbTradesBinance[[#This Row],[Preço]])),BM114)-IF(TbTradesBinance[[#This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Row],[Tipo]]="DROP"),BM114+TbTradesBinance[[#This Row],[Qtt]],BM114-TbTradesBinance[[#This Row],[Qtt]]),IF(TbTradesBinance[[#This Row],[Tipo]]="BUY",BM114-TbTradesBinance[[#This Row],[Qtt]]*TbTradesBinance[[#This Row],[Preço]],BM114+TbTradesBinance[[#This Row],[Qtt]]*TbTradesBinance[[#This Row],[Preço]])),BM114)-IF(TbTradesBinance[[#This Row],[Moeda da Taxa]]=MID(BM$1,9,5),TbTradesBinance[[#This Row],[Taxa]],0),8)))</f>
        <v>0</v>
      </c>
      <c r="BN115" s="145" cm="1">
        <f t="array" ref="BN115">IF(TbTradesBinance[[#This Row],[Tipo]]="EMPTY",0,BN114+IF(TbTradesBinance[[#This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Row],[Par]]))),$1:$1,0)),-(BM114-BM115)/BM114*BN114),0),0)+IF(TbTradesBinance[[#This Row],[Tipo]]="SELL",IF(ISNUMBER(FIND(MID(BN$1,10,5),TbTradesBinance[[#This Row],[Par]])),IF(FIND(MID(BN$1,10,5),TbTradesBinance[[#This Row],[Par]])=1, -(BM114-BM115)/BM114*BN114,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Row],[Par]])),(-(BM114-BM115)/BM114*BN114)+IF(TbTradesBinance[[#This Row],[Resultado]]&gt;0,0,TbTradesBinance[[#This Row],[Taxa]]),0),0))</f>
        <v>0</v>
      </c>
      <c r="BO115" s="145">
        <f t="shared" si="37"/>
        <v>0</v>
      </c>
    </row>
    <row r="116" spans="2:67" x14ac:dyDescent="0.3">
      <c r="B116" s="51" t="s">
        <v>141</v>
      </c>
      <c r="C116" s="40">
        <f>TRUNC(IF(AND(TbTradesBinance[[#This Row],[Tipo]]="SEND",TbTradesBinance[[#This Row],[Par]]="BRL"),TbTradesBinance[[#This Row],[Qtt]]*(1-P114)-IF(TbTradesBinance[[#This Row],[Moeda da Taxa]]="BRL",TbTradesBinance[[#This Row],[Taxa]],0),0)+IF(AND(TbTradesBinance[[#This Row],[Tipo]]="BURN",TbTradesBinance[[#This Row],[Par]]="BRL"),-TbTradesBinance[[#This Row],[Qtt]]*P114,0),2)</f>
        <v>0.02</v>
      </c>
      <c r="D116" s="53">
        <v>44275.667916666665</v>
      </c>
      <c r="E116" s="37" t="s">
        <v>50</v>
      </c>
      <c r="F116" s="47" t="s">
        <v>142</v>
      </c>
      <c r="G116" s="38">
        <v>1</v>
      </c>
      <c r="H116" s="38">
        <v>215</v>
      </c>
      <c r="I116" s="38">
        <v>0</v>
      </c>
      <c r="J116" s="37" t="s">
        <v>50</v>
      </c>
      <c r="K116" s="52">
        <v>1</v>
      </c>
      <c r="L116" s="40">
        <f t="shared" si="19"/>
        <v>1</v>
      </c>
      <c r="M116" s="40">
        <f>IF(OR(TbTradesBinance[[#This Row],[Tipo]]="BUY",TbTradesBinance[[#This Row],[Tipo]]="RECEIVE",TbTradesBinance[[#This Row],[Tipo]]="DROP"),L116*H116,-L116*H116)</f>
        <v>-215</v>
      </c>
      <c r="N11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Row],[Tipo]]="DROP"),N115+TbTradesBinance[[#This Row],[Qtt]],N115-TbTradesBinance[[#This Row],[Qtt]]),IF(TbTradesBinance[[#This Row],[Tipo]]="BUY",N115-TbTradesBinance[[#This Row],[Qtt]]*TbTradesBinance[[#This Row],[Preço]],N115+TbTradesBinance[[#This Row],[Qtt]]*TbTradesBinance[[#This Row],[Preço]])),N115)-IF(TbTradesBinance[[#This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Row],[Tipo]]="DROP"),N115+TbTradesBinance[[#This Row],[Qtt]],N115-TbTradesBinance[[#This Row],[Qtt]]),IF(TbTradesBinance[[#This Row],[Tipo]]="BUY",N115-TbTradesBinance[[#This Row],[Qtt]]*TbTradesBinance[[#This Row],[Preço]],N115+TbTradesBinance[[#This Row],[Qtt]]*TbTradesBinance[[#This Row],[Preço]])),N115)-IF(TbTradesBinance[[#This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Row],[Tipo]]="DROP"),N115+TbTradesBinance[[#This Row],[Qtt]],N115-TbTradesBinance[[#This Row],[Qtt]]),IF(TbTradesBinance[[#This Row],[Tipo]]="BUY",N115-TbTradesBinance[[#This Row],[Qtt]]*TbTradesBinance[[#This Row],[Preço]],N115+TbTradesBinance[[#This Row],[Qtt]]*TbTradesBinance[[#This Row],[Preço]])),N115)-IF(TbTradesBinance[[#This Row],[Moeda da Taxa]]=MID(N$1,9,5),TbTradesBinance[[#This Row],[Taxa]],0),8)))</f>
        <v>119746.42890708</v>
      </c>
      <c r="O116" s="145" cm="1">
        <f t="array" ref="O116">IF(TbTradesBinance[[#This Row],[Tipo]]="EMPTY",0,O115+IF(TbTradesBinance[[#This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Row],[Par]]))),$1:$1,0)),-(N115-N116)/N115*O115),0),0)+IF(TbTradesBinance[[#This Row],[Tipo]]="SELL",IF(ISNUMBER(FIND(MID(O$1,10,5),TbTradesBinance[[#This Row],[Par]])),IF(FIND(MID(O$1,10,5),TbTradesBinance[[#This Row],[Par]])=1, -(N115-N116)/N115*O115,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Row],[Par]])),(-(N115-N116)/N115*O115)+IF(TbTradesBinance[[#This Row],[Resultado]]&gt;0,0,TbTradesBinance[[#This Row],[Taxa]]),0),0))</f>
        <v>119735.19975279106</v>
      </c>
      <c r="P116" s="145">
        <f t="shared" si="20"/>
        <v>0.99990622556019892</v>
      </c>
      <c r="Q11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Row],[Tipo]]="DROP"),Q115+TbTradesBinance[[#This Row],[Qtt]],Q115-TbTradesBinance[[#This Row],[Qtt]]),IF(TbTradesBinance[[#This Row],[Tipo]]="BUY",Q115-TbTradesBinance[[#This Row],[Qtt]]*TbTradesBinance[[#This Row],[Preço]],Q115+TbTradesBinance[[#This Row],[Qtt]]*TbTradesBinance[[#This Row],[Preço]])),Q115)-IF(TbTradesBinance[[#This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Row],[Tipo]]="DROP"),Q115+TbTradesBinance[[#This Row],[Qtt]],Q115-TbTradesBinance[[#This Row],[Qtt]]),IF(TbTradesBinance[[#This Row],[Tipo]]="BUY",Q115-TbTradesBinance[[#This Row],[Qtt]]*TbTradesBinance[[#This Row],[Preço]],Q115+TbTradesBinance[[#This Row],[Qtt]]*TbTradesBinance[[#This Row],[Preço]])),Q115)-IF(TbTradesBinance[[#This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Row],[Tipo]]="DROP"),Q115+TbTradesBinance[[#This Row],[Qtt]],Q115-TbTradesBinance[[#This Row],[Qtt]]),IF(TbTradesBinance[[#This Row],[Tipo]]="BUY",Q115-TbTradesBinance[[#This Row],[Qtt]]*TbTradesBinance[[#This Row],[Preço]],Q115+TbTradesBinance[[#This Row],[Qtt]]*TbTradesBinance[[#This Row],[Preço]])),Q115)-IF(TbTradesBinance[[#This Row],[Moeda da Taxa]]=MID(Q$1,9,5),TbTradesBinance[[#This Row],[Taxa]],0),8)))</f>
        <v>2.8498099999999999E-3</v>
      </c>
      <c r="R116" s="145" cm="1">
        <f t="array" ref="R116">IF(TbTradesBinance[[#This Row],[Tipo]]="EMPTY",0,R115+IF(TbTradesBinance[[#This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Row],[Par]]))),$1:$1,0)),-(Q115-Q116)/Q115*R115),0),0)+IF(TbTradesBinance[[#This Row],[Tipo]]="SELL",IF(ISNUMBER(FIND(MID(R$1,10,5),TbTradesBinance[[#This Row],[Par]])),IF(FIND(MID(R$1,10,5),TbTradesBinance[[#This Row],[Par]])=1, -(Q115-Q116)/Q115*R115,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Row],[Par]])),(-(Q115-Q116)/Q115*R115)+IF(TbTradesBinance[[#This Row],[Resultado]]&gt;0,0,TbTradesBinance[[#This Row],[Taxa]]),0),0))</f>
        <v>1.5838731978959686E-2</v>
      </c>
      <c r="S116" s="145">
        <f t="shared" si="21"/>
        <v>5.5578203385347393</v>
      </c>
      <c r="T11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Row],[Tipo]]="DROP"),T115+TbTradesBinance[[#This Row],[Qtt]],T115-TbTradesBinance[[#This Row],[Qtt]]),IF(TbTradesBinance[[#This Row],[Tipo]]="BUY",T115-TbTradesBinance[[#This Row],[Qtt]]*TbTradesBinance[[#This Row],[Preço]],T115+TbTradesBinance[[#This Row],[Qtt]]*TbTradesBinance[[#This Row],[Preço]])),T115)-IF(TbTradesBinance[[#This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Row],[Tipo]]="DROP"),T115+TbTradesBinance[[#This Row],[Qtt]],T115-TbTradesBinance[[#This Row],[Qtt]]),IF(TbTradesBinance[[#This Row],[Tipo]]="BUY",T115-TbTradesBinance[[#This Row],[Qtt]]*TbTradesBinance[[#This Row],[Preço]],T115+TbTradesBinance[[#This Row],[Qtt]]*TbTradesBinance[[#This Row],[Preço]])),T115)-IF(TbTradesBinance[[#This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Row],[Tipo]]="DROP"),T115+TbTradesBinance[[#This Row],[Qtt]],T115-TbTradesBinance[[#This Row],[Qtt]]),IF(TbTradesBinance[[#This Row],[Tipo]]="BUY",T115-TbTradesBinance[[#This Row],[Qtt]]*TbTradesBinance[[#This Row],[Preço]],T115+TbTradesBinance[[#This Row],[Qtt]]*TbTradesBinance[[#This Row],[Preço]])),T115)-IF(TbTradesBinance[[#This Row],[Moeda da Taxa]]=MID(T$1,9,5),TbTradesBinance[[#This Row],[Taxa]],0),8)))</f>
        <v>199735.32000169999</v>
      </c>
      <c r="U116" s="145" cm="1">
        <f t="array" ref="U116">IF(TbTradesBinance[[#This Row],[Tipo]]="EMPTY",0,U115+IF(TbTradesBinance[[#This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Row],[Par]]))),$1:$1,0)),-(T115-T116)/T115*U115),0),0)+IF(TbTradesBinance[[#This Row],[Tipo]]="SELL",IF(ISNUMBER(FIND(MID(U$1,10,5),TbTradesBinance[[#This Row],[Par]])),IF(FIND(MID(U$1,10,5),TbTradesBinance[[#This Row],[Par]])=1, -(T115-T116)/T115*U115,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Row],[Par]])),(-(T115-T116)/T115*U115)+IF(TbTradesBinance[[#This Row],[Resultado]]&gt;0,0,TbTradesBinance[[#This Row],[Taxa]]),0),0))</f>
        <v>1328239.8809817513</v>
      </c>
      <c r="V116" s="145">
        <f t="shared" si="22"/>
        <v>6.6500000148719129</v>
      </c>
      <c r="W11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Row],[Tipo]]="DROP"),W115+TbTradesBinance[[#This Row],[Qtt]],W115-TbTradesBinance[[#This Row],[Qtt]]),IF(TbTradesBinance[[#This Row],[Tipo]]="BUY",W115-TbTradesBinance[[#This Row],[Qtt]]*TbTradesBinance[[#This Row],[Preço]],W115+TbTradesBinance[[#This Row],[Qtt]]*TbTradesBinance[[#This Row],[Preço]])),W115)-IF(TbTradesBinance[[#This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Row],[Tipo]]="DROP"),W115+TbTradesBinance[[#This Row],[Qtt]],W115-TbTradesBinance[[#This Row],[Qtt]]),IF(TbTradesBinance[[#This Row],[Tipo]]="BUY",W115-TbTradesBinance[[#This Row],[Qtt]]*TbTradesBinance[[#This Row],[Preço]],W115+TbTradesBinance[[#This Row],[Qtt]]*TbTradesBinance[[#This Row],[Preço]])),W115)-IF(TbTradesBinance[[#This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Row],[Tipo]]="DROP"),W115+TbTradesBinance[[#This Row],[Qtt]],W115-TbTradesBinance[[#This Row],[Qtt]]),IF(TbTradesBinance[[#This Row],[Tipo]]="BUY",W115-TbTradesBinance[[#This Row],[Qtt]]*TbTradesBinance[[#This Row],[Preço]],W115+TbTradesBinance[[#This Row],[Qtt]]*TbTradesBinance[[#This Row],[Preço]])),W115)-IF(TbTradesBinance[[#This Row],[Moeda da Taxa]]=MID(W$1,9,5),TbTradesBinance[[#This Row],[Taxa]],0),8)))</f>
        <v>2.90136E-3</v>
      </c>
      <c r="X116" s="145" cm="1">
        <f t="array" ref="X116">IF(TbTradesBinance[[#This Row],[Tipo]]="EMPTY",0,X115+IF(TbTradesBinance[[#This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Row],[Par]]))),$1:$1,0)),-(W115-W116)/W115*X115),0),0)+IF(TbTradesBinance[[#This Row],[Tipo]]="SELL",IF(ISNUMBER(FIND(MID(X$1,10,5),TbTradesBinance[[#This Row],[Par]])),IF(FIND(MID(X$1,10,5),TbTradesBinance[[#This Row],[Par]])=1, -(W115-W116)/W115*X115,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Row],[Par]])),(-(W115-W116)/W115*X115)+IF(TbTradesBinance[[#This Row],[Resultado]]&gt;0,0,TbTradesBinance[[#This Row],[Taxa]]),0),0))</f>
        <v>968.28727290721815</v>
      </c>
      <c r="Y116" s="145">
        <f t="shared" si="23"/>
        <v>333735.65255853056</v>
      </c>
      <c r="Z11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Row],[Tipo]]="DROP"),Z115+TbTradesBinance[[#This Row],[Qtt]],Z115-TbTradesBinance[[#This Row],[Qtt]]),IF(TbTradesBinance[[#This Row],[Tipo]]="BUY",Z115-TbTradesBinance[[#This Row],[Qtt]]*TbTradesBinance[[#This Row],[Preço]],Z115+TbTradesBinance[[#This Row],[Qtt]]*TbTradesBinance[[#This Row],[Preço]])),Z115)-IF(TbTradesBinance[[#This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Row],[Tipo]]="DROP"),Z115+TbTradesBinance[[#This Row],[Qtt]],Z115-TbTradesBinance[[#This Row],[Qtt]]),IF(TbTradesBinance[[#This Row],[Tipo]]="BUY",Z115-TbTradesBinance[[#This Row],[Qtt]]*TbTradesBinance[[#This Row],[Preço]],Z115+TbTradesBinance[[#This Row],[Qtt]]*TbTradesBinance[[#This Row],[Preço]])),Z115)-IF(TbTradesBinance[[#This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Row],[Tipo]]="DROP"),Z115+TbTradesBinance[[#This Row],[Qtt]],Z115-TbTradesBinance[[#This Row],[Qtt]]),IF(TbTradesBinance[[#This Row],[Tipo]]="BUY",Z115-TbTradesBinance[[#This Row],[Qtt]]*TbTradesBinance[[#This Row],[Preço]],Z115+TbTradesBinance[[#This Row],[Qtt]]*TbTradesBinance[[#This Row],[Preço]])),Z115)-IF(TbTradesBinance[[#This Row],[Moeda da Taxa]]=MID(Z$1,9,5),TbTradesBinance[[#This Row],[Taxa]],0),8)))</f>
        <v>1.031935E-2</v>
      </c>
      <c r="AA116" s="145" cm="1">
        <f t="array" ref="AA116">IF(TbTradesBinance[[#This Row],[Tipo]]="EMPTY",0,AA115+IF(TbTradesBinance[[#This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Row],[Par]]))),$1:$1,0)),-(Z115-Z116)/Z115*AA115),0),0)+IF(TbTradesBinance[[#This Row],[Tipo]]="SELL",IF(ISNUMBER(FIND(MID(AA$1,10,5),TbTradesBinance[[#This Row],[Par]])),IF(FIND(MID(AA$1,10,5),TbTradesBinance[[#This Row],[Par]])=1, -(Z115-Z116)/Z115*AA115,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Row],[Par]])),(-(Z115-Z116)/Z115*AA115)+IF(TbTradesBinance[[#This Row],[Resultado]]&gt;0,0,TbTradesBinance[[#This Row],[Taxa]]),0),0))</f>
        <v>107.3592846539391</v>
      </c>
      <c r="AB116" s="145">
        <f t="shared" si="24"/>
        <v>10403.686729681531</v>
      </c>
      <c r="AC11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Row],[Tipo]]="DROP"),AC115+TbTradesBinance[[#This Row],[Qtt]],AC115-TbTradesBinance[[#This Row],[Qtt]]),IF(TbTradesBinance[[#This Row],[Tipo]]="BUY",AC115-TbTradesBinance[[#This Row],[Qtt]]*TbTradesBinance[[#This Row],[Preço]],AC115+TbTradesBinance[[#This Row],[Qtt]]*TbTradesBinance[[#This Row],[Preço]])),AC115)-IF(TbTradesBinance[[#This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Row],[Tipo]]="DROP"),AC115+TbTradesBinance[[#This Row],[Qtt]],AC115-TbTradesBinance[[#This Row],[Qtt]]),IF(TbTradesBinance[[#This Row],[Tipo]]="BUY",AC115-TbTradesBinance[[#This Row],[Qtt]]*TbTradesBinance[[#This Row],[Preço]],AC115+TbTradesBinance[[#This Row],[Qtt]]*TbTradesBinance[[#This Row],[Preço]])),AC115)-IF(TbTradesBinance[[#This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Row],[Tipo]]="DROP"),AC115+TbTradesBinance[[#This Row],[Qtt]],AC115-TbTradesBinance[[#This Row],[Qtt]]),IF(TbTradesBinance[[#This Row],[Tipo]]="BUY",AC115-TbTradesBinance[[#This Row],[Qtt]]*TbTradesBinance[[#This Row],[Preço]],AC115+TbTradesBinance[[#This Row],[Qtt]]*TbTradesBinance[[#This Row],[Preço]])),AC115)-IF(TbTradesBinance[[#This Row],[Moeda da Taxa]]=MID(AC$1,9,5),TbTradesBinance[[#This Row],[Taxa]],0),8)))</f>
        <v>9.6999E-4</v>
      </c>
      <c r="AD116" s="145" cm="1">
        <f t="array" ref="AD116">IF(TbTradesBinance[[#This Row],[Tipo]]="EMPTY",0,AD115+IF(TbTradesBinance[[#This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Row],[Par]]))),$1:$1,0)),-(AC115-AC116)/AC115*AD115),0),0)+IF(TbTradesBinance[[#This Row],[Tipo]]="SELL",IF(ISNUMBER(FIND(MID(AD$1,10,5),TbTradesBinance[[#This Row],[Par]])),IF(FIND(MID(AD$1,10,5),TbTradesBinance[[#This Row],[Par]])=1, -(AC115-AC116)/AC115*AD115,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Row],[Par]])),(-(AC115-AC116)/AC115*AD115)+IF(TbTradesBinance[[#This Row],[Resultado]]&gt;0,0,TbTradesBinance[[#This Row],[Taxa]]),0),0))</f>
        <v>1.9483868939812083</v>
      </c>
      <c r="AE116" s="145">
        <f t="shared" si="25"/>
        <v>2008.6669903619711</v>
      </c>
      <c r="AF11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Row],[Tipo]]="DROP"),AF115+TbTradesBinance[[#This Row],[Qtt]],AF115-TbTradesBinance[[#This Row],[Qtt]]),IF(TbTradesBinance[[#This Row],[Tipo]]="BUY",AF115-TbTradesBinance[[#This Row],[Qtt]]*TbTradesBinance[[#This Row],[Preço]],AF115+TbTradesBinance[[#This Row],[Qtt]]*TbTradesBinance[[#This Row],[Preço]])),AF115)-IF(TbTradesBinance[[#This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Row],[Tipo]]="DROP"),AF115+TbTradesBinance[[#This Row],[Qtt]],AF115-TbTradesBinance[[#This Row],[Qtt]]),IF(TbTradesBinance[[#This Row],[Tipo]]="BUY",AF115-TbTradesBinance[[#This Row],[Qtt]]*TbTradesBinance[[#This Row],[Preço]],AF115+TbTradesBinance[[#This Row],[Qtt]]*TbTradesBinance[[#This Row],[Preço]])),AF115)-IF(TbTradesBinance[[#This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Row],[Tipo]]="DROP"),AF115+TbTradesBinance[[#This Row],[Qtt]],AF115-TbTradesBinance[[#This Row],[Qtt]]),IF(TbTradesBinance[[#This Row],[Tipo]]="BUY",AF115-TbTradesBinance[[#This Row],[Qtt]]*TbTradesBinance[[#This Row],[Preço]],AF115+TbTradesBinance[[#This Row],[Qtt]]*TbTradesBinance[[#This Row],[Preço]])),AF115)-IF(TbTradesBinance[[#This Row],[Moeda da Taxa]]=MID(AF$1,9,5),TbTradesBinance[[#This Row],[Taxa]],0),8)))</f>
        <v>0.08</v>
      </c>
      <c r="AG116" s="145" cm="1">
        <f t="array" ref="AG116">IF(TbTradesBinance[[#This Row],[Tipo]]="EMPTY",0,AG115+IF(TbTradesBinance[[#This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Row],[Par]]))),$1:$1,0)),-(AF115-AF116)/AF115*AG115),0),0)+IF(TbTradesBinance[[#This Row],[Tipo]]="SELL",IF(ISNUMBER(FIND(MID(AG$1,10,5),TbTradesBinance[[#This Row],[Par]])),IF(FIND(MID(AG$1,10,5),TbTradesBinance[[#This Row],[Par]])=1, -(AF115-AF116)/AF115*AG115,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Row],[Par]])),(-(AF115-AF116)/AF115*AG115)+IF(TbTradesBinance[[#This Row],[Resultado]]&gt;0,0,TbTradesBinance[[#This Row],[Taxa]]),0),0))</f>
        <v>0.49666397429723474</v>
      </c>
      <c r="AH116" s="145">
        <f t="shared" si="26"/>
        <v>6.2082996787154343</v>
      </c>
      <c r="AI11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Row],[Tipo]]="DROP"),AI115+TbTradesBinance[[#This Row],[Qtt]],AI115-TbTradesBinance[[#This Row],[Qtt]]),IF(TbTradesBinance[[#This Row],[Tipo]]="BUY",AI115-TbTradesBinance[[#This Row],[Qtt]]*TbTradesBinance[[#This Row],[Preço]],AI115+TbTradesBinance[[#This Row],[Qtt]]*TbTradesBinance[[#This Row],[Preço]])),AI115)-IF(TbTradesBinance[[#This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Row],[Tipo]]="DROP"),AI115+TbTradesBinance[[#This Row],[Qtt]],AI115-TbTradesBinance[[#This Row],[Qtt]]),IF(TbTradesBinance[[#This Row],[Tipo]]="BUY",AI115-TbTradesBinance[[#This Row],[Qtt]]*TbTradesBinance[[#This Row],[Preço]],AI115+TbTradesBinance[[#This Row],[Qtt]]*TbTradesBinance[[#This Row],[Preço]])),AI115)-IF(TbTradesBinance[[#This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Row],[Tipo]]="DROP"),AI115+TbTradesBinance[[#This Row],[Qtt]],AI115-TbTradesBinance[[#This Row],[Qtt]]),IF(TbTradesBinance[[#This Row],[Tipo]]="BUY",AI115-TbTradesBinance[[#This Row],[Qtt]]*TbTradesBinance[[#This Row],[Preço]],AI115+TbTradesBinance[[#This Row],[Qtt]]*TbTradesBinance[[#This Row],[Preço]])),AI115)-IF(TbTradesBinance[[#This Row],[Moeda da Taxa]]=MID(AI$1,9,5),TbTradesBinance[[#This Row],[Taxa]],0),8)))</f>
        <v>0</v>
      </c>
      <c r="AJ116" s="145" cm="1">
        <f t="array" ref="AJ116">IF(TbTradesBinance[[#This Row],[Tipo]]="EMPTY",0,AJ115+IF(TbTradesBinance[[#This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Row],[Par]]))),$1:$1,0)),-(AI115-AI116)/AI115*AJ115),0),0)+IF(TbTradesBinance[[#This Row],[Tipo]]="SELL",IF(ISNUMBER(FIND(MID(AJ$1,10,5),TbTradesBinance[[#This Row],[Par]])),IF(FIND(MID(AJ$1,10,5),TbTradesBinance[[#This Row],[Par]])=1, -(AI115-AI116)/AI115*AJ115,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Row],[Par]])),(-(AI115-AI116)/AI115*AJ115)+IF(TbTradesBinance[[#This Row],[Resultado]]&gt;0,0,TbTradesBinance[[#This Row],[Taxa]]),0),0))</f>
        <v>0</v>
      </c>
      <c r="AK116" s="145">
        <f t="shared" si="27"/>
        <v>0</v>
      </c>
      <c r="AL11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Row],[Tipo]]="DROP"),AL115+TbTradesBinance[[#This Row],[Qtt]],AL115-TbTradesBinance[[#This Row],[Qtt]]),IF(TbTradesBinance[[#This Row],[Tipo]]="BUY",AL115-TbTradesBinance[[#This Row],[Qtt]]*TbTradesBinance[[#This Row],[Preço]],AL115+TbTradesBinance[[#This Row],[Qtt]]*TbTradesBinance[[#This Row],[Preço]])),AL115)-IF(TbTradesBinance[[#This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Row],[Tipo]]="DROP"),AL115+TbTradesBinance[[#This Row],[Qtt]],AL115-TbTradesBinance[[#This Row],[Qtt]]),IF(TbTradesBinance[[#This Row],[Tipo]]="BUY",AL115-TbTradesBinance[[#This Row],[Qtt]]*TbTradesBinance[[#This Row],[Preço]],AL115+TbTradesBinance[[#This Row],[Qtt]]*TbTradesBinance[[#This Row],[Preço]])),AL115)-IF(TbTradesBinance[[#This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Row],[Tipo]]="DROP"),AL115+TbTradesBinance[[#This Row],[Qtt]],AL115-TbTradesBinance[[#This Row],[Qtt]]),IF(TbTradesBinance[[#This Row],[Tipo]]="BUY",AL115-TbTradesBinance[[#This Row],[Qtt]]*TbTradesBinance[[#This Row],[Preço]],AL115+TbTradesBinance[[#This Row],[Qtt]]*TbTradesBinance[[#This Row],[Preço]])),AL115)-IF(TbTradesBinance[[#This Row],[Moeda da Taxa]]=MID(AL$1,9,5),TbTradesBinance[[#This Row],[Taxa]],0),8)))</f>
        <v>8.2400000000000008E-3</v>
      </c>
      <c r="AM116" s="145" cm="1">
        <f t="array" ref="AM116">IF(TbTradesBinance[[#This Row],[Tipo]]="EMPTY",0,AM115+IF(TbTradesBinance[[#This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Row],[Par]]))),$1:$1,0)),-(AL115-AL116)/AL115*AM115),0),0)+IF(TbTradesBinance[[#This Row],[Tipo]]="SELL",IF(ISNUMBER(FIND(MID(AM$1,10,5),TbTradesBinance[[#This Row],[Par]])),IF(FIND(MID(AM$1,10,5),TbTradesBinance[[#This Row],[Par]])=1, -(AL115-AL116)/AL115*AM115,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Row],[Par]])),(-(AL115-AL116)/AL115*AM115)+IF(TbTradesBinance[[#This Row],[Resultado]]&gt;0,0,TbTradesBinance[[#This Row],[Taxa]]),0),0))</f>
        <v>0.67751089887772764</v>
      </c>
      <c r="AN116" s="145">
        <f t="shared" si="28"/>
        <v>82.222196465743636</v>
      </c>
      <c r="AO11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Row],[Tipo]]="DROP"),AO115+TbTradesBinance[[#This Row],[Qtt]],AO115-TbTradesBinance[[#This Row],[Qtt]]),IF(TbTradesBinance[[#This Row],[Tipo]]="BUY",AO115-TbTradesBinance[[#This Row],[Qtt]]*TbTradesBinance[[#This Row],[Preço]],AO115+TbTradesBinance[[#This Row],[Qtt]]*TbTradesBinance[[#This Row],[Preço]])),AO115)-IF(TbTradesBinance[[#This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Row],[Tipo]]="DROP"),AO115+TbTradesBinance[[#This Row],[Qtt]],AO115-TbTradesBinance[[#This Row],[Qtt]]),IF(TbTradesBinance[[#This Row],[Tipo]]="BUY",AO115-TbTradesBinance[[#This Row],[Qtt]]*TbTradesBinance[[#This Row],[Preço]],AO115+TbTradesBinance[[#This Row],[Qtt]]*TbTradesBinance[[#This Row],[Preço]])),AO115)-IF(TbTradesBinance[[#This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Row],[Tipo]]="DROP"),AO115+TbTradesBinance[[#This Row],[Qtt]],AO115-TbTradesBinance[[#This Row],[Qtt]]),IF(TbTradesBinance[[#This Row],[Tipo]]="BUY",AO115-TbTradesBinance[[#This Row],[Qtt]]*TbTradesBinance[[#This Row],[Preço]],AO115+TbTradesBinance[[#This Row],[Qtt]]*TbTradesBinance[[#This Row],[Preço]])),AO115)-IF(TbTradesBinance[[#This Row],[Moeda da Taxa]]=MID(AO$1,9,5),TbTradesBinance[[#This Row],[Taxa]],0),8)))</f>
        <v>7.4631299999999998E-2</v>
      </c>
      <c r="AP116" s="145" cm="1">
        <f t="array" ref="AP116">IF(TbTradesBinance[[#This Row],[Tipo]]="EMPTY",0,AP115+IF(TbTradesBinance[[#This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Row],[Par]]))),$1:$1,0)),-(AO115-AO116)/AO115*AP115),0),0)+IF(TbTradesBinance[[#This Row],[Tipo]]="SELL",IF(ISNUMBER(FIND(MID(AP$1,10,5),TbTradesBinance[[#This Row],[Par]])),IF(FIND(MID(AP$1,10,5),TbTradesBinance[[#This Row],[Par]])=1, -(AO115-AO116)/AO115*AP115,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Row],[Par]])),(-(AO115-AO116)/AO115*AP115)+IF(TbTradesBinance[[#This Row],[Resultado]]&gt;0,0,TbTradesBinance[[#This Row],[Taxa]]),0),0))</f>
        <v>113.87766627073657</v>
      </c>
      <c r="AQ116" s="145">
        <f t="shared" si="29"/>
        <v>1525.8700608288557</v>
      </c>
      <c r="AR11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Row],[Tipo]]="DROP"),AR115+TbTradesBinance[[#This Row],[Qtt]],AR115-TbTradesBinance[[#This Row],[Qtt]]),IF(TbTradesBinance[[#This Row],[Tipo]]="BUY",AR115-TbTradesBinance[[#This Row],[Qtt]]*TbTradesBinance[[#This Row],[Preço]],AR115+TbTradesBinance[[#This Row],[Qtt]]*TbTradesBinance[[#This Row],[Preço]])),AR115)-IF(TbTradesBinance[[#This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Row],[Tipo]]="DROP"),AR115+TbTradesBinance[[#This Row],[Qtt]],AR115-TbTradesBinance[[#This Row],[Qtt]]),IF(TbTradesBinance[[#This Row],[Tipo]]="BUY",AR115-TbTradesBinance[[#This Row],[Qtt]]*TbTradesBinance[[#This Row],[Preço]],AR115+TbTradesBinance[[#This Row],[Qtt]]*TbTradesBinance[[#This Row],[Preço]])),AR115)-IF(TbTradesBinance[[#This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Row],[Tipo]]="DROP"),AR115+TbTradesBinance[[#This Row],[Qtt]],AR115-TbTradesBinance[[#This Row],[Qtt]]),IF(TbTradesBinance[[#This Row],[Tipo]]="BUY",AR115-TbTradesBinance[[#This Row],[Qtt]]*TbTradesBinance[[#This Row],[Preço]],AR115+TbTradesBinance[[#This Row],[Qtt]]*TbTradesBinance[[#This Row],[Preço]])),AR115)-IF(TbTradesBinance[[#This Row],[Moeda da Taxa]]=MID(AR$1,9,5),TbTradesBinance[[#This Row],[Taxa]],0),8)))</f>
        <v>61.251199999999997</v>
      </c>
      <c r="AS116" s="145" cm="1">
        <f t="array" ref="AS116">IF(TbTradesBinance[[#This Row],[Tipo]]="EMPTY",0,AS115+IF(TbTradesBinance[[#This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Row],[Par]]))),$1:$1,0)),-(AR115-AR116)/AR115*AS115),0),0)+IF(TbTradesBinance[[#This Row],[Tipo]]="SELL",IF(ISNUMBER(FIND(MID(AS$1,10,5),TbTradesBinance[[#This Row],[Par]])),IF(FIND(MID(AS$1,10,5),TbTradesBinance[[#This Row],[Par]])=1, -(AR115-AR116)/AR115*AS115,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Row],[Par]])),(-(AR115-AR116)/AR115*AS115)+IF(TbTradesBinance[[#This Row],[Resultado]]&gt;0,0,TbTradesBinance[[#This Row],[Taxa]]),0),0))</f>
        <v>230.84001376053044</v>
      </c>
      <c r="AT116" s="145">
        <f t="shared" si="30"/>
        <v>3.7687427146003745</v>
      </c>
      <c r="AU11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Row],[Tipo]]="DROP"),AU115+TbTradesBinance[[#This Row],[Qtt]],AU115-TbTradesBinance[[#This Row],[Qtt]]),IF(TbTradesBinance[[#This Row],[Tipo]]="BUY",AU115-TbTradesBinance[[#This Row],[Qtt]]*TbTradesBinance[[#This Row],[Preço]],AU115+TbTradesBinance[[#This Row],[Qtt]]*TbTradesBinance[[#This Row],[Preço]])),AU115)-IF(TbTradesBinance[[#This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Row],[Tipo]]="DROP"),AU115+TbTradesBinance[[#This Row],[Qtt]],AU115-TbTradesBinance[[#This Row],[Qtt]]),IF(TbTradesBinance[[#This Row],[Tipo]]="BUY",AU115-TbTradesBinance[[#This Row],[Qtt]]*TbTradesBinance[[#This Row],[Preço]],AU115+TbTradesBinance[[#This Row],[Qtt]]*TbTradesBinance[[#This Row],[Preço]])),AU115)-IF(TbTradesBinance[[#This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Row],[Tipo]]="DROP"),AU115+TbTradesBinance[[#This Row],[Qtt]],AU115-TbTradesBinance[[#This Row],[Qtt]]),IF(TbTradesBinance[[#This Row],[Tipo]]="BUY",AU115-TbTradesBinance[[#This Row],[Qtt]]*TbTradesBinance[[#This Row],[Preço]],AU115+TbTradesBinance[[#This Row],[Qtt]]*TbTradesBinance[[#This Row],[Preço]])),AU115)-IF(TbTradesBinance[[#This Row],[Moeda da Taxa]]=MID(AU$1,9,5),TbTradesBinance[[#This Row],[Taxa]],0),8)))</f>
        <v>0</v>
      </c>
      <c r="AV116" s="145" cm="1">
        <f t="array" ref="AV116">IF(TbTradesBinance[[#This Row],[Tipo]]="EMPTY",0,AV115+IF(TbTradesBinance[[#This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Row],[Par]]))),$1:$1,0)),-(AU115-AU116)/AU115*AV115),0),0)+IF(TbTradesBinance[[#This Row],[Tipo]]="SELL",IF(ISNUMBER(FIND(MID(AV$1,10,5),TbTradesBinance[[#This Row],[Par]])),IF(FIND(MID(AV$1,10,5),TbTradesBinance[[#This Row],[Par]])=1, -(AU115-AU116)/AU115*AV115,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Row],[Par]])),(-(AU115-AU116)/AU115*AV115)+IF(TbTradesBinance[[#This Row],[Resultado]]&gt;0,0,TbTradesBinance[[#This Row],[Taxa]]),0),0))</f>
        <v>0</v>
      </c>
      <c r="AW116" s="145">
        <f t="shared" si="31"/>
        <v>0</v>
      </c>
      <c r="AX11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Row],[Tipo]]="DROP"),AX115+TbTradesBinance[[#This Row],[Qtt]],AX115-TbTradesBinance[[#This Row],[Qtt]]),IF(TbTradesBinance[[#This Row],[Tipo]]="BUY",AX115-TbTradesBinance[[#This Row],[Qtt]]*TbTradesBinance[[#This Row],[Preço]],AX115+TbTradesBinance[[#This Row],[Qtt]]*TbTradesBinance[[#This Row],[Preço]])),AX115)-IF(TbTradesBinance[[#This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Row],[Tipo]]="DROP"),AX115+TbTradesBinance[[#This Row],[Qtt]],AX115-TbTradesBinance[[#This Row],[Qtt]]),IF(TbTradesBinance[[#This Row],[Tipo]]="BUY",AX115-TbTradesBinance[[#This Row],[Qtt]]*TbTradesBinance[[#This Row],[Preço]],AX115+TbTradesBinance[[#This Row],[Qtt]]*TbTradesBinance[[#This Row],[Preço]])),AX115)-IF(TbTradesBinance[[#This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Row],[Tipo]]="DROP"),AX115+TbTradesBinance[[#This Row],[Qtt]],AX115-TbTradesBinance[[#This Row],[Qtt]]),IF(TbTradesBinance[[#This Row],[Tipo]]="BUY",AX115-TbTradesBinance[[#This Row],[Qtt]]*TbTradesBinance[[#This Row],[Preço]],AX115+TbTradesBinance[[#This Row],[Qtt]]*TbTradesBinance[[#This Row],[Preço]])),AX115)-IF(TbTradesBinance[[#This Row],[Moeda da Taxa]]=MID(AX$1,9,5),TbTradesBinance[[#This Row],[Taxa]],0),8)))</f>
        <v>0.85636999999999996</v>
      </c>
      <c r="AY116" s="145" cm="1">
        <f t="array" ref="AY116">IF(TbTradesBinance[[#This Row],[Tipo]]="EMPTY",0,AY115+IF(TbTradesBinance[[#This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Row],[Par]]))),$1:$1,0)),-(AX115-AX116)/AX115*AY115),0),0)+IF(TbTradesBinance[[#This Row],[Tipo]]="SELL",IF(ISNUMBER(FIND(MID(AY$1,10,5),TbTradesBinance[[#This Row],[Par]])),IF(FIND(MID(AY$1,10,5),TbTradesBinance[[#This Row],[Par]])=1, -(AX115-AX116)/AX115*AY115,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Row],[Par]])),(-(AX115-AX116)/AX115*AY115)+IF(TbTradesBinance[[#This Row],[Resultado]]&gt;0,0,TbTradesBinance[[#This Row],[Taxa]]),0),0))</f>
        <v>131.82971181780295</v>
      </c>
      <c r="AZ116" s="145">
        <f t="shared" si="32"/>
        <v>153.94013314081874</v>
      </c>
      <c r="BA11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Row],[Tipo]]="DROP"),BA115+TbTradesBinance[[#This Row],[Qtt]],BA115-TbTradesBinance[[#This Row],[Qtt]]),IF(TbTradesBinance[[#This Row],[Tipo]]="BUY",BA115-TbTradesBinance[[#This Row],[Qtt]]*TbTradesBinance[[#This Row],[Preço]],BA115+TbTradesBinance[[#This Row],[Qtt]]*TbTradesBinance[[#This Row],[Preço]])),BA115)-IF(TbTradesBinance[[#This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Row],[Tipo]]="DROP"),BA115+TbTradesBinance[[#This Row],[Qtt]],BA115-TbTradesBinance[[#This Row],[Qtt]]),IF(TbTradesBinance[[#This Row],[Tipo]]="BUY",BA115-TbTradesBinance[[#This Row],[Qtt]]*TbTradesBinance[[#This Row],[Preço]],BA115+TbTradesBinance[[#This Row],[Qtt]]*TbTradesBinance[[#This Row],[Preço]])),BA115)-IF(TbTradesBinance[[#This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Row],[Tipo]]="DROP"),BA115+TbTradesBinance[[#This Row],[Qtt]],BA115-TbTradesBinance[[#This Row],[Qtt]]),IF(TbTradesBinance[[#This Row],[Tipo]]="BUY",BA115-TbTradesBinance[[#This Row],[Qtt]]*TbTradesBinance[[#This Row],[Preço]],BA115+TbTradesBinance[[#This Row],[Qtt]]*TbTradesBinance[[#This Row],[Preço]])),BA115)-IF(TbTradesBinance[[#This Row],[Moeda da Taxa]]=MID(BA$1,9,5),TbTradesBinance[[#This Row],[Taxa]],0),8)))</f>
        <v>0</v>
      </c>
      <c r="BB116" s="145" cm="1">
        <f t="array" ref="BB116">IF(TbTradesBinance[[#This Row],[Tipo]]="EMPTY",0,BB115+IF(TbTradesBinance[[#This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Row],[Par]]))),$1:$1,0)),-(BA115-BA116)/BA115*BB115),0),0)+IF(TbTradesBinance[[#This Row],[Tipo]]="SELL",IF(ISNUMBER(FIND(MID(BB$1,10,5),TbTradesBinance[[#This Row],[Par]])),IF(FIND(MID(BB$1,10,5),TbTradesBinance[[#This Row],[Par]])=1, -(BA115-BA116)/BA115*BB115,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Row],[Par]])),(-(BA115-BA116)/BA115*BB115)+IF(TbTradesBinance[[#This Row],[Resultado]]&gt;0,0,TbTradesBinance[[#This Row],[Taxa]]),0),0))</f>
        <v>0</v>
      </c>
      <c r="BC116" s="145">
        <f t="shared" si="33"/>
        <v>0</v>
      </c>
      <c r="BD11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Row],[Tipo]]="DROP"),BD115+TbTradesBinance[[#This Row],[Qtt]],BD115-TbTradesBinance[[#This Row],[Qtt]]),IF(TbTradesBinance[[#This Row],[Tipo]]="BUY",BD115-TbTradesBinance[[#This Row],[Qtt]]*TbTradesBinance[[#This Row],[Preço]],BD115+TbTradesBinance[[#This Row],[Qtt]]*TbTradesBinance[[#This Row],[Preço]])),BD115)-IF(TbTradesBinance[[#This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Row],[Tipo]]="DROP"),BD115+TbTradesBinance[[#This Row],[Qtt]],BD115-TbTradesBinance[[#This Row],[Qtt]]),IF(TbTradesBinance[[#This Row],[Tipo]]="BUY",BD115-TbTradesBinance[[#This Row],[Qtt]]*TbTradesBinance[[#This Row],[Preço]],BD115+TbTradesBinance[[#This Row],[Qtt]]*TbTradesBinance[[#This Row],[Preço]])),BD115)-IF(TbTradesBinance[[#This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Row],[Tipo]]="DROP"),BD115+TbTradesBinance[[#This Row],[Qtt]],BD115-TbTradesBinance[[#This Row],[Qtt]]),IF(TbTradesBinance[[#This Row],[Tipo]]="BUY",BD115-TbTradesBinance[[#This Row],[Qtt]]*TbTradesBinance[[#This Row],[Preço]],BD115+TbTradesBinance[[#This Row],[Qtt]]*TbTradesBinance[[#This Row],[Preço]])),BD115)-IF(TbTradesBinance[[#This Row],[Moeda da Taxa]]=MID(BD$1,9,5),TbTradesBinance[[#This Row],[Taxa]],0),8)))</f>
        <v>9.0599900000000004E-3</v>
      </c>
      <c r="BE116" s="145" cm="1">
        <f t="array" ref="BE116">IF(TbTradesBinance[[#This Row],[Tipo]]="EMPTY",0,BE115+IF(TbTradesBinance[[#This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Row],[Par]]))),$1:$1,0)),-(BD115-BD116)/BD115*BE115),0),0)+IF(TbTradesBinance[[#This Row],[Tipo]]="SELL",IF(ISNUMBER(FIND(MID(BE$1,10,5),TbTradesBinance[[#This Row],[Par]])),IF(FIND(MID(BE$1,10,5),TbTradesBinance[[#This Row],[Par]])=1, -(BD115-BD116)/BD115*BE115,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Row],[Par]])),(-(BD115-BD116)/BD115*BE115)+IF(TbTradesBinance[[#This Row],[Resultado]]&gt;0,0,TbTradesBinance[[#This Row],[Taxa]]),0),0))</f>
        <v>1.6846969284922721</v>
      </c>
      <c r="BF116" s="145">
        <f t="shared" si="34"/>
        <v>185.94909359638058</v>
      </c>
      <c r="BG11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Row],[Tipo]]="DROP"),BG115+TbTradesBinance[[#This Row],[Qtt]],BG115-TbTradesBinance[[#This Row],[Qtt]]),IF(TbTradesBinance[[#This Row],[Tipo]]="BUY",BG115-TbTradesBinance[[#This Row],[Qtt]]*TbTradesBinance[[#This Row],[Preço]],BG115+TbTradesBinance[[#This Row],[Qtt]]*TbTradesBinance[[#This Row],[Preço]])),BG115)-IF(TbTradesBinance[[#This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Row],[Tipo]]="DROP"),BG115+TbTradesBinance[[#This Row],[Qtt]],BG115-TbTradesBinance[[#This Row],[Qtt]]),IF(TbTradesBinance[[#This Row],[Tipo]]="BUY",BG115-TbTradesBinance[[#This Row],[Qtt]]*TbTradesBinance[[#This Row],[Preço]],BG115+TbTradesBinance[[#This Row],[Qtt]]*TbTradesBinance[[#This Row],[Preço]])),BG115)-IF(TbTradesBinance[[#This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Row],[Tipo]]="DROP"),BG115+TbTradesBinance[[#This Row],[Qtt]],BG115-TbTradesBinance[[#This Row],[Qtt]]),IF(TbTradesBinance[[#This Row],[Tipo]]="BUY",BG115-TbTradesBinance[[#This Row],[Qtt]]*TbTradesBinance[[#This Row],[Preço]],BG115+TbTradesBinance[[#This Row],[Qtt]]*TbTradesBinance[[#This Row],[Preço]])),BG115)-IF(TbTradesBinance[[#This Row],[Moeda da Taxa]]=MID(BG$1,9,5),TbTradesBinance[[#This Row],[Taxa]],0),8)))</f>
        <v>0</v>
      </c>
      <c r="BH116" s="145" cm="1">
        <f t="array" ref="BH116">IF(TbTradesBinance[[#This Row],[Tipo]]="EMPTY",0,BH115+IF(TbTradesBinance[[#This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Row],[Par]]))),$1:$1,0)),-(BG115-BG116)/BG115*BH115),0),0)+IF(TbTradesBinance[[#This Row],[Tipo]]="SELL",IF(ISNUMBER(FIND(MID(BH$1,10,5),TbTradesBinance[[#This Row],[Par]])),IF(FIND(MID(BH$1,10,5),TbTradesBinance[[#This Row],[Par]])=1, -(BG115-BG116)/BG115*BH115,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Row],[Par]])),(-(BG115-BG116)/BG115*BH115)+IF(TbTradesBinance[[#This Row],[Resultado]]&gt;0,0,TbTradesBinance[[#This Row],[Taxa]]),0),0))</f>
        <v>0</v>
      </c>
      <c r="BI116" s="145">
        <f t="shared" si="35"/>
        <v>0</v>
      </c>
      <c r="BJ11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Row],[Tipo]]="DROP"),BJ115+TbTradesBinance[[#This Row],[Qtt]],BJ115-TbTradesBinance[[#This Row],[Qtt]]),IF(TbTradesBinance[[#This Row],[Tipo]]="BUY",BJ115-TbTradesBinance[[#This Row],[Qtt]]*TbTradesBinance[[#This Row],[Preço]],BJ115+TbTradesBinance[[#This Row],[Qtt]]*TbTradesBinance[[#This Row],[Preço]])),BJ115)-IF(TbTradesBinance[[#This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Row],[Tipo]]="DROP"),BJ115+TbTradesBinance[[#This Row],[Qtt]],BJ115-TbTradesBinance[[#This Row],[Qtt]]),IF(TbTradesBinance[[#This Row],[Tipo]]="BUY",BJ115-TbTradesBinance[[#This Row],[Qtt]]*TbTradesBinance[[#This Row],[Preço]],BJ115+TbTradesBinance[[#This Row],[Qtt]]*TbTradesBinance[[#This Row],[Preço]])),BJ115)-IF(TbTradesBinance[[#This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Row],[Tipo]]="DROP"),BJ115+TbTradesBinance[[#This Row],[Qtt]],BJ115-TbTradesBinance[[#This Row],[Qtt]]),IF(TbTradesBinance[[#This Row],[Tipo]]="BUY",BJ115-TbTradesBinance[[#This Row],[Qtt]]*TbTradesBinance[[#This Row],[Preço]],BJ115+TbTradesBinance[[#This Row],[Qtt]]*TbTradesBinance[[#This Row],[Preço]])),BJ115)-IF(TbTradesBinance[[#This Row],[Moeda da Taxa]]=MID(BJ$1,9,5),TbTradesBinance[[#This Row],[Taxa]],0),8)))</f>
        <v>0</v>
      </c>
      <c r="BK116" s="145" cm="1">
        <f t="array" ref="BK116">IF(TbTradesBinance[[#This Row],[Tipo]]="EMPTY",0,BK115+IF(TbTradesBinance[[#This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Row],[Par]]))),$1:$1,0)),-(BJ115-BJ116)/BJ115*BK115),0),0)+IF(TbTradesBinance[[#This Row],[Tipo]]="SELL",IF(ISNUMBER(FIND(MID(BK$1,10,5),TbTradesBinance[[#This Row],[Par]])),IF(FIND(MID(BK$1,10,5),TbTradesBinance[[#This Row],[Par]])=1, -(BJ115-BJ116)/BJ115*BK115,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Row],[Par]])),(-(BJ115-BJ116)/BJ115*BK115)+IF(TbTradesBinance[[#This Row],[Resultado]]&gt;0,0,TbTradesBinance[[#This Row],[Taxa]]),0),0))</f>
        <v>0</v>
      </c>
      <c r="BL116" s="145">
        <f t="shared" si="36"/>
        <v>0</v>
      </c>
      <c r="BM11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Row],[Tipo]]="DROP"),BM115+TbTradesBinance[[#This Row],[Qtt]],BM115-TbTradesBinance[[#This Row],[Qtt]]),IF(TbTradesBinance[[#This Row],[Tipo]]="BUY",BM115-TbTradesBinance[[#This Row],[Qtt]]*TbTradesBinance[[#This Row],[Preço]],BM115+TbTradesBinance[[#This Row],[Qtt]]*TbTradesBinance[[#This Row],[Preço]])),BM115)-IF(TbTradesBinance[[#This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Row],[Tipo]]="DROP"),BM115+TbTradesBinance[[#This Row],[Qtt]],BM115-TbTradesBinance[[#This Row],[Qtt]]),IF(TbTradesBinance[[#This Row],[Tipo]]="BUY",BM115-TbTradesBinance[[#This Row],[Qtt]]*TbTradesBinance[[#This Row],[Preço]],BM115+TbTradesBinance[[#This Row],[Qtt]]*TbTradesBinance[[#This Row],[Preço]])),BM115)-IF(TbTradesBinance[[#This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Row],[Tipo]]="DROP"),BM115+TbTradesBinance[[#This Row],[Qtt]],BM115-TbTradesBinance[[#This Row],[Qtt]]),IF(TbTradesBinance[[#This Row],[Tipo]]="BUY",BM115-TbTradesBinance[[#This Row],[Qtt]]*TbTradesBinance[[#This Row],[Preço]],BM115+TbTradesBinance[[#This Row],[Qtt]]*TbTradesBinance[[#This Row],[Preço]])),BM115)-IF(TbTradesBinance[[#This Row],[Moeda da Taxa]]=MID(BM$1,9,5),TbTradesBinance[[#This Row],[Taxa]],0),8)))</f>
        <v>0</v>
      </c>
      <c r="BN116" s="145" cm="1">
        <f t="array" ref="BN116">IF(TbTradesBinance[[#This Row],[Tipo]]="EMPTY",0,BN115+IF(TbTradesBinance[[#This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Row],[Par]]))),$1:$1,0)),-(BM115-BM116)/BM115*BN115),0),0)+IF(TbTradesBinance[[#This Row],[Tipo]]="SELL",IF(ISNUMBER(FIND(MID(BN$1,10,5),TbTradesBinance[[#This Row],[Par]])),IF(FIND(MID(BN$1,10,5),TbTradesBinance[[#This Row],[Par]])=1, -(BM115-BM116)/BM115*BN115,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Row],[Par]])),(-(BM115-BM116)/BM115*BN115)+IF(TbTradesBinance[[#This Row],[Resultado]]&gt;0,0,TbTradesBinance[[#This Row],[Taxa]]),0),0))</f>
        <v>0</v>
      </c>
      <c r="BO116" s="145">
        <f t="shared" si="37"/>
        <v>0</v>
      </c>
    </row>
    <row r="117" spans="2:67" x14ac:dyDescent="0.3">
      <c r="B117" s="51"/>
      <c r="C117" s="40">
        <f>TRUNC(IF(AND(TbTradesBinance[[#This Row],[Tipo]]="SEND",TbTradesBinance[[#This Row],[Par]]="BRL"),TbTradesBinance[[#This Row],[Qtt]]*(1-P115)-IF(TbTradesBinance[[#This Row],[Moeda da Taxa]]="BRL",TbTradesBinance[[#This Row],[Taxa]],0),0)+IF(AND(TbTradesBinance[[#This Row],[Tipo]]="BURN",TbTradesBinance[[#This Row],[Par]]="BRL"),-TbTradesBinance[[#This Row],[Qtt]]*P115,0),2)</f>
        <v>0</v>
      </c>
      <c r="D117" s="53">
        <v>44276.469861111109</v>
      </c>
      <c r="E117" s="37" t="s">
        <v>249</v>
      </c>
      <c r="F117" s="47" t="s">
        <v>140</v>
      </c>
      <c r="G117" s="38">
        <v>57299.68</v>
      </c>
      <c r="H117" s="38">
        <v>1.8200000000000001E-4</v>
      </c>
      <c r="I117" s="38">
        <v>2.9609999999999999E-5</v>
      </c>
      <c r="J117" s="37" t="s">
        <v>45</v>
      </c>
      <c r="K117" s="52">
        <v>5.5</v>
      </c>
      <c r="L117" s="40">
        <f t="shared" si="19"/>
        <v>315148.24</v>
      </c>
      <c r="M117" s="40">
        <f>IF(OR(TbTradesBinance[[#This Row],[Tipo]]="BUY",TbTradesBinance[[#This Row],[Tipo]]="RECEIVE",TbTradesBinance[[#This Row],[Tipo]]="DROP"),L117*H117,-L117*H117)</f>
        <v>-57.356979680000002</v>
      </c>
      <c r="N11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Row],[Tipo]]="DROP"),N116+TbTradesBinance[[#This Row],[Qtt]],N116-TbTradesBinance[[#This Row],[Qtt]]),IF(TbTradesBinance[[#This Row],[Tipo]]="BUY",N116-TbTradesBinance[[#This Row],[Qtt]]*TbTradesBinance[[#This Row],[Preço]],N116+TbTradesBinance[[#This Row],[Qtt]]*TbTradesBinance[[#This Row],[Preço]])),N116)-IF(TbTradesBinance[[#This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Row],[Tipo]]="DROP"),N116+TbTradesBinance[[#This Row],[Qtt]],N116-TbTradesBinance[[#This Row],[Qtt]]),IF(TbTradesBinance[[#This Row],[Tipo]]="BUY",N116-TbTradesBinance[[#This Row],[Qtt]]*TbTradesBinance[[#This Row],[Preço]],N116+TbTradesBinance[[#This Row],[Qtt]]*TbTradesBinance[[#This Row],[Preço]])),N116)-IF(TbTradesBinance[[#This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Row],[Tipo]]="DROP"),N116+TbTradesBinance[[#This Row],[Qtt]],N116-TbTradesBinance[[#This Row],[Qtt]]),IF(TbTradesBinance[[#This Row],[Tipo]]="BUY",N116-TbTradesBinance[[#This Row],[Qtt]]*TbTradesBinance[[#This Row],[Preço]],N116+TbTradesBinance[[#This Row],[Qtt]]*TbTradesBinance[[#This Row],[Preço]])),N116)-IF(TbTradesBinance[[#This Row],[Moeda da Taxa]]=MID(N$1,9,5),TbTradesBinance[[#This Row],[Taxa]],0),8)))</f>
        <v>119746.42890708</v>
      </c>
      <c r="O117" s="145" cm="1">
        <f t="array" ref="O117">IF(TbTradesBinance[[#This Row],[Tipo]]="EMPTY",0,O116+IF(TbTradesBinance[[#This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Row],[Par]]))),$1:$1,0)),-(N116-N117)/N116*O116),0),0)+IF(TbTradesBinance[[#This Row],[Tipo]]="SELL",IF(ISNUMBER(FIND(MID(O$1,10,5),TbTradesBinance[[#This Row],[Par]])),IF(FIND(MID(O$1,10,5),TbTradesBinance[[#This Row],[Par]])=1, -(N116-N117)/N116*O116,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Row],[Par]])),(-(N116-N117)/N116*O116)+IF(TbTradesBinance[[#This Row],[Resultado]]&gt;0,0,TbTradesBinance[[#This Row],[Taxa]]),0),0))</f>
        <v>119735.19975279106</v>
      </c>
      <c r="P117" s="145">
        <f t="shared" si="20"/>
        <v>0.99990622556019892</v>
      </c>
      <c r="Q11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Row],[Tipo]]="DROP"),Q116+TbTradesBinance[[#This Row],[Qtt]],Q116-TbTradesBinance[[#This Row],[Qtt]]),IF(TbTradesBinance[[#This Row],[Tipo]]="BUY",Q116-TbTradesBinance[[#This Row],[Qtt]]*TbTradesBinance[[#This Row],[Preço]],Q116+TbTradesBinance[[#This Row],[Qtt]]*TbTradesBinance[[#This Row],[Preço]])),Q116)-IF(TbTradesBinance[[#This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Row],[Tipo]]="DROP"),Q116+TbTradesBinance[[#This Row],[Qtt]],Q116-TbTradesBinance[[#This Row],[Qtt]]),IF(TbTradesBinance[[#This Row],[Tipo]]="BUY",Q116-TbTradesBinance[[#This Row],[Qtt]]*TbTradesBinance[[#This Row],[Preço]],Q116+TbTradesBinance[[#This Row],[Qtt]]*TbTradesBinance[[#This Row],[Preço]])),Q116)-IF(TbTradesBinance[[#This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Row],[Tipo]]="DROP"),Q116+TbTradesBinance[[#This Row],[Qtt]],Q116-TbTradesBinance[[#This Row],[Qtt]]),IF(TbTradesBinance[[#This Row],[Tipo]]="BUY",Q116-TbTradesBinance[[#This Row],[Qtt]]*TbTradesBinance[[#This Row],[Preço]],Q116+TbTradesBinance[[#This Row],[Qtt]]*TbTradesBinance[[#This Row],[Preço]])),Q116)-IF(TbTradesBinance[[#This Row],[Moeda da Taxa]]=MID(Q$1,9,5),TbTradesBinance[[#This Row],[Taxa]],0),8)))</f>
        <v>10.431391570000001</v>
      </c>
      <c r="R117" s="145" cm="1">
        <f t="array" ref="R117">IF(TbTradesBinance[[#This Row],[Tipo]]="EMPTY",0,R116+IF(TbTradesBinance[[#This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Row],[Par]]))),$1:$1,0)),-(Q116-Q117)/Q116*R116),0),0)+IF(TbTradesBinance[[#This Row],[Tipo]]="SELL",IF(ISNUMBER(FIND(MID(R$1,10,5),TbTradesBinance[[#This Row],[Par]])),IF(FIND(MID(R$1,10,5),TbTradesBinance[[#This Row],[Par]])=1, -(Q116-Q117)/Q116*R116,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Row],[Par]])),(-(Q116-Q117)/Q116*R116)+IF(TbTradesBinance[[#This Row],[Resultado]]&gt;0,0,TbTradesBinance[[#This Row],[Taxa]]),0),0))</f>
        <v>60.755727497631476</v>
      </c>
      <c r="S117" s="145">
        <f t="shared" si="21"/>
        <v>5.8243166398202302</v>
      </c>
      <c r="T11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Row],[Tipo]]="DROP"),T116+TbTradesBinance[[#This Row],[Qtt]],T116-TbTradesBinance[[#This Row],[Qtt]]),IF(TbTradesBinance[[#This Row],[Tipo]]="BUY",T116-TbTradesBinance[[#This Row],[Qtt]]*TbTradesBinance[[#This Row],[Preço]],T116+TbTradesBinance[[#This Row],[Qtt]]*TbTradesBinance[[#This Row],[Preço]])),T116)-IF(TbTradesBinance[[#This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Row],[Tipo]]="DROP"),T116+TbTradesBinance[[#This Row],[Qtt]],T116-TbTradesBinance[[#This Row],[Qtt]]),IF(TbTradesBinance[[#This Row],[Tipo]]="BUY",T116-TbTradesBinance[[#This Row],[Qtt]]*TbTradesBinance[[#This Row],[Preço]],T116+TbTradesBinance[[#This Row],[Qtt]]*TbTradesBinance[[#This Row],[Preço]])),T116)-IF(TbTradesBinance[[#This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Row],[Tipo]]="DROP"),T116+TbTradesBinance[[#This Row],[Qtt]],T116-TbTradesBinance[[#This Row],[Qtt]]),IF(TbTradesBinance[[#This Row],[Tipo]]="BUY",T116-TbTradesBinance[[#This Row],[Qtt]]*TbTradesBinance[[#This Row],[Preço]],T116+TbTradesBinance[[#This Row],[Qtt]]*TbTradesBinance[[#This Row],[Preço]])),T116)-IF(TbTradesBinance[[#This Row],[Moeda da Taxa]]=MID(T$1,9,5),TbTradesBinance[[#This Row],[Taxa]],0),8)))</f>
        <v>199735.32000169999</v>
      </c>
      <c r="U117" s="145" cm="1">
        <f t="array" ref="U117">IF(TbTradesBinance[[#This Row],[Tipo]]="EMPTY",0,U116+IF(TbTradesBinance[[#This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Row],[Par]]))),$1:$1,0)),-(T116-T117)/T116*U116),0),0)+IF(TbTradesBinance[[#This Row],[Tipo]]="SELL",IF(ISNUMBER(FIND(MID(U$1,10,5),TbTradesBinance[[#This Row],[Par]])),IF(FIND(MID(U$1,10,5),TbTradesBinance[[#This Row],[Par]])=1, -(T116-T117)/T116*U116,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Row],[Par]])),(-(T116-T117)/T116*U116)+IF(TbTradesBinance[[#This Row],[Resultado]]&gt;0,0,TbTradesBinance[[#This Row],[Taxa]]),0),0))</f>
        <v>1328239.8809817513</v>
      </c>
      <c r="V117" s="145">
        <f t="shared" si="22"/>
        <v>6.6500000148719129</v>
      </c>
      <c r="W11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Row],[Tipo]]="DROP"),W116+TbTradesBinance[[#This Row],[Qtt]],W116-TbTradesBinance[[#This Row],[Qtt]]),IF(TbTradesBinance[[#This Row],[Tipo]]="BUY",W116-TbTradesBinance[[#This Row],[Qtt]]*TbTradesBinance[[#This Row],[Preço]],W116+TbTradesBinance[[#This Row],[Qtt]]*TbTradesBinance[[#This Row],[Preço]])),W116)-IF(TbTradesBinance[[#This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Row],[Tipo]]="DROP"),W116+TbTradesBinance[[#This Row],[Qtt]],W116-TbTradesBinance[[#This Row],[Qtt]]),IF(TbTradesBinance[[#This Row],[Tipo]]="BUY",W116-TbTradesBinance[[#This Row],[Qtt]]*TbTradesBinance[[#This Row],[Preço]],W116+TbTradesBinance[[#This Row],[Qtt]]*TbTradesBinance[[#This Row],[Preço]])),W116)-IF(TbTradesBinance[[#This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Row],[Tipo]]="DROP"),W116+TbTradesBinance[[#This Row],[Qtt]],W116-TbTradesBinance[[#This Row],[Qtt]]),IF(TbTradesBinance[[#This Row],[Tipo]]="BUY",W116-TbTradesBinance[[#This Row],[Qtt]]*TbTradesBinance[[#This Row],[Preço]],W116+TbTradesBinance[[#This Row],[Qtt]]*TbTradesBinance[[#This Row],[Preço]])),W116)-IF(TbTradesBinance[[#This Row],[Moeda da Taxa]]=MID(W$1,9,5),TbTradesBinance[[#This Row],[Taxa]],0),8)))</f>
        <v>2.7193600000000001E-3</v>
      </c>
      <c r="X117" s="145" cm="1">
        <f t="array" ref="X117">IF(TbTradesBinance[[#This Row],[Tipo]]="EMPTY",0,X116+IF(TbTradesBinance[[#This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Row],[Par]]))),$1:$1,0)),-(W116-W117)/W116*X116),0),0)+IF(TbTradesBinance[[#This Row],[Tipo]]="SELL",IF(ISNUMBER(FIND(MID(X$1,10,5),TbTradesBinance[[#This Row],[Par]])),IF(FIND(MID(X$1,10,5),TbTradesBinance[[#This Row],[Par]])=1, -(W116-W117)/W116*X116,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Row],[Par]])),(-(W116-W117)/W116*X116)+IF(TbTradesBinance[[#This Row],[Resultado]]&gt;0,0,TbTradesBinance[[#This Row],[Taxa]]),0),0))</f>
        <v>907.54738414156566</v>
      </c>
      <c r="Y117" s="145">
        <f t="shared" si="23"/>
        <v>333735.65255853056</v>
      </c>
      <c r="Z11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Row],[Tipo]]="DROP"),Z116+TbTradesBinance[[#This Row],[Qtt]],Z116-TbTradesBinance[[#This Row],[Qtt]]),IF(TbTradesBinance[[#This Row],[Tipo]]="BUY",Z116-TbTradesBinance[[#This Row],[Qtt]]*TbTradesBinance[[#This Row],[Preço]],Z116+TbTradesBinance[[#This Row],[Qtt]]*TbTradesBinance[[#This Row],[Preço]])),Z116)-IF(TbTradesBinance[[#This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Row],[Tipo]]="DROP"),Z116+TbTradesBinance[[#This Row],[Qtt]],Z116-TbTradesBinance[[#This Row],[Qtt]]),IF(TbTradesBinance[[#This Row],[Tipo]]="BUY",Z116-TbTradesBinance[[#This Row],[Qtt]]*TbTradesBinance[[#This Row],[Preço]],Z116+TbTradesBinance[[#This Row],[Qtt]]*TbTradesBinance[[#This Row],[Preço]])),Z116)-IF(TbTradesBinance[[#This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Row],[Tipo]]="DROP"),Z116+TbTradesBinance[[#This Row],[Qtt]],Z116-TbTradesBinance[[#This Row],[Qtt]]),IF(TbTradesBinance[[#This Row],[Tipo]]="BUY",Z116-TbTradesBinance[[#This Row],[Qtt]]*TbTradesBinance[[#This Row],[Preço]],Z116+TbTradesBinance[[#This Row],[Qtt]]*TbTradesBinance[[#This Row],[Preço]])),Z116)-IF(TbTradesBinance[[#This Row],[Moeda da Taxa]]=MID(Z$1,9,5),TbTradesBinance[[#This Row],[Taxa]],0),8)))</f>
        <v>1.031935E-2</v>
      </c>
      <c r="AA117" s="145" cm="1">
        <f t="array" ref="AA117">IF(TbTradesBinance[[#This Row],[Tipo]]="EMPTY",0,AA116+IF(TbTradesBinance[[#This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Row],[Par]]))),$1:$1,0)),-(Z116-Z117)/Z116*AA116),0),0)+IF(TbTradesBinance[[#This Row],[Tipo]]="SELL",IF(ISNUMBER(FIND(MID(AA$1,10,5),TbTradesBinance[[#This Row],[Par]])),IF(FIND(MID(AA$1,10,5),TbTradesBinance[[#This Row],[Par]])=1, -(Z116-Z117)/Z116*AA116,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Row],[Par]])),(-(Z116-Z117)/Z116*AA116)+IF(TbTradesBinance[[#This Row],[Resultado]]&gt;0,0,TbTradesBinance[[#This Row],[Taxa]]),0),0))</f>
        <v>107.3592846539391</v>
      </c>
      <c r="AB117" s="145">
        <f t="shared" si="24"/>
        <v>10403.686729681531</v>
      </c>
      <c r="AC11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Row],[Tipo]]="DROP"),AC116+TbTradesBinance[[#This Row],[Qtt]],AC116-TbTradesBinance[[#This Row],[Qtt]]),IF(TbTradesBinance[[#This Row],[Tipo]]="BUY",AC116-TbTradesBinance[[#This Row],[Qtt]]*TbTradesBinance[[#This Row],[Preço]],AC116+TbTradesBinance[[#This Row],[Qtt]]*TbTradesBinance[[#This Row],[Preço]])),AC116)-IF(TbTradesBinance[[#This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Row],[Tipo]]="DROP"),AC116+TbTradesBinance[[#This Row],[Qtt]],AC116-TbTradesBinance[[#This Row],[Qtt]]),IF(TbTradesBinance[[#This Row],[Tipo]]="BUY",AC116-TbTradesBinance[[#This Row],[Qtt]]*TbTradesBinance[[#This Row],[Preço]],AC116+TbTradesBinance[[#This Row],[Qtt]]*TbTradesBinance[[#This Row],[Preço]])),AC116)-IF(TbTradesBinance[[#This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Row],[Tipo]]="DROP"),AC116+TbTradesBinance[[#This Row],[Qtt]],AC116-TbTradesBinance[[#This Row],[Qtt]]),IF(TbTradesBinance[[#This Row],[Tipo]]="BUY",AC116-TbTradesBinance[[#This Row],[Qtt]]*TbTradesBinance[[#This Row],[Preço]],AC116+TbTradesBinance[[#This Row],[Qtt]]*TbTradesBinance[[#This Row],[Preço]])),AC116)-IF(TbTradesBinance[[#This Row],[Moeda da Taxa]]=MID(AC$1,9,5),TbTradesBinance[[#This Row],[Taxa]],0),8)))</f>
        <v>9.6999E-4</v>
      </c>
      <c r="AD117" s="145" cm="1">
        <f t="array" ref="AD117">IF(TbTradesBinance[[#This Row],[Tipo]]="EMPTY",0,AD116+IF(TbTradesBinance[[#This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Row],[Par]]))),$1:$1,0)),-(AC116-AC117)/AC116*AD116),0),0)+IF(TbTradesBinance[[#This Row],[Tipo]]="SELL",IF(ISNUMBER(FIND(MID(AD$1,10,5),TbTradesBinance[[#This Row],[Par]])),IF(FIND(MID(AD$1,10,5),TbTradesBinance[[#This Row],[Par]])=1, -(AC116-AC117)/AC116*AD116,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Row],[Par]])),(-(AC116-AC117)/AC116*AD116)+IF(TbTradesBinance[[#This Row],[Resultado]]&gt;0,0,TbTradesBinance[[#This Row],[Taxa]]),0),0))</f>
        <v>1.9483868939812083</v>
      </c>
      <c r="AE117" s="145">
        <f t="shared" si="25"/>
        <v>2008.6669903619711</v>
      </c>
      <c r="AF11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Row],[Tipo]]="DROP"),AF116+TbTradesBinance[[#This Row],[Qtt]],AF116-TbTradesBinance[[#This Row],[Qtt]]),IF(TbTradesBinance[[#This Row],[Tipo]]="BUY",AF116-TbTradesBinance[[#This Row],[Qtt]]*TbTradesBinance[[#This Row],[Preço]],AF116+TbTradesBinance[[#This Row],[Qtt]]*TbTradesBinance[[#This Row],[Preço]])),AF116)-IF(TbTradesBinance[[#This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Row],[Tipo]]="DROP"),AF116+TbTradesBinance[[#This Row],[Qtt]],AF116-TbTradesBinance[[#This Row],[Qtt]]),IF(TbTradesBinance[[#This Row],[Tipo]]="BUY",AF116-TbTradesBinance[[#This Row],[Qtt]]*TbTradesBinance[[#This Row],[Preço]],AF116+TbTradesBinance[[#This Row],[Qtt]]*TbTradesBinance[[#This Row],[Preço]])),AF116)-IF(TbTradesBinance[[#This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Row],[Tipo]]="DROP"),AF116+TbTradesBinance[[#This Row],[Qtt]],AF116-TbTradesBinance[[#This Row],[Qtt]]),IF(TbTradesBinance[[#This Row],[Tipo]]="BUY",AF116-TbTradesBinance[[#This Row],[Qtt]]*TbTradesBinance[[#This Row],[Preço]],AF116+TbTradesBinance[[#This Row],[Qtt]]*TbTradesBinance[[#This Row],[Preço]])),AF116)-IF(TbTradesBinance[[#This Row],[Moeda da Taxa]]=MID(AF$1,9,5),TbTradesBinance[[#This Row],[Taxa]],0),8)))</f>
        <v>0.08</v>
      </c>
      <c r="AG117" s="145" cm="1">
        <f t="array" ref="AG117">IF(TbTradesBinance[[#This Row],[Tipo]]="EMPTY",0,AG116+IF(TbTradesBinance[[#This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Row],[Par]]))),$1:$1,0)),-(AF116-AF117)/AF116*AG116),0),0)+IF(TbTradesBinance[[#This Row],[Tipo]]="SELL",IF(ISNUMBER(FIND(MID(AG$1,10,5),TbTradesBinance[[#This Row],[Par]])),IF(FIND(MID(AG$1,10,5),TbTradesBinance[[#This Row],[Par]])=1, -(AF116-AF117)/AF116*AG116,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Row],[Par]])),(-(AF116-AF117)/AF116*AG116)+IF(TbTradesBinance[[#This Row],[Resultado]]&gt;0,0,TbTradesBinance[[#This Row],[Taxa]]),0),0))</f>
        <v>0.49666397429723474</v>
      </c>
      <c r="AH117" s="145">
        <f t="shared" si="26"/>
        <v>6.2082996787154343</v>
      </c>
      <c r="AI11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Row],[Tipo]]="DROP"),AI116+TbTradesBinance[[#This Row],[Qtt]],AI116-TbTradesBinance[[#This Row],[Qtt]]),IF(TbTradesBinance[[#This Row],[Tipo]]="BUY",AI116-TbTradesBinance[[#This Row],[Qtt]]*TbTradesBinance[[#This Row],[Preço]],AI116+TbTradesBinance[[#This Row],[Qtt]]*TbTradesBinance[[#This Row],[Preço]])),AI116)-IF(TbTradesBinance[[#This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Row],[Tipo]]="DROP"),AI116+TbTradesBinance[[#This Row],[Qtt]],AI116-TbTradesBinance[[#This Row],[Qtt]]),IF(TbTradesBinance[[#This Row],[Tipo]]="BUY",AI116-TbTradesBinance[[#This Row],[Qtt]]*TbTradesBinance[[#This Row],[Preço]],AI116+TbTradesBinance[[#This Row],[Qtt]]*TbTradesBinance[[#This Row],[Preço]])),AI116)-IF(TbTradesBinance[[#This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Row],[Tipo]]="DROP"),AI116+TbTradesBinance[[#This Row],[Qtt]],AI116-TbTradesBinance[[#This Row],[Qtt]]),IF(TbTradesBinance[[#This Row],[Tipo]]="BUY",AI116-TbTradesBinance[[#This Row],[Qtt]]*TbTradesBinance[[#This Row],[Preço]],AI116+TbTradesBinance[[#This Row],[Qtt]]*TbTradesBinance[[#This Row],[Preço]])),AI116)-IF(TbTradesBinance[[#This Row],[Moeda da Taxa]]=MID(AI$1,9,5),TbTradesBinance[[#This Row],[Taxa]],0),8)))</f>
        <v>0</v>
      </c>
      <c r="AJ117" s="145" cm="1">
        <f t="array" ref="AJ117">IF(TbTradesBinance[[#This Row],[Tipo]]="EMPTY",0,AJ116+IF(TbTradesBinance[[#This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Row],[Par]]))),$1:$1,0)),-(AI116-AI117)/AI116*AJ116),0),0)+IF(TbTradesBinance[[#This Row],[Tipo]]="SELL",IF(ISNUMBER(FIND(MID(AJ$1,10,5),TbTradesBinance[[#This Row],[Par]])),IF(FIND(MID(AJ$1,10,5),TbTradesBinance[[#This Row],[Par]])=1, -(AI116-AI117)/AI116*AJ116,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Row],[Par]])),(-(AI116-AI117)/AI116*AJ116)+IF(TbTradesBinance[[#This Row],[Resultado]]&gt;0,0,TbTradesBinance[[#This Row],[Taxa]]),0),0))</f>
        <v>0</v>
      </c>
      <c r="AK117" s="145">
        <f t="shared" si="27"/>
        <v>0</v>
      </c>
      <c r="AL11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Row],[Tipo]]="DROP"),AL116+TbTradesBinance[[#This Row],[Qtt]],AL116-TbTradesBinance[[#This Row],[Qtt]]),IF(TbTradesBinance[[#This Row],[Tipo]]="BUY",AL116-TbTradesBinance[[#This Row],[Qtt]]*TbTradesBinance[[#This Row],[Preço]],AL116+TbTradesBinance[[#This Row],[Qtt]]*TbTradesBinance[[#This Row],[Preço]])),AL116)-IF(TbTradesBinance[[#This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Row],[Tipo]]="DROP"),AL116+TbTradesBinance[[#This Row],[Qtt]],AL116-TbTradesBinance[[#This Row],[Qtt]]),IF(TbTradesBinance[[#This Row],[Tipo]]="BUY",AL116-TbTradesBinance[[#This Row],[Qtt]]*TbTradesBinance[[#This Row],[Preço]],AL116+TbTradesBinance[[#This Row],[Qtt]]*TbTradesBinance[[#This Row],[Preço]])),AL116)-IF(TbTradesBinance[[#This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Row],[Tipo]]="DROP"),AL116+TbTradesBinance[[#This Row],[Qtt]],AL116-TbTradesBinance[[#This Row],[Qtt]]),IF(TbTradesBinance[[#This Row],[Tipo]]="BUY",AL116-TbTradesBinance[[#This Row],[Qtt]]*TbTradesBinance[[#This Row],[Preço]],AL116+TbTradesBinance[[#This Row],[Qtt]]*TbTradesBinance[[#This Row],[Preço]])),AL116)-IF(TbTradesBinance[[#This Row],[Moeda da Taxa]]=MID(AL$1,9,5),TbTradesBinance[[#This Row],[Taxa]],0),8)))</f>
        <v>8.2400000000000008E-3</v>
      </c>
      <c r="AM117" s="145" cm="1">
        <f t="array" ref="AM117">IF(TbTradesBinance[[#This Row],[Tipo]]="EMPTY",0,AM116+IF(TbTradesBinance[[#This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Row],[Par]]))),$1:$1,0)),-(AL116-AL117)/AL116*AM116),0),0)+IF(TbTradesBinance[[#This Row],[Tipo]]="SELL",IF(ISNUMBER(FIND(MID(AM$1,10,5),TbTradesBinance[[#This Row],[Par]])),IF(FIND(MID(AM$1,10,5),TbTradesBinance[[#This Row],[Par]])=1, -(AL116-AL117)/AL116*AM116,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Row],[Par]])),(-(AL116-AL117)/AL116*AM116)+IF(TbTradesBinance[[#This Row],[Resultado]]&gt;0,0,TbTradesBinance[[#This Row],[Taxa]]),0),0))</f>
        <v>0.67751089887772764</v>
      </c>
      <c r="AN117" s="145">
        <f t="shared" si="28"/>
        <v>82.222196465743636</v>
      </c>
      <c r="AO11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Row],[Tipo]]="DROP"),AO116+TbTradesBinance[[#This Row],[Qtt]],AO116-TbTradesBinance[[#This Row],[Qtt]]),IF(TbTradesBinance[[#This Row],[Tipo]]="BUY",AO116-TbTradesBinance[[#This Row],[Qtt]]*TbTradesBinance[[#This Row],[Preço]],AO116+TbTradesBinance[[#This Row],[Qtt]]*TbTradesBinance[[#This Row],[Preço]])),AO116)-IF(TbTradesBinance[[#This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Row],[Tipo]]="DROP"),AO116+TbTradesBinance[[#This Row],[Qtt]],AO116-TbTradesBinance[[#This Row],[Qtt]]),IF(TbTradesBinance[[#This Row],[Tipo]]="BUY",AO116-TbTradesBinance[[#This Row],[Qtt]]*TbTradesBinance[[#This Row],[Preço]],AO116+TbTradesBinance[[#This Row],[Qtt]]*TbTradesBinance[[#This Row],[Preço]])),AO116)-IF(TbTradesBinance[[#This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Row],[Tipo]]="DROP"),AO116+TbTradesBinance[[#This Row],[Qtt]],AO116-TbTradesBinance[[#This Row],[Qtt]]),IF(TbTradesBinance[[#This Row],[Tipo]]="BUY",AO116-TbTradesBinance[[#This Row],[Qtt]]*TbTradesBinance[[#This Row],[Preço]],AO116+TbTradesBinance[[#This Row],[Qtt]]*TbTradesBinance[[#This Row],[Preço]])),AO116)-IF(TbTradesBinance[[#This Row],[Moeda da Taxa]]=MID(AO$1,9,5),TbTradesBinance[[#This Row],[Taxa]],0),8)))</f>
        <v>7.4601689999999998E-2</v>
      </c>
      <c r="AP117" s="145" cm="1">
        <f t="array" ref="AP117">IF(TbTradesBinance[[#This Row],[Tipo]]="EMPTY",0,AP116+IF(TbTradesBinance[[#This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Row],[Par]]))),$1:$1,0)),-(AO116-AO117)/AO116*AP116),0),0)+IF(TbTradesBinance[[#This Row],[Tipo]]="SELL",IF(ISNUMBER(FIND(MID(AP$1,10,5),TbTradesBinance[[#This Row],[Par]])),IF(FIND(MID(AP$1,10,5),TbTradesBinance[[#This Row],[Par]])=1, -(AO116-AO117)/AO116*AP116,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Row],[Par]])),(-(AO116-AO117)/AO116*AP116)+IF(TbTradesBinance[[#This Row],[Resultado]]&gt;0,0,TbTradesBinance[[#This Row],[Taxa]]),0),0))</f>
        <v>113.87766627073657</v>
      </c>
      <c r="AQ117" s="145">
        <f t="shared" si="29"/>
        <v>1526.4756907080332</v>
      </c>
      <c r="AR11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Row],[Tipo]]="DROP"),AR116+TbTradesBinance[[#This Row],[Qtt]],AR116-TbTradesBinance[[#This Row],[Qtt]]),IF(TbTradesBinance[[#This Row],[Tipo]]="BUY",AR116-TbTradesBinance[[#This Row],[Qtt]]*TbTradesBinance[[#This Row],[Preço]],AR116+TbTradesBinance[[#This Row],[Qtt]]*TbTradesBinance[[#This Row],[Preço]])),AR116)-IF(TbTradesBinance[[#This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Row],[Tipo]]="DROP"),AR116+TbTradesBinance[[#This Row],[Qtt]],AR116-TbTradesBinance[[#This Row],[Qtt]]),IF(TbTradesBinance[[#This Row],[Tipo]]="BUY",AR116-TbTradesBinance[[#This Row],[Qtt]]*TbTradesBinance[[#This Row],[Preço]],AR116+TbTradesBinance[[#This Row],[Qtt]]*TbTradesBinance[[#This Row],[Preço]])),AR116)-IF(TbTradesBinance[[#This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Row],[Tipo]]="DROP"),AR116+TbTradesBinance[[#This Row],[Qtt]],AR116-TbTradesBinance[[#This Row],[Qtt]]),IF(TbTradesBinance[[#This Row],[Tipo]]="BUY",AR116-TbTradesBinance[[#This Row],[Qtt]]*TbTradesBinance[[#This Row],[Preço]],AR116+TbTradesBinance[[#This Row],[Qtt]]*TbTradesBinance[[#This Row],[Preço]])),AR116)-IF(TbTradesBinance[[#This Row],[Moeda da Taxa]]=MID(AR$1,9,5),TbTradesBinance[[#This Row],[Taxa]],0),8)))</f>
        <v>61.251199999999997</v>
      </c>
      <c r="AS117" s="145" cm="1">
        <f t="array" ref="AS117">IF(TbTradesBinance[[#This Row],[Tipo]]="EMPTY",0,AS116+IF(TbTradesBinance[[#This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Row],[Par]]))),$1:$1,0)),-(AR116-AR117)/AR116*AS116),0),0)+IF(TbTradesBinance[[#This Row],[Tipo]]="SELL",IF(ISNUMBER(FIND(MID(AS$1,10,5),TbTradesBinance[[#This Row],[Par]])),IF(FIND(MID(AS$1,10,5),TbTradesBinance[[#This Row],[Par]])=1, -(AR116-AR117)/AR116*AS116,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Row],[Par]])),(-(AR116-AR117)/AR116*AS116)+IF(TbTradesBinance[[#This Row],[Resultado]]&gt;0,0,TbTradesBinance[[#This Row],[Taxa]]),0),0))</f>
        <v>230.84001376053044</v>
      </c>
      <c r="AT117" s="145">
        <f t="shared" si="30"/>
        <v>3.7687427146003745</v>
      </c>
      <c r="AU11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Row],[Tipo]]="DROP"),AU116+TbTradesBinance[[#This Row],[Qtt]],AU116-TbTradesBinance[[#This Row],[Qtt]]),IF(TbTradesBinance[[#This Row],[Tipo]]="BUY",AU116-TbTradesBinance[[#This Row],[Qtt]]*TbTradesBinance[[#This Row],[Preço]],AU116+TbTradesBinance[[#This Row],[Qtt]]*TbTradesBinance[[#This Row],[Preço]])),AU116)-IF(TbTradesBinance[[#This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Row],[Tipo]]="DROP"),AU116+TbTradesBinance[[#This Row],[Qtt]],AU116-TbTradesBinance[[#This Row],[Qtt]]),IF(TbTradesBinance[[#This Row],[Tipo]]="BUY",AU116-TbTradesBinance[[#This Row],[Qtt]]*TbTradesBinance[[#This Row],[Preço]],AU116+TbTradesBinance[[#This Row],[Qtt]]*TbTradesBinance[[#This Row],[Preço]])),AU116)-IF(TbTradesBinance[[#This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Row],[Tipo]]="DROP"),AU116+TbTradesBinance[[#This Row],[Qtt]],AU116-TbTradesBinance[[#This Row],[Qtt]]),IF(TbTradesBinance[[#This Row],[Tipo]]="BUY",AU116-TbTradesBinance[[#This Row],[Qtt]]*TbTradesBinance[[#This Row],[Preço]],AU116+TbTradesBinance[[#This Row],[Qtt]]*TbTradesBinance[[#This Row],[Preço]])),AU116)-IF(TbTradesBinance[[#This Row],[Moeda da Taxa]]=MID(AU$1,9,5),TbTradesBinance[[#This Row],[Taxa]],0),8)))</f>
        <v>0</v>
      </c>
      <c r="AV117" s="145" cm="1">
        <f t="array" ref="AV117">IF(TbTradesBinance[[#This Row],[Tipo]]="EMPTY",0,AV116+IF(TbTradesBinance[[#This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Row],[Par]]))),$1:$1,0)),-(AU116-AU117)/AU116*AV116),0),0)+IF(TbTradesBinance[[#This Row],[Tipo]]="SELL",IF(ISNUMBER(FIND(MID(AV$1,10,5),TbTradesBinance[[#This Row],[Par]])),IF(FIND(MID(AV$1,10,5),TbTradesBinance[[#This Row],[Par]])=1, -(AU116-AU117)/AU116*AV116,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Row],[Par]])),(-(AU116-AU117)/AU116*AV116)+IF(TbTradesBinance[[#This Row],[Resultado]]&gt;0,0,TbTradesBinance[[#This Row],[Taxa]]),0),0))</f>
        <v>0</v>
      </c>
      <c r="AW117" s="145">
        <f t="shared" si="31"/>
        <v>0</v>
      </c>
      <c r="AX11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Row],[Tipo]]="DROP"),AX116+TbTradesBinance[[#This Row],[Qtt]],AX116-TbTradesBinance[[#This Row],[Qtt]]),IF(TbTradesBinance[[#This Row],[Tipo]]="BUY",AX116-TbTradesBinance[[#This Row],[Qtt]]*TbTradesBinance[[#This Row],[Preço]],AX116+TbTradesBinance[[#This Row],[Qtt]]*TbTradesBinance[[#This Row],[Preço]])),AX116)-IF(TbTradesBinance[[#This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Row],[Tipo]]="DROP"),AX116+TbTradesBinance[[#This Row],[Qtt]],AX116-TbTradesBinance[[#This Row],[Qtt]]),IF(TbTradesBinance[[#This Row],[Tipo]]="BUY",AX116-TbTradesBinance[[#This Row],[Qtt]]*TbTradesBinance[[#This Row],[Preço]],AX116+TbTradesBinance[[#This Row],[Qtt]]*TbTradesBinance[[#This Row],[Preço]])),AX116)-IF(TbTradesBinance[[#This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Row],[Tipo]]="DROP"),AX116+TbTradesBinance[[#This Row],[Qtt]],AX116-TbTradesBinance[[#This Row],[Qtt]]),IF(TbTradesBinance[[#This Row],[Tipo]]="BUY",AX116-TbTradesBinance[[#This Row],[Qtt]]*TbTradesBinance[[#This Row],[Preço]],AX116+TbTradesBinance[[#This Row],[Qtt]]*TbTradesBinance[[#This Row],[Preço]])),AX116)-IF(TbTradesBinance[[#This Row],[Moeda da Taxa]]=MID(AX$1,9,5),TbTradesBinance[[#This Row],[Taxa]],0),8)))</f>
        <v>0.85636999999999996</v>
      </c>
      <c r="AY117" s="145" cm="1">
        <f t="array" ref="AY117">IF(TbTradesBinance[[#This Row],[Tipo]]="EMPTY",0,AY116+IF(TbTradesBinance[[#This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Row],[Par]]))),$1:$1,0)),-(AX116-AX117)/AX116*AY116),0),0)+IF(TbTradesBinance[[#This Row],[Tipo]]="SELL",IF(ISNUMBER(FIND(MID(AY$1,10,5),TbTradesBinance[[#This Row],[Par]])),IF(FIND(MID(AY$1,10,5),TbTradesBinance[[#This Row],[Par]])=1, -(AX116-AX117)/AX116*AY116,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Row],[Par]])),(-(AX116-AX117)/AX116*AY116)+IF(TbTradesBinance[[#This Row],[Resultado]]&gt;0,0,TbTradesBinance[[#This Row],[Taxa]]),0),0))</f>
        <v>131.82971181780295</v>
      </c>
      <c r="AZ117" s="145">
        <f t="shared" si="32"/>
        <v>153.94013314081874</v>
      </c>
      <c r="BA11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Row],[Tipo]]="DROP"),BA116+TbTradesBinance[[#This Row],[Qtt]],BA116-TbTradesBinance[[#This Row],[Qtt]]),IF(TbTradesBinance[[#This Row],[Tipo]]="BUY",BA116-TbTradesBinance[[#This Row],[Qtt]]*TbTradesBinance[[#This Row],[Preço]],BA116+TbTradesBinance[[#This Row],[Qtt]]*TbTradesBinance[[#This Row],[Preço]])),BA116)-IF(TbTradesBinance[[#This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Row],[Tipo]]="DROP"),BA116+TbTradesBinance[[#This Row],[Qtt]],BA116-TbTradesBinance[[#This Row],[Qtt]]),IF(TbTradesBinance[[#This Row],[Tipo]]="BUY",BA116-TbTradesBinance[[#This Row],[Qtt]]*TbTradesBinance[[#This Row],[Preço]],BA116+TbTradesBinance[[#This Row],[Qtt]]*TbTradesBinance[[#This Row],[Preço]])),BA116)-IF(TbTradesBinance[[#This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Row],[Tipo]]="DROP"),BA116+TbTradesBinance[[#This Row],[Qtt]],BA116-TbTradesBinance[[#This Row],[Qtt]]),IF(TbTradesBinance[[#This Row],[Tipo]]="BUY",BA116-TbTradesBinance[[#This Row],[Qtt]]*TbTradesBinance[[#This Row],[Preço]],BA116+TbTradesBinance[[#This Row],[Qtt]]*TbTradesBinance[[#This Row],[Preço]])),BA116)-IF(TbTradesBinance[[#This Row],[Moeda da Taxa]]=MID(BA$1,9,5),TbTradesBinance[[#This Row],[Taxa]],0),8)))</f>
        <v>0</v>
      </c>
      <c r="BB117" s="145" cm="1">
        <f t="array" ref="BB117">IF(TbTradesBinance[[#This Row],[Tipo]]="EMPTY",0,BB116+IF(TbTradesBinance[[#This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Row],[Par]]))),$1:$1,0)),-(BA116-BA117)/BA116*BB116),0),0)+IF(TbTradesBinance[[#This Row],[Tipo]]="SELL",IF(ISNUMBER(FIND(MID(BB$1,10,5),TbTradesBinance[[#This Row],[Par]])),IF(FIND(MID(BB$1,10,5),TbTradesBinance[[#This Row],[Par]])=1, -(BA116-BA117)/BA116*BB116,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Row],[Par]])),(-(BA116-BA117)/BA116*BB116)+IF(TbTradesBinance[[#This Row],[Resultado]]&gt;0,0,TbTradesBinance[[#This Row],[Taxa]]),0),0))</f>
        <v>0</v>
      </c>
      <c r="BC117" s="145">
        <f t="shared" si="33"/>
        <v>0</v>
      </c>
      <c r="BD11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Row],[Tipo]]="DROP"),BD116+TbTradesBinance[[#This Row],[Qtt]],BD116-TbTradesBinance[[#This Row],[Qtt]]),IF(TbTradesBinance[[#This Row],[Tipo]]="BUY",BD116-TbTradesBinance[[#This Row],[Qtt]]*TbTradesBinance[[#This Row],[Preço]],BD116+TbTradesBinance[[#This Row],[Qtt]]*TbTradesBinance[[#This Row],[Preço]])),BD116)-IF(TbTradesBinance[[#This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Row],[Tipo]]="DROP"),BD116+TbTradesBinance[[#This Row],[Qtt]],BD116-TbTradesBinance[[#This Row],[Qtt]]),IF(TbTradesBinance[[#This Row],[Tipo]]="BUY",BD116-TbTradesBinance[[#This Row],[Qtt]]*TbTradesBinance[[#This Row],[Preço]],BD116+TbTradesBinance[[#This Row],[Qtt]]*TbTradesBinance[[#This Row],[Preço]])),BD116)-IF(TbTradesBinance[[#This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Row],[Tipo]]="DROP"),BD116+TbTradesBinance[[#This Row],[Qtt]],BD116-TbTradesBinance[[#This Row],[Qtt]]),IF(TbTradesBinance[[#This Row],[Tipo]]="BUY",BD116-TbTradesBinance[[#This Row],[Qtt]]*TbTradesBinance[[#This Row],[Preço]],BD116+TbTradesBinance[[#This Row],[Qtt]]*TbTradesBinance[[#This Row],[Preço]])),BD116)-IF(TbTradesBinance[[#This Row],[Moeda da Taxa]]=MID(BD$1,9,5),TbTradesBinance[[#This Row],[Taxa]],0),8)))</f>
        <v>9.0599900000000004E-3</v>
      </c>
      <c r="BE117" s="145" cm="1">
        <f t="array" ref="BE117">IF(TbTradesBinance[[#This Row],[Tipo]]="EMPTY",0,BE116+IF(TbTradesBinance[[#This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Row],[Par]]))),$1:$1,0)),-(BD116-BD117)/BD116*BE116),0),0)+IF(TbTradesBinance[[#This Row],[Tipo]]="SELL",IF(ISNUMBER(FIND(MID(BE$1,10,5),TbTradesBinance[[#This Row],[Par]])),IF(FIND(MID(BE$1,10,5),TbTradesBinance[[#This Row],[Par]])=1, -(BD116-BD117)/BD116*BE116,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Row],[Par]])),(-(BD116-BD117)/BD116*BE116)+IF(TbTradesBinance[[#This Row],[Resultado]]&gt;0,0,TbTradesBinance[[#This Row],[Taxa]]),0),0))</f>
        <v>1.6846969284922721</v>
      </c>
      <c r="BF117" s="145">
        <f t="shared" si="34"/>
        <v>185.94909359638058</v>
      </c>
      <c r="BG11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Row],[Tipo]]="DROP"),BG116+TbTradesBinance[[#This Row],[Qtt]],BG116-TbTradesBinance[[#This Row],[Qtt]]),IF(TbTradesBinance[[#This Row],[Tipo]]="BUY",BG116-TbTradesBinance[[#This Row],[Qtt]]*TbTradesBinance[[#This Row],[Preço]],BG116+TbTradesBinance[[#This Row],[Qtt]]*TbTradesBinance[[#This Row],[Preço]])),BG116)-IF(TbTradesBinance[[#This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Row],[Tipo]]="DROP"),BG116+TbTradesBinance[[#This Row],[Qtt]],BG116-TbTradesBinance[[#This Row],[Qtt]]),IF(TbTradesBinance[[#This Row],[Tipo]]="BUY",BG116-TbTradesBinance[[#This Row],[Qtt]]*TbTradesBinance[[#This Row],[Preço]],BG116+TbTradesBinance[[#This Row],[Qtt]]*TbTradesBinance[[#This Row],[Preço]])),BG116)-IF(TbTradesBinance[[#This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Row],[Tipo]]="DROP"),BG116+TbTradesBinance[[#This Row],[Qtt]],BG116-TbTradesBinance[[#This Row],[Qtt]]),IF(TbTradesBinance[[#This Row],[Tipo]]="BUY",BG116-TbTradesBinance[[#This Row],[Qtt]]*TbTradesBinance[[#This Row],[Preço]],BG116+TbTradesBinance[[#This Row],[Qtt]]*TbTradesBinance[[#This Row],[Preço]])),BG116)-IF(TbTradesBinance[[#This Row],[Moeda da Taxa]]=MID(BG$1,9,5),TbTradesBinance[[#This Row],[Taxa]],0),8)))</f>
        <v>0</v>
      </c>
      <c r="BH117" s="145" cm="1">
        <f t="array" ref="BH117">IF(TbTradesBinance[[#This Row],[Tipo]]="EMPTY",0,BH116+IF(TbTradesBinance[[#This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Row],[Par]]))),$1:$1,0)),-(BG116-BG117)/BG116*BH116),0),0)+IF(TbTradesBinance[[#This Row],[Tipo]]="SELL",IF(ISNUMBER(FIND(MID(BH$1,10,5),TbTradesBinance[[#This Row],[Par]])),IF(FIND(MID(BH$1,10,5),TbTradesBinance[[#This Row],[Par]])=1, -(BG116-BG117)/BG116*BH116,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Row],[Par]])),(-(BG116-BG117)/BG116*BH116)+IF(TbTradesBinance[[#This Row],[Resultado]]&gt;0,0,TbTradesBinance[[#This Row],[Taxa]]),0),0))</f>
        <v>0</v>
      </c>
      <c r="BI117" s="145">
        <f t="shared" si="35"/>
        <v>0</v>
      </c>
      <c r="BJ11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Row],[Tipo]]="DROP"),BJ116+TbTradesBinance[[#This Row],[Qtt]],BJ116-TbTradesBinance[[#This Row],[Qtt]]),IF(TbTradesBinance[[#This Row],[Tipo]]="BUY",BJ116-TbTradesBinance[[#This Row],[Qtt]]*TbTradesBinance[[#This Row],[Preço]],BJ116+TbTradesBinance[[#This Row],[Qtt]]*TbTradesBinance[[#This Row],[Preço]])),BJ116)-IF(TbTradesBinance[[#This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Row],[Tipo]]="DROP"),BJ116+TbTradesBinance[[#This Row],[Qtt]],BJ116-TbTradesBinance[[#This Row],[Qtt]]),IF(TbTradesBinance[[#This Row],[Tipo]]="BUY",BJ116-TbTradesBinance[[#This Row],[Qtt]]*TbTradesBinance[[#This Row],[Preço]],BJ116+TbTradesBinance[[#This Row],[Qtt]]*TbTradesBinance[[#This Row],[Preço]])),BJ116)-IF(TbTradesBinance[[#This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Row],[Tipo]]="DROP"),BJ116+TbTradesBinance[[#This Row],[Qtt]],BJ116-TbTradesBinance[[#This Row],[Qtt]]),IF(TbTradesBinance[[#This Row],[Tipo]]="BUY",BJ116-TbTradesBinance[[#This Row],[Qtt]]*TbTradesBinance[[#This Row],[Preço]],BJ116+TbTradesBinance[[#This Row],[Qtt]]*TbTradesBinance[[#This Row],[Preço]])),BJ116)-IF(TbTradesBinance[[#This Row],[Moeda da Taxa]]=MID(BJ$1,9,5),TbTradesBinance[[#This Row],[Taxa]],0),8)))</f>
        <v>0</v>
      </c>
      <c r="BK117" s="145" cm="1">
        <f t="array" ref="BK117">IF(TbTradesBinance[[#This Row],[Tipo]]="EMPTY",0,BK116+IF(TbTradesBinance[[#This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Row],[Par]]))),$1:$1,0)),-(BJ116-BJ117)/BJ116*BK116),0),0)+IF(TbTradesBinance[[#This Row],[Tipo]]="SELL",IF(ISNUMBER(FIND(MID(BK$1,10,5),TbTradesBinance[[#This Row],[Par]])),IF(FIND(MID(BK$1,10,5),TbTradesBinance[[#This Row],[Par]])=1, -(BJ116-BJ117)/BJ116*BK116,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Row],[Par]])),(-(BJ116-BJ117)/BJ116*BK116)+IF(TbTradesBinance[[#This Row],[Resultado]]&gt;0,0,TbTradesBinance[[#This Row],[Taxa]]),0),0))</f>
        <v>0</v>
      </c>
      <c r="BL117" s="145">
        <f t="shared" si="36"/>
        <v>0</v>
      </c>
      <c r="BM11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Row],[Tipo]]="DROP"),BM116+TbTradesBinance[[#This Row],[Qtt]],BM116-TbTradesBinance[[#This Row],[Qtt]]),IF(TbTradesBinance[[#This Row],[Tipo]]="BUY",BM116-TbTradesBinance[[#This Row],[Qtt]]*TbTradesBinance[[#This Row],[Preço]],BM116+TbTradesBinance[[#This Row],[Qtt]]*TbTradesBinance[[#This Row],[Preço]])),BM116)-IF(TbTradesBinance[[#This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Row],[Tipo]]="DROP"),BM116+TbTradesBinance[[#This Row],[Qtt]],BM116-TbTradesBinance[[#This Row],[Qtt]]),IF(TbTradesBinance[[#This Row],[Tipo]]="BUY",BM116-TbTradesBinance[[#This Row],[Qtt]]*TbTradesBinance[[#This Row],[Preço]],BM116+TbTradesBinance[[#This Row],[Qtt]]*TbTradesBinance[[#This Row],[Preço]])),BM116)-IF(TbTradesBinance[[#This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Row],[Tipo]]="DROP"),BM116+TbTradesBinance[[#This Row],[Qtt]],BM116-TbTradesBinance[[#This Row],[Qtt]]),IF(TbTradesBinance[[#This Row],[Tipo]]="BUY",BM116-TbTradesBinance[[#This Row],[Qtt]]*TbTradesBinance[[#This Row],[Preço]],BM116+TbTradesBinance[[#This Row],[Qtt]]*TbTradesBinance[[#This Row],[Preço]])),BM116)-IF(TbTradesBinance[[#This Row],[Moeda da Taxa]]=MID(BM$1,9,5),TbTradesBinance[[#This Row],[Taxa]],0),8)))</f>
        <v>0</v>
      </c>
      <c r="BN117" s="145" cm="1">
        <f t="array" ref="BN117">IF(TbTradesBinance[[#This Row],[Tipo]]="EMPTY",0,BN116+IF(TbTradesBinance[[#This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Row],[Par]]))),$1:$1,0)),-(BM116-BM117)/BM116*BN116),0),0)+IF(TbTradesBinance[[#This Row],[Tipo]]="SELL",IF(ISNUMBER(FIND(MID(BN$1,10,5),TbTradesBinance[[#This Row],[Par]])),IF(FIND(MID(BN$1,10,5),TbTradesBinance[[#This Row],[Par]])=1, -(BM116-BM117)/BM116*BN116,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Row],[Par]])),(-(BM116-BM117)/BM116*BN116)+IF(TbTradesBinance[[#This Row],[Resultado]]&gt;0,0,TbTradesBinance[[#This Row],[Taxa]]),0),0))</f>
        <v>0</v>
      </c>
      <c r="BO117" s="145">
        <f t="shared" si="37"/>
        <v>0</v>
      </c>
    </row>
    <row r="118" spans="2:67" x14ac:dyDescent="0.3">
      <c r="B118" s="51"/>
      <c r="C118" s="40">
        <f>TRUNC(IF(AND(TbTradesBinance[[#This Row],[Tipo]]="SEND",TbTradesBinance[[#This Row],[Par]]="BRL"),TbTradesBinance[[#This Row],[Qtt]]*(1-P116)-IF(TbTradesBinance[[#This Row],[Moeda da Taxa]]="BRL",TbTradesBinance[[#This Row],[Taxa]],0),0)+IF(AND(TbTradesBinance[[#This Row],[Tipo]]="BURN",TbTradesBinance[[#This Row],[Par]]="BRL"),-TbTradesBinance[[#This Row],[Qtt]]*P116,0),2)</f>
        <v>0</v>
      </c>
      <c r="D118" s="53">
        <v>44276.496111111112</v>
      </c>
      <c r="E118" s="37" t="s">
        <v>259</v>
      </c>
      <c r="F118" s="47" t="s">
        <v>139</v>
      </c>
      <c r="G118" s="38">
        <v>195.9</v>
      </c>
      <c r="H118" s="38">
        <v>5.3240000000000003E-2</v>
      </c>
      <c r="I118" s="38">
        <v>2.968E-5</v>
      </c>
      <c r="J118" s="37" t="s">
        <v>45</v>
      </c>
      <c r="K118" s="52">
        <v>5.5</v>
      </c>
      <c r="L118" s="40">
        <f t="shared" si="19"/>
        <v>1077.45</v>
      </c>
      <c r="M118" s="40">
        <f>IF(OR(TbTradesBinance[[#This Row],[Tipo]]="BUY",TbTradesBinance[[#This Row],[Tipo]]="RECEIVE",TbTradesBinance[[#This Row],[Tipo]]="DROP"),L118*H118,-L118*H118)</f>
        <v>57.363438000000002</v>
      </c>
      <c r="N11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Row],[Tipo]]="DROP"),N117+TbTradesBinance[[#This Row],[Qtt]],N117-TbTradesBinance[[#This Row],[Qtt]]),IF(TbTradesBinance[[#This Row],[Tipo]]="BUY",N117-TbTradesBinance[[#This Row],[Qtt]]*TbTradesBinance[[#This Row],[Preço]],N117+TbTradesBinance[[#This Row],[Qtt]]*TbTradesBinance[[#This Row],[Preço]])),N117)-IF(TbTradesBinance[[#This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Row],[Tipo]]="DROP"),N117+TbTradesBinance[[#This Row],[Qtt]],N117-TbTradesBinance[[#This Row],[Qtt]]),IF(TbTradesBinance[[#This Row],[Tipo]]="BUY",N117-TbTradesBinance[[#This Row],[Qtt]]*TbTradesBinance[[#This Row],[Preço]],N117+TbTradesBinance[[#This Row],[Qtt]]*TbTradesBinance[[#This Row],[Preço]])),N117)-IF(TbTradesBinance[[#This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Row],[Tipo]]="DROP"),N117+TbTradesBinance[[#This Row],[Qtt]],N117-TbTradesBinance[[#This Row],[Qtt]]),IF(TbTradesBinance[[#This Row],[Tipo]]="BUY",N117-TbTradesBinance[[#This Row],[Qtt]]*TbTradesBinance[[#This Row],[Preço]],N117+TbTradesBinance[[#This Row],[Qtt]]*TbTradesBinance[[#This Row],[Preço]])),N117)-IF(TbTradesBinance[[#This Row],[Moeda da Taxa]]=MID(N$1,9,5),TbTradesBinance[[#This Row],[Taxa]],0),8)))</f>
        <v>119746.42890708</v>
      </c>
      <c r="O118" s="145" cm="1">
        <f t="array" ref="O118">IF(TbTradesBinance[[#This Row],[Tipo]]="EMPTY",0,O117+IF(TbTradesBinance[[#This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Row],[Par]]))),$1:$1,0)),-(N117-N118)/N117*O117),0),0)+IF(TbTradesBinance[[#This Row],[Tipo]]="SELL",IF(ISNUMBER(FIND(MID(O$1,10,5),TbTradesBinance[[#This Row],[Par]])),IF(FIND(MID(O$1,10,5),TbTradesBinance[[#This Row],[Par]])=1, -(N117-N118)/N117*O117,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Row],[Par]])),(-(N117-N118)/N117*O117)+IF(TbTradesBinance[[#This Row],[Resultado]]&gt;0,0,TbTradesBinance[[#This Row],[Taxa]]),0),0))</f>
        <v>119735.19975279106</v>
      </c>
      <c r="P118" s="145">
        <f t="shared" si="20"/>
        <v>0.99990622556019892</v>
      </c>
      <c r="Q11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Row],[Tipo]]="DROP"),Q117+TbTradesBinance[[#This Row],[Qtt]],Q117-TbTradesBinance[[#This Row],[Qtt]]),IF(TbTradesBinance[[#This Row],[Tipo]]="BUY",Q117-TbTradesBinance[[#This Row],[Qtt]]*TbTradesBinance[[#This Row],[Preço]],Q117+TbTradesBinance[[#This Row],[Qtt]]*TbTradesBinance[[#This Row],[Preço]])),Q117)-IF(TbTradesBinance[[#This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Row],[Tipo]]="DROP"),Q117+TbTradesBinance[[#This Row],[Qtt]],Q117-TbTradesBinance[[#This Row],[Qtt]]),IF(TbTradesBinance[[#This Row],[Tipo]]="BUY",Q117-TbTradesBinance[[#This Row],[Qtt]]*TbTradesBinance[[#This Row],[Preço]],Q117+TbTradesBinance[[#This Row],[Qtt]]*TbTradesBinance[[#This Row],[Preço]])),Q117)-IF(TbTradesBinance[[#This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Row],[Tipo]]="DROP"),Q117+TbTradesBinance[[#This Row],[Qtt]],Q117-TbTradesBinance[[#This Row],[Qtt]]),IF(TbTradesBinance[[#This Row],[Tipo]]="BUY",Q117-TbTradesBinance[[#This Row],[Qtt]]*TbTradesBinance[[#This Row],[Preço]],Q117+TbTradesBinance[[#This Row],[Qtt]]*TbTradesBinance[[#This Row],[Preço]])),Q117)-IF(TbTradesBinance[[#This Row],[Moeda da Taxa]]=MID(Q$1,9,5),TbTradesBinance[[#This Row],[Taxa]],0),8)))</f>
        <v>1.67556E-3</v>
      </c>
      <c r="R118" s="145" cm="1">
        <f t="array" ref="R118">IF(TbTradesBinance[[#This Row],[Tipo]]="EMPTY",0,R117+IF(TbTradesBinance[[#This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Row],[Par]]))),$1:$1,0)),-(Q117-Q118)/Q117*R117),0),0)+IF(TbTradesBinance[[#This Row],[Tipo]]="SELL",IF(ISNUMBER(FIND(MID(R$1,10,5),TbTradesBinance[[#This Row],[Par]])),IF(FIND(MID(R$1,10,5),TbTradesBinance[[#This Row],[Par]])=1, -(Q117-Q118)/Q117*R117,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Row],[Par]])),(-(Q117-Q118)/Q117*R117)+IF(TbTradesBinance[[#This Row],[Resultado]]&gt;0,0,TbTradesBinance[[#This Row],[Taxa]]),0),0))</f>
        <v>9.7589919890239685E-3</v>
      </c>
      <c r="S118" s="145">
        <f t="shared" si="21"/>
        <v>5.8243166398242785</v>
      </c>
      <c r="T11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Row],[Tipo]]="DROP"),T117+TbTradesBinance[[#This Row],[Qtt]],T117-TbTradesBinance[[#This Row],[Qtt]]),IF(TbTradesBinance[[#This Row],[Tipo]]="BUY",T117-TbTradesBinance[[#This Row],[Qtt]]*TbTradesBinance[[#This Row],[Preço]],T117+TbTradesBinance[[#This Row],[Qtt]]*TbTradesBinance[[#This Row],[Preço]])),T117)-IF(TbTradesBinance[[#This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Row],[Tipo]]="DROP"),T117+TbTradesBinance[[#This Row],[Qtt]],T117-TbTradesBinance[[#This Row],[Qtt]]),IF(TbTradesBinance[[#This Row],[Tipo]]="BUY",T117-TbTradesBinance[[#This Row],[Qtt]]*TbTradesBinance[[#This Row],[Preço]],T117+TbTradesBinance[[#This Row],[Qtt]]*TbTradesBinance[[#This Row],[Preço]])),T117)-IF(TbTradesBinance[[#This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Row],[Tipo]]="DROP"),T117+TbTradesBinance[[#This Row],[Qtt]],T117-TbTradesBinance[[#This Row],[Qtt]]),IF(TbTradesBinance[[#This Row],[Tipo]]="BUY",T117-TbTradesBinance[[#This Row],[Qtt]]*TbTradesBinance[[#This Row],[Preço]],T117+TbTradesBinance[[#This Row],[Qtt]]*TbTradesBinance[[#This Row],[Preço]])),T117)-IF(TbTradesBinance[[#This Row],[Moeda da Taxa]]=MID(T$1,9,5),TbTradesBinance[[#This Row],[Taxa]],0),8)))</f>
        <v>199735.32000169999</v>
      </c>
      <c r="U118" s="145" cm="1">
        <f t="array" ref="U118">IF(TbTradesBinance[[#This Row],[Tipo]]="EMPTY",0,U117+IF(TbTradesBinance[[#This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Row],[Par]]))),$1:$1,0)),-(T117-T118)/T117*U117),0),0)+IF(TbTradesBinance[[#This Row],[Tipo]]="SELL",IF(ISNUMBER(FIND(MID(U$1,10,5),TbTradesBinance[[#This Row],[Par]])),IF(FIND(MID(U$1,10,5),TbTradesBinance[[#This Row],[Par]])=1, -(T117-T118)/T117*U117,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Row],[Par]])),(-(T117-T118)/T117*U117)+IF(TbTradesBinance[[#This Row],[Resultado]]&gt;0,0,TbTradesBinance[[#This Row],[Taxa]]),0),0))</f>
        <v>1328239.8809817513</v>
      </c>
      <c r="V118" s="145">
        <f t="shared" si="22"/>
        <v>6.6500000148719129</v>
      </c>
      <c r="W11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Row],[Tipo]]="DROP"),W117+TbTradesBinance[[#This Row],[Qtt]],W117-TbTradesBinance[[#This Row],[Qtt]]),IF(TbTradesBinance[[#This Row],[Tipo]]="BUY",W117-TbTradesBinance[[#This Row],[Qtt]]*TbTradesBinance[[#This Row],[Preço]],W117+TbTradesBinance[[#This Row],[Qtt]]*TbTradesBinance[[#This Row],[Preço]])),W117)-IF(TbTradesBinance[[#This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Row],[Tipo]]="DROP"),W117+TbTradesBinance[[#This Row],[Qtt]],W117-TbTradesBinance[[#This Row],[Qtt]]),IF(TbTradesBinance[[#This Row],[Tipo]]="BUY",W117-TbTradesBinance[[#This Row],[Qtt]]*TbTradesBinance[[#This Row],[Preço]],W117+TbTradesBinance[[#This Row],[Qtt]]*TbTradesBinance[[#This Row],[Preço]])),W117)-IF(TbTradesBinance[[#This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Row],[Tipo]]="DROP"),W117+TbTradesBinance[[#This Row],[Qtt]],W117-TbTradesBinance[[#This Row],[Qtt]]),IF(TbTradesBinance[[#This Row],[Tipo]]="BUY",W117-TbTradesBinance[[#This Row],[Qtt]]*TbTradesBinance[[#This Row],[Preço]],W117+TbTradesBinance[[#This Row],[Qtt]]*TbTradesBinance[[#This Row],[Preço]])),W117)-IF(TbTradesBinance[[#This Row],[Moeda da Taxa]]=MID(W$1,9,5),TbTradesBinance[[#This Row],[Taxa]],0),8)))</f>
        <v>2.7193600000000001E-3</v>
      </c>
      <c r="X118" s="145" cm="1">
        <f t="array" ref="X118">IF(TbTradesBinance[[#This Row],[Tipo]]="EMPTY",0,X117+IF(TbTradesBinance[[#This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Row],[Par]]))),$1:$1,0)),-(W117-W118)/W117*X117),0),0)+IF(TbTradesBinance[[#This Row],[Tipo]]="SELL",IF(ISNUMBER(FIND(MID(X$1,10,5),TbTradesBinance[[#This Row],[Par]])),IF(FIND(MID(X$1,10,5),TbTradesBinance[[#This Row],[Par]])=1, -(W117-W118)/W117*X117,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Row],[Par]])),(-(W117-W118)/W117*X117)+IF(TbTradesBinance[[#This Row],[Resultado]]&gt;0,0,TbTradesBinance[[#This Row],[Taxa]]),0),0))</f>
        <v>907.54738414156566</v>
      </c>
      <c r="Y118" s="145">
        <f t="shared" si="23"/>
        <v>333735.65255853056</v>
      </c>
      <c r="Z11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Row],[Tipo]]="DROP"),Z117+TbTradesBinance[[#This Row],[Qtt]],Z117-TbTradesBinance[[#This Row],[Qtt]]),IF(TbTradesBinance[[#This Row],[Tipo]]="BUY",Z117-TbTradesBinance[[#This Row],[Qtt]]*TbTradesBinance[[#This Row],[Preço]],Z117+TbTradesBinance[[#This Row],[Qtt]]*TbTradesBinance[[#This Row],[Preço]])),Z117)-IF(TbTradesBinance[[#This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Row],[Tipo]]="DROP"),Z117+TbTradesBinance[[#This Row],[Qtt]],Z117-TbTradesBinance[[#This Row],[Qtt]]),IF(TbTradesBinance[[#This Row],[Tipo]]="BUY",Z117-TbTradesBinance[[#This Row],[Qtt]]*TbTradesBinance[[#This Row],[Preço]],Z117+TbTradesBinance[[#This Row],[Qtt]]*TbTradesBinance[[#This Row],[Preço]])),Z117)-IF(TbTradesBinance[[#This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Row],[Tipo]]="DROP"),Z117+TbTradesBinance[[#This Row],[Qtt]],Z117-TbTradesBinance[[#This Row],[Qtt]]),IF(TbTradesBinance[[#This Row],[Tipo]]="BUY",Z117-TbTradesBinance[[#This Row],[Qtt]]*TbTradesBinance[[#This Row],[Preço]],Z117+TbTradesBinance[[#This Row],[Qtt]]*TbTradesBinance[[#This Row],[Preço]])),Z117)-IF(TbTradesBinance[[#This Row],[Moeda da Taxa]]=MID(Z$1,9,5),TbTradesBinance[[#This Row],[Taxa]],0),8)))</f>
        <v>1.031935E-2</v>
      </c>
      <c r="AA118" s="145" cm="1">
        <f t="array" ref="AA118">IF(TbTradesBinance[[#This Row],[Tipo]]="EMPTY",0,AA117+IF(TbTradesBinance[[#This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Row],[Par]]))),$1:$1,0)),-(Z117-Z118)/Z117*AA117),0),0)+IF(TbTradesBinance[[#This Row],[Tipo]]="SELL",IF(ISNUMBER(FIND(MID(AA$1,10,5),TbTradesBinance[[#This Row],[Par]])),IF(FIND(MID(AA$1,10,5),TbTradesBinance[[#This Row],[Par]])=1, -(Z117-Z118)/Z117*AA117,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Row],[Par]])),(-(Z117-Z118)/Z117*AA117)+IF(TbTradesBinance[[#This Row],[Resultado]]&gt;0,0,TbTradesBinance[[#This Row],[Taxa]]),0),0))</f>
        <v>107.3592846539391</v>
      </c>
      <c r="AB118" s="145">
        <f t="shared" si="24"/>
        <v>10403.686729681531</v>
      </c>
      <c r="AC11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Row],[Tipo]]="DROP"),AC117+TbTradesBinance[[#This Row],[Qtt]],AC117-TbTradesBinance[[#This Row],[Qtt]]),IF(TbTradesBinance[[#This Row],[Tipo]]="BUY",AC117-TbTradesBinance[[#This Row],[Qtt]]*TbTradesBinance[[#This Row],[Preço]],AC117+TbTradesBinance[[#This Row],[Qtt]]*TbTradesBinance[[#This Row],[Preço]])),AC117)-IF(TbTradesBinance[[#This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Row],[Tipo]]="DROP"),AC117+TbTradesBinance[[#This Row],[Qtt]],AC117-TbTradesBinance[[#This Row],[Qtt]]),IF(TbTradesBinance[[#This Row],[Tipo]]="BUY",AC117-TbTradesBinance[[#This Row],[Qtt]]*TbTradesBinance[[#This Row],[Preço]],AC117+TbTradesBinance[[#This Row],[Qtt]]*TbTradesBinance[[#This Row],[Preço]])),AC117)-IF(TbTradesBinance[[#This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Row],[Tipo]]="DROP"),AC117+TbTradesBinance[[#This Row],[Qtt]],AC117-TbTradesBinance[[#This Row],[Qtt]]),IF(TbTradesBinance[[#This Row],[Tipo]]="BUY",AC117-TbTradesBinance[[#This Row],[Qtt]]*TbTradesBinance[[#This Row],[Preço]],AC117+TbTradesBinance[[#This Row],[Qtt]]*TbTradesBinance[[#This Row],[Preço]])),AC117)-IF(TbTradesBinance[[#This Row],[Moeda da Taxa]]=MID(AC$1,9,5),TbTradesBinance[[#This Row],[Taxa]],0),8)))</f>
        <v>9.6999E-4</v>
      </c>
      <c r="AD118" s="145" cm="1">
        <f t="array" ref="AD118">IF(TbTradesBinance[[#This Row],[Tipo]]="EMPTY",0,AD117+IF(TbTradesBinance[[#This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Row],[Par]]))),$1:$1,0)),-(AC117-AC118)/AC117*AD117),0),0)+IF(TbTradesBinance[[#This Row],[Tipo]]="SELL",IF(ISNUMBER(FIND(MID(AD$1,10,5),TbTradesBinance[[#This Row],[Par]])),IF(FIND(MID(AD$1,10,5),TbTradesBinance[[#This Row],[Par]])=1, -(AC117-AC118)/AC117*AD117,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Row],[Par]])),(-(AC117-AC118)/AC117*AD117)+IF(TbTradesBinance[[#This Row],[Resultado]]&gt;0,0,TbTradesBinance[[#This Row],[Taxa]]),0),0))</f>
        <v>1.9483868939812083</v>
      </c>
      <c r="AE118" s="145">
        <f t="shared" si="25"/>
        <v>2008.6669903619711</v>
      </c>
      <c r="AF11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Row],[Tipo]]="DROP"),AF117+TbTradesBinance[[#This Row],[Qtt]],AF117-TbTradesBinance[[#This Row],[Qtt]]),IF(TbTradesBinance[[#This Row],[Tipo]]="BUY",AF117-TbTradesBinance[[#This Row],[Qtt]]*TbTradesBinance[[#This Row],[Preço]],AF117+TbTradesBinance[[#This Row],[Qtt]]*TbTradesBinance[[#This Row],[Preço]])),AF117)-IF(TbTradesBinance[[#This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Row],[Tipo]]="DROP"),AF117+TbTradesBinance[[#This Row],[Qtt]],AF117-TbTradesBinance[[#This Row],[Qtt]]),IF(TbTradesBinance[[#This Row],[Tipo]]="BUY",AF117-TbTradesBinance[[#This Row],[Qtt]]*TbTradesBinance[[#This Row],[Preço]],AF117+TbTradesBinance[[#This Row],[Qtt]]*TbTradesBinance[[#This Row],[Preço]])),AF117)-IF(TbTradesBinance[[#This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Row],[Tipo]]="DROP"),AF117+TbTradesBinance[[#This Row],[Qtt]],AF117-TbTradesBinance[[#This Row],[Qtt]]),IF(TbTradesBinance[[#This Row],[Tipo]]="BUY",AF117-TbTradesBinance[[#This Row],[Qtt]]*TbTradesBinance[[#This Row],[Preço]],AF117+TbTradesBinance[[#This Row],[Qtt]]*TbTradesBinance[[#This Row],[Preço]])),AF117)-IF(TbTradesBinance[[#This Row],[Moeda da Taxa]]=MID(AF$1,9,5),TbTradesBinance[[#This Row],[Taxa]],0),8)))</f>
        <v>0.08</v>
      </c>
      <c r="AG118" s="145" cm="1">
        <f t="array" ref="AG118">IF(TbTradesBinance[[#This Row],[Tipo]]="EMPTY",0,AG117+IF(TbTradesBinance[[#This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Row],[Par]]))),$1:$1,0)),-(AF117-AF118)/AF117*AG117),0),0)+IF(TbTradesBinance[[#This Row],[Tipo]]="SELL",IF(ISNUMBER(FIND(MID(AG$1,10,5),TbTradesBinance[[#This Row],[Par]])),IF(FIND(MID(AG$1,10,5),TbTradesBinance[[#This Row],[Par]])=1, -(AF117-AF118)/AF117*AG117,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Row],[Par]])),(-(AF117-AF118)/AF117*AG117)+IF(TbTradesBinance[[#This Row],[Resultado]]&gt;0,0,TbTradesBinance[[#This Row],[Taxa]]),0),0))</f>
        <v>0.49666397429723474</v>
      </c>
      <c r="AH118" s="145">
        <f t="shared" si="26"/>
        <v>6.2082996787154343</v>
      </c>
      <c r="AI11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Row],[Tipo]]="DROP"),AI117+TbTradesBinance[[#This Row],[Qtt]],AI117-TbTradesBinance[[#This Row],[Qtt]]),IF(TbTradesBinance[[#This Row],[Tipo]]="BUY",AI117-TbTradesBinance[[#This Row],[Qtt]]*TbTradesBinance[[#This Row],[Preço]],AI117+TbTradesBinance[[#This Row],[Qtt]]*TbTradesBinance[[#This Row],[Preço]])),AI117)-IF(TbTradesBinance[[#This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Row],[Tipo]]="DROP"),AI117+TbTradesBinance[[#This Row],[Qtt]],AI117-TbTradesBinance[[#This Row],[Qtt]]),IF(TbTradesBinance[[#This Row],[Tipo]]="BUY",AI117-TbTradesBinance[[#This Row],[Qtt]]*TbTradesBinance[[#This Row],[Preço]],AI117+TbTradesBinance[[#This Row],[Qtt]]*TbTradesBinance[[#This Row],[Preço]])),AI117)-IF(TbTradesBinance[[#This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Row],[Tipo]]="DROP"),AI117+TbTradesBinance[[#This Row],[Qtt]],AI117-TbTradesBinance[[#This Row],[Qtt]]),IF(TbTradesBinance[[#This Row],[Tipo]]="BUY",AI117-TbTradesBinance[[#This Row],[Qtt]]*TbTradesBinance[[#This Row],[Preço]],AI117+TbTradesBinance[[#This Row],[Qtt]]*TbTradesBinance[[#This Row],[Preço]])),AI117)-IF(TbTradesBinance[[#This Row],[Moeda da Taxa]]=MID(AI$1,9,5),TbTradesBinance[[#This Row],[Taxa]],0),8)))</f>
        <v>0</v>
      </c>
      <c r="AJ118" s="145" cm="1">
        <f t="array" ref="AJ118">IF(TbTradesBinance[[#This Row],[Tipo]]="EMPTY",0,AJ117+IF(TbTradesBinance[[#This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Row],[Par]]))),$1:$1,0)),-(AI117-AI118)/AI117*AJ117),0),0)+IF(TbTradesBinance[[#This Row],[Tipo]]="SELL",IF(ISNUMBER(FIND(MID(AJ$1,10,5),TbTradesBinance[[#This Row],[Par]])),IF(FIND(MID(AJ$1,10,5),TbTradesBinance[[#This Row],[Par]])=1, -(AI117-AI118)/AI117*AJ117,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Row],[Par]])),(-(AI117-AI118)/AI117*AJ117)+IF(TbTradesBinance[[#This Row],[Resultado]]&gt;0,0,TbTradesBinance[[#This Row],[Taxa]]),0),0))</f>
        <v>0</v>
      </c>
      <c r="AK118" s="145">
        <f t="shared" si="27"/>
        <v>0</v>
      </c>
      <c r="AL11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Row],[Tipo]]="DROP"),AL117+TbTradesBinance[[#This Row],[Qtt]],AL117-TbTradesBinance[[#This Row],[Qtt]]),IF(TbTradesBinance[[#This Row],[Tipo]]="BUY",AL117-TbTradesBinance[[#This Row],[Qtt]]*TbTradesBinance[[#This Row],[Preço]],AL117+TbTradesBinance[[#This Row],[Qtt]]*TbTradesBinance[[#This Row],[Preço]])),AL117)-IF(TbTradesBinance[[#This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Row],[Tipo]]="DROP"),AL117+TbTradesBinance[[#This Row],[Qtt]],AL117-TbTradesBinance[[#This Row],[Qtt]]),IF(TbTradesBinance[[#This Row],[Tipo]]="BUY",AL117-TbTradesBinance[[#This Row],[Qtt]]*TbTradesBinance[[#This Row],[Preço]],AL117+TbTradesBinance[[#This Row],[Qtt]]*TbTradesBinance[[#This Row],[Preço]])),AL117)-IF(TbTradesBinance[[#This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Row],[Tipo]]="DROP"),AL117+TbTradesBinance[[#This Row],[Qtt]],AL117-TbTradesBinance[[#This Row],[Qtt]]),IF(TbTradesBinance[[#This Row],[Tipo]]="BUY",AL117-TbTradesBinance[[#This Row],[Qtt]]*TbTradesBinance[[#This Row],[Preço]],AL117+TbTradesBinance[[#This Row],[Qtt]]*TbTradesBinance[[#This Row],[Preço]])),AL117)-IF(TbTradesBinance[[#This Row],[Moeda da Taxa]]=MID(AL$1,9,5),TbTradesBinance[[#This Row],[Taxa]],0),8)))</f>
        <v>8.2400000000000008E-3</v>
      </c>
      <c r="AM118" s="145" cm="1">
        <f t="array" ref="AM118">IF(TbTradesBinance[[#This Row],[Tipo]]="EMPTY",0,AM117+IF(TbTradesBinance[[#This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Row],[Par]]))),$1:$1,0)),-(AL117-AL118)/AL117*AM117),0),0)+IF(TbTradesBinance[[#This Row],[Tipo]]="SELL",IF(ISNUMBER(FIND(MID(AM$1,10,5),TbTradesBinance[[#This Row],[Par]])),IF(FIND(MID(AM$1,10,5),TbTradesBinance[[#This Row],[Par]])=1, -(AL117-AL118)/AL117*AM117,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Row],[Par]])),(-(AL117-AL118)/AL117*AM117)+IF(TbTradesBinance[[#This Row],[Resultado]]&gt;0,0,TbTradesBinance[[#This Row],[Taxa]]),0),0))</f>
        <v>0.67751089887772764</v>
      </c>
      <c r="AN118" s="145">
        <f t="shared" si="28"/>
        <v>82.222196465743636</v>
      </c>
      <c r="AO11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Row],[Tipo]]="DROP"),AO117+TbTradesBinance[[#This Row],[Qtt]],AO117-TbTradesBinance[[#This Row],[Qtt]]),IF(TbTradesBinance[[#This Row],[Tipo]]="BUY",AO117-TbTradesBinance[[#This Row],[Qtt]]*TbTradesBinance[[#This Row],[Preço]],AO117+TbTradesBinance[[#This Row],[Qtt]]*TbTradesBinance[[#This Row],[Preço]])),AO117)-IF(TbTradesBinance[[#This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Row],[Tipo]]="DROP"),AO117+TbTradesBinance[[#This Row],[Qtt]],AO117-TbTradesBinance[[#This Row],[Qtt]]),IF(TbTradesBinance[[#This Row],[Tipo]]="BUY",AO117-TbTradesBinance[[#This Row],[Qtt]]*TbTradesBinance[[#This Row],[Preço]],AO117+TbTradesBinance[[#This Row],[Qtt]]*TbTradesBinance[[#This Row],[Preço]])),AO117)-IF(TbTradesBinance[[#This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Row],[Tipo]]="DROP"),AO117+TbTradesBinance[[#This Row],[Qtt]],AO117-TbTradesBinance[[#This Row],[Qtt]]),IF(TbTradesBinance[[#This Row],[Tipo]]="BUY",AO117-TbTradesBinance[[#This Row],[Qtt]]*TbTradesBinance[[#This Row],[Preço]],AO117+TbTradesBinance[[#This Row],[Qtt]]*TbTradesBinance[[#This Row],[Preço]])),AO117)-IF(TbTradesBinance[[#This Row],[Moeda da Taxa]]=MID(AO$1,9,5),TbTradesBinance[[#This Row],[Taxa]],0),8)))</f>
        <v>7.4572009999999994E-2</v>
      </c>
      <c r="AP118" s="145" cm="1">
        <f t="array" ref="AP118">IF(TbTradesBinance[[#This Row],[Tipo]]="EMPTY",0,AP117+IF(TbTradesBinance[[#This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Row],[Par]]))),$1:$1,0)),-(AO117-AO118)/AO117*AP117),0),0)+IF(TbTradesBinance[[#This Row],[Tipo]]="SELL",IF(ISNUMBER(FIND(MID(AP$1,10,5),TbTradesBinance[[#This Row],[Par]])),IF(FIND(MID(AP$1,10,5),TbTradesBinance[[#This Row],[Par]])=1, -(AO117-AO118)/AO117*AP117,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Row],[Par]])),(-(AO117-AO118)/AO117*AP117)+IF(TbTradesBinance[[#This Row],[Resultado]]&gt;0,0,TbTradesBinance[[#This Row],[Taxa]]),0),0))</f>
        <v>113.87766627073657</v>
      </c>
      <c r="AQ118" s="145">
        <f t="shared" si="29"/>
        <v>1527.0832349930836</v>
      </c>
      <c r="AR11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Row],[Tipo]]="DROP"),AR117+TbTradesBinance[[#This Row],[Qtt]],AR117-TbTradesBinance[[#This Row],[Qtt]]),IF(TbTradesBinance[[#This Row],[Tipo]]="BUY",AR117-TbTradesBinance[[#This Row],[Qtt]]*TbTradesBinance[[#This Row],[Preço]],AR117+TbTradesBinance[[#This Row],[Qtt]]*TbTradesBinance[[#This Row],[Preço]])),AR117)-IF(TbTradesBinance[[#This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Row],[Tipo]]="DROP"),AR117+TbTradesBinance[[#This Row],[Qtt]],AR117-TbTradesBinance[[#This Row],[Qtt]]),IF(TbTradesBinance[[#This Row],[Tipo]]="BUY",AR117-TbTradesBinance[[#This Row],[Qtt]]*TbTradesBinance[[#This Row],[Preço]],AR117+TbTradesBinance[[#This Row],[Qtt]]*TbTradesBinance[[#This Row],[Preço]])),AR117)-IF(TbTradesBinance[[#This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Row],[Tipo]]="DROP"),AR117+TbTradesBinance[[#This Row],[Qtt]],AR117-TbTradesBinance[[#This Row],[Qtt]]),IF(TbTradesBinance[[#This Row],[Tipo]]="BUY",AR117-TbTradesBinance[[#This Row],[Qtt]]*TbTradesBinance[[#This Row],[Preço]],AR117+TbTradesBinance[[#This Row],[Qtt]]*TbTradesBinance[[#This Row],[Preço]])),AR117)-IF(TbTradesBinance[[#This Row],[Moeda da Taxa]]=MID(AR$1,9,5),TbTradesBinance[[#This Row],[Taxa]],0),8)))</f>
        <v>61.251199999999997</v>
      </c>
      <c r="AS118" s="145" cm="1">
        <f t="array" ref="AS118">IF(TbTradesBinance[[#This Row],[Tipo]]="EMPTY",0,AS117+IF(TbTradesBinance[[#This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Row],[Par]]))),$1:$1,0)),-(AR117-AR118)/AR117*AS117),0),0)+IF(TbTradesBinance[[#This Row],[Tipo]]="SELL",IF(ISNUMBER(FIND(MID(AS$1,10,5),TbTradesBinance[[#This Row],[Par]])),IF(FIND(MID(AS$1,10,5),TbTradesBinance[[#This Row],[Par]])=1, -(AR117-AR118)/AR117*AS117,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Row],[Par]])),(-(AR117-AR118)/AR117*AS117)+IF(TbTradesBinance[[#This Row],[Resultado]]&gt;0,0,TbTradesBinance[[#This Row],[Taxa]]),0),0))</f>
        <v>230.84001376053044</v>
      </c>
      <c r="AT118" s="145">
        <f t="shared" si="30"/>
        <v>3.7687427146003745</v>
      </c>
      <c r="AU11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Row],[Tipo]]="DROP"),AU117+TbTradesBinance[[#This Row],[Qtt]],AU117-TbTradesBinance[[#This Row],[Qtt]]),IF(TbTradesBinance[[#This Row],[Tipo]]="BUY",AU117-TbTradesBinance[[#This Row],[Qtt]]*TbTradesBinance[[#This Row],[Preço]],AU117+TbTradesBinance[[#This Row],[Qtt]]*TbTradesBinance[[#This Row],[Preço]])),AU117)-IF(TbTradesBinance[[#This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Row],[Tipo]]="DROP"),AU117+TbTradesBinance[[#This Row],[Qtt]],AU117-TbTradesBinance[[#This Row],[Qtt]]),IF(TbTradesBinance[[#This Row],[Tipo]]="BUY",AU117-TbTradesBinance[[#This Row],[Qtt]]*TbTradesBinance[[#This Row],[Preço]],AU117+TbTradesBinance[[#This Row],[Qtt]]*TbTradesBinance[[#This Row],[Preço]])),AU117)-IF(TbTradesBinance[[#This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Row],[Tipo]]="DROP"),AU117+TbTradesBinance[[#This Row],[Qtt]],AU117-TbTradesBinance[[#This Row],[Qtt]]),IF(TbTradesBinance[[#This Row],[Tipo]]="BUY",AU117-TbTradesBinance[[#This Row],[Qtt]]*TbTradesBinance[[#This Row],[Preço]],AU117+TbTradesBinance[[#This Row],[Qtt]]*TbTradesBinance[[#This Row],[Preço]])),AU117)-IF(TbTradesBinance[[#This Row],[Moeda da Taxa]]=MID(AU$1,9,5),TbTradesBinance[[#This Row],[Taxa]],0),8)))</f>
        <v>0</v>
      </c>
      <c r="AV118" s="145" cm="1">
        <f t="array" ref="AV118">IF(TbTradesBinance[[#This Row],[Tipo]]="EMPTY",0,AV117+IF(TbTradesBinance[[#This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Row],[Par]]))),$1:$1,0)),-(AU117-AU118)/AU117*AV117),0),0)+IF(TbTradesBinance[[#This Row],[Tipo]]="SELL",IF(ISNUMBER(FIND(MID(AV$1,10,5),TbTradesBinance[[#This Row],[Par]])),IF(FIND(MID(AV$1,10,5),TbTradesBinance[[#This Row],[Par]])=1, -(AU117-AU118)/AU117*AV117,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Row],[Par]])),(-(AU117-AU118)/AU117*AV117)+IF(TbTradesBinance[[#This Row],[Resultado]]&gt;0,0,TbTradesBinance[[#This Row],[Taxa]]),0),0))</f>
        <v>0</v>
      </c>
      <c r="AW118" s="145">
        <f t="shared" si="31"/>
        <v>0</v>
      </c>
      <c r="AX11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Row],[Tipo]]="DROP"),AX117+TbTradesBinance[[#This Row],[Qtt]],AX117-TbTradesBinance[[#This Row],[Qtt]]),IF(TbTradesBinance[[#This Row],[Tipo]]="BUY",AX117-TbTradesBinance[[#This Row],[Qtt]]*TbTradesBinance[[#This Row],[Preço]],AX117+TbTradesBinance[[#This Row],[Qtt]]*TbTradesBinance[[#This Row],[Preço]])),AX117)-IF(TbTradesBinance[[#This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Row],[Tipo]]="DROP"),AX117+TbTradesBinance[[#This Row],[Qtt]],AX117-TbTradesBinance[[#This Row],[Qtt]]),IF(TbTradesBinance[[#This Row],[Tipo]]="BUY",AX117-TbTradesBinance[[#This Row],[Qtt]]*TbTradesBinance[[#This Row],[Preço]],AX117+TbTradesBinance[[#This Row],[Qtt]]*TbTradesBinance[[#This Row],[Preço]])),AX117)-IF(TbTradesBinance[[#This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Row],[Tipo]]="DROP"),AX117+TbTradesBinance[[#This Row],[Qtt]],AX117-TbTradesBinance[[#This Row],[Qtt]]),IF(TbTradesBinance[[#This Row],[Tipo]]="BUY",AX117-TbTradesBinance[[#This Row],[Qtt]]*TbTradesBinance[[#This Row],[Preço]],AX117+TbTradesBinance[[#This Row],[Qtt]]*TbTradesBinance[[#This Row],[Preço]])),AX117)-IF(TbTradesBinance[[#This Row],[Moeda da Taxa]]=MID(AX$1,9,5),TbTradesBinance[[#This Row],[Taxa]],0),8)))</f>
        <v>0.85636999999999996</v>
      </c>
      <c r="AY118" s="145" cm="1">
        <f t="array" ref="AY118">IF(TbTradesBinance[[#This Row],[Tipo]]="EMPTY",0,AY117+IF(TbTradesBinance[[#This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Row],[Par]]))),$1:$1,0)),-(AX117-AX118)/AX117*AY117),0),0)+IF(TbTradesBinance[[#This Row],[Tipo]]="SELL",IF(ISNUMBER(FIND(MID(AY$1,10,5),TbTradesBinance[[#This Row],[Par]])),IF(FIND(MID(AY$1,10,5),TbTradesBinance[[#This Row],[Par]])=1, -(AX117-AX118)/AX117*AY117,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Row],[Par]])),(-(AX117-AX118)/AX117*AY117)+IF(TbTradesBinance[[#This Row],[Resultado]]&gt;0,0,TbTradesBinance[[#This Row],[Taxa]]),0),0))</f>
        <v>131.82971181780295</v>
      </c>
      <c r="AZ118" s="145">
        <f t="shared" si="32"/>
        <v>153.94013314081874</v>
      </c>
      <c r="BA11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Row],[Tipo]]="DROP"),BA117+TbTradesBinance[[#This Row],[Qtt]],BA117-TbTradesBinance[[#This Row],[Qtt]]),IF(TbTradesBinance[[#This Row],[Tipo]]="BUY",BA117-TbTradesBinance[[#This Row],[Qtt]]*TbTradesBinance[[#This Row],[Preço]],BA117+TbTradesBinance[[#This Row],[Qtt]]*TbTradesBinance[[#This Row],[Preço]])),BA117)-IF(TbTradesBinance[[#This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Row],[Tipo]]="DROP"),BA117+TbTradesBinance[[#This Row],[Qtt]],BA117-TbTradesBinance[[#This Row],[Qtt]]),IF(TbTradesBinance[[#This Row],[Tipo]]="BUY",BA117-TbTradesBinance[[#This Row],[Qtt]]*TbTradesBinance[[#This Row],[Preço]],BA117+TbTradesBinance[[#This Row],[Qtt]]*TbTradesBinance[[#This Row],[Preço]])),BA117)-IF(TbTradesBinance[[#This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Row],[Tipo]]="DROP"),BA117+TbTradesBinance[[#This Row],[Qtt]],BA117-TbTradesBinance[[#This Row],[Qtt]]),IF(TbTradesBinance[[#This Row],[Tipo]]="BUY",BA117-TbTradesBinance[[#This Row],[Qtt]]*TbTradesBinance[[#This Row],[Preço]],BA117+TbTradesBinance[[#This Row],[Qtt]]*TbTradesBinance[[#This Row],[Preço]])),BA117)-IF(TbTradesBinance[[#This Row],[Moeda da Taxa]]=MID(BA$1,9,5),TbTradesBinance[[#This Row],[Taxa]],0),8)))</f>
        <v>5.3240000000000003E-2</v>
      </c>
      <c r="BB118" s="145" cm="1">
        <f t="array" ref="BB118">IF(TbTradesBinance[[#This Row],[Tipo]]="EMPTY",0,BB117+IF(TbTradesBinance[[#This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Row],[Par]]))),$1:$1,0)),-(BA117-BA118)/BA117*BB117),0),0)+IF(TbTradesBinance[[#This Row],[Tipo]]="SELL",IF(ISNUMBER(FIND(MID(BB$1,10,5),TbTradesBinance[[#This Row],[Par]])),IF(FIND(MID(BB$1,10,5),TbTradesBinance[[#This Row],[Par]])=1, -(BA117-BA118)/BA117*BB117,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Row],[Par]])),(-(BA117-BA118)/BA117*BB117)+IF(TbTradesBinance[[#This Row],[Resultado]]&gt;0,0,TbTradesBinance[[#This Row],[Taxa]]),0),0))</f>
        <v>60.745968505642452</v>
      </c>
      <c r="BC118" s="145">
        <f t="shared" si="33"/>
        <v>1140.9836308347567</v>
      </c>
      <c r="BD11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Row],[Tipo]]="DROP"),BD117+TbTradesBinance[[#This Row],[Qtt]],BD117-TbTradesBinance[[#This Row],[Qtt]]),IF(TbTradesBinance[[#This Row],[Tipo]]="BUY",BD117-TbTradesBinance[[#This Row],[Qtt]]*TbTradesBinance[[#This Row],[Preço]],BD117+TbTradesBinance[[#This Row],[Qtt]]*TbTradesBinance[[#This Row],[Preço]])),BD117)-IF(TbTradesBinance[[#This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Row],[Tipo]]="DROP"),BD117+TbTradesBinance[[#This Row],[Qtt]],BD117-TbTradesBinance[[#This Row],[Qtt]]),IF(TbTradesBinance[[#This Row],[Tipo]]="BUY",BD117-TbTradesBinance[[#This Row],[Qtt]]*TbTradesBinance[[#This Row],[Preço]],BD117+TbTradesBinance[[#This Row],[Qtt]]*TbTradesBinance[[#This Row],[Preço]])),BD117)-IF(TbTradesBinance[[#This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Row],[Tipo]]="DROP"),BD117+TbTradesBinance[[#This Row],[Qtt]],BD117-TbTradesBinance[[#This Row],[Qtt]]),IF(TbTradesBinance[[#This Row],[Tipo]]="BUY",BD117-TbTradesBinance[[#This Row],[Qtt]]*TbTradesBinance[[#This Row],[Preço]],BD117+TbTradesBinance[[#This Row],[Qtt]]*TbTradesBinance[[#This Row],[Preço]])),BD117)-IF(TbTradesBinance[[#This Row],[Moeda da Taxa]]=MID(BD$1,9,5),TbTradesBinance[[#This Row],[Taxa]],0),8)))</f>
        <v>9.0599900000000004E-3</v>
      </c>
      <c r="BE118" s="145" cm="1">
        <f t="array" ref="BE118">IF(TbTradesBinance[[#This Row],[Tipo]]="EMPTY",0,BE117+IF(TbTradesBinance[[#This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Row],[Par]]))),$1:$1,0)),-(BD117-BD118)/BD117*BE117),0),0)+IF(TbTradesBinance[[#This Row],[Tipo]]="SELL",IF(ISNUMBER(FIND(MID(BE$1,10,5),TbTradesBinance[[#This Row],[Par]])),IF(FIND(MID(BE$1,10,5),TbTradesBinance[[#This Row],[Par]])=1, -(BD117-BD118)/BD117*BE117,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Row],[Par]])),(-(BD117-BD118)/BD117*BE117)+IF(TbTradesBinance[[#This Row],[Resultado]]&gt;0,0,TbTradesBinance[[#This Row],[Taxa]]),0),0))</f>
        <v>1.6846969284922721</v>
      </c>
      <c r="BF118" s="145">
        <f t="shared" si="34"/>
        <v>185.94909359638058</v>
      </c>
      <c r="BG11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Row],[Tipo]]="DROP"),BG117+TbTradesBinance[[#This Row],[Qtt]],BG117-TbTradesBinance[[#This Row],[Qtt]]),IF(TbTradesBinance[[#This Row],[Tipo]]="BUY",BG117-TbTradesBinance[[#This Row],[Qtt]]*TbTradesBinance[[#This Row],[Preço]],BG117+TbTradesBinance[[#This Row],[Qtt]]*TbTradesBinance[[#This Row],[Preço]])),BG117)-IF(TbTradesBinance[[#This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Row],[Tipo]]="DROP"),BG117+TbTradesBinance[[#This Row],[Qtt]],BG117-TbTradesBinance[[#This Row],[Qtt]]),IF(TbTradesBinance[[#This Row],[Tipo]]="BUY",BG117-TbTradesBinance[[#This Row],[Qtt]]*TbTradesBinance[[#This Row],[Preço]],BG117+TbTradesBinance[[#This Row],[Qtt]]*TbTradesBinance[[#This Row],[Preço]])),BG117)-IF(TbTradesBinance[[#This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Row],[Tipo]]="DROP"),BG117+TbTradesBinance[[#This Row],[Qtt]],BG117-TbTradesBinance[[#This Row],[Qtt]]),IF(TbTradesBinance[[#This Row],[Tipo]]="BUY",BG117-TbTradesBinance[[#This Row],[Qtt]]*TbTradesBinance[[#This Row],[Preço]],BG117+TbTradesBinance[[#This Row],[Qtt]]*TbTradesBinance[[#This Row],[Preço]])),BG117)-IF(TbTradesBinance[[#This Row],[Moeda da Taxa]]=MID(BG$1,9,5),TbTradesBinance[[#This Row],[Taxa]],0),8)))</f>
        <v>0</v>
      </c>
      <c r="BH118" s="145" cm="1">
        <f t="array" ref="BH118">IF(TbTradesBinance[[#This Row],[Tipo]]="EMPTY",0,BH117+IF(TbTradesBinance[[#This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Row],[Par]]))),$1:$1,0)),-(BG117-BG118)/BG117*BH117),0),0)+IF(TbTradesBinance[[#This Row],[Tipo]]="SELL",IF(ISNUMBER(FIND(MID(BH$1,10,5),TbTradesBinance[[#This Row],[Par]])),IF(FIND(MID(BH$1,10,5),TbTradesBinance[[#This Row],[Par]])=1, -(BG117-BG118)/BG117*BH117,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Row],[Par]])),(-(BG117-BG118)/BG117*BH117)+IF(TbTradesBinance[[#This Row],[Resultado]]&gt;0,0,TbTradesBinance[[#This Row],[Taxa]]),0),0))</f>
        <v>0</v>
      </c>
      <c r="BI118" s="145">
        <f t="shared" si="35"/>
        <v>0</v>
      </c>
      <c r="BJ11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Row],[Tipo]]="DROP"),BJ117+TbTradesBinance[[#This Row],[Qtt]],BJ117-TbTradesBinance[[#This Row],[Qtt]]),IF(TbTradesBinance[[#This Row],[Tipo]]="BUY",BJ117-TbTradesBinance[[#This Row],[Qtt]]*TbTradesBinance[[#This Row],[Preço]],BJ117+TbTradesBinance[[#This Row],[Qtt]]*TbTradesBinance[[#This Row],[Preço]])),BJ117)-IF(TbTradesBinance[[#This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Row],[Tipo]]="DROP"),BJ117+TbTradesBinance[[#This Row],[Qtt]],BJ117-TbTradesBinance[[#This Row],[Qtt]]),IF(TbTradesBinance[[#This Row],[Tipo]]="BUY",BJ117-TbTradesBinance[[#This Row],[Qtt]]*TbTradesBinance[[#This Row],[Preço]],BJ117+TbTradesBinance[[#This Row],[Qtt]]*TbTradesBinance[[#This Row],[Preço]])),BJ117)-IF(TbTradesBinance[[#This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Row],[Tipo]]="DROP"),BJ117+TbTradesBinance[[#This Row],[Qtt]],BJ117-TbTradesBinance[[#This Row],[Qtt]]),IF(TbTradesBinance[[#This Row],[Tipo]]="BUY",BJ117-TbTradesBinance[[#This Row],[Qtt]]*TbTradesBinance[[#This Row],[Preço]],BJ117+TbTradesBinance[[#This Row],[Qtt]]*TbTradesBinance[[#This Row],[Preço]])),BJ117)-IF(TbTradesBinance[[#This Row],[Moeda da Taxa]]=MID(BJ$1,9,5),TbTradesBinance[[#This Row],[Taxa]],0),8)))</f>
        <v>0</v>
      </c>
      <c r="BK118" s="145" cm="1">
        <f t="array" ref="BK118">IF(TbTradesBinance[[#This Row],[Tipo]]="EMPTY",0,BK117+IF(TbTradesBinance[[#This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Row],[Par]]))),$1:$1,0)),-(BJ117-BJ118)/BJ117*BK117),0),0)+IF(TbTradesBinance[[#This Row],[Tipo]]="SELL",IF(ISNUMBER(FIND(MID(BK$1,10,5),TbTradesBinance[[#This Row],[Par]])),IF(FIND(MID(BK$1,10,5),TbTradesBinance[[#This Row],[Par]])=1, -(BJ117-BJ118)/BJ117*BK117,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Row],[Par]])),(-(BJ117-BJ118)/BJ117*BK117)+IF(TbTradesBinance[[#This Row],[Resultado]]&gt;0,0,TbTradesBinance[[#This Row],[Taxa]]),0),0))</f>
        <v>0</v>
      </c>
      <c r="BL118" s="145">
        <f t="shared" si="36"/>
        <v>0</v>
      </c>
      <c r="BM11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Row],[Tipo]]="DROP"),BM117+TbTradesBinance[[#This Row],[Qtt]],BM117-TbTradesBinance[[#This Row],[Qtt]]),IF(TbTradesBinance[[#This Row],[Tipo]]="BUY",BM117-TbTradesBinance[[#This Row],[Qtt]]*TbTradesBinance[[#This Row],[Preço]],BM117+TbTradesBinance[[#This Row],[Qtt]]*TbTradesBinance[[#This Row],[Preço]])),BM117)-IF(TbTradesBinance[[#This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Row],[Tipo]]="DROP"),BM117+TbTradesBinance[[#This Row],[Qtt]],BM117-TbTradesBinance[[#This Row],[Qtt]]),IF(TbTradesBinance[[#This Row],[Tipo]]="BUY",BM117-TbTradesBinance[[#This Row],[Qtt]]*TbTradesBinance[[#This Row],[Preço]],BM117+TbTradesBinance[[#This Row],[Qtt]]*TbTradesBinance[[#This Row],[Preço]])),BM117)-IF(TbTradesBinance[[#This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Row],[Tipo]]="DROP"),BM117+TbTradesBinance[[#This Row],[Qtt]],BM117-TbTradesBinance[[#This Row],[Qtt]]),IF(TbTradesBinance[[#This Row],[Tipo]]="BUY",BM117-TbTradesBinance[[#This Row],[Qtt]]*TbTradesBinance[[#This Row],[Preço]],BM117+TbTradesBinance[[#This Row],[Qtt]]*TbTradesBinance[[#This Row],[Preço]])),BM117)-IF(TbTradesBinance[[#This Row],[Moeda da Taxa]]=MID(BM$1,9,5),TbTradesBinance[[#This Row],[Taxa]],0),8)))</f>
        <v>0</v>
      </c>
      <c r="BN118" s="145" cm="1">
        <f t="array" ref="BN118">IF(TbTradesBinance[[#This Row],[Tipo]]="EMPTY",0,BN117+IF(TbTradesBinance[[#This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Row],[Par]]))),$1:$1,0)),-(BM117-BM118)/BM117*BN117),0),0)+IF(TbTradesBinance[[#This Row],[Tipo]]="SELL",IF(ISNUMBER(FIND(MID(BN$1,10,5),TbTradesBinance[[#This Row],[Par]])),IF(FIND(MID(BN$1,10,5),TbTradesBinance[[#This Row],[Par]])=1, -(BM117-BM118)/BM117*BN117,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Row],[Par]])),(-(BM117-BM118)/BM117*BN117)+IF(TbTradesBinance[[#This Row],[Resultado]]&gt;0,0,TbTradesBinance[[#This Row],[Taxa]]),0),0))</f>
        <v>0</v>
      </c>
      <c r="BO118" s="145">
        <f t="shared" si="37"/>
        <v>0</v>
      </c>
    </row>
    <row r="119" spans="2:67" x14ac:dyDescent="0.3">
      <c r="B119" s="51"/>
      <c r="C119" s="40">
        <f>TRUNC(IF(AND(TbTradesBinance[[#This Row],[Tipo]]="SEND",TbTradesBinance[[#This Row],[Par]]="BRL"),TbTradesBinance[[#This Row],[Qtt]]*(1-P117)-IF(TbTradesBinance[[#This Row],[Moeda da Taxa]]="BRL",TbTradesBinance[[#This Row],[Taxa]],0),0)+IF(AND(TbTradesBinance[[#This Row],[Tipo]]="BURN",TbTradesBinance[[#This Row],[Par]]="BRL"),-TbTradesBinance[[#This Row],[Qtt]]*P117,0),2)</f>
        <v>0</v>
      </c>
      <c r="D119" s="53">
        <v>44276.502881944441</v>
      </c>
      <c r="E119" s="37" t="s">
        <v>249</v>
      </c>
      <c r="F119" s="47" t="s">
        <v>140</v>
      </c>
      <c r="G119" s="38">
        <v>57272.68</v>
      </c>
      <c r="H119" s="38">
        <v>1.8000000000000001E-4</v>
      </c>
      <c r="I119" s="38">
        <v>2.932E-5</v>
      </c>
      <c r="J119" s="37" t="s">
        <v>45</v>
      </c>
      <c r="K119" s="52">
        <v>5.5</v>
      </c>
      <c r="L119" s="40">
        <f t="shared" si="19"/>
        <v>314999.74</v>
      </c>
      <c r="M119" s="40">
        <f>IF(OR(TbTradesBinance[[#This Row],[Tipo]]="BUY",TbTradesBinance[[#This Row],[Tipo]]="RECEIVE",TbTradesBinance[[#This Row],[Tipo]]="DROP"),L119*H119,-L119*H119)</f>
        <v>-56.699953200000003</v>
      </c>
      <c r="N11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Row],[Tipo]]="DROP"),N118+TbTradesBinance[[#This Row],[Qtt]],N118-TbTradesBinance[[#This Row],[Qtt]]),IF(TbTradesBinance[[#This Row],[Tipo]]="BUY",N118-TbTradesBinance[[#This Row],[Qtt]]*TbTradesBinance[[#This Row],[Preço]],N118+TbTradesBinance[[#This Row],[Qtt]]*TbTradesBinance[[#This Row],[Preço]])),N118)-IF(TbTradesBinance[[#This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Row],[Tipo]]="DROP"),N118+TbTradesBinance[[#This Row],[Qtt]],N118-TbTradesBinance[[#This Row],[Qtt]]),IF(TbTradesBinance[[#This Row],[Tipo]]="BUY",N118-TbTradesBinance[[#This Row],[Qtt]]*TbTradesBinance[[#This Row],[Preço]],N118+TbTradesBinance[[#This Row],[Qtt]]*TbTradesBinance[[#This Row],[Preço]])),N118)-IF(TbTradesBinance[[#This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Row],[Tipo]]="DROP"),N118+TbTradesBinance[[#This Row],[Qtt]],N118-TbTradesBinance[[#This Row],[Qtt]]),IF(TbTradesBinance[[#This Row],[Tipo]]="BUY",N118-TbTradesBinance[[#This Row],[Qtt]]*TbTradesBinance[[#This Row],[Preço]],N118+TbTradesBinance[[#This Row],[Qtt]]*TbTradesBinance[[#This Row],[Preço]])),N118)-IF(TbTradesBinance[[#This Row],[Moeda da Taxa]]=MID(N$1,9,5),TbTradesBinance[[#This Row],[Taxa]],0),8)))</f>
        <v>119746.42890708</v>
      </c>
      <c r="O119" s="145" cm="1">
        <f t="array" ref="O119">IF(TbTradesBinance[[#This Row],[Tipo]]="EMPTY",0,O118+IF(TbTradesBinance[[#This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Row],[Par]]))),$1:$1,0)),-(N118-N119)/N118*O118),0),0)+IF(TbTradesBinance[[#This Row],[Tipo]]="SELL",IF(ISNUMBER(FIND(MID(O$1,10,5),TbTradesBinance[[#This Row],[Par]])),IF(FIND(MID(O$1,10,5),TbTradesBinance[[#This Row],[Par]])=1, -(N118-N119)/N118*O118,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Row],[Par]])),(-(N118-N119)/N118*O118)+IF(TbTradesBinance[[#This Row],[Resultado]]&gt;0,0,TbTradesBinance[[#This Row],[Taxa]]),0),0))</f>
        <v>119735.19975279106</v>
      </c>
      <c r="P119" s="145">
        <f t="shared" si="20"/>
        <v>0.99990622556019892</v>
      </c>
      <c r="Q11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Row],[Tipo]]="DROP"),Q118+TbTradesBinance[[#This Row],[Qtt]],Q118-TbTradesBinance[[#This Row],[Qtt]]),IF(TbTradesBinance[[#This Row],[Tipo]]="BUY",Q118-TbTradesBinance[[#This Row],[Qtt]]*TbTradesBinance[[#This Row],[Preço]],Q118+TbTradesBinance[[#This Row],[Qtt]]*TbTradesBinance[[#This Row],[Preço]])),Q118)-IF(TbTradesBinance[[#This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Row],[Tipo]]="DROP"),Q118+TbTradesBinance[[#This Row],[Qtt]],Q118-TbTradesBinance[[#This Row],[Qtt]]),IF(TbTradesBinance[[#This Row],[Tipo]]="BUY",Q118-TbTradesBinance[[#This Row],[Qtt]]*TbTradesBinance[[#This Row],[Preço]],Q118+TbTradesBinance[[#This Row],[Qtt]]*TbTradesBinance[[#This Row],[Preço]])),Q118)-IF(TbTradesBinance[[#This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Row],[Tipo]]="DROP"),Q118+TbTradesBinance[[#This Row],[Qtt]],Q118-TbTradesBinance[[#This Row],[Qtt]]),IF(TbTradesBinance[[#This Row],[Tipo]]="BUY",Q118-TbTradesBinance[[#This Row],[Qtt]]*TbTradesBinance[[#This Row],[Preço]],Q118+TbTradesBinance[[#This Row],[Qtt]]*TbTradesBinance[[#This Row],[Preço]])),Q118)-IF(TbTradesBinance[[#This Row],[Moeda da Taxa]]=MID(Q$1,9,5),TbTradesBinance[[#This Row],[Taxa]],0),8)))</f>
        <v>10.31075796</v>
      </c>
      <c r="R119" s="145" cm="1">
        <f t="array" ref="R119">IF(TbTradesBinance[[#This Row],[Tipo]]="EMPTY",0,R118+IF(TbTradesBinance[[#This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Row],[Par]]))),$1:$1,0)),-(Q118-Q119)/Q118*R118),0),0)+IF(TbTradesBinance[[#This Row],[Tipo]]="SELL",IF(ISNUMBER(FIND(MID(R$1,10,5),TbTradesBinance[[#This Row],[Par]])),IF(FIND(MID(R$1,10,5),TbTradesBinance[[#This Row],[Par]])=1, -(Q118-Q119)/Q118*R118,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Row],[Par]])),(-(Q118-Q119)/Q118*R118)+IF(TbTradesBinance[[#This Row],[Resultado]]&gt;0,0,TbTradesBinance[[#This Row],[Taxa]]),0),0))</f>
        <v>60.082176452524543</v>
      </c>
      <c r="S119" s="145">
        <f t="shared" si="21"/>
        <v>5.8271347931558415</v>
      </c>
      <c r="T11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Row],[Tipo]]="DROP"),T118+TbTradesBinance[[#This Row],[Qtt]],T118-TbTradesBinance[[#This Row],[Qtt]]),IF(TbTradesBinance[[#This Row],[Tipo]]="BUY",T118-TbTradesBinance[[#This Row],[Qtt]]*TbTradesBinance[[#This Row],[Preço]],T118+TbTradesBinance[[#This Row],[Qtt]]*TbTradesBinance[[#This Row],[Preço]])),T118)-IF(TbTradesBinance[[#This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Row],[Tipo]]="DROP"),T118+TbTradesBinance[[#This Row],[Qtt]],T118-TbTradesBinance[[#This Row],[Qtt]]),IF(TbTradesBinance[[#This Row],[Tipo]]="BUY",T118-TbTradesBinance[[#This Row],[Qtt]]*TbTradesBinance[[#This Row],[Preço]],T118+TbTradesBinance[[#This Row],[Qtt]]*TbTradesBinance[[#This Row],[Preço]])),T118)-IF(TbTradesBinance[[#This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Row],[Tipo]]="DROP"),T118+TbTradesBinance[[#This Row],[Qtt]],T118-TbTradesBinance[[#This Row],[Qtt]]),IF(TbTradesBinance[[#This Row],[Tipo]]="BUY",T118-TbTradesBinance[[#This Row],[Qtt]]*TbTradesBinance[[#This Row],[Preço]],T118+TbTradesBinance[[#This Row],[Qtt]]*TbTradesBinance[[#This Row],[Preço]])),T118)-IF(TbTradesBinance[[#This Row],[Moeda da Taxa]]=MID(T$1,9,5),TbTradesBinance[[#This Row],[Taxa]],0),8)))</f>
        <v>199735.32000169999</v>
      </c>
      <c r="U119" s="145" cm="1">
        <f t="array" ref="U119">IF(TbTradesBinance[[#This Row],[Tipo]]="EMPTY",0,U118+IF(TbTradesBinance[[#This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Row],[Par]]))),$1:$1,0)),-(T118-T119)/T118*U118),0),0)+IF(TbTradesBinance[[#This Row],[Tipo]]="SELL",IF(ISNUMBER(FIND(MID(U$1,10,5),TbTradesBinance[[#This Row],[Par]])),IF(FIND(MID(U$1,10,5),TbTradesBinance[[#This Row],[Par]])=1, -(T118-T119)/T118*U118,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Row],[Par]])),(-(T118-T119)/T118*U118)+IF(TbTradesBinance[[#This Row],[Resultado]]&gt;0,0,TbTradesBinance[[#This Row],[Taxa]]),0),0))</f>
        <v>1328239.8809817513</v>
      </c>
      <c r="V119" s="145">
        <f t="shared" si="22"/>
        <v>6.6500000148719129</v>
      </c>
      <c r="W11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Row],[Tipo]]="DROP"),W118+TbTradesBinance[[#This Row],[Qtt]],W118-TbTradesBinance[[#This Row],[Qtt]]),IF(TbTradesBinance[[#This Row],[Tipo]]="BUY",W118-TbTradesBinance[[#This Row],[Qtt]]*TbTradesBinance[[#This Row],[Preço]],W118+TbTradesBinance[[#This Row],[Qtt]]*TbTradesBinance[[#This Row],[Preço]])),W118)-IF(TbTradesBinance[[#This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Row],[Tipo]]="DROP"),W118+TbTradesBinance[[#This Row],[Qtt]],W118-TbTradesBinance[[#This Row],[Qtt]]),IF(TbTradesBinance[[#This Row],[Tipo]]="BUY",W118-TbTradesBinance[[#This Row],[Qtt]]*TbTradesBinance[[#This Row],[Preço]],W118+TbTradesBinance[[#This Row],[Qtt]]*TbTradesBinance[[#This Row],[Preço]])),W118)-IF(TbTradesBinance[[#This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Row],[Tipo]]="DROP"),W118+TbTradesBinance[[#This Row],[Qtt]],W118-TbTradesBinance[[#This Row],[Qtt]]),IF(TbTradesBinance[[#This Row],[Tipo]]="BUY",W118-TbTradesBinance[[#This Row],[Qtt]]*TbTradesBinance[[#This Row],[Preço]],W118+TbTradesBinance[[#This Row],[Qtt]]*TbTradesBinance[[#This Row],[Preço]])),W118)-IF(TbTradesBinance[[#This Row],[Moeda da Taxa]]=MID(W$1,9,5),TbTradesBinance[[#This Row],[Taxa]],0),8)))</f>
        <v>2.5393600000000001E-3</v>
      </c>
      <c r="X119" s="145" cm="1">
        <f t="array" ref="X119">IF(TbTradesBinance[[#This Row],[Tipo]]="EMPTY",0,X118+IF(TbTradesBinance[[#This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Row],[Par]]))),$1:$1,0)),-(W118-W119)/W118*X118),0),0)+IF(TbTradesBinance[[#This Row],[Tipo]]="SELL",IF(ISNUMBER(FIND(MID(X$1,10,5),TbTradesBinance[[#This Row],[Par]])),IF(FIND(MID(X$1,10,5),TbTradesBinance[[#This Row],[Par]])=1, -(W118-W119)/W118*X118,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Row],[Par]])),(-(W118-W119)/W118*X118)+IF(TbTradesBinance[[#This Row],[Resultado]]&gt;0,0,TbTradesBinance[[#This Row],[Taxa]]),0),0))</f>
        <v>847.47496668103008</v>
      </c>
      <c r="Y119" s="145">
        <f t="shared" si="23"/>
        <v>333735.65255853051</v>
      </c>
      <c r="Z11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Row],[Tipo]]="DROP"),Z118+TbTradesBinance[[#This Row],[Qtt]],Z118-TbTradesBinance[[#This Row],[Qtt]]),IF(TbTradesBinance[[#This Row],[Tipo]]="BUY",Z118-TbTradesBinance[[#This Row],[Qtt]]*TbTradesBinance[[#This Row],[Preço]],Z118+TbTradesBinance[[#This Row],[Qtt]]*TbTradesBinance[[#This Row],[Preço]])),Z118)-IF(TbTradesBinance[[#This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Row],[Tipo]]="DROP"),Z118+TbTradesBinance[[#This Row],[Qtt]],Z118-TbTradesBinance[[#This Row],[Qtt]]),IF(TbTradesBinance[[#This Row],[Tipo]]="BUY",Z118-TbTradesBinance[[#This Row],[Qtt]]*TbTradesBinance[[#This Row],[Preço]],Z118+TbTradesBinance[[#This Row],[Qtt]]*TbTradesBinance[[#This Row],[Preço]])),Z118)-IF(TbTradesBinance[[#This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Row],[Tipo]]="DROP"),Z118+TbTradesBinance[[#This Row],[Qtt]],Z118-TbTradesBinance[[#This Row],[Qtt]]),IF(TbTradesBinance[[#This Row],[Tipo]]="BUY",Z118-TbTradesBinance[[#This Row],[Qtt]]*TbTradesBinance[[#This Row],[Preço]],Z118+TbTradesBinance[[#This Row],[Qtt]]*TbTradesBinance[[#This Row],[Preço]])),Z118)-IF(TbTradesBinance[[#This Row],[Moeda da Taxa]]=MID(Z$1,9,5),TbTradesBinance[[#This Row],[Taxa]],0),8)))</f>
        <v>1.031935E-2</v>
      </c>
      <c r="AA119" s="145" cm="1">
        <f t="array" ref="AA119">IF(TbTradesBinance[[#This Row],[Tipo]]="EMPTY",0,AA118+IF(TbTradesBinance[[#This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Row],[Par]]))),$1:$1,0)),-(Z118-Z119)/Z118*AA118),0),0)+IF(TbTradesBinance[[#This Row],[Tipo]]="SELL",IF(ISNUMBER(FIND(MID(AA$1,10,5),TbTradesBinance[[#This Row],[Par]])),IF(FIND(MID(AA$1,10,5),TbTradesBinance[[#This Row],[Par]])=1, -(Z118-Z119)/Z118*AA118,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Row],[Par]])),(-(Z118-Z119)/Z118*AA118)+IF(TbTradesBinance[[#This Row],[Resultado]]&gt;0,0,TbTradesBinance[[#This Row],[Taxa]]),0),0))</f>
        <v>107.3592846539391</v>
      </c>
      <c r="AB119" s="145">
        <f t="shared" si="24"/>
        <v>10403.686729681531</v>
      </c>
      <c r="AC11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Row],[Tipo]]="DROP"),AC118+TbTradesBinance[[#This Row],[Qtt]],AC118-TbTradesBinance[[#This Row],[Qtt]]),IF(TbTradesBinance[[#This Row],[Tipo]]="BUY",AC118-TbTradesBinance[[#This Row],[Qtt]]*TbTradesBinance[[#This Row],[Preço]],AC118+TbTradesBinance[[#This Row],[Qtt]]*TbTradesBinance[[#This Row],[Preço]])),AC118)-IF(TbTradesBinance[[#This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Row],[Tipo]]="DROP"),AC118+TbTradesBinance[[#This Row],[Qtt]],AC118-TbTradesBinance[[#This Row],[Qtt]]),IF(TbTradesBinance[[#This Row],[Tipo]]="BUY",AC118-TbTradesBinance[[#This Row],[Qtt]]*TbTradesBinance[[#This Row],[Preço]],AC118+TbTradesBinance[[#This Row],[Qtt]]*TbTradesBinance[[#This Row],[Preço]])),AC118)-IF(TbTradesBinance[[#This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Row],[Tipo]]="DROP"),AC118+TbTradesBinance[[#This Row],[Qtt]],AC118-TbTradesBinance[[#This Row],[Qtt]]),IF(TbTradesBinance[[#This Row],[Tipo]]="BUY",AC118-TbTradesBinance[[#This Row],[Qtt]]*TbTradesBinance[[#This Row],[Preço]],AC118+TbTradesBinance[[#This Row],[Qtt]]*TbTradesBinance[[#This Row],[Preço]])),AC118)-IF(TbTradesBinance[[#This Row],[Moeda da Taxa]]=MID(AC$1,9,5),TbTradesBinance[[#This Row],[Taxa]],0),8)))</f>
        <v>9.6999E-4</v>
      </c>
      <c r="AD119" s="145" cm="1">
        <f t="array" ref="AD119">IF(TbTradesBinance[[#This Row],[Tipo]]="EMPTY",0,AD118+IF(TbTradesBinance[[#This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Row],[Par]]))),$1:$1,0)),-(AC118-AC119)/AC118*AD118),0),0)+IF(TbTradesBinance[[#This Row],[Tipo]]="SELL",IF(ISNUMBER(FIND(MID(AD$1,10,5),TbTradesBinance[[#This Row],[Par]])),IF(FIND(MID(AD$1,10,5),TbTradesBinance[[#This Row],[Par]])=1, -(AC118-AC119)/AC118*AD118,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Row],[Par]])),(-(AC118-AC119)/AC118*AD118)+IF(TbTradesBinance[[#This Row],[Resultado]]&gt;0,0,TbTradesBinance[[#This Row],[Taxa]]),0),0))</f>
        <v>1.9483868939812083</v>
      </c>
      <c r="AE119" s="145">
        <f t="shared" si="25"/>
        <v>2008.6669903619711</v>
      </c>
      <c r="AF11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Row],[Tipo]]="DROP"),AF118+TbTradesBinance[[#This Row],[Qtt]],AF118-TbTradesBinance[[#This Row],[Qtt]]),IF(TbTradesBinance[[#This Row],[Tipo]]="BUY",AF118-TbTradesBinance[[#This Row],[Qtt]]*TbTradesBinance[[#This Row],[Preço]],AF118+TbTradesBinance[[#This Row],[Qtt]]*TbTradesBinance[[#This Row],[Preço]])),AF118)-IF(TbTradesBinance[[#This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Row],[Tipo]]="DROP"),AF118+TbTradesBinance[[#This Row],[Qtt]],AF118-TbTradesBinance[[#This Row],[Qtt]]),IF(TbTradesBinance[[#This Row],[Tipo]]="BUY",AF118-TbTradesBinance[[#This Row],[Qtt]]*TbTradesBinance[[#This Row],[Preço]],AF118+TbTradesBinance[[#This Row],[Qtt]]*TbTradesBinance[[#This Row],[Preço]])),AF118)-IF(TbTradesBinance[[#This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Row],[Tipo]]="DROP"),AF118+TbTradesBinance[[#This Row],[Qtt]],AF118-TbTradesBinance[[#This Row],[Qtt]]),IF(TbTradesBinance[[#This Row],[Tipo]]="BUY",AF118-TbTradesBinance[[#This Row],[Qtt]]*TbTradesBinance[[#This Row],[Preço]],AF118+TbTradesBinance[[#This Row],[Qtt]]*TbTradesBinance[[#This Row],[Preço]])),AF118)-IF(TbTradesBinance[[#This Row],[Moeda da Taxa]]=MID(AF$1,9,5),TbTradesBinance[[#This Row],[Taxa]],0),8)))</f>
        <v>0.08</v>
      </c>
      <c r="AG119" s="145" cm="1">
        <f t="array" ref="AG119">IF(TbTradesBinance[[#This Row],[Tipo]]="EMPTY",0,AG118+IF(TbTradesBinance[[#This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Row],[Par]]))),$1:$1,0)),-(AF118-AF119)/AF118*AG118),0),0)+IF(TbTradesBinance[[#This Row],[Tipo]]="SELL",IF(ISNUMBER(FIND(MID(AG$1,10,5),TbTradesBinance[[#This Row],[Par]])),IF(FIND(MID(AG$1,10,5),TbTradesBinance[[#This Row],[Par]])=1, -(AF118-AF119)/AF118*AG118,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Row],[Par]])),(-(AF118-AF119)/AF118*AG118)+IF(TbTradesBinance[[#This Row],[Resultado]]&gt;0,0,TbTradesBinance[[#This Row],[Taxa]]),0),0))</f>
        <v>0.49666397429723474</v>
      </c>
      <c r="AH119" s="145">
        <f t="shared" si="26"/>
        <v>6.2082996787154343</v>
      </c>
      <c r="AI11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Row],[Tipo]]="DROP"),AI118+TbTradesBinance[[#This Row],[Qtt]],AI118-TbTradesBinance[[#This Row],[Qtt]]),IF(TbTradesBinance[[#This Row],[Tipo]]="BUY",AI118-TbTradesBinance[[#This Row],[Qtt]]*TbTradesBinance[[#This Row],[Preço]],AI118+TbTradesBinance[[#This Row],[Qtt]]*TbTradesBinance[[#This Row],[Preço]])),AI118)-IF(TbTradesBinance[[#This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Row],[Tipo]]="DROP"),AI118+TbTradesBinance[[#This Row],[Qtt]],AI118-TbTradesBinance[[#This Row],[Qtt]]),IF(TbTradesBinance[[#This Row],[Tipo]]="BUY",AI118-TbTradesBinance[[#This Row],[Qtt]]*TbTradesBinance[[#This Row],[Preço]],AI118+TbTradesBinance[[#This Row],[Qtt]]*TbTradesBinance[[#This Row],[Preço]])),AI118)-IF(TbTradesBinance[[#This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Row],[Tipo]]="DROP"),AI118+TbTradesBinance[[#This Row],[Qtt]],AI118-TbTradesBinance[[#This Row],[Qtt]]),IF(TbTradesBinance[[#This Row],[Tipo]]="BUY",AI118-TbTradesBinance[[#This Row],[Qtt]]*TbTradesBinance[[#This Row],[Preço]],AI118+TbTradesBinance[[#This Row],[Qtt]]*TbTradesBinance[[#This Row],[Preço]])),AI118)-IF(TbTradesBinance[[#This Row],[Moeda da Taxa]]=MID(AI$1,9,5),TbTradesBinance[[#This Row],[Taxa]],0),8)))</f>
        <v>0</v>
      </c>
      <c r="AJ119" s="145" cm="1">
        <f t="array" ref="AJ119">IF(TbTradesBinance[[#This Row],[Tipo]]="EMPTY",0,AJ118+IF(TbTradesBinance[[#This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Row],[Par]]))),$1:$1,0)),-(AI118-AI119)/AI118*AJ118),0),0)+IF(TbTradesBinance[[#This Row],[Tipo]]="SELL",IF(ISNUMBER(FIND(MID(AJ$1,10,5),TbTradesBinance[[#This Row],[Par]])),IF(FIND(MID(AJ$1,10,5),TbTradesBinance[[#This Row],[Par]])=1, -(AI118-AI119)/AI118*AJ118,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Row],[Par]])),(-(AI118-AI119)/AI118*AJ118)+IF(TbTradesBinance[[#This Row],[Resultado]]&gt;0,0,TbTradesBinance[[#This Row],[Taxa]]),0),0))</f>
        <v>0</v>
      </c>
      <c r="AK119" s="145">
        <f t="shared" si="27"/>
        <v>0</v>
      </c>
      <c r="AL11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Row],[Tipo]]="DROP"),AL118+TbTradesBinance[[#This Row],[Qtt]],AL118-TbTradesBinance[[#This Row],[Qtt]]),IF(TbTradesBinance[[#This Row],[Tipo]]="BUY",AL118-TbTradesBinance[[#This Row],[Qtt]]*TbTradesBinance[[#This Row],[Preço]],AL118+TbTradesBinance[[#This Row],[Qtt]]*TbTradesBinance[[#This Row],[Preço]])),AL118)-IF(TbTradesBinance[[#This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Row],[Tipo]]="DROP"),AL118+TbTradesBinance[[#This Row],[Qtt]],AL118-TbTradesBinance[[#This Row],[Qtt]]),IF(TbTradesBinance[[#This Row],[Tipo]]="BUY",AL118-TbTradesBinance[[#This Row],[Qtt]]*TbTradesBinance[[#This Row],[Preço]],AL118+TbTradesBinance[[#This Row],[Qtt]]*TbTradesBinance[[#This Row],[Preço]])),AL118)-IF(TbTradesBinance[[#This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Row],[Tipo]]="DROP"),AL118+TbTradesBinance[[#This Row],[Qtt]],AL118-TbTradesBinance[[#This Row],[Qtt]]),IF(TbTradesBinance[[#This Row],[Tipo]]="BUY",AL118-TbTradesBinance[[#This Row],[Qtt]]*TbTradesBinance[[#This Row],[Preço]],AL118+TbTradesBinance[[#This Row],[Qtt]]*TbTradesBinance[[#This Row],[Preço]])),AL118)-IF(TbTradesBinance[[#This Row],[Moeda da Taxa]]=MID(AL$1,9,5),TbTradesBinance[[#This Row],[Taxa]],0),8)))</f>
        <v>8.2400000000000008E-3</v>
      </c>
      <c r="AM119" s="145" cm="1">
        <f t="array" ref="AM119">IF(TbTradesBinance[[#This Row],[Tipo]]="EMPTY",0,AM118+IF(TbTradesBinance[[#This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Row],[Par]]))),$1:$1,0)),-(AL118-AL119)/AL118*AM118),0),0)+IF(TbTradesBinance[[#This Row],[Tipo]]="SELL",IF(ISNUMBER(FIND(MID(AM$1,10,5),TbTradesBinance[[#This Row],[Par]])),IF(FIND(MID(AM$1,10,5),TbTradesBinance[[#This Row],[Par]])=1, -(AL118-AL119)/AL118*AM118,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Row],[Par]])),(-(AL118-AL119)/AL118*AM118)+IF(TbTradesBinance[[#This Row],[Resultado]]&gt;0,0,TbTradesBinance[[#This Row],[Taxa]]),0),0))</f>
        <v>0.67751089887772764</v>
      </c>
      <c r="AN119" s="145">
        <f t="shared" si="28"/>
        <v>82.222196465743636</v>
      </c>
      <c r="AO11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Row],[Tipo]]="DROP"),AO118+TbTradesBinance[[#This Row],[Qtt]],AO118-TbTradesBinance[[#This Row],[Qtt]]),IF(TbTradesBinance[[#This Row],[Tipo]]="BUY",AO118-TbTradesBinance[[#This Row],[Qtt]]*TbTradesBinance[[#This Row],[Preço]],AO118+TbTradesBinance[[#This Row],[Qtt]]*TbTradesBinance[[#This Row],[Preço]])),AO118)-IF(TbTradesBinance[[#This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Row],[Tipo]]="DROP"),AO118+TbTradesBinance[[#This Row],[Qtt]],AO118-TbTradesBinance[[#This Row],[Qtt]]),IF(TbTradesBinance[[#This Row],[Tipo]]="BUY",AO118-TbTradesBinance[[#This Row],[Qtt]]*TbTradesBinance[[#This Row],[Preço]],AO118+TbTradesBinance[[#This Row],[Qtt]]*TbTradesBinance[[#This Row],[Preço]])),AO118)-IF(TbTradesBinance[[#This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Row],[Tipo]]="DROP"),AO118+TbTradesBinance[[#This Row],[Qtt]],AO118-TbTradesBinance[[#This Row],[Qtt]]),IF(TbTradesBinance[[#This Row],[Tipo]]="BUY",AO118-TbTradesBinance[[#This Row],[Qtt]]*TbTradesBinance[[#This Row],[Preço]],AO118+TbTradesBinance[[#This Row],[Qtt]]*TbTradesBinance[[#This Row],[Preço]])),AO118)-IF(TbTradesBinance[[#This Row],[Moeda da Taxa]]=MID(AO$1,9,5),TbTradesBinance[[#This Row],[Taxa]],0),8)))</f>
        <v>7.4542689999999995E-2</v>
      </c>
      <c r="AP119" s="145" cm="1">
        <f t="array" ref="AP119">IF(TbTradesBinance[[#This Row],[Tipo]]="EMPTY",0,AP118+IF(TbTradesBinance[[#This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Row],[Par]]))),$1:$1,0)),-(AO118-AO119)/AO118*AP118),0),0)+IF(TbTradesBinance[[#This Row],[Tipo]]="SELL",IF(ISNUMBER(FIND(MID(AP$1,10,5),TbTradesBinance[[#This Row],[Par]])),IF(FIND(MID(AP$1,10,5),TbTradesBinance[[#This Row],[Par]])=1, -(AO118-AO119)/AO118*AP118,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Row],[Par]])),(-(AO118-AO119)/AO118*AP118)+IF(TbTradesBinance[[#This Row],[Resultado]]&gt;0,0,TbTradesBinance[[#This Row],[Taxa]]),0),0))</f>
        <v>113.87766627073657</v>
      </c>
      <c r="AQ119" s="145">
        <f t="shared" si="29"/>
        <v>1527.683885176891</v>
      </c>
      <c r="AR11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Row],[Tipo]]="DROP"),AR118+TbTradesBinance[[#This Row],[Qtt]],AR118-TbTradesBinance[[#This Row],[Qtt]]),IF(TbTradesBinance[[#This Row],[Tipo]]="BUY",AR118-TbTradesBinance[[#This Row],[Qtt]]*TbTradesBinance[[#This Row],[Preço]],AR118+TbTradesBinance[[#This Row],[Qtt]]*TbTradesBinance[[#This Row],[Preço]])),AR118)-IF(TbTradesBinance[[#This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Row],[Tipo]]="DROP"),AR118+TbTradesBinance[[#This Row],[Qtt]],AR118-TbTradesBinance[[#This Row],[Qtt]]),IF(TbTradesBinance[[#This Row],[Tipo]]="BUY",AR118-TbTradesBinance[[#This Row],[Qtt]]*TbTradesBinance[[#This Row],[Preço]],AR118+TbTradesBinance[[#This Row],[Qtt]]*TbTradesBinance[[#This Row],[Preço]])),AR118)-IF(TbTradesBinance[[#This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Row],[Tipo]]="DROP"),AR118+TbTradesBinance[[#This Row],[Qtt]],AR118-TbTradesBinance[[#This Row],[Qtt]]),IF(TbTradesBinance[[#This Row],[Tipo]]="BUY",AR118-TbTradesBinance[[#This Row],[Qtt]]*TbTradesBinance[[#This Row],[Preço]],AR118+TbTradesBinance[[#This Row],[Qtt]]*TbTradesBinance[[#This Row],[Preço]])),AR118)-IF(TbTradesBinance[[#This Row],[Moeda da Taxa]]=MID(AR$1,9,5),TbTradesBinance[[#This Row],[Taxa]],0),8)))</f>
        <v>61.251199999999997</v>
      </c>
      <c r="AS119" s="145" cm="1">
        <f t="array" ref="AS119">IF(TbTradesBinance[[#This Row],[Tipo]]="EMPTY",0,AS118+IF(TbTradesBinance[[#This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Row],[Par]]))),$1:$1,0)),-(AR118-AR119)/AR118*AS118),0),0)+IF(TbTradesBinance[[#This Row],[Tipo]]="SELL",IF(ISNUMBER(FIND(MID(AS$1,10,5),TbTradesBinance[[#This Row],[Par]])),IF(FIND(MID(AS$1,10,5),TbTradesBinance[[#This Row],[Par]])=1, -(AR118-AR119)/AR118*AS118,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Row],[Par]])),(-(AR118-AR119)/AR118*AS118)+IF(TbTradesBinance[[#This Row],[Resultado]]&gt;0,0,TbTradesBinance[[#This Row],[Taxa]]),0),0))</f>
        <v>230.84001376053044</v>
      </c>
      <c r="AT119" s="145">
        <f t="shared" si="30"/>
        <v>3.7687427146003745</v>
      </c>
      <c r="AU11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Row],[Tipo]]="DROP"),AU118+TbTradesBinance[[#This Row],[Qtt]],AU118-TbTradesBinance[[#This Row],[Qtt]]),IF(TbTradesBinance[[#This Row],[Tipo]]="BUY",AU118-TbTradesBinance[[#This Row],[Qtt]]*TbTradesBinance[[#This Row],[Preço]],AU118+TbTradesBinance[[#This Row],[Qtt]]*TbTradesBinance[[#This Row],[Preço]])),AU118)-IF(TbTradesBinance[[#This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Row],[Tipo]]="DROP"),AU118+TbTradesBinance[[#This Row],[Qtt]],AU118-TbTradesBinance[[#This Row],[Qtt]]),IF(TbTradesBinance[[#This Row],[Tipo]]="BUY",AU118-TbTradesBinance[[#This Row],[Qtt]]*TbTradesBinance[[#This Row],[Preço]],AU118+TbTradesBinance[[#This Row],[Qtt]]*TbTradesBinance[[#This Row],[Preço]])),AU118)-IF(TbTradesBinance[[#This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Row],[Tipo]]="DROP"),AU118+TbTradesBinance[[#This Row],[Qtt]],AU118-TbTradesBinance[[#This Row],[Qtt]]),IF(TbTradesBinance[[#This Row],[Tipo]]="BUY",AU118-TbTradesBinance[[#This Row],[Qtt]]*TbTradesBinance[[#This Row],[Preço]],AU118+TbTradesBinance[[#This Row],[Qtt]]*TbTradesBinance[[#This Row],[Preço]])),AU118)-IF(TbTradesBinance[[#This Row],[Moeda da Taxa]]=MID(AU$1,9,5),TbTradesBinance[[#This Row],[Taxa]],0),8)))</f>
        <v>0</v>
      </c>
      <c r="AV119" s="145" cm="1">
        <f t="array" ref="AV119">IF(TbTradesBinance[[#This Row],[Tipo]]="EMPTY",0,AV118+IF(TbTradesBinance[[#This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Row],[Par]]))),$1:$1,0)),-(AU118-AU119)/AU118*AV118),0),0)+IF(TbTradesBinance[[#This Row],[Tipo]]="SELL",IF(ISNUMBER(FIND(MID(AV$1,10,5),TbTradesBinance[[#This Row],[Par]])),IF(FIND(MID(AV$1,10,5),TbTradesBinance[[#This Row],[Par]])=1, -(AU118-AU119)/AU118*AV118,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Row],[Par]])),(-(AU118-AU119)/AU118*AV118)+IF(TbTradesBinance[[#This Row],[Resultado]]&gt;0,0,TbTradesBinance[[#This Row],[Taxa]]),0),0))</f>
        <v>0</v>
      </c>
      <c r="AW119" s="145">
        <f t="shared" si="31"/>
        <v>0</v>
      </c>
      <c r="AX11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Row],[Tipo]]="DROP"),AX118+TbTradesBinance[[#This Row],[Qtt]],AX118-TbTradesBinance[[#This Row],[Qtt]]),IF(TbTradesBinance[[#This Row],[Tipo]]="BUY",AX118-TbTradesBinance[[#This Row],[Qtt]]*TbTradesBinance[[#This Row],[Preço]],AX118+TbTradesBinance[[#This Row],[Qtt]]*TbTradesBinance[[#This Row],[Preço]])),AX118)-IF(TbTradesBinance[[#This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Row],[Tipo]]="DROP"),AX118+TbTradesBinance[[#This Row],[Qtt]],AX118-TbTradesBinance[[#This Row],[Qtt]]),IF(TbTradesBinance[[#This Row],[Tipo]]="BUY",AX118-TbTradesBinance[[#This Row],[Qtt]]*TbTradesBinance[[#This Row],[Preço]],AX118+TbTradesBinance[[#This Row],[Qtt]]*TbTradesBinance[[#This Row],[Preço]])),AX118)-IF(TbTradesBinance[[#This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Row],[Tipo]]="DROP"),AX118+TbTradesBinance[[#This Row],[Qtt]],AX118-TbTradesBinance[[#This Row],[Qtt]]),IF(TbTradesBinance[[#This Row],[Tipo]]="BUY",AX118-TbTradesBinance[[#This Row],[Qtt]]*TbTradesBinance[[#This Row],[Preço]],AX118+TbTradesBinance[[#This Row],[Qtt]]*TbTradesBinance[[#This Row],[Preço]])),AX118)-IF(TbTradesBinance[[#This Row],[Moeda da Taxa]]=MID(AX$1,9,5),TbTradesBinance[[#This Row],[Taxa]],0),8)))</f>
        <v>0.85636999999999996</v>
      </c>
      <c r="AY119" s="145" cm="1">
        <f t="array" ref="AY119">IF(TbTradesBinance[[#This Row],[Tipo]]="EMPTY",0,AY118+IF(TbTradesBinance[[#This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Row],[Par]]))),$1:$1,0)),-(AX118-AX119)/AX118*AY118),0),0)+IF(TbTradesBinance[[#This Row],[Tipo]]="SELL",IF(ISNUMBER(FIND(MID(AY$1,10,5),TbTradesBinance[[#This Row],[Par]])),IF(FIND(MID(AY$1,10,5),TbTradesBinance[[#This Row],[Par]])=1, -(AX118-AX119)/AX118*AY118,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Row],[Par]])),(-(AX118-AX119)/AX118*AY118)+IF(TbTradesBinance[[#This Row],[Resultado]]&gt;0,0,TbTradesBinance[[#This Row],[Taxa]]),0),0))</f>
        <v>131.82971181780295</v>
      </c>
      <c r="AZ119" s="145">
        <f t="shared" si="32"/>
        <v>153.94013314081874</v>
      </c>
      <c r="BA11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Row],[Tipo]]="DROP"),BA118+TbTradesBinance[[#This Row],[Qtt]],BA118-TbTradesBinance[[#This Row],[Qtt]]),IF(TbTradesBinance[[#This Row],[Tipo]]="BUY",BA118-TbTradesBinance[[#This Row],[Qtt]]*TbTradesBinance[[#This Row],[Preço]],BA118+TbTradesBinance[[#This Row],[Qtt]]*TbTradesBinance[[#This Row],[Preço]])),BA118)-IF(TbTradesBinance[[#This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Row],[Tipo]]="DROP"),BA118+TbTradesBinance[[#This Row],[Qtt]],BA118-TbTradesBinance[[#This Row],[Qtt]]),IF(TbTradesBinance[[#This Row],[Tipo]]="BUY",BA118-TbTradesBinance[[#This Row],[Qtt]]*TbTradesBinance[[#This Row],[Preço]],BA118+TbTradesBinance[[#This Row],[Qtt]]*TbTradesBinance[[#This Row],[Preço]])),BA118)-IF(TbTradesBinance[[#This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Row],[Tipo]]="DROP"),BA118+TbTradesBinance[[#This Row],[Qtt]],BA118-TbTradesBinance[[#This Row],[Qtt]]),IF(TbTradesBinance[[#This Row],[Tipo]]="BUY",BA118-TbTradesBinance[[#This Row],[Qtt]]*TbTradesBinance[[#This Row],[Preço]],BA118+TbTradesBinance[[#This Row],[Qtt]]*TbTradesBinance[[#This Row],[Preço]])),BA118)-IF(TbTradesBinance[[#This Row],[Moeda da Taxa]]=MID(BA$1,9,5),TbTradesBinance[[#This Row],[Taxa]],0),8)))</f>
        <v>5.3240000000000003E-2</v>
      </c>
      <c r="BB119" s="145" cm="1">
        <f t="array" ref="BB119">IF(TbTradesBinance[[#This Row],[Tipo]]="EMPTY",0,BB118+IF(TbTradesBinance[[#This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Row],[Par]]))),$1:$1,0)),-(BA118-BA119)/BA118*BB118),0),0)+IF(TbTradesBinance[[#This Row],[Tipo]]="SELL",IF(ISNUMBER(FIND(MID(BB$1,10,5),TbTradesBinance[[#This Row],[Par]])),IF(FIND(MID(BB$1,10,5),TbTradesBinance[[#This Row],[Par]])=1, -(BA118-BA119)/BA118*BB118,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Row],[Par]])),(-(BA118-BA119)/BA118*BB118)+IF(TbTradesBinance[[#This Row],[Resultado]]&gt;0,0,TbTradesBinance[[#This Row],[Taxa]]),0),0))</f>
        <v>60.745968505642452</v>
      </c>
      <c r="BC119" s="145">
        <f t="shared" si="33"/>
        <v>1140.9836308347567</v>
      </c>
      <c r="BD11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Row],[Tipo]]="DROP"),BD118+TbTradesBinance[[#This Row],[Qtt]],BD118-TbTradesBinance[[#This Row],[Qtt]]),IF(TbTradesBinance[[#This Row],[Tipo]]="BUY",BD118-TbTradesBinance[[#This Row],[Qtt]]*TbTradesBinance[[#This Row],[Preço]],BD118+TbTradesBinance[[#This Row],[Qtt]]*TbTradesBinance[[#This Row],[Preço]])),BD118)-IF(TbTradesBinance[[#This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Row],[Tipo]]="DROP"),BD118+TbTradesBinance[[#This Row],[Qtt]],BD118-TbTradesBinance[[#This Row],[Qtt]]),IF(TbTradesBinance[[#This Row],[Tipo]]="BUY",BD118-TbTradesBinance[[#This Row],[Qtt]]*TbTradesBinance[[#This Row],[Preço]],BD118+TbTradesBinance[[#This Row],[Qtt]]*TbTradesBinance[[#This Row],[Preço]])),BD118)-IF(TbTradesBinance[[#This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Row],[Tipo]]="DROP"),BD118+TbTradesBinance[[#This Row],[Qtt]],BD118-TbTradesBinance[[#This Row],[Qtt]]),IF(TbTradesBinance[[#This Row],[Tipo]]="BUY",BD118-TbTradesBinance[[#This Row],[Qtt]]*TbTradesBinance[[#This Row],[Preço]],BD118+TbTradesBinance[[#This Row],[Qtt]]*TbTradesBinance[[#This Row],[Preço]])),BD118)-IF(TbTradesBinance[[#This Row],[Moeda da Taxa]]=MID(BD$1,9,5),TbTradesBinance[[#This Row],[Taxa]],0),8)))</f>
        <v>9.0599900000000004E-3</v>
      </c>
      <c r="BE119" s="145" cm="1">
        <f t="array" ref="BE119">IF(TbTradesBinance[[#This Row],[Tipo]]="EMPTY",0,BE118+IF(TbTradesBinance[[#This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Row],[Par]]))),$1:$1,0)),-(BD118-BD119)/BD118*BE118),0),0)+IF(TbTradesBinance[[#This Row],[Tipo]]="SELL",IF(ISNUMBER(FIND(MID(BE$1,10,5),TbTradesBinance[[#This Row],[Par]])),IF(FIND(MID(BE$1,10,5),TbTradesBinance[[#This Row],[Par]])=1, -(BD118-BD119)/BD118*BE118,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Row],[Par]])),(-(BD118-BD119)/BD118*BE118)+IF(TbTradesBinance[[#This Row],[Resultado]]&gt;0,0,TbTradesBinance[[#This Row],[Taxa]]),0),0))</f>
        <v>1.6846969284922721</v>
      </c>
      <c r="BF119" s="145">
        <f t="shared" si="34"/>
        <v>185.94909359638058</v>
      </c>
      <c r="BG11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Row],[Tipo]]="DROP"),BG118+TbTradesBinance[[#This Row],[Qtt]],BG118-TbTradesBinance[[#This Row],[Qtt]]),IF(TbTradesBinance[[#This Row],[Tipo]]="BUY",BG118-TbTradesBinance[[#This Row],[Qtt]]*TbTradesBinance[[#This Row],[Preço]],BG118+TbTradesBinance[[#This Row],[Qtt]]*TbTradesBinance[[#This Row],[Preço]])),BG118)-IF(TbTradesBinance[[#This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Row],[Tipo]]="DROP"),BG118+TbTradesBinance[[#This Row],[Qtt]],BG118-TbTradesBinance[[#This Row],[Qtt]]),IF(TbTradesBinance[[#This Row],[Tipo]]="BUY",BG118-TbTradesBinance[[#This Row],[Qtt]]*TbTradesBinance[[#This Row],[Preço]],BG118+TbTradesBinance[[#This Row],[Qtt]]*TbTradesBinance[[#This Row],[Preço]])),BG118)-IF(TbTradesBinance[[#This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Row],[Tipo]]="DROP"),BG118+TbTradesBinance[[#This Row],[Qtt]],BG118-TbTradesBinance[[#This Row],[Qtt]]),IF(TbTradesBinance[[#This Row],[Tipo]]="BUY",BG118-TbTradesBinance[[#This Row],[Qtt]]*TbTradesBinance[[#This Row],[Preço]],BG118+TbTradesBinance[[#This Row],[Qtt]]*TbTradesBinance[[#This Row],[Preço]])),BG118)-IF(TbTradesBinance[[#This Row],[Moeda da Taxa]]=MID(BG$1,9,5),TbTradesBinance[[#This Row],[Taxa]],0),8)))</f>
        <v>0</v>
      </c>
      <c r="BH119" s="145" cm="1">
        <f t="array" ref="BH119">IF(TbTradesBinance[[#This Row],[Tipo]]="EMPTY",0,BH118+IF(TbTradesBinance[[#This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Row],[Par]]))),$1:$1,0)),-(BG118-BG119)/BG118*BH118),0),0)+IF(TbTradesBinance[[#This Row],[Tipo]]="SELL",IF(ISNUMBER(FIND(MID(BH$1,10,5),TbTradesBinance[[#This Row],[Par]])),IF(FIND(MID(BH$1,10,5),TbTradesBinance[[#This Row],[Par]])=1, -(BG118-BG119)/BG118*BH118,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Row],[Par]])),(-(BG118-BG119)/BG118*BH118)+IF(TbTradesBinance[[#This Row],[Resultado]]&gt;0,0,TbTradesBinance[[#This Row],[Taxa]]),0),0))</f>
        <v>0</v>
      </c>
      <c r="BI119" s="145">
        <f t="shared" si="35"/>
        <v>0</v>
      </c>
      <c r="BJ11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Row],[Tipo]]="DROP"),BJ118+TbTradesBinance[[#This Row],[Qtt]],BJ118-TbTradesBinance[[#This Row],[Qtt]]),IF(TbTradesBinance[[#This Row],[Tipo]]="BUY",BJ118-TbTradesBinance[[#This Row],[Qtt]]*TbTradesBinance[[#This Row],[Preço]],BJ118+TbTradesBinance[[#This Row],[Qtt]]*TbTradesBinance[[#This Row],[Preço]])),BJ118)-IF(TbTradesBinance[[#This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Row],[Tipo]]="DROP"),BJ118+TbTradesBinance[[#This Row],[Qtt]],BJ118-TbTradesBinance[[#This Row],[Qtt]]),IF(TbTradesBinance[[#This Row],[Tipo]]="BUY",BJ118-TbTradesBinance[[#This Row],[Qtt]]*TbTradesBinance[[#This Row],[Preço]],BJ118+TbTradesBinance[[#This Row],[Qtt]]*TbTradesBinance[[#This Row],[Preço]])),BJ118)-IF(TbTradesBinance[[#This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Row],[Tipo]]="DROP"),BJ118+TbTradesBinance[[#This Row],[Qtt]],BJ118-TbTradesBinance[[#This Row],[Qtt]]),IF(TbTradesBinance[[#This Row],[Tipo]]="BUY",BJ118-TbTradesBinance[[#This Row],[Qtt]]*TbTradesBinance[[#This Row],[Preço]],BJ118+TbTradesBinance[[#This Row],[Qtt]]*TbTradesBinance[[#This Row],[Preço]])),BJ118)-IF(TbTradesBinance[[#This Row],[Moeda da Taxa]]=MID(BJ$1,9,5),TbTradesBinance[[#This Row],[Taxa]],0),8)))</f>
        <v>0</v>
      </c>
      <c r="BK119" s="145" cm="1">
        <f t="array" ref="BK119">IF(TbTradesBinance[[#This Row],[Tipo]]="EMPTY",0,BK118+IF(TbTradesBinance[[#This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Row],[Par]]))),$1:$1,0)),-(BJ118-BJ119)/BJ118*BK118),0),0)+IF(TbTradesBinance[[#This Row],[Tipo]]="SELL",IF(ISNUMBER(FIND(MID(BK$1,10,5),TbTradesBinance[[#This Row],[Par]])),IF(FIND(MID(BK$1,10,5),TbTradesBinance[[#This Row],[Par]])=1, -(BJ118-BJ119)/BJ118*BK118,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Row],[Par]])),(-(BJ118-BJ119)/BJ118*BK118)+IF(TbTradesBinance[[#This Row],[Resultado]]&gt;0,0,TbTradesBinance[[#This Row],[Taxa]]),0),0))</f>
        <v>0</v>
      </c>
      <c r="BL119" s="145">
        <f t="shared" si="36"/>
        <v>0</v>
      </c>
      <c r="BM11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Row],[Tipo]]="DROP"),BM118+TbTradesBinance[[#This Row],[Qtt]],BM118-TbTradesBinance[[#This Row],[Qtt]]),IF(TbTradesBinance[[#This Row],[Tipo]]="BUY",BM118-TbTradesBinance[[#This Row],[Qtt]]*TbTradesBinance[[#This Row],[Preço]],BM118+TbTradesBinance[[#This Row],[Qtt]]*TbTradesBinance[[#This Row],[Preço]])),BM118)-IF(TbTradesBinance[[#This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Row],[Tipo]]="DROP"),BM118+TbTradesBinance[[#This Row],[Qtt]],BM118-TbTradesBinance[[#This Row],[Qtt]]),IF(TbTradesBinance[[#This Row],[Tipo]]="BUY",BM118-TbTradesBinance[[#This Row],[Qtt]]*TbTradesBinance[[#This Row],[Preço]],BM118+TbTradesBinance[[#This Row],[Qtt]]*TbTradesBinance[[#This Row],[Preço]])),BM118)-IF(TbTradesBinance[[#This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Row],[Tipo]]="DROP"),BM118+TbTradesBinance[[#This Row],[Qtt]],BM118-TbTradesBinance[[#This Row],[Qtt]]),IF(TbTradesBinance[[#This Row],[Tipo]]="BUY",BM118-TbTradesBinance[[#This Row],[Qtt]]*TbTradesBinance[[#This Row],[Preço]],BM118+TbTradesBinance[[#This Row],[Qtt]]*TbTradesBinance[[#This Row],[Preço]])),BM118)-IF(TbTradesBinance[[#This Row],[Moeda da Taxa]]=MID(BM$1,9,5),TbTradesBinance[[#This Row],[Taxa]],0),8)))</f>
        <v>0</v>
      </c>
      <c r="BN119" s="145" cm="1">
        <f t="array" ref="BN119">IF(TbTradesBinance[[#This Row],[Tipo]]="EMPTY",0,BN118+IF(TbTradesBinance[[#This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Row],[Par]]))),$1:$1,0)),-(BM118-BM119)/BM118*BN118),0),0)+IF(TbTradesBinance[[#This Row],[Tipo]]="SELL",IF(ISNUMBER(FIND(MID(BN$1,10,5),TbTradesBinance[[#This Row],[Par]])),IF(FIND(MID(BN$1,10,5),TbTradesBinance[[#This Row],[Par]])=1, -(BM118-BM119)/BM118*BN118,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Row],[Par]])),(-(BM118-BM119)/BM118*BN118)+IF(TbTradesBinance[[#This Row],[Resultado]]&gt;0,0,TbTradesBinance[[#This Row],[Taxa]]),0),0))</f>
        <v>0</v>
      </c>
      <c r="BO119" s="145">
        <f t="shared" si="37"/>
        <v>0</v>
      </c>
    </row>
    <row r="120" spans="2:67" x14ac:dyDescent="0.3">
      <c r="B120" s="51"/>
      <c r="C120" s="40">
        <f>TRUNC(IF(AND(TbTradesBinance[[#This Row],[Tipo]]="SEND",TbTradesBinance[[#This Row],[Par]]="BRL"),TbTradesBinance[[#This Row],[Qtt]]*(1-P118)-IF(TbTradesBinance[[#This Row],[Moeda da Taxa]]="BRL",TbTradesBinance[[#This Row],[Taxa]],0),0)+IF(AND(TbTradesBinance[[#This Row],[Tipo]]="BURN",TbTradesBinance[[#This Row],[Par]]="BRL"),-TbTradesBinance[[#This Row],[Qtt]]*P118,0),2)</f>
        <v>0</v>
      </c>
      <c r="D120" s="53">
        <v>44276.509456018517</v>
      </c>
      <c r="E120" s="37" t="s">
        <v>259</v>
      </c>
      <c r="F120" s="47" t="s">
        <v>139</v>
      </c>
      <c r="G120" s="38">
        <v>196.5</v>
      </c>
      <c r="H120" s="38">
        <v>5.2470000000000003E-2</v>
      </c>
      <c r="I120" s="38">
        <v>2.9289999999999999E-5</v>
      </c>
      <c r="J120" s="37" t="s">
        <v>45</v>
      </c>
      <c r="K120" s="52">
        <v>5.5</v>
      </c>
      <c r="L120" s="40">
        <f t="shared" si="19"/>
        <v>1080.75</v>
      </c>
      <c r="M120" s="40">
        <f>IF(OR(TbTradesBinance[[#This Row],[Tipo]]="BUY",TbTradesBinance[[#This Row],[Tipo]]="RECEIVE",TbTradesBinance[[#This Row],[Tipo]]="DROP"),L120*H120,-L120*H120)</f>
        <v>56.7069525</v>
      </c>
      <c r="N12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Row],[Tipo]]="DROP"),N119+TbTradesBinance[[#This Row],[Qtt]],N119-TbTradesBinance[[#This Row],[Qtt]]),IF(TbTradesBinance[[#This Row],[Tipo]]="BUY",N119-TbTradesBinance[[#This Row],[Qtt]]*TbTradesBinance[[#This Row],[Preço]],N119+TbTradesBinance[[#This Row],[Qtt]]*TbTradesBinance[[#This Row],[Preço]])),N119)-IF(TbTradesBinance[[#This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Row],[Tipo]]="DROP"),N119+TbTradesBinance[[#This Row],[Qtt]],N119-TbTradesBinance[[#This Row],[Qtt]]),IF(TbTradesBinance[[#This Row],[Tipo]]="BUY",N119-TbTradesBinance[[#This Row],[Qtt]]*TbTradesBinance[[#This Row],[Preço]],N119+TbTradesBinance[[#This Row],[Qtt]]*TbTradesBinance[[#This Row],[Preço]])),N119)-IF(TbTradesBinance[[#This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Row],[Tipo]]="DROP"),N119+TbTradesBinance[[#This Row],[Qtt]],N119-TbTradesBinance[[#This Row],[Qtt]]),IF(TbTradesBinance[[#This Row],[Tipo]]="BUY",N119-TbTradesBinance[[#This Row],[Qtt]]*TbTradesBinance[[#This Row],[Preço]],N119+TbTradesBinance[[#This Row],[Qtt]]*TbTradesBinance[[#This Row],[Preço]])),N119)-IF(TbTradesBinance[[#This Row],[Moeda da Taxa]]=MID(N$1,9,5),TbTradesBinance[[#This Row],[Taxa]],0),8)))</f>
        <v>119746.42890708</v>
      </c>
      <c r="O120" s="145" cm="1">
        <f t="array" ref="O120">IF(TbTradesBinance[[#This Row],[Tipo]]="EMPTY",0,O119+IF(TbTradesBinance[[#This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Row],[Par]]))),$1:$1,0)),-(N119-N120)/N119*O119),0),0)+IF(TbTradesBinance[[#This Row],[Tipo]]="SELL",IF(ISNUMBER(FIND(MID(O$1,10,5),TbTradesBinance[[#This Row],[Par]])),IF(FIND(MID(O$1,10,5),TbTradesBinance[[#This Row],[Par]])=1, -(N119-N120)/N119*O119,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Row],[Par]])),(-(N119-N120)/N119*O119)+IF(TbTradesBinance[[#This Row],[Resultado]]&gt;0,0,TbTradesBinance[[#This Row],[Taxa]]),0),0))</f>
        <v>119735.19975279106</v>
      </c>
      <c r="P120" s="145">
        <f t="shared" si="20"/>
        <v>0.99990622556019892</v>
      </c>
      <c r="Q12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Row],[Tipo]]="DROP"),Q119+TbTradesBinance[[#This Row],[Qtt]],Q119-TbTradesBinance[[#This Row],[Qtt]]),IF(TbTradesBinance[[#This Row],[Tipo]]="BUY",Q119-TbTradesBinance[[#This Row],[Qtt]]*TbTradesBinance[[#This Row],[Preço]],Q119+TbTradesBinance[[#This Row],[Qtt]]*TbTradesBinance[[#This Row],[Preço]])),Q119)-IF(TbTradesBinance[[#This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Row],[Tipo]]="DROP"),Q119+TbTradesBinance[[#This Row],[Qtt]],Q119-TbTradesBinance[[#This Row],[Qtt]]),IF(TbTradesBinance[[#This Row],[Tipo]]="BUY",Q119-TbTradesBinance[[#This Row],[Qtt]]*TbTradesBinance[[#This Row],[Preço]],Q119+TbTradesBinance[[#This Row],[Qtt]]*TbTradesBinance[[#This Row],[Preço]])),Q119)-IF(TbTradesBinance[[#This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Row],[Tipo]]="DROP"),Q119+TbTradesBinance[[#This Row],[Qtt]],Q119-TbTradesBinance[[#This Row],[Qtt]]),IF(TbTradesBinance[[#This Row],[Tipo]]="BUY",Q119-TbTradesBinance[[#This Row],[Qtt]]*TbTradesBinance[[#This Row],[Preço]],Q119+TbTradesBinance[[#This Row],[Qtt]]*TbTradesBinance[[#This Row],[Preço]])),Q119)-IF(TbTradesBinance[[#This Row],[Moeda da Taxa]]=MID(Q$1,9,5),TbTradesBinance[[#This Row],[Taxa]],0),8)))</f>
        <v>4.0295000000000001E-4</v>
      </c>
      <c r="R120" s="145" cm="1">
        <f t="array" ref="R120">IF(TbTradesBinance[[#This Row],[Tipo]]="EMPTY",0,R119+IF(TbTradesBinance[[#This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Row],[Par]]))),$1:$1,0)),-(Q119-Q120)/Q119*R119),0),0)+IF(TbTradesBinance[[#This Row],[Tipo]]="SELL",IF(ISNUMBER(FIND(MID(R$1,10,5),TbTradesBinance[[#This Row],[Par]])),IF(FIND(MID(R$1,10,5),TbTradesBinance[[#This Row],[Par]])=1, -(Q119-Q120)/Q119*R119,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Row],[Par]])),(-(Q119-Q120)/Q119*R119)+IF(TbTradesBinance[[#This Row],[Resultado]]&gt;0,0,TbTradesBinance[[#This Row],[Taxa]]),0),0))</f>
        <v>2.3480439649006257E-3</v>
      </c>
      <c r="S120" s="145">
        <f t="shared" si="21"/>
        <v>5.8271347931520676</v>
      </c>
      <c r="T12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Row],[Tipo]]="DROP"),T119+TbTradesBinance[[#This Row],[Qtt]],T119-TbTradesBinance[[#This Row],[Qtt]]),IF(TbTradesBinance[[#This Row],[Tipo]]="BUY",T119-TbTradesBinance[[#This Row],[Qtt]]*TbTradesBinance[[#This Row],[Preço]],T119+TbTradesBinance[[#This Row],[Qtt]]*TbTradesBinance[[#This Row],[Preço]])),T119)-IF(TbTradesBinance[[#This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Row],[Tipo]]="DROP"),T119+TbTradesBinance[[#This Row],[Qtt]],T119-TbTradesBinance[[#This Row],[Qtt]]),IF(TbTradesBinance[[#This Row],[Tipo]]="BUY",T119-TbTradesBinance[[#This Row],[Qtt]]*TbTradesBinance[[#This Row],[Preço]],T119+TbTradesBinance[[#This Row],[Qtt]]*TbTradesBinance[[#This Row],[Preço]])),T119)-IF(TbTradesBinance[[#This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Row],[Tipo]]="DROP"),T119+TbTradesBinance[[#This Row],[Qtt]],T119-TbTradesBinance[[#This Row],[Qtt]]),IF(TbTradesBinance[[#This Row],[Tipo]]="BUY",T119-TbTradesBinance[[#This Row],[Qtt]]*TbTradesBinance[[#This Row],[Preço]],T119+TbTradesBinance[[#This Row],[Qtt]]*TbTradesBinance[[#This Row],[Preço]])),T119)-IF(TbTradesBinance[[#This Row],[Moeda da Taxa]]=MID(T$1,9,5),TbTradesBinance[[#This Row],[Taxa]],0),8)))</f>
        <v>199735.32000169999</v>
      </c>
      <c r="U120" s="145" cm="1">
        <f t="array" ref="U120">IF(TbTradesBinance[[#This Row],[Tipo]]="EMPTY",0,U119+IF(TbTradesBinance[[#This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Row],[Par]]))),$1:$1,0)),-(T119-T120)/T119*U119),0),0)+IF(TbTradesBinance[[#This Row],[Tipo]]="SELL",IF(ISNUMBER(FIND(MID(U$1,10,5),TbTradesBinance[[#This Row],[Par]])),IF(FIND(MID(U$1,10,5),TbTradesBinance[[#This Row],[Par]])=1, -(T119-T120)/T119*U119,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Row],[Par]])),(-(T119-T120)/T119*U119)+IF(TbTradesBinance[[#This Row],[Resultado]]&gt;0,0,TbTradesBinance[[#This Row],[Taxa]]),0),0))</f>
        <v>1328239.8809817513</v>
      </c>
      <c r="V120" s="145">
        <f t="shared" si="22"/>
        <v>6.6500000148719129</v>
      </c>
      <c r="W12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Row],[Tipo]]="DROP"),W119+TbTradesBinance[[#This Row],[Qtt]],W119-TbTradesBinance[[#This Row],[Qtt]]),IF(TbTradesBinance[[#This Row],[Tipo]]="BUY",W119-TbTradesBinance[[#This Row],[Qtt]]*TbTradesBinance[[#This Row],[Preço]],W119+TbTradesBinance[[#This Row],[Qtt]]*TbTradesBinance[[#This Row],[Preço]])),W119)-IF(TbTradesBinance[[#This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Row],[Tipo]]="DROP"),W119+TbTradesBinance[[#This Row],[Qtt]],W119-TbTradesBinance[[#This Row],[Qtt]]),IF(TbTradesBinance[[#This Row],[Tipo]]="BUY",W119-TbTradesBinance[[#This Row],[Qtt]]*TbTradesBinance[[#This Row],[Preço]],W119+TbTradesBinance[[#This Row],[Qtt]]*TbTradesBinance[[#This Row],[Preço]])),W119)-IF(TbTradesBinance[[#This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Row],[Tipo]]="DROP"),W119+TbTradesBinance[[#This Row],[Qtt]],W119-TbTradesBinance[[#This Row],[Qtt]]),IF(TbTradesBinance[[#This Row],[Tipo]]="BUY",W119-TbTradesBinance[[#This Row],[Qtt]]*TbTradesBinance[[#This Row],[Preço]],W119+TbTradesBinance[[#This Row],[Qtt]]*TbTradesBinance[[#This Row],[Preço]])),W119)-IF(TbTradesBinance[[#This Row],[Moeda da Taxa]]=MID(W$1,9,5),TbTradesBinance[[#This Row],[Taxa]],0),8)))</f>
        <v>2.5393600000000001E-3</v>
      </c>
      <c r="X120" s="145" cm="1">
        <f t="array" ref="X120">IF(TbTradesBinance[[#This Row],[Tipo]]="EMPTY",0,X119+IF(TbTradesBinance[[#This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Row],[Par]]))),$1:$1,0)),-(W119-W120)/W119*X119),0),0)+IF(TbTradesBinance[[#This Row],[Tipo]]="SELL",IF(ISNUMBER(FIND(MID(X$1,10,5),TbTradesBinance[[#This Row],[Par]])),IF(FIND(MID(X$1,10,5),TbTradesBinance[[#This Row],[Par]])=1, -(W119-W120)/W119*X119,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Row],[Par]])),(-(W119-W120)/W119*X119)+IF(TbTradesBinance[[#This Row],[Resultado]]&gt;0,0,TbTradesBinance[[#This Row],[Taxa]]),0),0))</f>
        <v>847.47496668103008</v>
      </c>
      <c r="Y120" s="145">
        <f t="shared" si="23"/>
        <v>333735.65255853051</v>
      </c>
      <c r="Z12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Row],[Tipo]]="DROP"),Z119+TbTradesBinance[[#This Row],[Qtt]],Z119-TbTradesBinance[[#This Row],[Qtt]]),IF(TbTradesBinance[[#This Row],[Tipo]]="BUY",Z119-TbTradesBinance[[#This Row],[Qtt]]*TbTradesBinance[[#This Row],[Preço]],Z119+TbTradesBinance[[#This Row],[Qtt]]*TbTradesBinance[[#This Row],[Preço]])),Z119)-IF(TbTradesBinance[[#This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Row],[Tipo]]="DROP"),Z119+TbTradesBinance[[#This Row],[Qtt]],Z119-TbTradesBinance[[#This Row],[Qtt]]),IF(TbTradesBinance[[#This Row],[Tipo]]="BUY",Z119-TbTradesBinance[[#This Row],[Qtt]]*TbTradesBinance[[#This Row],[Preço]],Z119+TbTradesBinance[[#This Row],[Qtt]]*TbTradesBinance[[#This Row],[Preço]])),Z119)-IF(TbTradesBinance[[#This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Row],[Tipo]]="DROP"),Z119+TbTradesBinance[[#This Row],[Qtt]],Z119-TbTradesBinance[[#This Row],[Qtt]]),IF(TbTradesBinance[[#This Row],[Tipo]]="BUY",Z119-TbTradesBinance[[#This Row],[Qtt]]*TbTradesBinance[[#This Row],[Preço]],Z119+TbTradesBinance[[#This Row],[Qtt]]*TbTradesBinance[[#This Row],[Preço]])),Z119)-IF(TbTradesBinance[[#This Row],[Moeda da Taxa]]=MID(Z$1,9,5),TbTradesBinance[[#This Row],[Taxa]],0),8)))</f>
        <v>1.031935E-2</v>
      </c>
      <c r="AA120" s="145" cm="1">
        <f t="array" ref="AA120">IF(TbTradesBinance[[#This Row],[Tipo]]="EMPTY",0,AA119+IF(TbTradesBinance[[#This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Row],[Par]]))),$1:$1,0)),-(Z119-Z120)/Z119*AA119),0),0)+IF(TbTradesBinance[[#This Row],[Tipo]]="SELL",IF(ISNUMBER(FIND(MID(AA$1,10,5),TbTradesBinance[[#This Row],[Par]])),IF(FIND(MID(AA$1,10,5),TbTradesBinance[[#This Row],[Par]])=1, -(Z119-Z120)/Z119*AA119,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Row],[Par]])),(-(Z119-Z120)/Z119*AA119)+IF(TbTradesBinance[[#This Row],[Resultado]]&gt;0,0,TbTradesBinance[[#This Row],[Taxa]]),0),0))</f>
        <v>107.3592846539391</v>
      </c>
      <c r="AB120" s="145">
        <f t="shared" si="24"/>
        <v>10403.686729681531</v>
      </c>
      <c r="AC12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Row],[Tipo]]="DROP"),AC119+TbTradesBinance[[#This Row],[Qtt]],AC119-TbTradesBinance[[#This Row],[Qtt]]),IF(TbTradesBinance[[#This Row],[Tipo]]="BUY",AC119-TbTradesBinance[[#This Row],[Qtt]]*TbTradesBinance[[#This Row],[Preço]],AC119+TbTradesBinance[[#This Row],[Qtt]]*TbTradesBinance[[#This Row],[Preço]])),AC119)-IF(TbTradesBinance[[#This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Row],[Tipo]]="DROP"),AC119+TbTradesBinance[[#This Row],[Qtt]],AC119-TbTradesBinance[[#This Row],[Qtt]]),IF(TbTradesBinance[[#This Row],[Tipo]]="BUY",AC119-TbTradesBinance[[#This Row],[Qtt]]*TbTradesBinance[[#This Row],[Preço]],AC119+TbTradesBinance[[#This Row],[Qtt]]*TbTradesBinance[[#This Row],[Preço]])),AC119)-IF(TbTradesBinance[[#This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Row],[Tipo]]="DROP"),AC119+TbTradesBinance[[#This Row],[Qtt]],AC119-TbTradesBinance[[#This Row],[Qtt]]),IF(TbTradesBinance[[#This Row],[Tipo]]="BUY",AC119-TbTradesBinance[[#This Row],[Qtt]]*TbTradesBinance[[#This Row],[Preço]],AC119+TbTradesBinance[[#This Row],[Qtt]]*TbTradesBinance[[#This Row],[Preço]])),AC119)-IF(TbTradesBinance[[#This Row],[Moeda da Taxa]]=MID(AC$1,9,5),TbTradesBinance[[#This Row],[Taxa]],0),8)))</f>
        <v>9.6999E-4</v>
      </c>
      <c r="AD120" s="145" cm="1">
        <f t="array" ref="AD120">IF(TbTradesBinance[[#This Row],[Tipo]]="EMPTY",0,AD119+IF(TbTradesBinance[[#This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Row],[Par]]))),$1:$1,0)),-(AC119-AC120)/AC119*AD119),0),0)+IF(TbTradesBinance[[#This Row],[Tipo]]="SELL",IF(ISNUMBER(FIND(MID(AD$1,10,5),TbTradesBinance[[#This Row],[Par]])),IF(FIND(MID(AD$1,10,5),TbTradesBinance[[#This Row],[Par]])=1, -(AC119-AC120)/AC119*AD119,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Row],[Par]])),(-(AC119-AC120)/AC119*AD119)+IF(TbTradesBinance[[#This Row],[Resultado]]&gt;0,0,TbTradesBinance[[#This Row],[Taxa]]),0),0))</f>
        <v>1.9483868939812083</v>
      </c>
      <c r="AE120" s="145">
        <f t="shared" si="25"/>
        <v>2008.6669903619711</v>
      </c>
      <c r="AF12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Row],[Tipo]]="DROP"),AF119+TbTradesBinance[[#This Row],[Qtt]],AF119-TbTradesBinance[[#This Row],[Qtt]]),IF(TbTradesBinance[[#This Row],[Tipo]]="BUY",AF119-TbTradesBinance[[#This Row],[Qtt]]*TbTradesBinance[[#This Row],[Preço]],AF119+TbTradesBinance[[#This Row],[Qtt]]*TbTradesBinance[[#This Row],[Preço]])),AF119)-IF(TbTradesBinance[[#This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Row],[Tipo]]="DROP"),AF119+TbTradesBinance[[#This Row],[Qtt]],AF119-TbTradesBinance[[#This Row],[Qtt]]),IF(TbTradesBinance[[#This Row],[Tipo]]="BUY",AF119-TbTradesBinance[[#This Row],[Qtt]]*TbTradesBinance[[#This Row],[Preço]],AF119+TbTradesBinance[[#This Row],[Qtt]]*TbTradesBinance[[#This Row],[Preço]])),AF119)-IF(TbTradesBinance[[#This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Row],[Tipo]]="DROP"),AF119+TbTradesBinance[[#This Row],[Qtt]],AF119-TbTradesBinance[[#This Row],[Qtt]]),IF(TbTradesBinance[[#This Row],[Tipo]]="BUY",AF119-TbTradesBinance[[#This Row],[Qtt]]*TbTradesBinance[[#This Row],[Preço]],AF119+TbTradesBinance[[#This Row],[Qtt]]*TbTradesBinance[[#This Row],[Preço]])),AF119)-IF(TbTradesBinance[[#This Row],[Moeda da Taxa]]=MID(AF$1,9,5),TbTradesBinance[[#This Row],[Taxa]],0),8)))</f>
        <v>0.08</v>
      </c>
      <c r="AG120" s="145" cm="1">
        <f t="array" ref="AG120">IF(TbTradesBinance[[#This Row],[Tipo]]="EMPTY",0,AG119+IF(TbTradesBinance[[#This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Row],[Par]]))),$1:$1,0)),-(AF119-AF120)/AF119*AG119),0),0)+IF(TbTradesBinance[[#This Row],[Tipo]]="SELL",IF(ISNUMBER(FIND(MID(AG$1,10,5),TbTradesBinance[[#This Row],[Par]])),IF(FIND(MID(AG$1,10,5),TbTradesBinance[[#This Row],[Par]])=1, -(AF119-AF120)/AF119*AG119,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Row],[Par]])),(-(AF119-AF120)/AF119*AG119)+IF(TbTradesBinance[[#This Row],[Resultado]]&gt;0,0,TbTradesBinance[[#This Row],[Taxa]]),0),0))</f>
        <v>0.49666397429723474</v>
      </c>
      <c r="AH120" s="145">
        <f t="shared" si="26"/>
        <v>6.2082996787154343</v>
      </c>
      <c r="AI12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Row],[Tipo]]="DROP"),AI119+TbTradesBinance[[#This Row],[Qtt]],AI119-TbTradesBinance[[#This Row],[Qtt]]),IF(TbTradesBinance[[#This Row],[Tipo]]="BUY",AI119-TbTradesBinance[[#This Row],[Qtt]]*TbTradesBinance[[#This Row],[Preço]],AI119+TbTradesBinance[[#This Row],[Qtt]]*TbTradesBinance[[#This Row],[Preço]])),AI119)-IF(TbTradesBinance[[#This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Row],[Tipo]]="DROP"),AI119+TbTradesBinance[[#This Row],[Qtt]],AI119-TbTradesBinance[[#This Row],[Qtt]]),IF(TbTradesBinance[[#This Row],[Tipo]]="BUY",AI119-TbTradesBinance[[#This Row],[Qtt]]*TbTradesBinance[[#This Row],[Preço]],AI119+TbTradesBinance[[#This Row],[Qtt]]*TbTradesBinance[[#This Row],[Preço]])),AI119)-IF(TbTradesBinance[[#This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Row],[Tipo]]="DROP"),AI119+TbTradesBinance[[#This Row],[Qtt]],AI119-TbTradesBinance[[#This Row],[Qtt]]),IF(TbTradesBinance[[#This Row],[Tipo]]="BUY",AI119-TbTradesBinance[[#This Row],[Qtt]]*TbTradesBinance[[#This Row],[Preço]],AI119+TbTradesBinance[[#This Row],[Qtt]]*TbTradesBinance[[#This Row],[Preço]])),AI119)-IF(TbTradesBinance[[#This Row],[Moeda da Taxa]]=MID(AI$1,9,5),TbTradesBinance[[#This Row],[Taxa]],0),8)))</f>
        <v>0</v>
      </c>
      <c r="AJ120" s="145" cm="1">
        <f t="array" ref="AJ120">IF(TbTradesBinance[[#This Row],[Tipo]]="EMPTY",0,AJ119+IF(TbTradesBinance[[#This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Row],[Par]]))),$1:$1,0)),-(AI119-AI120)/AI119*AJ119),0),0)+IF(TbTradesBinance[[#This Row],[Tipo]]="SELL",IF(ISNUMBER(FIND(MID(AJ$1,10,5),TbTradesBinance[[#This Row],[Par]])),IF(FIND(MID(AJ$1,10,5),TbTradesBinance[[#This Row],[Par]])=1, -(AI119-AI120)/AI119*AJ119,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Row],[Par]])),(-(AI119-AI120)/AI119*AJ119)+IF(TbTradesBinance[[#This Row],[Resultado]]&gt;0,0,TbTradesBinance[[#This Row],[Taxa]]),0),0))</f>
        <v>0</v>
      </c>
      <c r="AK120" s="145">
        <f t="shared" si="27"/>
        <v>0</v>
      </c>
      <c r="AL12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Row],[Tipo]]="DROP"),AL119+TbTradesBinance[[#This Row],[Qtt]],AL119-TbTradesBinance[[#This Row],[Qtt]]),IF(TbTradesBinance[[#This Row],[Tipo]]="BUY",AL119-TbTradesBinance[[#This Row],[Qtt]]*TbTradesBinance[[#This Row],[Preço]],AL119+TbTradesBinance[[#This Row],[Qtt]]*TbTradesBinance[[#This Row],[Preço]])),AL119)-IF(TbTradesBinance[[#This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Row],[Tipo]]="DROP"),AL119+TbTradesBinance[[#This Row],[Qtt]],AL119-TbTradesBinance[[#This Row],[Qtt]]),IF(TbTradesBinance[[#This Row],[Tipo]]="BUY",AL119-TbTradesBinance[[#This Row],[Qtt]]*TbTradesBinance[[#This Row],[Preço]],AL119+TbTradesBinance[[#This Row],[Qtt]]*TbTradesBinance[[#This Row],[Preço]])),AL119)-IF(TbTradesBinance[[#This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Row],[Tipo]]="DROP"),AL119+TbTradesBinance[[#This Row],[Qtt]],AL119-TbTradesBinance[[#This Row],[Qtt]]),IF(TbTradesBinance[[#This Row],[Tipo]]="BUY",AL119-TbTradesBinance[[#This Row],[Qtt]]*TbTradesBinance[[#This Row],[Preço]],AL119+TbTradesBinance[[#This Row],[Qtt]]*TbTradesBinance[[#This Row],[Preço]])),AL119)-IF(TbTradesBinance[[#This Row],[Moeda da Taxa]]=MID(AL$1,9,5),TbTradesBinance[[#This Row],[Taxa]],0),8)))</f>
        <v>8.2400000000000008E-3</v>
      </c>
      <c r="AM120" s="145" cm="1">
        <f t="array" ref="AM120">IF(TbTradesBinance[[#This Row],[Tipo]]="EMPTY",0,AM119+IF(TbTradesBinance[[#This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Row],[Par]]))),$1:$1,0)),-(AL119-AL120)/AL119*AM119),0),0)+IF(TbTradesBinance[[#This Row],[Tipo]]="SELL",IF(ISNUMBER(FIND(MID(AM$1,10,5),TbTradesBinance[[#This Row],[Par]])),IF(FIND(MID(AM$1,10,5),TbTradesBinance[[#This Row],[Par]])=1, -(AL119-AL120)/AL119*AM119,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Row],[Par]])),(-(AL119-AL120)/AL119*AM119)+IF(TbTradesBinance[[#This Row],[Resultado]]&gt;0,0,TbTradesBinance[[#This Row],[Taxa]]),0),0))</f>
        <v>0.67751089887772764</v>
      </c>
      <c r="AN120" s="145">
        <f t="shared" si="28"/>
        <v>82.222196465743636</v>
      </c>
      <c r="AO12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Row],[Tipo]]="DROP"),AO119+TbTradesBinance[[#This Row],[Qtt]],AO119-TbTradesBinance[[#This Row],[Qtt]]),IF(TbTradesBinance[[#This Row],[Tipo]]="BUY",AO119-TbTradesBinance[[#This Row],[Qtt]]*TbTradesBinance[[#This Row],[Preço]],AO119+TbTradesBinance[[#This Row],[Qtt]]*TbTradesBinance[[#This Row],[Preço]])),AO119)-IF(TbTradesBinance[[#This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Row],[Tipo]]="DROP"),AO119+TbTradesBinance[[#This Row],[Qtt]],AO119-TbTradesBinance[[#This Row],[Qtt]]),IF(TbTradesBinance[[#This Row],[Tipo]]="BUY",AO119-TbTradesBinance[[#This Row],[Qtt]]*TbTradesBinance[[#This Row],[Preço]],AO119+TbTradesBinance[[#This Row],[Qtt]]*TbTradesBinance[[#This Row],[Preço]])),AO119)-IF(TbTradesBinance[[#This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Row],[Tipo]]="DROP"),AO119+TbTradesBinance[[#This Row],[Qtt]],AO119-TbTradesBinance[[#This Row],[Qtt]]),IF(TbTradesBinance[[#This Row],[Tipo]]="BUY",AO119-TbTradesBinance[[#This Row],[Qtt]]*TbTradesBinance[[#This Row],[Preço]],AO119+TbTradesBinance[[#This Row],[Qtt]]*TbTradesBinance[[#This Row],[Preço]])),AO119)-IF(TbTradesBinance[[#This Row],[Moeda da Taxa]]=MID(AO$1,9,5),TbTradesBinance[[#This Row],[Taxa]],0),8)))</f>
        <v>7.4513399999999994E-2</v>
      </c>
      <c r="AP120" s="145" cm="1">
        <f t="array" ref="AP120">IF(TbTradesBinance[[#This Row],[Tipo]]="EMPTY",0,AP119+IF(TbTradesBinance[[#This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Row],[Par]]))),$1:$1,0)),-(AO119-AO120)/AO119*AP119),0),0)+IF(TbTradesBinance[[#This Row],[Tipo]]="SELL",IF(ISNUMBER(FIND(MID(AP$1,10,5),TbTradesBinance[[#This Row],[Par]])),IF(FIND(MID(AP$1,10,5),TbTradesBinance[[#This Row],[Par]])=1, -(AO119-AO120)/AO119*AP119,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Row],[Par]])),(-(AO119-AO120)/AO119*AP119)+IF(TbTradesBinance[[#This Row],[Resultado]]&gt;0,0,TbTradesBinance[[#This Row],[Taxa]]),0),0))</f>
        <v>113.87766627073657</v>
      </c>
      <c r="AQ120" s="145">
        <f t="shared" si="29"/>
        <v>1528.284392749983</v>
      </c>
      <c r="AR12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Row],[Tipo]]="DROP"),AR119+TbTradesBinance[[#This Row],[Qtt]],AR119-TbTradesBinance[[#This Row],[Qtt]]),IF(TbTradesBinance[[#This Row],[Tipo]]="BUY",AR119-TbTradesBinance[[#This Row],[Qtt]]*TbTradesBinance[[#This Row],[Preço]],AR119+TbTradesBinance[[#This Row],[Qtt]]*TbTradesBinance[[#This Row],[Preço]])),AR119)-IF(TbTradesBinance[[#This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Row],[Tipo]]="DROP"),AR119+TbTradesBinance[[#This Row],[Qtt]],AR119-TbTradesBinance[[#This Row],[Qtt]]),IF(TbTradesBinance[[#This Row],[Tipo]]="BUY",AR119-TbTradesBinance[[#This Row],[Qtt]]*TbTradesBinance[[#This Row],[Preço]],AR119+TbTradesBinance[[#This Row],[Qtt]]*TbTradesBinance[[#This Row],[Preço]])),AR119)-IF(TbTradesBinance[[#This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Row],[Tipo]]="DROP"),AR119+TbTradesBinance[[#This Row],[Qtt]],AR119-TbTradesBinance[[#This Row],[Qtt]]),IF(TbTradesBinance[[#This Row],[Tipo]]="BUY",AR119-TbTradesBinance[[#This Row],[Qtt]]*TbTradesBinance[[#This Row],[Preço]],AR119+TbTradesBinance[[#This Row],[Qtt]]*TbTradesBinance[[#This Row],[Preço]])),AR119)-IF(TbTradesBinance[[#This Row],[Moeda da Taxa]]=MID(AR$1,9,5),TbTradesBinance[[#This Row],[Taxa]],0),8)))</f>
        <v>61.251199999999997</v>
      </c>
      <c r="AS120" s="145" cm="1">
        <f t="array" ref="AS120">IF(TbTradesBinance[[#This Row],[Tipo]]="EMPTY",0,AS119+IF(TbTradesBinance[[#This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Row],[Par]]))),$1:$1,0)),-(AR119-AR120)/AR119*AS119),0),0)+IF(TbTradesBinance[[#This Row],[Tipo]]="SELL",IF(ISNUMBER(FIND(MID(AS$1,10,5),TbTradesBinance[[#This Row],[Par]])),IF(FIND(MID(AS$1,10,5),TbTradesBinance[[#This Row],[Par]])=1, -(AR119-AR120)/AR119*AS119,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Row],[Par]])),(-(AR119-AR120)/AR119*AS119)+IF(TbTradesBinance[[#This Row],[Resultado]]&gt;0,0,TbTradesBinance[[#This Row],[Taxa]]),0),0))</f>
        <v>230.84001376053044</v>
      </c>
      <c r="AT120" s="145">
        <f t="shared" si="30"/>
        <v>3.7687427146003745</v>
      </c>
      <c r="AU12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Row],[Tipo]]="DROP"),AU119+TbTradesBinance[[#This Row],[Qtt]],AU119-TbTradesBinance[[#This Row],[Qtt]]),IF(TbTradesBinance[[#This Row],[Tipo]]="BUY",AU119-TbTradesBinance[[#This Row],[Qtt]]*TbTradesBinance[[#This Row],[Preço]],AU119+TbTradesBinance[[#This Row],[Qtt]]*TbTradesBinance[[#This Row],[Preço]])),AU119)-IF(TbTradesBinance[[#This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Row],[Tipo]]="DROP"),AU119+TbTradesBinance[[#This Row],[Qtt]],AU119-TbTradesBinance[[#This Row],[Qtt]]),IF(TbTradesBinance[[#This Row],[Tipo]]="BUY",AU119-TbTradesBinance[[#This Row],[Qtt]]*TbTradesBinance[[#This Row],[Preço]],AU119+TbTradesBinance[[#This Row],[Qtt]]*TbTradesBinance[[#This Row],[Preço]])),AU119)-IF(TbTradesBinance[[#This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Row],[Tipo]]="DROP"),AU119+TbTradesBinance[[#This Row],[Qtt]],AU119-TbTradesBinance[[#This Row],[Qtt]]),IF(TbTradesBinance[[#This Row],[Tipo]]="BUY",AU119-TbTradesBinance[[#This Row],[Qtt]]*TbTradesBinance[[#This Row],[Preço]],AU119+TbTradesBinance[[#This Row],[Qtt]]*TbTradesBinance[[#This Row],[Preço]])),AU119)-IF(TbTradesBinance[[#This Row],[Moeda da Taxa]]=MID(AU$1,9,5),TbTradesBinance[[#This Row],[Taxa]],0),8)))</f>
        <v>0</v>
      </c>
      <c r="AV120" s="145" cm="1">
        <f t="array" ref="AV120">IF(TbTradesBinance[[#This Row],[Tipo]]="EMPTY",0,AV119+IF(TbTradesBinance[[#This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Row],[Par]]))),$1:$1,0)),-(AU119-AU120)/AU119*AV119),0),0)+IF(TbTradesBinance[[#This Row],[Tipo]]="SELL",IF(ISNUMBER(FIND(MID(AV$1,10,5),TbTradesBinance[[#This Row],[Par]])),IF(FIND(MID(AV$1,10,5),TbTradesBinance[[#This Row],[Par]])=1, -(AU119-AU120)/AU119*AV119,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Row],[Par]])),(-(AU119-AU120)/AU119*AV119)+IF(TbTradesBinance[[#This Row],[Resultado]]&gt;0,0,TbTradesBinance[[#This Row],[Taxa]]),0),0))</f>
        <v>0</v>
      </c>
      <c r="AW120" s="145">
        <f t="shared" si="31"/>
        <v>0</v>
      </c>
      <c r="AX12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Row],[Tipo]]="DROP"),AX119+TbTradesBinance[[#This Row],[Qtt]],AX119-TbTradesBinance[[#This Row],[Qtt]]),IF(TbTradesBinance[[#This Row],[Tipo]]="BUY",AX119-TbTradesBinance[[#This Row],[Qtt]]*TbTradesBinance[[#This Row],[Preço]],AX119+TbTradesBinance[[#This Row],[Qtt]]*TbTradesBinance[[#This Row],[Preço]])),AX119)-IF(TbTradesBinance[[#This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Row],[Tipo]]="DROP"),AX119+TbTradesBinance[[#This Row],[Qtt]],AX119-TbTradesBinance[[#This Row],[Qtt]]),IF(TbTradesBinance[[#This Row],[Tipo]]="BUY",AX119-TbTradesBinance[[#This Row],[Qtt]]*TbTradesBinance[[#This Row],[Preço]],AX119+TbTradesBinance[[#This Row],[Qtt]]*TbTradesBinance[[#This Row],[Preço]])),AX119)-IF(TbTradesBinance[[#This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Row],[Tipo]]="DROP"),AX119+TbTradesBinance[[#This Row],[Qtt]],AX119-TbTradesBinance[[#This Row],[Qtt]]),IF(TbTradesBinance[[#This Row],[Tipo]]="BUY",AX119-TbTradesBinance[[#This Row],[Qtt]]*TbTradesBinance[[#This Row],[Preço]],AX119+TbTradesBinance[[#This Row],[Qtt]]*TbTradesBinance[[#This Row],[Preço]])),AX119)-IF(TbTradesBinance[[#This Row],[Moeda da Taxa]]=MID(AX$1,9,5),TbTradesBinance[[#This Row],[Taxa]],0),8)))</f>
        <v>0.85636999999999996</v>
      </c>
      <c r="AY120" s="145" cm="1">
        <f t="array" ref="AY120">IF(TbTradesBinance[[#This Row],[Tipo]]="EMPTY",0,AY119+IF(TbTradesBinance[[#This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Row],[Par]]))),$1:$1,0)),-(AX119-AX120)/AX119*AY119),0),0)+IF(TbTradesBinance[[#This Row],[Tipo]]="SELL",IF(ISNUMBER(FIND(MID(AY$1,10,5),TbTradesBinance[[#This Row],[Par]])),IF(FIND(MID(AY$1,10,5),TbTradesBinance[[#This Row],[Par]])=1, -(AX119-AX120)/AX119*AY119,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Row],[Par]])),(-(AX119-AX120)/AX119*AY119)+IF(TbTradesBinance[[#This Row],[Resultado]]&gt;0,0,TbTradesBinance[[#This Row],[Taxa]]),0),0))</f>
        <v>131.82971181780295</v>
      </c>
      <c r="AZ120" s="145">
        <f t="shared" si="32"/>
        <v>153.94013314081874</v>
      </c>
      <c r="BA12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Row],[Tipo]]="DROP"),BA119+TbTradesBinance[[#This Row],[Qtt]],BA119-TbTradesBinance[[#This Row],[Qtt]]),IF(TbTradesBinance[[#This Row],[Tipo]]="BUY",BA119-TbTradesBinance[[#This Row],[Qtt]]*TbTradesBinance[[#This Row],[Preço]],BA119+TbTradesBinance[[#This Row],[Qtt]]*TbTradesBinance[[#This Row],[Preço]])),BA119)-IF(TbTradesBinance[[#This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Row],[Tipo]]="DROP"),BA119+TbTradesBinance[[#This Row],[Qtt]],BA119-TbTradesBinance[[#This Row],[Qtt]]),IF(TbTradesBinance[[#This Row],[Tipo]]="BUY",BA119-TbTradesBinance[[#This Row],[Qtt]]*TbTradesBinance[[#This Row],[Preço]],BA119+TbTradesBinance[[#This Row],[Qtt]]*TbTradesBinance[[#This Row],[Preço]])),BA119)-IF(TbTradesBinance[[#This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Row],[Tipo]]="DROP"),BA119+TbTradesBinance[[#This Row],[Qtt]],BA119-TbTradesBinance[[#This Row],[Qtt]]),IF(TbTradesBinance[[#This Row],[Tipo]]="BUY",BA119-TbTradesBinance[[#This Row],[Qtt]]*TbTradesBinance[[#This Row],[Preço]],BA119+TbTradesBinance[[#This Row],[Qtt]]*TbTradesBinance[[#This Row],[Preço]])),BA119)-IF(TbTradesBinance[[#This Row],[Moeda da Taxa]]=MID(BA$1,9,5),TbTradesBinance[[#This Row],[Taxa]],0),8)))</f>
        <v>0.10571</v>
      </c>
      <c r="BB120" s="145" cm="1">
        <f t="array" ref="BB120">IF(TbTradesBinance[[#This Row],[Tipo]]="EMPTY",0,BB119+IF(TbTradesBinance[[#This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Row],[Par]]))),$1:$1,0)),-(BA119-BA120)/BA119*BB119),0),0)+IF(TbTradesBinance[[#This Row],[Tipo]]="SELL",IF(ISNUMBER(FIND(MID(BB$1,10,5),TbTradesBinance[[#This Row],[Par]])),IF(FIND(MID(BB$1,10,5),TbTradesBinance[[#This Row],[Par]])=1, -(BA119-BA120)/BA119*BB119,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Row],[Par]])),(-(BA119-BA120)/BA119*BB119)+IF(TbTradesBinance[[#This Row],[Resultado]]&gt;0,0,TbTradesBinance[[#This Row],[Taxa]]),0),0))</f>
        <v>120.8257969142021</v>
      </c>
      <c r="BC120" s="145">
        <f t="shared" si="33"/>
        <v>1142.9930651234708</v>
      </c>
      <c r="BD12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Row],[Tipo]]="DROP"),BD119+TbTradesBinance[[#This Row],[Qtt]],BD119-TbTradesBinance[[#This Row],[Qtt]]),IF(TbTradesBinance[[#This Row],[Tipo]]="BUY",BD119-TbTradesBinance[[#This Row],[Qtt]]*TbTradesBinance[[#This Row],[Preço]],BD119+TbTradesBinance[[#This Row],[Qtt]]*TbTradesBinance[[#This Row],[Preço]])),BD119)-IF(TbTradesBinance[[#This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Row],[Tipo]]="DROP"),BD119+TbTradesBinance[[#This Row],[Qtt]],BD119-TbTradesBinance[[#This Row],[Qtt]]),IF(TbTradesBinance[[#This Row],[Tipo]]="BUY",BD119-TbTradesBinance[[#This Row],[Qtt]]*TbTradesBinance[[#This Row],[Preço]],BD119+TbTradesBinance[[#This Row],[Qtt]]*TbTradesBinance[[#This Row],[Preço]])),BD119)-IF(TbTradesBinance[[#This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Row],[Tipo]]="DROP"),BD119+TbTradesBinance[[#This Row],[Qtt]],BD119-TbTradesBinance[[#This Row],[Qtt]]),IF(TbTradesBinance[[#This Row],[Tipo]]="BUY",BD119-TbTradesBinance[[#This Row],[Qtt]]*TbTradesBinance[[#This Row],[Preço]],BD119+TbTradesBinance[[#This Row],[Qtt]]*TbTradesBinance[[#This Row],[Preço]])),BD119)-IF(TbTradesBinance[[#This Row],[Moeda da Taxa]]=MID(BD$1,9,5),TbTradesBinance[[#This Row],[Taxa]],0),8)))</f>
        <v>9.0599900000000004E-3</v>
      </c>
      <c r="BE120" s="145" cm="1">
        <f t="array" ref="BE120">IF(TbTradesBinance[[#This Row],[Tipo]]="EMPTY",0,BE119+IF(TbTradesBinance[[#This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Row],[Par]]))),$1:$1,0)),-(BD119-BD120)/BD119*BE119),0),0)+IF(TbTradesBinance[[#This Row],[Tipo]]="SELL",IF(ISNUMBER(FIND(MID(BE$1,10,5),TbTradesBinance[[#This Row],[Par]])),IF(FIND(MID(BE$1,10,5),TbTradesBinance[[#This Row],[Par]])=1, -(BD119-BD120)/BD119*BE119,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Row],[Par]])),(-(BD119-BD120)/BD119*BE119)+IF(TbTradesBinance[[#This Row],[Resultado]]&gt;0,0,TbTradesBinance[[#This Row],[Taxa]]),0),0))</f>
        <v>1.6846969284922721</v>
      </c>
      <c r="BF120" s="145">
        <f t="shared" si="34"/>
        <v>185.94909359638058</v>
      </c>
      <c r="BG12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Row],[Tipo]]="DROP"),BG119+TbTradesBinance[[#This Row],[Qtt]],BG119-TbTradesBinance[[#This Row],[Qtt]]),IF(TbTradesBinance[[#This Row],[Tipo]]="BUY",BG119-TbTradesBinance[[#This Row],[Qtt]]*TbTradesBinance[[#This Row],[Preço]],BG119+TbTradesBinance[[#This Row],[Qtt]]*TbTradesBinance[[#This Row],[Preço]])),BG119)-IF(TbTradesBinance[[#This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Row],[Tipo]]="DROP"),BG119+TbTradesBinance[[#This Row],[Qtt]],BG119-TbTradesBinance[[#This Row],[Qtt]]),IF(TbTradesBinance[[#This Row],[Tipo]]="BUY",BG119-TbTradesBinance[[#This Row],[Qtt]]*TbTradesBinance[[#This Row],[Preço]],BG119+TbTradesBinance[[#This Row],[Qtt]]*TbTradesBinance[[#This Row],[Preço]])),BG119)-IF(TbTradesBinance[[#This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Row],[Tipo]]="DROP"),BG119+TbTradesBinance[[#This Row],[Qtt]],BG119-TbTradesBinance[[#This Row],[Qtt]]),IF(TbTradesBinance[[#This Row],[Tipo]]="BUY",BG119-TbTradesBinance[[#This Row],[Qtt]]*TbTradesBinance[[#This Row],[Preço]],BG119+TbTradesBinance[[#This Row],[Qtt]]*TbTradesBinance[[#This Row],[Preço]])),BG119)-IF(TbTradesBinance[[#This Row],[Moeda da Taxa]]=MID(BG$1,9,5),TbTradesBinance[[#This Row],[Taxa]],0),8)))</f>
        <v>0</v>
      </c>
      <c r="BH120" s="145" cm="1">
        <f t="array" ref="BH120">IF(TbTradesBinance[[#This Row],[Tipo]]="EMPTY",0,BH119+IF(TbTradesBinance[[#This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Row],[Par]]))),$1:$1,0)),-(BG119-BG120)/BG119*BH119),0),0)+IF(TbTradesBinance[[#This Row],[Tipo]]="SELL",IF(ISNUMBER(FIND(MID(BH$1,10,5),TbTradesBinance[[#This Row],[Par]])),IF(FIND(MID(BH$1,10,5),TbTradesBinance[[#This Row],[Par]])=1, -(BG119-BG120)/BG119*BH119,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Row],[Par]])),(-(BG119-BG120)/BG119*BH119)+IF(TbTradesBinance[[#This Row],[Resultado]]&gt;0,0,TbTradesBinance[[#This Row],[Taxa]]),0),0))</f>
        <v>0</v>
      </c>
      <c r="BI120" s="145">
        <f t="shared" si="35"/>
        <v>0</v>
      </c>
      <c r="BJ12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Row],[Tipo]]="DROP"),BJ119+TbTradesBinance[[#This Row],[Qtt]],BJ119-TbTradesBinance[[#This Row],[Qtt]]),IF(TbTradesBinance[[#This Row],[Tipo]]="BUY",BJ119-TbTradesBinance[[#This Row],[Qtt]]*TbTradesBinance[[#This Row],[Preço]],BJ119+TbTradesBinance[[#This Row],[Qtt]]*TbTradesBinance[[#This Row],[Preço]])),BJ119)-IF(TbTradesBinance[[#This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Row],[Tipo]]="DROP"),BJ119+TbTradesBinance[[#This Row],[Qtt]],BJ119-TbTradesBinance[[#This Row],[Qtt]]),IF(TbTradesBinance[[#This Row],[Tipo]]="BUY",BJ119-TbTradesBinance[[#This Row],[Qtt]]*TbTradesBinance[[#This Row],[Preço]],BJ119+TbTradesBinance[[#This Row],[Qtt]]*TbTradesBinance[[#This Row],[Preço]])),BJ119)-IF(TbTradesBinance[[#This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Row],[Tipo]]="DROP"),BJ119+TbTradesBinance[[#This Row],[Qtt]],BJ119-TbTradesBinance[[#This Row],[Qtt]]),IF(TbTradesBinance[[#This Row],[Tipo]]="BUY",BJ119-TbTradesBinance[[#This Row],[Qtt]]*TbTradesBinance[[#This Row],[Preço]],BJ119+TbTradesBinance[[#This Row],[Qtt]]*TbTradesBinance[[#This Row],[Preço]])),BJ119)-IF(TbTradesBinance[[#This Row],[Moeda da Taxa]]=MID(BJ$1,9,5),TbTradesBinance[[#This Row],[Taxa]],0),8)))</f>
        <v>0</v>
      </c>
      <c r="BK120" s="145" cm="1">
        <f t="array" ref="BK120">IF(TbTradesBinance[[#This Row],[Tipo]]="EMPTY",0,BK119+IF(TbTradesBinance[[#This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Row],[Par]]))),$1:$1,0)),-(BJ119-BJ120)/BJ119*BK119),0),0)+IF(TbTradesBinance[[#This Row],[Tipo]]="SELL",IF(ISNUMBER(FIND(MID(BK$1,10,5),TbTradesBinance[[#This Row],[Par]])),IF(FIND(MID(BK$1,10,5),TbTradesBinance[[#This Row],[Par]])=1, -(BJ119-BJ120)/BJ119*BK119,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Row],[Par]])),(-(BJ119-BJ120)/BJ119*BK119)+IF(TbTradesBinance[[#This Row],[Resultado]]&gt;0,0,TbTradesBinance[[#This Row],[Taxa]]),0),0))</f>
        <v>0</v>
      </c>
      <c r="BL120" s="145">
        <f t="shared" si="36"/>
        <v>0</v>
      </c>
      <c r="BM12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Row],[Tipo]]="DROP"),BM119+TbTradesBinance[[#This Row],[Qtt]],BM119-TbTradesBinance[[#This Row],[Qtt]]),IF(TbTradesBinance[[#This Row],[Tipo]]="BUY",BM119-TbTradesBinance[[#This Row],[Qtt]]*TbTradesBinance[[#This Row],[Preço]],BM119+TbTradesBinance[[#This Row],[Qtt]]*TbTradesBinance[[#This Row],[Preço]])),BM119)-IF(TbTradesBinance[[#This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Row],[Tipo]]="DROP"),BM119+TbTradesBinance[[#This Row],[Qtt]],BM119-TbTradesBinance[[#This Row],[Qtt]]),IF(TbTradesBinance[[#This Row],[Tipo]]="BUY",BM119-TbTradesBinance[[#This Row],[Qtt]]*TbTradesBinance[[#This Row],[Preço]],BM119+TbTradesBinance[[#This Row],[Qtt]]*TbTradesBinance[[#This Row],[Preço]])),BM119)-IF(TbTradesBinance[[#This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Row],[Tipo]]="DROP"),BM119+TbTradesBinance[[#This Row],[Qtt]],BM119-TbTradesBinance[[#This Row],[Qtt]]),IF(TbTradesBinance[[#This Row],[Tipo]]="BUY",BM119-TbTradesBinance[[#This Row],[Qtt]]*TbTradesBinance[[#This Row],[Preço]],BM119+TbTradesBinance[[#This Row],[Qtt]]*TbTradesBinance[[#This Row],[Preço]])),BM119)-IF(TbTradesBinance[[#This Row],[Moeda da Taxa]]=MID(BM$1,9,5),TbTradesBinance[[#This Row],[Taxa]],0),8)))</f>
        <v>0</v>
      </c>
      <c r="BN120" s="145" cm="1">
        <f t="array" ref="BN120">IF(TbTradesBinance[[#This Row],[Tipo]]="EMPTY",0,BN119+IF(TbTradesBinance[[#This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Row],[Par]]))),$1:$1,0)),-(BM119-BM120)/BM119*BN119),0),0)+IF(TbTradesBinance[[#This Row],[Tipo]]="SELL",IF(ISNUMBER(FIND(MID(BN$1,10,5),TbTradesBinance[[#This Row],[Par]])),IF(FIND(MID(BN$1,10,5),TbTradesBinance[[#This Row],[Par]])=1, -(BM119-BM120)/BM119*BN119,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Row],[Par]])),(-(BM119-BM120)/BM119*BN119)+IF(TbTradesBinance[[#This Row],[Resultado]]&gt;0,0,TbTradesBinance[[#This Row],[Taxa]]),0),0))</f>
        <v>0</v>
      </c>
      <c r="BO120" s="145">
        <f t="shared" si="37"/>
        <v>0</v>
      </c>
    </row>
    <row r="121" spans="2:67" x14ac:dyDescent="0.3">
      <c r="B121" s="51"/>
      <c r="C121" s="40">
        <f>TRUNC(IF(AND(TbTradesBinance[[#This Row],[Tipo]]="SEND",TbTradesBinance[[#This Row],[Par]]="BRL"),TbTradesBinance[[#This Row],[Qtt]]*(1-P119)-IF(TbTradesBinance[[#This Row],[Moeda da Taxa]]="BRL",TbTradesBinance[[#This Row],[Taxa]],0),0)+IF(AND(TbTradesBinance[[#This Row],[Tipo]]="BURN",TbTradesBinance[[#This Row],[Par]]="BRL"),-TbTradesBinance[[#This Row],[Qtt]]*P119,0),2)</f>
        <v>0</v>
      </c>
      <c r="D121" s="53">
        <v>44276.702928240738</v>
      </c>
      <c r="E121" s="37" t="s">
        <v>147</v>
      </c>
      <c r="F121" s="47" t="s">
        <v>140</v>
      </c>
      <c r="G121" s="38">
        <v>10056.41</v>
      </c>
      <c r="H121" s="38">
        <v>0.01</v>
      </c>
      <c r="I121" s="38">
        <v>0</v>
      </c>
      <c r="J121" s="37" t="s">
        <v>45</v>
      </c>
      <c r="K121" s="52">
        <v>1</v>
      </c>
      <c r="L121" s="40">
        <f t="shared" si="19"/>
        <v>10056.41</v>
      </c>
      <c r="M121" s="40">
        <f>IF(OR(TbTradesBinance[[#This Row],[Tipo]]="BUY",TbTradesBinance[[#This Row],[Tipo]]="RECEIVE",TbTradesBinance[[#This Row],[Tipo]]="DROP"),L121*H121,-L121*H121)</f>
        <v>-100.5641</v>
      </c>
      <c r="N12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Row],[Tipo]]="DROP"),N120+TbTradesBinance[[#This Row],[Qtt]],N120-TbTradesBinance[[#This Row],[Qtt]]),IF(TbTradesBinance[[#This Row],[Tipo]]="BUY",N120-TbTradesBinance[[#This Row],[Qtt]]*TbTradesBinance[[#This Row],[Preço]],N120+TbTradesBinance[[#This Row],[Qtt]]*TbTradesBinance[[#This Row],[Preço]])),N120)-IF(TbTradesBinance[[#This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Row],[Tipo]]="DROP"),N120+TbTradesBinance[[#This Row],[Qtt]],N120-TbTradesBinance[[#This Row],[Qtt]]),IF(TbTradesBinance[[#This Row],[Tipo]]="BUY",N120-TbTradesBinance[[#This Row],[Qtt]]*TbTradesBinance[[#This Row],[Preço]],N120+TbTradesBinance[[#This Row],[Qtt]]*TbTradesBinance[[#This Row],[Preço]])),N120)-IF(TbTradesBinance[[#This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Row],[Tipo]]="DROP"),N120+TbTradesBinance[[#This Row],[Qtt]],N120-TbTradesBinance[[#This Row],[Qtt]]),IF(TbTradesBinance[[#This Row],[Tipo]]="BUY",N120-TbTradesBinance[[#This Row],[Qtt]]*TbTradesBinance[[#This Row],[Preço]],N120+TbTradesBinance[[#This Row],[Qtt]]*TbTradesBinance[[#This Row],[Preço]])),N120)-IF(TbTradesBinance[[#This Row],[Moeda da Taxa]]=MID(N$1,9,5),TbTradesBinance[[#This Row],[Taxa]],0),8)))</f>
        <v>119846.99300708</v>
      </c>
      <c r="O121" s="145" cm="1">
        <f t="array" ref="O121">IF(TbTradesBinance[[#This Row],[Tipo]]="EMPTY",0,O120+IF(TbTradesBinance[[#This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Row],[Par]]))),$1:$1,0)),-(N120-N121)/N120*O120),0),0)+IF(TbTradesBinance[[#This Row],[Tipo]]="SELL",IF(ISNUMBER(FIND(MID(O$1,10,5),TbTradesBinance[[#This Row],[Par]])),IF(FIND(MID(O$1,10,5),TbTradesBinance[[#This Row],[Par]])=1, -(N120-N121)/N120*O120,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Row],[Par]])),(-(N120-N121)/N120*O120)+IF(TbTradesBinance[[#This Row],[Resultado]]&gt;0,0,TbTradesBinance[[#This Row],[Taxa]]),0),0))</f>
        <v>119839.23672412474</v>
      </c>
      <c r="P121" s="145">
        <f t="shared" si="20"/>
        <v>0.99993528178921598</v>
      </c>
      <c r="Q12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Row],[Tipo]]="DROP"),Q120+TbTradesBinance[[#This Row],[Qtt]],Q120-TbTradesBinance[[#This Row],[Qtt]]),IF(TbTradesBinance[[#This Row],[Tipo]]="BUY",Q120-TbTradesBinance[[#This Row],[Qtt]]*TbTradesBinance[[#This Row],[Preço]],Q120+TbTradesBinance[[#This Row],[Qtt]]*TbTradesBinance[[#This Row],[Preço]])),Q120)-IF(TbTradesBinance[[#This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Row],[Tipo]]="DROP"),Q120+TbTradesBinance[[#This Row],[Qtt]],Q120-TbTradesBinance[[#This Row],[Qtt]]),IF(TbTradesBinance[[#This Row],[Tipo]]="BUY",Q120-TbTradesBinance[[#This Row],[Qtt]]*TbTradesBinance[[#This Row],[Preço]],Q120+TbTradesBinance[[#This Row],[Qtt]]*TbTradesBinance[[#This Row],[Preço]])),Q120)-IF(TbTradesBinance[[#This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Row],[Tipo]]="DROP"),Q120+TbTradesBinance[[#This Row],[Qtt]],Q120-TbTradesBinance[[#This Row],[Qtt]]),IF(TbTradesBinance[[#This Row],[Tipo]]="BUY",Q120-TbTradesBinance[[#This Row],[Qtt]]*TbTradesBinance[[#This Row],[Preço]],Q120+TbTradesBinance[[#This Row],[Qtt]]*TbTradesBinance[[#This Row],[Preço]])),Q120)-IF(TbTradesBinance[[#This Row],[Moeda da Taxa]]=MID(Q$1,9,5),TbTradesBinance[[#This Row],[Taxa]],0),8)))</f>
        <v>4.0295000000000001E-4</v>
      </c>
      <c r="R121" s="145" cm="1">
        <f t="array" ref="R121">IF(TbTradesBinance[[#This Row],[Tipo]]="EMPTY",0,R120+IF(TbTradesBinance[[#This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Row],[Par]]))),$1:$1,0)),-(Q120-Q121)/Q120*R120),0),0)+IF(TbTradesBinance[[#This Row],[Tipo]]="SELL",IF(ISNUMBER(FIND(MID(R$1,10,5),TbTradesBinance[[#This Row],[Par]])),IF(FIND(MID(R$1,10,5),TbTradesBinance[[#This Row],[Par]])=1, -(Q120-Q121)/Q120*R120,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Row],[Par]])),(-(Q120-Q121)/Q120*R120)+IF(TbTradesBinance[[#This Row],[Resultado]]&gt;0,0,TbTradesBinance[[#This Row],[Taxa]]),0),0))</f>
        <v>2.3480439649006257E-3</v>
      </c>
      <c r="S121" s="145">
        <f t="shared" si="21"/>
        <v>5.8271347931520676</v>
      </c>
      <c r="T12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Row],[Tipo]]="DROP"),T120+TbTradesBinance[[#This Row],[Qtt]],T120-TbTradesBinance[[#This Row],[Qtt]]),IF(TbTradesBinance[[#This Row],[Tipo]]="BUY",T120-TbTradesBinance[[#This Row],[Qtt]]*TbTradesBinance[[#This Row],[Preço]],T120+TbTradesBinance[[#This Row],[Qtt]]*TbTradesBinance[[#This Row],[Preço]])),T120)-IF(TbTradesBinance[[#This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Row],[Tipo]]="DROP"),T120+TbTradesBinance[[#This Row],[Qtt]],T120-TbTradesBinance[[#This Row],[Qtt]]),IF(TbTradesBinance[[#This Row],[Tipo]]="BUY",T120-TbTradesBinance[[#This Row],[Qtt]]*TbTradesBinance[[#This Row],[Preço]],T120+TbTradesBinance[[#This Row],[Qtt]]*TbTradesBinance[[#This Row],[Preço]])),T120)-IF(TbTradesBinance[[#This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Row],[Tipo]]="DROP"),T120+TbTradesBinance[[#This Row],[Qtt]],T120-TbTradesBinance[[#This Row],[Qtt]]),IF(TbTradesBinance[[#This Row],[Tipo]]="BUY",T120-TbTradesBinance[[#This Row],[Qtt]]*TbTradesBinance[[#This Row],[Preço]],T120+TbTradesBinance[[#This Row],[Qtt]]*TbTradesBinance[[#This Row],[Preço]])),T120)-IF(TbTradesBinance[[#This Row],[Moeda da Taxa]]=MID(T$1,9,5),TbTradesBinance[[#This Row],[Taxa]],0),8)))</f>
        <v>199735.32000169999</v>
      </c>
      <c r="U121" s="145" cm="1">
        <f t="array" ref="U121">IF(TbTradesBinance[[#This Row],[Tipo]]="EMPTY",0,U120+IF(TbTradesBinance[[#This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Row],[Par]]))),$1:$1,0)),-(T120-T121)/T120*U120),0),0)+IF(TbTradesBinance[[#This Row],[Tipo]]="SELL",IF(ISNUMBER(FIND(MID(U$1,10,5),TbTradesBinance[[#This Row],[Par]])),IF(FIND(MID(U$1,10,5),TbTradesBinance[[#This Row],[Par]])=1, -(T120-T121)/T120*U120,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Row],[Par]])),(-(T120-T121)/T120*U120)+IF(TbTradesBinance[[#This Row],[Resultado]]&gt;0,0,TbTradesBinance[[#This Row],[Taxa]]),0),0))</f>
        <v>1328239.8809817513</v>
      </c>
      <c r="V121" s="145">
        <f t="shared" si="22"/>
        <v>6.6500000148719129</v>
      </c>
      <c r="W12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Row],[Tipo]]="DROP"),W120+TbTradesBinance[[#This Row],[Qtt]],W120-TbTradesBinance[[#This Row],[Qtt]]),IF(TbTradesBinance[[#This Row],[Tipo]]="BUY",W120-TbTradesBinance[[#This Row],[Qtt]]*TbTradesBinance[[#This Row],[Preço]],W120+TbTradesBinance[[#This Row],[Qtt]]*TbTradesBinance[[#This Row],[Preço]])),W120)-IF(TbTradesBinance[[#This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Row],[Tipo]]="DROP"),W120+TbTradesBinance[[#This Row],[Qtt]],W120-TbTradesBinance[[#This Row],[Qtt]]),IF(TbTradesBinance[[#This Row],[Tipo]]="BUY",W120-TbTradesBinance[[#This Row],[Qtt]]*TbTradesBinance[[#This Row],[Preço]],W120+TbTradesBinance[[#This Row],[Qtt]]*TbTradesBinance[[#This Row],[Preço]])),W120)-IF(TbTradesBinance[[#This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Row],[Tipo]]="DROP"),W120+TbTradesBinance[[#This Row],[Qtt]],W120-TbTradesBinance[[#This Row],[Qtt]]),IF(TbTradesBinance[[#This Row],[Tipo]]="BUY",W120-TbTradesBinance[[#This Row],[Qtt]]*TbTradesBinance[[#This Row],[Preço]],W120+TbTradesBinance[[#This Row],[Qtt]]*TbTradesBinance[[#This Row],[Preço]])),W120)-IF(TbTradesBinance[[#This Row],[Moeda da Taxa]]=MID(W$1,9,5),TbTradesBinance[[#This Row],[Taxa]],0),8)))</f>
        <v>2.5393600000000001E-3</v>
      </c>
      <c r="X121" s="145" cm="1">
        <f t="array" ref="X121">IF(TbTradesBinance[[#This Row],[Tipo]]="EMPTY",0,X120+IF(TbTradesBinance[[#This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Row],[Par]]))),$1:$1,0)),-(W120-W121)/W120*X120),0),0)+IF(TbTradesBinance[[#This Row],[Tipo]]="SELL",IF(ISNUMBER(FIND(MID(X$1,10,5),TbTradesBinance[[#This Row],[Par]])),IF(FIND(MID(X$1,10,5),TbTradesBinance[[#This Row],[Par]])=1, -(W120-W121)/W120*X120,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Row],[Par]])),(-(W120-W121)/W120*X120)+IF(TbTradesBinance[[#This Row],[Resultado]]&gt;0,0,TbTradesBinance[[#This Row],[Taxa]]),0),0))</f>
        <v>847.47496668103008</v>
      </c>
      <c r="Y121" s="145">
        <f t="shared" si="23"/>
        <v>333735.65255853051</v>
      </c>
      <c r="Z12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Row],[Tipo]]="DROP"),Z120+TbTradesBinance[[#This Row],[Qtt]],Z120-TbTradesBinance[[#This Row],[Qtt]]),IF(TbTradesBinance[[#This Row],[Tipo]]="BUY",Z120-TbTradesBinance[[#This Row],[Qtt]]*TbTradesBinance[[#This Row],[Preço]],Z120+TbTradesBinance[[#This Row],[Qtt]]*TbTradesBinance[[#This Row],[Preço]])),Z120)-IF(TbTradesBinance[[#This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Row],[Tipo]]="DROP"),Z120+TbTradesBinance[[#This Row],[Qtt]],Z120-TbTradesBinance[[#This Row],[Qtt]]),IF(TbTradesBinance[[#This Row],[Tipo]]="BUY",Z120-TbTradesBinance[[#This Row],[Qtt]]*TbTradesBinance[[#This Row],[Preço]],Z120+TbTradesBinance[[#This Row],[Qtt]]*TbTradesBinance[[#This Row],[Preço]])),Z120)-IF(TbTradesBinance[[#This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Row],[Tipo]]="DROP"),Z120+TbTradesBinance[[#This Row],[Qtt]],Z120-TbTradesBinance[[#This Row],[Qtt]]),IF(TbTradesBinance[[#This Row],[Tipo]]="BUY",Z120-TbTradesBinance[[#This Row],[Qtt]]*TbTradesBinance[[#This Row],[Preço]],Z120+TbTradesBinance[[#This Row],[Qtt]]*TbTradesBinance[[#This Row],[Preço]])),Z120)-IF(TbTradesBinance[[#This Row],[Moeda da Taxa]]=MID(Z$1,9,5),TbTradesBinance[[#This Row],[Taxa]],0),8)))</f>
        <v>3.1933999999999999E-4</v>
      </c>
      <c r="AA121" s="145" cm="1">
        <f t="array" ref="AA121">IF(TbTradesBinance[[#This Row],[Tipo]]="EMPTY",0,AA120+IF(TbTradesBinance[[#This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Row],[Par]]))),$1:$1,0)),-(Z120-Z121)/Z120*AA120),0),0)+IF(TbTradesBinance[[#This Row],[Tipo]]="SELL",IF(ISNUMBER(FIND(MID(AA$1,10,5),TbTradesBinance[[#This Row],[Par]])),IF(FIND(MID(AA$1,10,5),TbTradesBinance[[#This Row],[Par]])=1, -(Z120-Z121)/Z120*AA120,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Row],[Par]])),(-(Z120-Z121)/Z120*AA120)+IF(TbTradesBinance[[#This Row],[Resultado]]&gt;0,0,TbTradesBinance[[#This Row],[Taxa]]),0),0))</f>
        <v>3.3223133202564981</v>
      </c>
      <c r="AB121" s="145">
        <f t="shared" si="24"/>
        <v>10403.686729681525</v>
      </c>
      <c r="AC12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Row],[Tipo]]="DROP"),AC120+TbTradesBinance[[#This Row],[Qtt]],AC120-TbTradesBinance[[#This Row],[Qtt]]),IF(TbTradesBinance[[#This Row],[Tipo]]="BUY",AC120-TbTradesBinance[[#This Row],[Qtt]]*TbTradesBinance[[#This Row],[Preço]],AC120+TbTradesBinance[[#This Row],[Qtt]]*TbTradesBinance[[#This Row],[Preço]])),AC120)-IF(TbTradesBinance[[#This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Row],[Tipo]]="DROP"),AC120+TbTradesBinance[[#This Row],[Qtt]],AC120-TbTradesBinance[[#This Row],[Qtt]]),IF(TbTradesBinance[[#This Row],[Tipo]]="BUY",AC120-TbTradesBinance[[#This Row],[Qtt]]*TbTradesBinance[[#This Row],[Preço]],AC120+TbTradesBinance[[#This Row],[Qtt]]*TbTradesBinance[[#This Row],[Preço]])),AC120)-IF(TbTradesBinance[[#This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Row],[Tipo]]="DROP"),AC120+TbTradesBinance[[#This Row],[Qtt]],AC120-TbTradesBinance[[#This Row],[Qtt]]),IF(TbTradesBinance[[#This Row],[Tipo]]="BUY",AC120-TbTradesBinance[[#This Row],[Qtt]]*TbTradesBinance[[#This Row],[Preço]],AC120+TbTradesBinance[[#This Row],[Qtt]]*TbTradesBinance[[#This Row],[Preço]])),AC120)-IF(TbTradesBinance[[#This Row],[Moeda da Taxa]]=MID(AC$1,9,5),TbTradesBinance[[#This Row],[Taxa]],0),8)))</f>
        <v>9.6999E-4</v>
      </c>
      <c r="AD121" s="145" cm="1">
        <f t="array" ref="AD121">IF(TbTradesBinance[[#This Row],[Tipo]]="EMPTY",0,AD120+IF(TbTradesBinance[[#This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Row],[Par]]))),$1:$1,0)),-(AC120-AC121)/AC120*AD120),0),0)+IF(TbTradesBinance[[#This Row],[Tipo]]="SELL",IF(ISNUMBER(FIND(MID(AD$1,10,5),TbTradesBinance[[#This Row],[Par]])),IF(FIND(MID(AD$1,10,5),TbTradesBinance[[#This Row],[Par]])=1, -(AC120-AC121)/AC120*AD120,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Row],[Par]])),(-(AC120-AC121)/AC120*AD120)+IF(TbTradesBinance[[#This Row],[Resultado]]&gt;0,0,TbTradesBinance[[#This Row],[Taxa]]),0),0))</f>
        <v>1.9483868939812083</v>
      </c>
      <c r="AE121" s="145">
        <f t="shared" si="25"/>
        <v>2008.6669903619711</v>
      </c>
      <c r="AF12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Row],[Tipo]]="DROP"),AF120+TbTradesBinance[[#This Row],[Qtt]],AF120-TbTradesBinance[[#This Row],[Qtt]]),IF(TbTradesBinance[[#This Row],[Tipo]]="BUY",AF120-TbTradesBinance[[#This Row],[Qtt]]*TbTradesBinance[[#This Row],[Preço]],AF120+TbTradesBinance[[#This Row],[Qtt]]*TbTradesBinance[[#This Row],[Preço]])),AF120)-IF(TbTradesBinance[[#This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Row],[Tipo]]="DROP"),AF120+TbTradesBinance[[#This Row],[Qtt]],AF120-TbTradesBinance[[#This Row],[Qtt]]),IF(TbTradesBinance[[#This Row],[Tipo]]="BUY",AF120-TbTradesBinance[[#This Row],[Qtt]]*TbTradesBinance[[#This Row],[Preço]],AF120+TbTradesBinance[[#This Row],[Qtt]]*TbTradesBinance[[#This Row],[Preço]])),AF120)-IF(TbTradesBinance[[#This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Row],[Tipo]]="DROP"),AF120+TbTradesBinance[[#This Row],[Qtt]],AF120-TbTradesBinance[[#This Row],[Qtt]]),IF(TbTradesBinance[[#This Row],[Tipo]]="BUY",AF120-TbTradesBinance[[#This Row],[Qtt]]*TbTradesBinance[[#This Row],[Preço]],AF120+TbTradesBinance[[#This Row],[Qtt]]*TbTradesBinance[[#This Row],[Preço]])),AF120)-IF(TbTradesBinance[[#This Row],[Moeda da Taxa]]=MID(AF$1,9,5),TbTradesBinance[[#This Row],[Taxa]],0),8)))</f>
        <v>0.08</v>
      </c>
      <c r="AG121" s="145" cm="1">
        <f t="array" ref="AG121">IF(TbTradesBinance[[#This Row],[Tipo]]="EMPTY",0,AG120+IF(TbTradesBinance[[#This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Row],[Par]]))),$1:$1,0)),-(AF120-AF121)/AF120*AG120),0),0)+IF(TbTradesBinance[[#This Row],[Tipo]]="SELL",IF(ISNUMBER(FIND(MID(AG$1,10,5),TbTradesBinance[[#This Row],[Par]])),IF(FIND(MID(AG$1,10,5),TbTradesBinance[[#This Row],[Par]])=1, -(AF120-AF121)/AF120*AG120,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Row],[Par]])),(-(AF120-AF121)/AF120*AG120)+IF(TbTradesBinance[[#This Row],[Resultado]]&gt;0,0,TbTradesBinance[[#This Row],[Taxa]]),0),0))</f>
        <v>0.49666397429723474</v>
      </c>
      <c r="AH121" s="145">
        <f t="shared" si="26"/>
        <v>6.2082996787154343</v>
      </c>
      <c r="AI12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Row],[Tipo]]="DROP"),AI120+TbTradesBinance[[#This Row],[Qtt]],AI120-TbTradesBinance[[#This Row],[Qtt]]),IF(TbTradesBinance[[#This Row],[Tipo]]="BUY",AI120-TbTradesBinance[[#This Row],[Qtt]]*TbTradesBinance[[#This Row],[Preço]],AI120+TbTradesBinance[[#This Row],[Qtt]]*TbTradesBinance[[#This Row],[Preço]])),AI120)-IF(TbTradesBinance[[#This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Row],[Tipo]]="DROP"),AI120+TbTradesBinance[[#This Row],[Qtt]],AI120-TbTradesBinance[[#This Row],[Qtt]]),IF(TbTradesBinance[[#This Row],[Tipo]]="BUY",AI120-TbTradesBinance[[#This Row],[Qtt]]*TbTradesBinance[[#This Row],[Preço]],AI120+TbTradesBinance[[#This Row],[Qtt]]*TbTradesBinance[[#This Row],[Preço]])),AI120)-IF(TbTradesBinance[[#This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Row],[Tipo]]="DROP"),AI120+TbTradesBinance[[#This Row],[Qtt]],AI120-TbTradesBinance[[#This Row],[Qtt]]),IF(TbTradesBinance[[#This Row],[Tipo]]="BUY",AI120-TbTradesBinance[[#This Row],[Qtt]]*TbTradesBinance[[#This Row],[Preço]],AI120+TbTradesBinance[[#This Row],[Qtt]]*TbTradesBinance[[#This Row],[Preço]])),AI120)-IF(TbTradesBinance[[#This Row],[Moeda da Taxa]]=MID(AI$1,9,5),TbTradesBinance[[#This Row],[Taxa]],0),8)))</f>
        <v>0</v>
      </c>
      <c r="AJ121" s="145" cm="1">
        <f t="array" ref="AJ121">IF(TbTradesBinance[[#This Row],[Tipo]]="EMPTY",0,AJ120+IF(TbTradesBinance[[#This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Row],[Par]]))),$1:$1,0)),-(AI120-AI121)/AI120*AJ120),0),0)+IF(TbTradesBinance[[#This Row],[Tipo]]="SELL",IF(ISNUMBER(FIND(MID(AJ$1,10,5),TbTradesBinance[[#This Row],[Par]])),IF(FIND(MID(AJ$1,10,5),TbTradesBinance[[#This Row],[Par]])=1, -(AI120-AI121)/AI120*AJ120,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Row],[Par]])),(-(AI120-AI121)/AI120*AJ120)+IF(TbTradesBinance[[#This Row],[Resultado]]&gt;0,0,TbTradesBinance[[#This Row],[Taxa]]),0),0))</f>
        <v>0</v>
      </c>
      <c r="AK121" s="145">
        <f t="shared" si="27"/>
        <v>0</v>
      </c>
      <c r="AL12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Row],[Tipo]]="DROP"),AL120+TbTradesBinance[[#This Row],[Qtt]],AL120-TbTradesBinance[[#This Row],[Qtt]]),IF(TbTradesBinance[[#This Row],[Tipo]]="BUY",AL120-TbTradesBinance[[#This Row],[Qtt]]*TbTradesBinance[[#This Row],[Preço]],AL120+TbTradesBinance[[#This Row],[Qtt]]*TbTradesBinance[[#This Row],[Preço]])),AL120)-IF(TbTradesBinance[[#This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Row],[Tipo]]="DROP"),AL120+TbTradesBinance[[#This Row],[Qtt]],AL120-TbTradesBinance[[#This Row],[Qtt]]),IF(TbTradesBinance[[#This Row],[Tipo]]="BUY",AL120-TbTradesBinance[[#This Row],[Qtt]]*TbTradesBinance[[#This Row],[Preço]],AL120+TbTradesBinance[[#This Row],[Qtt]]*TbTradesBinance[[#This Row],[Preço]])),AL120)-IF(TbTradesBinance[[#This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Row],[Tipo]]="DROP"),AL120+TbTradesBinance[[#This Row],[Qtt]],AL120-TbTradesBinance[[#This Row],[Qtt]]),IF(TbTradesBinance[[#This Row],[Tipo]]="BUY",AL120-TbTradesBinance[[#This Row],[Qtt]]*TbTradesBinance[[#This Row],[Preço]],AL120+TbTradesBinance[[#This Row],[Qtt]]*TbTradesBinance[[#This Row],[Preço]])),AL120)-IF(TbTradesBinance[[#This Row],[Moeda da Taxa]]=MID(AL$1,9,5),TbTradesBinance[[#This Row],[Taxa]],0),8)))</f>
        <v>8.2400000000000008E-3</v>
      </c>
      <c r="AM121" s="145" cm="1">
        <f t="array" ref="AM121">IF(TbTradesBinance[[#This Row],[Tipo]]="EMPTY",0,AM120+IF(TbTradesBinance[[#This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Row],[Par]]))),$1:$1,0)),-(AL120-AL121)/AL120*AM120),0),0)+IF(TbTradesBinance[[#This Row],[Tipo]]="SELL",IF(ISNUMBER(FIND(MID(AM$1,10,5),TbTradesBinance[[#This Row],[Par]])),IF(FIND(MID(AM$1,10,5),TbTradesBinance[[#This Row],[Par]])=1, -(AL120-AL121)/AL120*AM120,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Row],[Par]])),(-(AL120-AL121)/AL120*AM120)+IF(TbTradesBinance[[#This Row],[Resultado]]&gt;0,0,TbTradesBinance[[#This Row],[Taxa]]),0),0))</f>
        <v>0.67751089887772764</v>
      </c>
      <c r="AN121" s="145">
        <f t="shared" si="28"/>
        <v>82.222196465743636</v>
      </c>
      <c r="AO12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Row],[Tipo]]="DROP"),AO120+TbTradesBinance[[#This Row],[Qtt]],AO120-TbTradesBinance[[#This Row],[Qtt]]),IF(TbTradesBinance[[#This Row],[Tipo]]="BUY",AO120-TbTradesBinance[[#This Row],[Qtt]]*TbTradesBinance[[#This Row],[Preço]],AO120+TbTradesBinance[[#This Row],[Qtt]]*TbTradesBinance[[#This Row],[Preço]])),AO120)-IF(TbTradesBinance[[#This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Row],[Tipo]]="DROP"),AO120+TbTradesBinance[[#This Row],[Qtt]],AO120-TbTradesBinance[[#This Row],[Qtt]]),IF(TbTradesBinance[[#This Row],[Tipo]]="BUY",AO120-TbTradesBinance[[#This Row],[Qtt]]*TbTradesBinance[[#This Row],[Preço]],AO120+TbTradesBinance[[#This Row],[Qtt]]*TbTradesBinance[[#This Row],[Preço]])),AO120)-IF(TbTradesBinance[[#This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Row],[Tipo]]="DROP"),AO120+TbTradesBinance[[#This Row],[Qtt]],AO120-TbTradesBinance[[#This Row],[Qtt]]),IF(TbTradesBinance[[#This Row],[Tipo]]="BUY",AO120-TbTradesBinance[[#This Row],[Qtt]]*TbTradesBinance[[#This Row],[Preço]],AO120+TbTradesBinance[[#This Row],[Qtt]]*TbTradesBinance[[#This Row],[Preço]])),AO120)-IF(TbTradesBinance[[#This Row],[Moeda da Taxa]]=MID(AO$1,9,5),TbTradesBinance[[#This Row],[Taxa]],0),8)))</f>
        <v>7.4513399999999994E-2</v>
      </c>
      <c r="AP121" s="145" cm="1">
        <f t="array" ref="AP121">IF(TbTradesBinance[[#This Row],[Tipo]]="EMPTY",0,AP120+IF(TbTradesBinance[[#This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Row],[Par]]))),$1:$1,0)),-(AO120-AO121)/AO120*AP120),0),0)+IF(TbTradesBinance[[#This Row],[Tipo]]="SELL",IF(ISNUMBER(FIND(MID(AP$1,10,5),TbTradesBinance[[#This Row],[Par]])),IF(FIND(MID(AP$1,10,5),TbTradesBinance[[#This Row],[Par]])=1, -(AO120-AO121)/AO120*AP120,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Row],[Par]])),(-(AO120-AO121)/AO120*AP120)+IF(TbTradesBinance[[#This Row],[Resultado]]&gt;0,0,TbTradesBinance[[#This Row],[Taxa]]),0),0))</f>
        <v>113.87766627073657</v>
      </c>
      <c r="AQ121" s="145">
        <f t="shared" si="29"/>
        <v>1528.284392749983</v>
      </c>
      <c r="AR12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Row],[Tipo]]="DROP"),AR120+TbTradesBinance[[#This Row],[Qtt]],AR120-TbTradesBinance[[#This Row],[Qtt]]),IF(TbTradesBinance[[#This Row],[Tipo]]="BUY",AR120-TbTradesBinance[[#This Row],[Qtt]]*TbTradesBinance[[#This Row],[Preço]],AR120+TbTradesBinance[[#This Row],[Qtt]]*TbTradesBinance[[#This Row],[Preço]])),AR120)-IF(TbTradesBinance[[#This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Row],[Tipo]]="DROP"),AR120+TbTradesBinance[[#This Row],[Qtt]],AR120-TbTradesBinance[[#This Row],[Qtt]]),IF(TbTradesBinance[[#This Row],[Tipo]]="BUY",AR120-TbTradesBinance[[#This Row],[Qtt]]*TbTradesBinance[[#This Row],[Preço]],AR120+TbTradesBinance[[#This Row],[Qtt]]*TbTradesBinance[[#This Row],[Preço]])),AR120)-IF(TbTradesBinance[[#This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Row],[Tipo]]="DROP"),AR120+TbTradesBinance[[#This Row],[Qtt]],AR120-TbTradesBinance[[#This Row],[Qtt]]),IF(TbTradesBinance[[#This Row],[Tipo]]="BUY",AR120-TbTradesBinance[[#This Row],[Qtt]]*TbTradesBinance[[#This Row],[Preço]],AR120+TbTradesBinance[[#This Row],[Qtt]]*TbTradesBinance[[#This Row],[Preço]])),AR120)-IF(TbTradesBinance[[#This Row],[Moeda da Taxa]]=MID(AR$1,9,5),TbTradesBinance[[#This Row],[Taxa]],0),8)))</f>
        <v>61.251199999999997</v>
      </c>
      <c r="AS121" s="145" cm="1">
        <f t="array" ref="AS121">IF(TbTradesBinance[[#This Row],[Tipo]]="EMPTY",0,AS120+IF(TbTradesBinance[[#This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Row],[Par]]))),$1:$1,0)),-(AR120-AR121)/AR120*AS120),0),0)+IF(TbTradesBinance[[#This Row],[Tipo]]="SELL",IF(ISNUMBER(FIND(MID(AS$1,10,5),TbTradesBinance[[#This Row],[Par]])),IF(FIND(MID(AS$1,10,5),TbTradesBinance[[#This Row],[Par]])=1, -(AR120-AR121)/AR120*AS120,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Row],[Par]])),(-(AR120-AR121)/AR120*AS120)+IF(TbTradesBinance[[#This Row],[Resultado]]&gt;0,0,TbTradesBinance[[#This Row],[Taxa]]),0),0))</f>
        <v>230.84001376053044</v>
      </c>
      <c r="AT121" s="145">
        <f t="shared" si="30"/>
        <v>3.7687427146003745</v>
      </c>
      <c r="AU12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Row],[Tipo]]="DROP"),AU120+TbTradesBinance[[#This Row],[Qtt]],AU120-TbTradesBinance[[#This Row],[Qtt]]),IF(TbTradesBinance[[#This Row],[Tipo]]="BUY",AU120-TbTradesBinance[[#This Row],[Qtt]]*TbTradesBinance[[#This Row],[Preço]],AU120+TbTradesBinance[[#This Row],[Qtt]]*TbTradesBinance[[#This Row],[Preço]])),AU120)-IF(TbTradesBinance[[#This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Row],[Tipo]]="DROP"),AU120+TbTradesBinance[[#This Row],[Qtt]],AU120-TbTradesBinance[[#This Row],[Qtt]]),IF(TbTradesBinance[[#This Row],[Tipo]]="BUY",AU120-TbTradesBinance[[#This Row],[Qtt]]*TbTradesBinance[[#This Row],[Preço]],AU120+TbTradesBinance[[#This Row],[Qtt]]*TbTradesBinance[[#This Row],[Preço]])),AU120)-IF(TbTradesBinance[[#This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Row],[Tipo]]="DROP"),AU120+TbTradesBinance[[#This Row],[Qtt]],AU120-TbTradesBinance[[#This Row],[Qtt]]),IF(TbTradesBinance[[#This Row],[Tipo]]="BUY",AU120-TbTradesBinance[[#This Row],[Qtt]]*TbTradesBinance[[#This Row],[Preço]],AU120+TbTradesBinance[[#This Row],[Qtt]]*TbTradesBinance[[#This Row],[Preço]])),AU120)-IF(TbTradesBinance[[#This Row],[Moeda da Taxa]]=MID(AU$1,9,5),TbTradesBinance[[#This Row],[Taxa]],0),8)))</f>
        <v>0</v>
      </c>
      <c r="AV121" s="145" cm="1">
        <f t="array" ref="AV121">IF(TbTradesBinance[[#This Row],[Tipo]]="EMPTY",0,AV120+IF(TbTradesBinance[[#This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Row],[Par]]))),$1:$1,0)),-(AU120-AU121)/AU120*AV120),0),0)+IF(TbTradesBinance[[#This Row],[Tipo]]="SELL",IF(ISNUMBER(FIND(MID(AV$1,10,5),TbTradesBinance[[#This Row],[Par]])),IF(FIND(MID(AV$1,10,5),TbTradesBinance[[#This Row],[Par]])=1, -(AU120-AU121)/AU120*AV120,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Row],[Par]])),(-(AU120-AU121)/AU120*AV120)+IF(TbTradesBinance[[#This Row],[Resultado]]&gt;0,0,TbTradesBinance[[#This Row],[Taxa]]),0),0))</f>
        <v>0</v>
      </c>
      <c r="AW121" s="145">
        <f t="shared" si="31"/>
        <v>0</v>
      </c>
      <c r="AX12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Row],[Tipo]]="DROP"),AX120+TbTradesBinance[[#This Row],[Qtt]],AX120-TbTradesBinance[[#This Row],[Qtt]]),IF(TbTradesBinance[[#This Row],[Tipo]]="BUY",AX120-TbTradesBinance[[#This Row],[Qtt]]*TbTradesBinance[[#This Row],[Preço]],AX120+TbTradesBinance[[#This Row],[Qtt]]*TbTradesBinance[[#This Row],[Preço]])),AX120)-IF(TbTradesBinance[[#This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Row],[Tipo]]="DROP"),AX120+TbTradesBinance[[#This Row],[Qtt]],AX120-TbTradesBinance[[#This Row],[Qtt]]),IF(TbTradesBinance[[#This Row],[Tipo]]="BUY",AX120-TbTradesBinance[[#This Row],[Qtt]]*TbTradesBinance[[#This Row],[Preço]],AX120+TbTradesBinance[[#This Row],[Qtt]]*TbTradesBinance[[#This Row],[Preço]])),AX120)-IF(TbTradesBinance[[#This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Row],[Tipo]]="DROP"),AX120+TbTradesBinance[[#This Row],[Qtt]],AX120-TbTradesBinance[[#This Row],[Qtt]]),IF(TbTradesBinance[[#This Row],[Tipo]]="BUY",AX120-TbTradesBinance[[#This Row],[Qtt]]*TbTradesBinance[[#This Row],[Preço]],AX120+TbTradesBinance[[#This Row],[Qtt]]*TbTradesBinance[[#This Row],[Preço]])),AX120)-IF(TbTradesBinance[[#This Row],[Moeda da Taxa]]=MID(AX$1,9,5),TbTradesBinance[[#This Row],[Taxa]],0),8)))</f>
        <v>0.85636999999999996</v>
      </c>
      <c r="AY121" s="145" cm="1">
        <f t="array" ref="AY121">IF(TbTradesBinance[[#This Row],[Tipo]]="EMPTY",0,AY120+IF(TbTradesBinance[[#This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Row],[Par]]))),$1:$1,0)),-(AX120-AX121)/AX120*AY120),0),0)+IF(TbTradesBinance[[#This Row],[Tipo]]="SELL",IF(ISNUMBER(FIND(MID(AY$1,10,5),TbTradesBinance[[#This Row],[Par]])),IF(FIND(MID(AY$1,10,5),TbTradesBinance[[#This Row],[Par]])=1, -(AX120-AX121)/AX120*AY120,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Row],[Par]])),(-(AX120-AX121)/AX120*AY120)+IF(TbTradesBinance[[#This Row],[Resultado]]&gt;0,0,TbTradesBinance[[#This Row],[Taxa]]),0),0))</f>
        <v>131.82971181780295</v>
      </c>
      <c r="AZ121" s="145">
        <f t="shared" si="32"/>
        <v>153.94013314081874</v>
      </c>
      <c r="BA12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Row],[Tipo]]="DROP"),BA120+TbTradesBinance[[#This Row],[Qtt]],BA120-TbTradesBinance[[#This Row],[Qtt]]),IF(TbTradesBinance[[#This Row],[Tipo]]="BUY",BA120-TbTradesBinance[[#This Row],[Qtt]]*TbTradesBinance[[#This Row],[Preço]],BA120+TbTradesBinance[[#This Row],[Qtt]]*TbTradesBinance[[#This Row],[Preço]])),BA120)-IF(TbTradesBinance[[#This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Row],[Tipo]]="DROP"),BA120+TbTradesBinance[[#This Row],[Qtt]],BA120-TbTradesBinance[[#This Row],[Qtt]]),IF(TbTradesBinance[[#This Row],[Tipo]]="BUY",BA120-TbTradesBinance[[#This Row],[Qtt]]*TbTradesBinance[[#This Row],[Preço]],BA120+TbTradesBinance[[#This Row],[Qtt]]*TbTradesBinance[[#This Row],[Preço]])),BA120)-IF(TbTradesBinance[[#This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Row],[Tipo]]="DROP"),BA120+TbTradesBinance[[#This Row],[Qtt]],BA120-TbTradesBinance[[#This Row],[Qtt]]),IF(TbTradesBinance[[#This Row],[Tipo]]="BUY",BA120-TbTradesBinance[[#This Row],[Qtt]]*TbTradesBinance[[#This Row],[Preço]],BA120+TbTradesBinance[[#This Row],[Qtt]]*TbTradesBinance[[#This Row],[Preço]])),BA120)-IF(TbTradesBinance[[#This Row],[Moeda da Taxa]]=MID(BA$1,9,5),TbTradesBinance[[#This Row],[Taxa]],0),8)))</f>
        <v>0.10571</v>
      </c>
      <c r="BB121" s="145" cm="1">
        <f t="array" ref="BB121">IF(TbTradesBinance[[#This Row],[Tipo]]="EMPTY",0,BB120+IF(TbTradesBinance[[#This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Row],[Par]]))),$1:$1,0)),-(BA120-BA121)/BA120*BB120),0),0)+IF(TbTradesBinance[[#This Row],[Tipo]]="SELL",IF(ISNUMBER(FIND(MID(BB$1,10,5),TbTradesBinance[[#This Row],[Par]])),IF(FIND(MID(BB$1,10,5),TbTradesBinance[[#This Row],[Par]])=1, -(BA120-BA121)/BA120*BB120,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Row],[Par]])),(-(BA120-BA121)/BA120*BB120)+IF(TbTradesBinance[[#This Row],[Resultado]]&gt;0,0,TbTradesBinance[[#This Row],[Taxa]]),0),0))</f>
        <v>120.8257969142021</v>
      </c>
      <c r="BC121" s="145">
        <f t="shared" si="33"/>
        <v>1142.9930651234708</v>
      </c>
      <c r="BD12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Row],[Tipo]]="DROP"),BD120+TbTradesBinance[[#This Row],[Qtt]],BD120-TbTradesBinance[[#This Row],[Qtt]]),IF(TbTradesBinance[[#This Row],[Tipo]]="BUY",BD120-TbTradesBinance[[#This Row],[Qtt]]*TbTradesBinance[[#This Row],[Preço]],BD120+TbTradesBinance[[#This Row],[Qtt]]*TbTradesBinance[[#This Row],[Preço]])),BD120)-IF(TbTradesBinance[[#This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Row],[Tipo]]="DROP"),BD120+TbTradesBinance[[#This Row],[Qtt]],BD120-TbTradesBinance[[#This Row],[Qtt]]),IF(TbTradesBinance[[#This Row],[Tipo]]="BUY",BD120-TbTradesBinance[[#This Row],[Qtt]]*TbTradesBinance[[#This Row],[Preço]],BD120+TbTradesBinance[[#This Row],[Qtt]]*TbTradesBinance[[#This Row],[Preço]])),BD120)-IF(TbTradesBinance[[#This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Row],[Tipo]]="DROP"),BD120+TbTradesBinance[[#This Row],[Qtt]],BD120-TbTradesBinance[[#This Row],[Qtt]]),IF(TbTradesBinance[[#This Row],[Tipo]]="BUY",BD120-TbTradesBinance[[#This Row],[Qtt]]*TbTradesBinance[[#This Row],[Preço]],BD120+TbTradesBinance[[#This Row],[Qtt]]*TbTradesBinance[[#This Row],[Preço]])),BD120)-IF(TbTradesBinance[[#This Row],[Moeda da Taxa]]=MID(BD$1,9,5),TbTradesBinance[[#This Row],[Taxa]],0),8)))</f>
        <v>9.0599900000000004E-3</v>
      </c>
      <c r="BE121" s="145" cm="1">
        <f t="array" ref="BE121">IF(TbTradesBinance[[#This Row],[Tipo]]="EMPTY",0,BE120+IF(TbTradesBinance[[#This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Row],[Par]]))),$1:$1,0)),-(BD120-BD121)/BD120*BE120),0),0)+IF(TbTradesBinance[[#This Row],[Tipo]]="SELL",IF(ISNUMBER(FIND(MID(BE$1,10,5),TbTradesBinance[[#This Row],[Par]])),IF(FIND(MID(BE$1,10,5),TbTradesBinance[[#This Row],[Par]])=1, -(BD120-BD121)/BD120*BE120,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Row],[Par]])),(-(BD120-BD121)/BD120*BE120)+IF(TbTradesBinance[[#This Row],[Resultado]]&gt;0,0,TbTradesBinance[[#This Row],[Taxa]]),0),0))</f>
        <v>1.6846969284922721</v>
      </c>
      <c r="BF121" s="145">
        <f t="shared" si="34"/>
        <v>185.94909359638058</v>
      </c>
      <c r="BG12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Row],[Tipo]]="DROP"),BG120+TbTradesBinance[[#This Row],[Qtt]],BG120-TbTradesBinance[[#This Row],[Qtt]]),IF(TbTradesBinance[[#This Row],[Tipo]]="BUY",BG120-TbTradesBinance[[#This Row],[Qtt]]*TbTradesBinance[[#This Row],[Preço]],BG120+TbTradesBinance[[#This Row],[Qtt]]*TbTradesBinance[[#This Row],[Preço]])),BG120)-IF(TbTradesBinance[[#This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Row],[Tipo]]="DROP"),BG120+TbTradesBinance[[#This Row],[Qtt]],BG120-TbTradesBinance[[#This Row],[Qtt]]),IF(TbTradesBinance[[#This Row],[Tipo]]="BUY",BG120-TbTradesBinance[[#This Row],[Qtt]]*TbTradesBinance[[#This Row],[Preço]],BG120+TbTradesBinance[[#This Row],[Qtt]]*TbTradesBinance[[#This Row],[Preço]])),BG120)-IF(TbTradesBinance[[#This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Row],[Tipo]]="DROP"),BG120+TbTradesBinance[[#This Row],[Qtt]],BG120-TbTradesBinance[[#This Row],[Qtt]]),IF(TbTradesBinance[[#This Row],[Tipo]]="BUY",BG120-TbTradesBinance[[#This Row],[Qtt]]*TbTradesBinance[[#This Row],[Preço]],BG120+TbTradesBinance[[#This Row],[Qtt]]*TbTradesBinance[[#This Row],[Preço]])),BG120)-IF(TbTradesBinance[[#This Row],[Moeda da Taxa]]=MID(BG$1,9,5),TbTradesBinance[[#This Row],[Taxa]],0),8)))</f>
        <v>0</v>
      </c>
      <c r="BH121" s="145" cm="1">
        <f t="array" ref="BH121">IF(TbTradesBinance[[#This Row],[Tipo]]="EMPTY",0,BH120+IF(TbTradesBinance[[#This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Row],[Par]]))),$1:$1,0)),-(BG120-BG121)/BG120*BH120),0),0)+IF(TbTradesBinance[[#This Row],[Tipo]]="SELL",IF(ISNUMBER(FIND(MID(BH$1,10,5),TbTradesBinance[[#This Row],[Par]])),IF(FIND(MID(BH$1,10,5),TbTradesBinance[[#This Row],[Par]])=1, -(BG120-BG121)/BG120*BH120,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Row],[Par]])),(-(BG120-BG121)/BG120*BH120)+IF(TbTradesBinance[[#This Row],[Resultado]]&gt;0,0,TbTradesBinance[[#This Row],[Taxa]]),0),0))</f>
        <v>0</v>
      </c>
      <c r="BI121" s="145">
        <f t="shared" si="35"/>
        <v>0</v>
      </c>
      <c r="BJ12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Row],[Tipo]]="DROP"),BJ120+TbTradesBinance[[#This Row],[Qtt]],BJ120-TbTradesBinance[[#This Row],[Qtt]]),IF(TbTradesBinance[[#This Row],[Tipo]]="BUY",BJ120-TbTradesBinance[[#This Row],[Qtt]]*TbTradesBinance[[#This Row],[Preço]],BJ120+TbTradesBinance[[#This Row],[Qtt]]*TbTradesBinance[[#This Row],[Preço]])),BJ120)-IF(TbTradesBinance[[#This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Row],[Tipo]]="DROP"),BJ120+TbTradesBinance[[#This Row],[Qtt]],BJ120-TbTradesBinance[[#This Row],[Qtt]]),IF(TbTradesBinance[[#This Row],[Tipo]]="BUY",BJ120-TbTradesBinance[[#This Row],[Qtt]]*TbTradesBinance[[#This Row],[Preço]],BJ120+TbTradesBinance[[#This Row],[Qtt]]*TbTradesBinance[[#This Row],[Preço]])),BJ120)-IF(TbTradesBinance[[#This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Row],[Tipo]]="DROP"),BJ120+TbTradesBinance[[#This Row],[Qtt]],BJ120-TbTradesBinance[[#This Row],[Qtt]]),IF(TbTradesBinance[[#This Row],[Tipo]]="BUY",BJ120-TbTradesBinance[[#This Row],[Qtt]]*TbTradesBinance[[#This Row],[Preço]],BJ120+TbTradesBinance[[#This Row],[Qtt]]*TbTradesBinance[[#This Row],[Preço]])),BJ120)-IF(TbTradesBinance[[#This Row],[Moeda da Taxa]]=MID(BJ$1,9,5),TbTradesBinance[[#This Row],[Taxa]],0),8)))</f>
        <v>0</v>
      </c>
      <c r="BK121" s="145" cm="1">
        <f t="array" ref="BK121">IF(TbTradesBinance[[#This Row],[Tipo]]="EMPTY",0,BK120+IF(TbTradesBinance[[#This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Row],[Par]]))),$1:$1,0)),-(BJ120-BJ121)/BJ120*BK120),0),0)+IF(TbTradesBinance[[#This Row],[Tipo]]="SELL",IF(ISNUMBER(FIND(MID(BK$1,10,5),TbTradesBinance[[#This Row],[Par]])),IF(FIND(MID(BK$1,10,5),TbTradesBinance[[#This Row],[Par]])=1, -(BJ120-BJ121)/BJ120*BK120,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Row],[Par]])),(-(BJ120-BJ121)/BJ120*BK120)+IF(TbTradesBinance[[#This Row],[Resultado]]&gt;0,0,TbTradesBinance[[#This Row],[Taxa]]),0),0))</f>
        <v>0</v>
      </c>
      <c r="BL121" s="145">
        <f t="shared" si="36"/>
        <v>0</v>
      </c>
      <c r="BM12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Row],[Tipo]]="DROP"),BM120+TbTradesBinance[[#This Row],[Qtt]],BM120-TbTradesBinance[[#This Row],[Qtt]]),IF(TbTradesBinance[[#This Row],[Tipo]]="BUY",BM120-TbTradesBinance[[#This Row],[Qtt]]*TbTradesBinance[[#This Row],[Preço]],BM120+TbTradesBinance[[#This Row],[Qtt]]*TbTradesBinance[[#This Row],[Preço]])),BM120)-IF(TbTradesBinance[[#This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Row],[Tipo]]="DROP"),BM120+TbTradesBinance[[#This Row],[Qtt]],BM120-TbTradesBinance[[#This Row],[Qtt]]),IF(TbTradesBinance[[#This Row],[Tipo]]="BUY",BM120-TbTradesBinance[[#This Row],[Qtt]]*TbTradesBinance[[#This Row],[Preço]],BM120+TbTradesBinance[[#This Row],[Qtt]]*TbTradesBinance[[#This Row],[Preço]])),BM120)-IF(TbTradesBinance[[#This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Row],[Tipo]]="DROP"),BM120+TbTradesBinance[[#This Row],[Qtt]],BM120-TbTradesBinance[[#This Row],[Qtt]]),IF(TbTradesBinance[[#This Row],[Tipo]]="BUY",BM120-TbTradesBinance[[#This Row],[Qtt]]*TbTradesBinance[[#This Row],[Preço]],BM120+TbTradesBinance[[#This Row],[Qtt]]*TbTradesBinance[[#This Row],[Preço]])),BM120)-IF(TbTradesBinance[[#This Row],[Moeda da Taxa]]=MID(BM$1,9,5),TbTradesBinance[[#This Row],[Taxa]],0),8)))</f>
        <v>0</v>
      </c>
      <c r="BN121" s="145" cm="1">
        <f t="array" ref="BN121">IF(TbTradesBinance[[#This Row],[Tipo]]="EMPTY",0,BN120+IF(TbTradesBinance[[#This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Row],[Par]]))),$1:$1,0)),-(BM120-BM121)/BM120*BN120),0),0)+IF(TbTradesBinance[[#This Row],[Tipo]]="SELL",IF(ISNUMBER(FIND(MID(BN$1,10,5),TbTradesBinance[[#This Row],[Par]])),IF(FIND(MID(BN$1,10,5),TbTradesBinance[[#This Row],[Par]])=1, -(BM120-BM121)/BM120*BN120,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Row],[Par]])),(-(BM120-BM121)/BM120*BN120)+IF(TbTradesBinance[[#This Row],[Resultado]]&gt;0,0,TbTradesBinance[[#This Row],[Taxa]]),0),0))</f>
        <v>0</v>
      </c>
      <c r="BO121" s="145">
        <f t="shared" si="37"/>
        <v>0</v>
      </c>
    </row>
    <row r="122" spans="2:67" x14ac:dyDescent="0.3">
      <c r="B122" s="51"/>
      <c r="C122" s="40">
        <f>TRUNC(IF(AND(TbTradesBinance[[#This Row],[Tipo]]="SEND",TbTradesBinance[[#This Row],[Par]]="BRL"),TbTradesBinance[[#This Row],[Qtt]]*(1-P120)-IF(TbTradesBinance[[#This Row],[Moeda da Taxa]]="BRL",TbTradesBinance[[#This Row],[Taxa]],0),0)+IF(AND(TbTradesBinance[[#This Row],[Tipo]]="BURN",TbTradesBinance[[#This Row],[Par]]="BRL"),-TbTradesBinance[[#This Row],[Qtt]]*P120,0),2)</f>
        <v>0</v>
      </c>
      <c r="D122" s="53">
        <v>44276.702939814815</v>
      </c>
      <c r="E122" s="37" t="s">
        <v>147</v>
      </c>
      <c r="F122" s="47" t="s">
        <v>140</v>
      </c>
      <c r="G122" s="38">
        <v>10056.41</v>
      </c>
      <c r="H122" s="38">
        <v>3.1E-4</v>
      </c>
      <c r="I122" s="38">
        <v>0</v>
      </c>
      <c r="J122" s="37" t="s">
        <v>45</v>
      </c>
      <c r="K122" s="52">
        <v>1</v>
      </c>
      <c r="L122" s="40">
        <f t="shared" si="19"/>
        <v>10056.41</v>
      </c>
      <c r="M122" s="40">
        <f>IF(OR(TbTradesBinance[[#This Row],[Tipo]]="BUY",TbTradesBinance[[#This Row],[Tipo]]="RECEIVE",TbTradesBinance[[#This Row],[Tipo]]="DROP"),L122*H122,-L122*H122)</f>
        <v>-3.1174871</v>
      </c>
      <c r="N12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Row],[Tipo]]="DROP"),N121+TbTradesBinance[[#This Row],[Qtt]],N121-TbTradesBinance[[#This Row],[Qtt]]),IF(TbTradesBinance[[#This Row],[Tipo]]="BUY",N121-TbTradesBinance[[#This Row],[Qtt]]*TbTradesBinance[[#This Row],[Preço]],N121+TbTradesBinance[[#This Row],[Qtt]]*TbTradesBinance[[#This Row],[Preço]])),N121)-IF(TbTradesBinance[[#This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Row],[Tipo]]="DROP"),N121+TbTradesBinance[[#This Row],[Qtt]],N121-TbTradesBinance[[#This Row],[Qtt]]),IF(TbTradesBinance[[#This Row],[Tipo]]="BUY",N121-TbTradesBinance[[#This Row],[Qtt]]*TbTradesBinance[[#This Row],[Preço]],N121+TbTradesBinance[[#This Row],[Qtt]]*TbTradesBinance[[#This Row],[Preço]])),N121)-IF(TbTradesBinance[[#This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Row],[Tipo]]="DROP"),N121+TbTradesBinance[[#This Row],[Qtt]],N121-TbTradesBinance[[#This Row],[Qtt]]),IF(TbTradesBinance[[#This Row],[Tipo]]="BUY",N121-TbTradesBinance[[#This Row],[Qtt]]*TbTradesBinance[[#This Row],[Preço]],N121+TbTradesBinance[[#This Row],[Qtt]]*TbTradesBinance[[#This Row],[Preço]])),N121)-IF(TbTradesBinance[[#This Row],[Moeda da Taxa]]=MID(N$1,9,5),TbTradesBinance[[#This Row],[Taxa]],0),8)))</f>
        <v>119850.11049418</v>
      </c>
      <c r="O122" s="145" cm="1">
        <f t="array" ref="O122">IF(TbTradesBinance[[#This Row],[Tipo]]="EMPTY",0,O121+IF(TbTradesBinance[[#This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Row],[Par]]))),$1:$1,0)),-(N121-N122)/N121*O121),0),0)+IF(TbTradesBinance[[#This Row],[Tipo]]="SELL",IF(ISNUMBER(FIND(MID(O$1,10,5),TbTradesBinance[[#This Row],[Par]])),IF(FIND(MID(O$1,10,5),TbTradesBinance[[#This Row],[Par]])=1, -(N121-N122)/N121*O121,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Row],[Par]])),(-(N121-N122)/N121*O121)+IF(TbTradesBinance[[#This Row],[Resultado]]&gt;0,0,TbTradesBinance[[#This Row],[Taxa]]),0),0))</f>
        <v>119842.46197104781</v>
      </c>
      <c r="P122" s="145">
        <f t="shared" si="20"/>
        <v>0.99993618259423667</v>
      </c>
      <c r="Q12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Row],[Tipo]]="DROP"),Q121+TbTradesBinance[[#This Row],[Qtt]],Q121-TbTradesBinance[[#This Row],[Qtt]]),IF(TbTradesBinance[[#This Row],[Tipo]]="BUY",Q121-TbTradesBinance[[#This Row],[Qtt]]*TbTradesBinance[[#This Row],[Preço]],Q121+TbTradesBinance[[#This Row],[Qtt]]*TbTradesBinance[[#This Row],[Preço]])),Q121)-IF(TbTradesBinance[[#This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Row],[Tipo]]="DROP"),Q121+TbTradesBinance[[#This Row],[Qtt]],Q121-TbTradesBinance[[#This Row],[Qtt]]),IF(TbTradesBinance[[#This Row],[Tipo]]="BUY",Q121-TbTradesBinance[[#This Row],[Qtt]]*TbTradesBinance[[#This Row],[Preço]],Q121+TbTradesBinance[[#This Row],[Qtt]]*TbTradesBinance[[#This Row],[Preço]])),Q121)-IF(TbTradesBinance[[#This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Row],[Tipo]]="DROP"),Q121+TbTradesBinance[[#This Row],[Qtt]],Q121-TbTradesBinance[[#This Row],[Qtt]]),IF(TbTradesBinance[[#This Row],[Tipo]]="BUY",Q121-TbTradesBinance[[#This Row],[Qtt]]*TbTradesBinance[[#This Row],[Preço]],Q121+TbTradesBinance[[#This Row],[Qtt]]*TbTradesBinance[[#This Row],[Preço]])),Q121)-IF(TbTradesBinance[[#This Row],[Moeda da Taxa]]=MID(Q$1,9,5),TbTradesBinance[[#This Row],[Taxa]],0),8)))</f>
        <v>4.0295000000000001E-4</v>
      </c>
      <c r="R122" s="145" cm="1">
        <f t="array" ref="R122">IF(TbTradesBinance[[#This Row],[Tipo]]="EMPTY",0,R121+IF(TbTradesBinance[[#This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Row],[Par]]))),$1:$1,0)),-(Q121-Q122)/Q121*R121),0),0)+IF(TbTradesBinance[[#This Row],[Tipo]]="SELL",IF(ISNUMBER(FIND(MID(R$1,10,5),TbTradesBinance[[#This Row],[Par]])),IF(FIND(MID(R$1,10,5),TbTradesBinance[[#This Row],[Par]])=1, -(Q121-Q122)/Q121*R121,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Row],[Par]])),(-(Q121-Q122)/Q121*R121)+IF(TbTradesBinance[[#This Row],[Resultado]]&gt;0,0,TbTradesBinance[[#This Row],[Taxa]]),0),0))</f>
        <v>2.3480439649006257E-3</v>
      </c>
      <c r="S122" s="145">
        <f t="shared" si="21"/>
        <v>5.8271347931520676</v>
      </c>
      <c r="T12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Row],[Tipo]]="DROP"),T121+TbTradesBinance[[#This Row],[Qtt]],T121-TbTradesBinance[[#This Row],[Qtt]]),IF(TbTradesBinance[[#This Row],[Tipo]]="BUY",T121-TbTradesBinance[[#This Row],[Qtt]]*TbTradesBinance[[#This Row],[Preço]],T121+TbTradesBinance[[#This Row],[Qtt]]*TbTradesBinance[[#This Row],[Preço]])),T121)-IF(TbTradesBinance[[#This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Row],[Tipo]]="DROP"),T121+TbTradesBinance[[#This Row],[Qtt]],T121-TbTradesBinance[[#This Row],[Qtt]]),IF(TbTradesBinance[[#This Row],[Tipo]]="BUY",T121-TbTradesBinance[[#This Row],[Qtt]]*TbTradesBinance[[#This Row],[Preço]],T121+TbTradesBinance[[#This Row],[Qtt]]*TbTradesBinance[[#This Row],[Preço]])),T121)-IF(TbTradesBinance[[#This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Row],[Tipo]]="DROP"),T121+TbTradesBinance[[#This Row],[Qtt]],T121-TbTradesBinance[[#This Row],[Qtt]]),IF(TbTradesBinance[[#This Row],[Tipo]]="BUY",T121-TbTradesBinance[[#This Row],[Qtt]]*TbTradesBinance[[#This Row],[Preço]],T121+TbTradesBinance[[#This Row],[Qtt]]*TbTradesBinance[[#This Row],[Preço]])),T121)-IF(TbTradesBinance[[#This Row],[Moeda da Taxa]]=MID(T$1,9,5),TbTradesBinance[[#This Row],[Taxa]],0),8)))</f>
        <v>199735.32000169999</v>
      </c>
      <c r="U122" s="145" cm="1">
        <f t="array" ref="U122">IF(TbTradesBinance[[#This Row],[Tipo]]="EMPTY",0,U121+IF(TbTradesBinance[[#This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Row],[Par]]))),$1:$1,0)),-(T121-T122)/T121*U121),0),0)+IF(TbTradesBinance[[#This Row],[Tipo]]="SELL",IF(ISNUMBER(FIND(MID(U$1,10,5),TbTradesBinance[[#This Row],[Par]])),IF(FIND(MID(U$1,10,5),TbTradesBinance[[#This Row],[Par]])=1, -(T121-T122)/T121*U121,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Row],[Par]])),(-(T121-T122)/T121*U121)+IF(TbTradesBinance[[#This Row],[Resultado]]&gt;0,0,TbTradesBinance[[#This Row],[Taxa]]),0),0))</f>
        <v>1328239.8809817513</v>
      </c>
      <c r="V122" s="145">
        <f t="shared" si="22"/>
        <v>6.6500000148719129</v>
      </c>
      <c r="W12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Row],[Tipo]]="DROP"),W121+TbTradesBinance[[#This Row],[Qtt]],W121-TbTradesBinance[[#This Row],[Qtt]]),IF(TbTradesBinance[[#This Row],[Tipo]]="BUY",W121-TbTradesBinance[[#This Row],[Qtt]]*TbTradesBinance[[#This Row],[Preço]],W121+TbTradesBinance[[#This Row],[Qtt]]*TbTradesBinance[[#This Row],[Preço]])),W121)-IF(TbTradesBinance[[#This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Row],[Tipo]]="DROP"),W121+TbTradesBinance[[#This Row],[Qtt]],W121-TbTradesBinance[[#This Row],[Qtt]]),IF(TbTradesBinance[[#This Row],[Tipo]]="BUY",W121-TbTradesBinance[[#This Row],[Qtt]]*TbTradesBinance[[#This Row],[Preço]],W121+TbTradesBinance[[#This Row],[Qtt]]*TbTradesBinance[[#This Row],[Preço]])),W121)-IF(TbTradesBinance[[#This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Row],[Tipo]]="DROP"),W121+TbTradesBinance[[#This Row],[Qtt]],W121-TbTradesBinance[[#This Row],[Qtt]]),IF(TbTradesBinance[[#This Row],[Tipo]]="BUY",W121-TbTradesBinance[[#This Row],[Qtt]]*TbTradesBinance[[#This Row],[Preço]],W121+TbTradesBinance[[#This Row],[Qtt]]*TbTradesBinance[[#This Row],[Preço]])),W121)-IF(TbTradesBinance[[#This Row],[Moeda da Taxa]]=MID(W$1,9,5),TbTradesBinance[[#This Row],[Taxa]],0),8)))</f>
        <v>2.5393600000000001E-3</v>
      </c>
      <c r="X122" s="145" cm="1">
        <f t="array" ref="X122">IF(TbTradesBinance[[#This Row],[Tipo]]="EMPTY",0,X121+IF(TbTradesBinance[[#This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Row],[Par]]))),$1:$1,0)),-(W121-W122)/W121*X121),0),0)+IF(TbTradesBinance[[#This Row],[Tipo]]="SELL",IF(ISNUMBER(FIND(MID(X$1,10,5),TbTradesBinance[[#This Row],[Par]])),IF(FIND(MID(X$1,10,5),TbTradesBinance[[#This Row],[Par]])=1, -(W121-W122)/W121*X121,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Row],[Par]])),(-(W121-W122)/W121*X121)+IF(TbTradesBinance[[#This Row],[Resultado]]&gt;0,0,TbTradesBinance[[#This Row],[Taxa]]),0),0))</f>
        <v>847.47496668103008</v>
      </c>
      <c r="Y122" s="145">
        <f t="shared" si="23"/>
        <v>333735.65255853051</v>
      </c>
      <c r="Z12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Row],[Tipo]]="DROP"),Z121+TbTradesBinance[[#This Row],[Qtt]],Z121-TbTradesBinance[[#This Row],[Qtt]]),IF(TbTradesBinance[[#This Row],[Tipo]]="BUY",Z121-TbTradesBinance[[#This Row],[Qtt]]*TbTradesBinance[[#This Row],[Preço]],Z121+TbTradesBinance[[#This Row],[Qtt]]*TbTradesBinance[[#This Row],[Preço]])),Z121)-IF(TbTradesBinance[[#This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Row],[Tipo]]="DROP"),Z121+TbTradesBinance[[#This Row],[Qtt]],Z121-TbTradesBinance[[#This Row],[Qtt]]),IF(TbTradesBinance[[#This Row],[Tipo]]="BUY",Z121-TbTradesBinance[[#This Row],[Qtt]]*TbTradesBinance[[#This Row],[Preço]],Z121+TbTradesBinance[[#This Row],[Qtt]]*TbTradesBinance[[#This Row],[Preço]])),Z121)-IF(TbTradesBinance[[#This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Row],[Tipo]]="DROP"),Z121+TbTradesBinance[[#This Row],[Qtt]],Z121-TbTradesBinance[[#This Row],[Qtt]]),IF(TbTradesBinance[[#This Row],[Tipo]]="BUY",Z121-TbTradesBinance[[#This Row],[Qtt]]*TbTradesBinance[[#This Row],[Preço]],Z121+TbTradesBinance[[#This Row],[Qtt]]*TbTradesBinance[[#This Row],[Preço]])),Z121)-IF(TbTradesBinance[[#This Row],[Moeda da Taxa]]=MID(Z$1,9,5),TbTradesBinance[[#This Row],[Taxa]],0),8)))</f>
        <v>9.3300000000000005E-6</v>
      </c>
      <c r="AA122" s="145" cm="1">
        <f t="array" ref="AA122">IF(TbTradesBinance[[#This Row],[Tipo]]="EMPTY",0,AA121+IF(TbTradesBinance[[#This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Row],[Par]]))),$1:$1,0)),-(Z121-Z122)/Z121*AA121),0),0)+IF(TbTradesBinance[[#This Row],[Tipo]]="SELL",IF(ISNUMBER(FIND(MID(AA$1,10,5),TbTradesBinance[[#This Row],[Par]])),IF(FIND(MID(AA$1,10,5),TbTradesBinance[[#This Row],[Par]])=1, -(Z121-Z122)/Z121*AA121,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Row],[Par]])),(-(Z121-Z122)/Z121*AA121)+IF(TbTradesBinance[[#This Row],[Resultado]]&gt;0,0,TbTradesBinance[[#This Row],[Taxa]]),0),0))</f>
        <v>9.7066397187928644E-2</v>
      </c>
      <c r="AB122" s="145">
        <f t="shared" si="24"/>
        <v>10403.686729681525</v>
      </c>
      <c r="AC12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Row],[Tipo]]="DROP"),AC121+TbTradesBinance[[#This Row],[Qtt]],AC121-TbTradesBinance[[#This Row],[Qtt]]),IF(TbTradesBinance[[#This Row],[Tipo]]="BUY",AC121-TbTradesBinance[[#This Row],[Qtt]]*TbTradesBinance[[#This Row],[Preço]],AC121+TbTradesBinance[[#This Row],[Qtt]]*TbTradesBinance[[#This Row],[Preço]])),AC121)-IF(TbTradesBinance[[#This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Row],[Tipo]]="DROP"),AC121+TbTradesBinance[[#This Row],[Qtt]],AC121-TbTradesBinance[[#This Row],[Qtt]]),IF(TbTradesBinance[[#This Row],[Tipo]]="BUY",AC121-TbTradesBinance[[#This Row],[Qtt]]*TbTradesBinance[[#This Row],[Preço]],AC121+TbTradesBinance[[#This Row],[Qtt]]*TbTradesBinance[[#This Row],[Preço]])),AC121)-IF(TbTradesBinance[[#This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Row],[Tipo]]="DROP"),AC121+TbTradesBinance[[#This Row],[Qtt]],AC121-TbTradesBinance[[#This Row],[Qtt]]),IF(TbTradesBinance[[#This Row],[Tipo]]="BUY",AC121-TbTradesBinance[[#This Row],[Qtt]]*TbTradesBinance[[#This Row],[Preço]],AC121+TbTradesBinance[[#This Row],[Qtt]]*TbTradesBinance[[#This Row],[Preço]])),AC121)-IF(TbTradesBinance[[#This Row],[Moeda da Taxa]]=MID(AC$1,9,5),TbTradesBinance[[#This Row],[Taxa]],0),8)))</f>
        <v>9.6999E-4</v>
      </c>
      <c r="AD122" s="145" cm="1">
        <f t="array" ref="AD122">IF(TbTradesBinance[[#This Row],[Tipo]]="EMPTY",0,AD121+IF(TbTradesBinance[[#This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Row],[Par]]))),$1:$1,0)),-(AC121-AC122)/AC121*AD121),0),0)+IF(TbTradesBinance[[#This Row],[Tipo]]="SELL",IF(ISNUMBER(FIND(MID(AD$1,10,5),TbTradesBinance[[#This Row],[Par]])),IF(FIND(MID(AD$1,10,5),TbTradesBinance[[#This Row],[Par]])=1, -(AC121-AC122)/AC121*AD121,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Row],[Par]])),(-(AC121-AC122)/AC121*AD121)+IF(TbTradesBinance[[#This Row],[Resultado]]&gt;0,0,TbTradesBinance[[#This Row],[Taxa]]),0),0))</f>
        <v>1.9483868939812083</v>
      </c>
      <c r="AE122" s="145">
        <f t="shared" si="25"/>
        <v>2008.6669903619711</v>
      </c>
      <c r="AF12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Row],[Tipo]]="DROP"),AF121+TbTradesBinance[[#This Row],[Qtt]],AF121-TbTradesBinance[[#This Row],[Qtt]]),IF(TbTradesBinance[[#This Row],[Tipo]]="BUY",AF121-TbTradesBinance[[#This Row],[Qtt]]*TbTradesBinance[[#This Row],[Preço]],AF121+TbTradesBinance[[#This Row],[Qtt]]*TbTradesBinance[[#This Row],[Preço]])),AF121)-IF(TbTradesBinance[[#This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Row],[Tipo]]="DROP"),AF121+TbTradesBinance[[#This Row],[Qtt]],AF121-TbTradesBinance[[#This Row],[Qtt]]),IF(TbTradesBinance[[#This Row],[Tipo]]="BUY",AF121-TbTradesBinance[[#This Row],[Qtt]]*TbTradesBinance[[#This Row],[Preço]],AF121+TbTradesBinance[[#This Row],[Qtt]]*TbTradesBinance[[#This Row],[Preço]])),AF121)-IF(TbTradesBinance[[#This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Row],[Tipo]]="DROP"),AF121+TbTradesBinance[[#This Row],[Qtt]],AF121-TbTradesBinance[[#This Row],[Qtt]]),IF(TbTradesBinance[[#This Row],[Tipo]]="BUY",AF121-TbTradesBinance[[#This Row],[Qtt]]*TbTradesBinance[[#This Row],[Preço]],AF121+TbTradesBinance[[#This Row],[Qtt]]*TbTradesBinance[[#This Row],[Preço]])),AF121)-IF(TbTradesBinance[[#This Row],[Moeda da Taxa]]=MID(AF$1,9,5),TbTradesBinance[[#This Row],[Taxa]],0),8)))</f>
        <v>0.08</v>
      </c>
      <c r="AG122" s="145" cm="1">
        <f t="array" ref="AG122">IF(TbTradesBinance[[#This Row],[Tipo]]="EMPTY",0,AG121+IF(TbTradesBinance[[#This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Row],[Par]]))),$1:$1,0)),-(AF121-AF122)/AF121*AG121),0),0)+IF(TbTradesBinance[[#This Row],[Tipo]]="SELL",IF(ISNUMBER(FIND(MID(AG$1,10,5),TbTradesBinance[[#This Row],[Par]])),IF(FIND(MID(AG$1,10,5),TbTradesBinance[[#This Row],[Par]])=1, -(AF121-AF122)/AF121*AG121,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Row],[Par]])),(-(AF121-AF122)/AF121*AG121)+IF(TbTradesBinance[[#This Row],[Resultado]]&gt;0,0,TbTradesBinance[[#This Row],[Taxa]]),0),0))</f>
        <v>0.49666397429723474</v>
      </c>
      <c r="AH122" s="145">
        <f t="shared" si="26"/>
        <v>6.2082996787154343</v>
      </c>
      <c r="AI12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Row],[Tipo]]="DROP"),AI121+TbTradesBinance[[#This Row],[Qtt]],AI121-TbTradesBinance[[#This Row],[Qtt]]),IF(TbTradesBinance[[#This Row],[Tipo]]="BUY",AI121-TbTradesBinance[[#This Row],[Qtt]]*TbTradesBinance[[#This Row],[Preço]],AI121+TbTradesBinance[[#This Row],[Qtt]]*TbTradesBinance[[#This Row],[Preço]])),AI121)-IF(TbTradesBinance[[#This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Row],[Tipo]]="DROP"),AI121+TbTradesBinance[[#This Row],[Qtt]],AI121-TbTradesBinance[[#This Row],[Qtt]]),IF(TbTradesBinance[[#This Row],[Tipo]]="BUY",AI121-TbTradesBinance[[#This Row],[Qtt]]*TbTradesBinance[[#This Row],[Preço]],AI121+TbTradesBinance[[#This Row],[Qtt]]*TbTradesBinance[[#This Row],[Preço]])),AI121)-IF(TbTradesBinance[[#This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Row],[Tipo]]="DROP"),AI121+TbTradesBinance[[#This Row],[Qtt]],AI121-TbTradesBinance[[#This Row],[Qtt]]),IF(TbTradesBinance[[#This Row],[Tipo]]="BUY",AI121-TbTradesBinance[[#This Row],[Qtt]]*TbTradesBinance[[#This Row],[Preço]],AI121+TbTradesBinance[[#This Row],[Qtt]]*TbTradesBinance[[#This Row],[Preço]])),AI121)-IF(TbTradesBinance[[#This Row],[Moeda da Taxa]]=MID(AI$1,9,5),TbTradesBinance[[#This Row],[Taxa]],0),8)))</f>
        <v>0</v>
      </c>
      <c r="AJ122" s="145" cm="1">
        <f t="array" ref="AJ122">IF(TbTradesBinance[[#This Row],[Tipo]]="EMPTY",0,AJ121+IF(TbTradesBinance[[#This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Row],[Par]]))),$1:$1,0)),-(AI121-AI122)/AI121*AJ121),0),0)+IF(TbTradesBinance[[#This Row],[Tipo]]="SELL",IF(ISNUMBER(FIND(MID(AJ$1,10,5),TbTradesBinance[[#This Row],[Par]])),IF(FIND(MID(AJ$1,10,5),TbTradesBinance[[#This Row],[Par]])=1, -(AI121-AI122)/AI121*AJ121,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Row],[Par]])),(-(AI121-AI122)/AI121*AJ121)+IF(TbTradesBinance[[#This Row],[Resultado]]&gt;0,0,TbTradesBinance[[#This Row],[Taxa]]),0),0))</f>
        <v>0</v>
      </c>
      <c r="AK122" s="145">
        <f t="shared" si="27"/>
        <v>0</v>
      </c>
      <c r="AL12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Row],[Tipo]]="DROP"),AL121+TbTradesBinance[[#This Row],[Qtt]],AL121-TbTradesBinance[[#This Row],[Qtt]]),IF(TbTradesBinance[[#This Row],[Tipo]]="BUY",AL121-TbTradesBinance[[#This Row],[Qtt]]*TbTradesBinance[[#This Row],[Preço]],AL121+TbTradesBinance[[#This Row],[Qtt]]*TbTradesBinance[[#This Row],[Preço]])),AL121)-IF(TbTradesBinance[[#This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Row],[Tipo]]="DROP"),AL121+TbTradesBinance[[#This Row],[Qtt]],AL121-TbTradesBinance[[#This Row],[Qtt]]),IF(TbTradesBinance[[#This Row],[Tipo]]="BUY",AL121-TbTradesBinance[[#This Row],[Qtt]]*TbTradesBinance[[#This Row],[Preço]],AL121+TbTradesBinance[[#This Row],[Qtt]]*TbTradesBinance[[#This Row],[Preço]])),AL121)-IF(TbTradesBinance[[#This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Row],[Tipo]]="DROP"),AL121+TbTradesBinance[[#This Row],[Qtt]],AL121-TbTradesBinance[[#This Row],[Qtt]]),IF(TbTradesBinance[[#This Row],[Tipo]]="BUY",AL121-TbTradesBinance[[#This Row],[Qtt]]*TbTradesBinance[[#This Row],[Preço]],AL121+TbTradesBinance[[#This Row],[Qtt]]*TbTradesBinance[[#This Row],[Preço]])),AL121)-IF(TbTradesBinance[[#This Row],[Moeda da Taxa]]=MID(AL$1,9,5),TbTradesBinance[[#This Row],[Taxa]],0),8)))</f>
        <v>8.2400000000000008E-3</v>
      </c>
      <c r="AM122" s="145" cm="1">
        <f t="array" ref="AM122">IF(TbTradesBinance[[#This Row],[Tipo]]="EMPTY",0,AM121+IF(TbTradesBinance[[#This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Row],[Par]]))),$1:$1,0)),-(AL121-AL122)/AL121*AM121),0),0)+IF(TbTradesBinance[[#This Row],[Tipo]]="SELL",IF(ISNUMBER(FIND(MID(AM$1,10,5),TbTradesBinance[[#This Row],[Par]])),IF(FIND(MID(AM$1,10,5),TbTradesBinance[[#This Row],[Par]])=1, -(AL121-AL122)/AL121*AM121,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Row],[Par]])),(-(AL121-AL122)/AL121*AM121)+IF(TbTradesBinance[[#This Row],[Resultado]]&gt;0,0,TbTradesBinance[[#This Row],[Taxa]]),0),0))</f>
        <v>0.67751089887772764</v>
      </c>
      <c r="AN122" s="145">
        <f t="shared" si="28"/>
        <v>82.222196465743636</v>
      </c>
      <c r="AO12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Row],[Tipo]]="DROP"),AO121+TbTradesBinance[[#This Row],[Qtt]],AO121-TbTradesBinance[[#This Row],[Qtt]]),IF(TbTradesBinance[[#This Row],[Tipo]]="BUY",AO121-TbTradesBinance[[#This Row],[Qtt]]*TbTradesBinance[[#This Row],[Preço]],AO121+TbTradesBinance[[#This Row],[Qtt]]*TbTradesBinance[[#This Row],[Preço]])),AO121)-IF(TbTradesBinance[[#This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Row],[Tipo]]="DROP"),AO121+TbTradesBinance[[#This Row],[Qtt]],AO121-TbTradesBinance[[#This Row],[Qtt]]),IF(TbTradesBinance[[#This Row],[Tipo]]="BUY",AO121-TbTradesBinance[[#This Row],[Qtt]]*TbTradesBinance[[#This Row],[Preço]],AO121+TbTradesBinance[[#This Row],[Qtt]]*TbTradesBinance[[#This Row],[Preço]])),AO121)-IF(TbTradesBinance[[#This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Row],[Tipo]]="DROP"),AO121+TbTradesBinance[[#This Row],[Qtt]],AO121-TbTradesBinance[[#This Row],[Qtt]]),IF(TbTradesBinance[[#This Row],[Tipo]]="BUY",AO121-TbTradesBinance[[#This Row],[Qtt]]*TbTradesBinance[[#This Row],[Preço]],AO121+TbTradesBinance[[#This Row],[Qtt]]*TbTradesBinance[[#This Row],[Preço]])),AO121)-IF(TbTradesBinance[[#This Row],[Moeda da Taxa]]=MID(AO$1,9,5),TbTradesBinance[[#This Row],[Taxa]],0),8)))</f>
        <v>7.4513399999999994E-2</v>
      </c>
      <c r="AP122" s="145" cm="1">
        <f t="array" ref="AP122">IF(TbTradesBinance[[#This Row],[Tipo]]="EMPTY",0,AP121+IF(TbTradesBinance[[#This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Row],[Par]]))),$1:$1,0)),-(AO121-AO122)/AO121*AP121),0),0)+IF(TbTradesBinance[[#This Row],[Tipo]]="SELL",IF(ISNUMBER(FIND(MID(AP$1,10,5),TbTradesBinance[[#This Row],[Par]])),IF(FIND(MID(AP$1,10,5),TbTradesBinance[[#This Row],[Par]])=1, -(AO121-AO122)/AO121*AP121,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Row],[Par]])),(-(AO121-AO122)/AO121*AP121)+IF(TbTradesBinance[[#This Row],[Resultado]]&gt;0,0,TbTradesBinance[[#This Row],[Taxa]]),0),0))</f>
        <v>113.87766627073657</v>
      </c>
      <c r="AQ122" s="145">
        <f t="shared" si="29"/>
        <v>1528.284392749983</v>
      </c>
      <c r="AR12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Row],[Tipo]]="DROP"),AR121+TbTradesBinance[[#This Row],[Qtt]],AR121-TbTradesBinance[[#This Row],[Qtt]]),IF(TbTradesBinance[[#This Row],[Tipo]]="BUY",AR121-TbTradesBinance[[#This Row],[Qtt]]*TbTradesBinance[[#This Row],[Preço]],AR121+TbTradesBinance[[#This Row],[Qtt]]*TbTradesBinance[[#This Row],[Preço]])),AR121)-IF(TbTradesBinance[[#This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Row],[Tipo]]="DROP"),AR121+TbTradesBinance[[#This Row],[Qtt]],AR121-TbTradesBinance[[#This Row],[Qtt]]),IF(TbTradesBinance[[#This Row],[Tipo]]="BUY",AR121-TbTradesBinance[[#This Row],[Qtt]]*TbTradesBinance[[#This Row],[Preço]],AR121+TbTradesBinance[[#This Row],[Qtt]]*TbTradesBinance[[#This Row],[Preço]])),AR121)-IF(TbTradesBinance[[#This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Row],[Tipo]]="DROP"),AR121+TbTradesBinance[[#This Row],[Qtt]],AR121-TbTradesBinance[[#This Row],[Qtt]]),IF(TbTradesBinance[[#This Row],[Tipo]]="BUY",AR121-TbTradesBinance[[#This Row],[Qtt]]*TbTradesBinance[[#This Row],[Preço]],AR121+TbTradesBinance[[#This Row],[Qtt]]*TbTradesBinance[[#This Row],[Preço]])),AR121)-IF(TbTradesBinance[[#This Row],[Moeda da Taxa]]=MID(AR$1,9,5),TbTradesBinance[[#This Row],[Taxa]],0),8)))</f>
        <v>61.251199999999997</v>
      </c>
      <c r="AS122" s="145" cm="1">
        <f t="array" ref="AS122">IF(TbTradesBinance[[#This Row],[Tipo]]="EMPTY",0,AS121+IF(TbTradesBinance[[#This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Row],[Par]]))),$1:$1,0)),-(AR121-AR122)/AR121*AS121),0),0)+IF(TbTradesBinance[[#This Row],[Tipo]]="SELL",IF(ISNUMBER(FIND(MID(AS$1,10,5),TbTradesBinance[[#This Row],[Par]])),IF(FIND(MID(AS$1,10,5),TbTradesBinance[[#This Row],[Par]])=1, -(AR121-AR122)/AR121*AS121,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Row],[Par]])),(-(AR121-AR122)/AR121*AS121)+IF(TbTradesBinance[[#This Row],[Resultado]]&gt;0,0,TbTradesBinance[[#This Row],[Taxa]]),0),0))</f>
        <v>230.84001376053044</v>
      </c>
      <c r="AT122" s="145">
        <f t="shared" si="30"/>
        <v>3.7687427146003745</v>
      </c>
      <c r="AU12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Row],[Tipo]]="DROP"),AU121+TbTradesBinance[[#This Row],[Qtt]],AU121-TbTradesBinance[[#This Row],[Qtt]]),IF(TbTradesBinance[[#This Row],[Tipo]]="BUY",AU121-TbTradesBinance[[#This Row],[Qtt]]*TbTradesBinance[[#This Row],[Preço]],AU121+TbTradesBinance[[#This Row],[Qtt]]*TbTradesBinance[[#This Row],[Preço]])),AU121)-IF(TbTradesBinance[[#This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Row],[Tipo]]="DROP"),AU121+TbTradesBinance[[#This Row],[Qtt]],AU121-TbTradesBinance[[#This Row],[Qtt]]),IF(TbTradesBinance[[#This Row],[Tipo]]="BUY",AU121-TbTradesBinance[[#This Row],[Qtt]]*TbTradesBinance[[#This Row],[Preço]],AU121+TbTradesBinance[[#This Row],[Qtt]]*TbTradesBinance[[#This Row],[Preço]])),AU121)-IF(TbTradesBinance[[#This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Row],[Tipo]]="DROP"),AU121+TbTradesBinance[[#This Row],[Qtt]],AU121-TbTradesBinance[[#This Row],[Qtt]]),IF(TbTradesBinance[[#This Row],[Tipo]]="BUY",AU121-TbTradesBinance[[#This Row],[Qtt]]*TbTradesBinance[[#This Row],[Preço]],AU121+TbTradesBinance[[#This Row],[Qtt]]*TbTradesBinance[[#This Row],[Preço]])),AU121)-IF(TbTradesBinance[[#This Row],[Moeda da Taxa]]=MID(AU$1,9,5),TbTradesBinance[[#This Row],[Taxa]],0),8)))</f>
        <v>0</v>
      </c>
      <c r="AV122" s="145" cm="1">
        <f t="array" ref="AV122">IF(TbTradesBinance[[#This Row],[Tipo]]="EMPTY",0,AV121+IF(TbTradesBinance[[#This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Row],[Par]]))),$1:$1,0)),-(AU121-AU122)/AU121*AV121),0),0)+IF(TbTradesBinance[[#This Row],[Tipo]]="SELL",IF(ISNUMBER(FIND(MID(AV$1,10,5),TbTradesBinance[[#This Row],[Par]])),IF(FIND(MID(AV$1,10,5),TbTradesBinance[[#This Row],[Par]])=1, -(AU121-AU122)/AU121*AV121,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Row],[Par]])),(-(AU121-AU122)/AU121*AV121)+IF(TbTradesBinance[[#This Row],[Resultado]]&gt;0,0,TbTradesBinance[[#This Row],[Taxa]]),0),0))</f>
        <v>0</v>
      </c>
      <c r="AW122" s="145">
        <f t="shared" si="31"/>
        <v>0</v>
      </c>
      <c r="AX12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Row],[Tipo]]="DROP"),AX121+TbTradesBinance[[#This Row],[Qtt]],AX121-TbTradesBinance[[#This Row],[Qtt]]),IF(TbTradesBinance[[#This Row],[Tipo]]="BUY",AX121-TbTradesBinance[[#This Row],[Qtt]]*TbTradesBinance[[#This Row],[Preço]],AX121+TbTradesBinance[[#This Row],[Qtt]]*TbTradesBinance[[#This Row],[Preço]])),AX121)-IF(TbTradesBinance[[#This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Row],[Tipo]]="DROP"),AX121+TbTradesBinance[[#This Row],[Qtt]],AX121-TbTradesBinance[[#This Row],[Qtt]]),IF(TbTradesBinance[[#This Row],[Tipo]]="BUY",AX121-TbTradesBinance[[#This Row],[Qtt]]*TbTradesBinance[[#This Row],[Preço]],AX121+TbTradesBinance[[#This Row],[Qtt]]*TbTradesBinance[[#This Row],[Preço]])),AX121)-IF(TbTradesBinance[[#This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Row],[Tipo]]="DROP"),AX121+TbTradesBinance[[#This Row],[Qtt]],AX121-TbTradesBinance[[#This Row],[Qtt]]),IF(TbTradesBinance[[#This Row],[Tipo]]="BUY",AX121-TbTradesBinance[[#This Row],[Qtt]]*TbTradesBinance[[#This Row],[Preço]],AX121+TbTradesBinance[[#This Row],[Qtt]]*TbTradesBinance[[#This Row],[Preço]])),AX121)-IF(TbTradesBinance[[#This Row],[Moeda da Taxa]]=MID(AX$1,9,5),TbTradesBinance[[#This Row],[Taxa]],0),8)))</f>
        <v>0.85636999999999996</v>
      </c>
      <c r="AY122" s="145" cm="1">
        <f t="array" ref="AY122">IF(TbTradesBinance[[#This Row],[Tipo]]="EMPTY",0,AY121+IF(TbTradesBinance[[#This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Row],[Par]]))),$1:$1,0)),-(AX121-AX122)/AX121*AY121),0),0)+IF(TbTradesBinance[[#This Row],[Tipo]]="SELL",IF(ISNUMBER(FIND(MID(AY$1,10,5),TbTradesBinance[[#This Row],[Par]])),IF(FIND(MID(AY$1,10,5),TbTradesBinance[[#This Row],[Par]])=1, -(AX121-AX122)/AX121*AY121,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Row],[Par]])),(-(AX121-AX122)/AX121*AY121)+IF(TbTradesBinance[[#This Row],[Resultado]]&gt;0,0,TbTradesBinance[[#This Row],[Taxa]]),0),0))</f>
        <v>131.82971181780295</v>
      </c>
      <c r="AZ122" s="145">
        <f t="shared" si="32"/>
        <v>153.94013314081874</v>
      </c>
      <c r="BA12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Row],[Tipo]]="DROP"),BA121+TbTradesBinance[[#This Row],[Qtt]],BA121-TbTradesBinance[[#This Row],[Qtt]]),IF(TbTradesBinance[[#This Row],[Tipo]]="BUY",BA121-TbTradesBinance[[#This Row],[Qtt]]*TbTradesBinance[[#This Row],[Preço]],BA121+TbTradesBinance[[#This Row],[Qtt]]*TbTradesBinance[[#This Row],[Preço]])),BA121)-IF(TbTradesBinance[[#This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Row],[Tipo]]="DROP"),BA121+TbTradesBinance[[#This Row],[Qtt]],BA121-TbTradesBinance[[#This Row],[Qtt]]),IF(TbTradesBinance[[#This Row],[Tipo]]="BUY",BA121-TbTradesBinance[[#This Row],[Qtt]]*TbTradesBinance[[#This Row],[Preço]],BA121+TbTradesBinance[[#This Row],[Qtt]]*TbTradesBinance[[#This Row],[Preço]])),BA121)-IF(TbTradesBinance[[#This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Row],[Tipo]]="DROP"),BA121+TbTradesBinance[[#This Row],[Qtt]],BA121-TbTradesBinance[[#This Row],[Qtt]]),IF(TbTradesBinance[[#This Row],[Tipo]]="BUY",BA121-TbTradesBinance[[#This Row],[Qtt]]*TbTradesBinance[[#This Row],[Preço]],BA121+TbTradesBinance[[#This Row],[Qtt]]*TbTradesBinance[[#This Row],[Preço]])),BA121)-IF(TbTradesBinance[[#This Row],[Moeda da Taxa]]=MID(BA$1,9,5),TbTradesBinance[[#This Row],[Taxa]],0),8)))</f>
        <v>0.10571</v>
      </c>
      <c r="BB122" s="145" cm="1">
        <f t="array" ref="BB122">IF(TbTradesBinance[[#This Row],[Tipo]]="EMPTY",0,BB121+IF(TbTradesBinance[[#This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Row],[Par]]))),$1:$1,0)),-(BA121-BA122)/BA121*BB121),0),0)+IF(TbTradesBinance[[#This Row],[Tipo]]="SELL",IF(ISNUMBER(FIND(MID(BB$1,10,5),TbTradesBinance[[#This Row],[Par]])),IF(FIND(MID(BB$1,10,5),TbTradesBinance[[#This Row],[Par]])=1, -(BA121-BA122)/BA121*BB121,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Row],[Par]])),(-(BA121-BA122)/BA121*BB121)+IF(TbTradesBinance[[#This Row],[Resultado]]&gt;0,0,TbTradesBinance[[#This Row],[Taxa]]),0),0))</f>
        <v>120.8257969142021</v>
      </c>
      <c r="BC122" s="145">
        <f t="shared" si="33"/>
        <v>1142.9930651234708</v>
      </c>
      <c r="BD12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Row],[Tipo]]="DROP"),BD121+TbTradesBinance[[#This Row],[Qtt]],BD121-TbTradesBinance[[#This Row],[Qtt]]),IF(TbTradesBinance[[#This Row],[Tipo]]="BUY",BD121-TbTradesBinance[[#This Row],[Qtt]]*TbTradesBinance[[#This Row],[Preço]],BD121+TbTradesBinance[[#This Row],[Qtt]]*TbTradesBinance[[#This Row],[Preço]])),BD121)-IF(TbTradesBinance[[#This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Row],[Tipo]]="DROP"),BD121+TbTradesBinance[[#This Row],[Qtt]],BD121-TbTradesBinance[[#This Row],[Qtt]]),IF(TbTradesBinance[[#This Row],[Tipo]]="BUY",BD121-TbTradesBinance[[#This Row],[Qtt]]*TbTradesBinance[[#This Row],[Preço]],BD121+TbTradesBinance[[#This Row],[Qtt]]*TbTradesBinance[[#This Row],[Preço]])),BD121)-IF(TbTradesBinance[[#This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Row],[Tipo]]="DROP"),BD121+TbTradesBinance[[#This Row],[Qtt]],BD121-TbTradesBinance[[#This Row],[Qtt]]),IF(TbTradesBinance[[#This Row],[Tipo]]="BUY",BD121-TbTradesBinance[[#This Row],[Qtt]]*TbTradesBinance[[#This Row],[Preço]],BD121+TbTradesBinance[[#This Row],[Qtt]]*TbTradesBinance[[#This Row],[Preço]])),BD121)-IF(TbTradesBinance[[#This Row],[Moeda da Taxa]]=MID(BD$1,9,5),TbTradesBinance[[#This Row],[Taxa]],0),8)))</f>
        <v>9.0599900000000004E-3</v>
      </c>
      <c r="BE122" s="145" cm="1">
        <f t="array" ref="BE122">IF(TbTradesBinance[[#This Row],[Tipo]]="EMPTY",0,BE121+IF(TbTradesBinance[[#This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Row],[Par]]))),$1:$1,0)),-(BD121-BD122)/BD121*BE121),0),0)+IF(TbTradesBinance[[#This Row],[Tipo]]="SELL",IF(ISNUMBER(FIND(MID(BE$1,10,5),TbTradesBinance[[#This Row],[Par]])),IF(FIND(MID(BE$1,10,5),TbTradesBinance[[#This Row],[Par]])=1, -(BD121-BD122)/BD121*BE121,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Row],[Par]])),(-(BD121-BD122)/BD121*BE121)+IF(TbTradesBinance[[#This Row],[Resultado]]&gt;0,0,TbTradesBinance[[#This Row],[Taxa]]),0),0))</f>
        <v>1.6846969284922721</v>
      </c>
      <c r="BF122" s="145">
        <f t="shared" si="34"/>
        <v>185.94909359638058</v>
      </c>
      <c r="BG12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Row],[Tipo]]="DROP"),BG121+TbTradesBinance[[#This Row],[Qtt]],BG121-TbTradesBinance[[#This Row],[Qtt]]),IF(TbTradesBinance[[#This Row],[Tipo]]="BUY",BG121-TbTradesBinance[[#This Row],[Qtt]]*TbTradesBinance[[#This Row],[Preço]],BG121+TbTradesBinance[[#This Row],[Qtt]]*TbTradesBinance[[#This Row],[Preço]])),BG121)-IF(TbTradesBinance[[#This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Row],[Tipo]]="DROP"),BG121+TbTradesBinance[[#This Row],[Qtt]],BG121-TbTradesBinance[[#This Row],[Qtt]]),IF(TbTradesBinance[[#This Row],[Tipo]]="BUY",BG121-TbTradesBinance[[#This Row],[Qtt]]*TbTradesBinance[[#This Row],[Preço]],BG121+TbTradesBinance[[#This Row],[Qtt]]*TbTradesBinance[[#This Row],[Preço]])),BG121)-IF(TbTradesBinance[[#This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Row],[Tipo]]="DROP"),BG121+TbTradesBinance[[#This Row],[Qtt]],BG121-TbTradesBinance[[#This Row],[Qtt]]),IF(TbTradesBinance[[#This Row],[Tipo]]="BUY",BG121-TbTradesBinance[[#This Row],[Qtt]]*TbTradesBinance[[#This Row],[Preço]],BG121+TbTradesBinance[[#This Row],[Qtt]]*TbTradesBinance[[#This Row],[Preço]])),BG121)-IF(TbTradesBinance[[#This Row],[Moeda da Taxa]]=MID(BG$1,9,5),TbTradesBinance[[#This Row],[Taxa]],0),8)))</f>
        <v>0</v>
      </c>
      <c r="BH122" s="145" cm="1">
        <f t="array" ref="BH122">IF(TbTradesBinance[[#This Row],[Tipo]]="EMPTY",0,BH121+IF(TbTradesBinance[[#This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Row],[Par]]))),$1:$1,0)),-(BG121-BG122)/BG121*BH121),0),0)+IF(TbTradesBinance[[#This Row],[Tipo]]="SELL",IF(ISNUMBER(FIND(MID(BH$1,10,5),TbTradesBinance[[#This Row],[Par]])),IF(FIND(MID(BH$1,10,5),TbTradesBinance[[#This Row],[Par]])=1, -(BG121-BG122)/BG121*BH121,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Row],[Par]])),(-(BG121-BG122)/BG121*BH121)+IF(TbTradesBinance[[#This Row],[Resultado]]&gt;0,0,TbTradesBinance[[#This Row],[Taxa]]),0),0))</f>
        <v>0</v>
      </c>
      <c r="BI122" s="145">
        <f t="shared" si="35"/>
        <v>0</v>
      </c>
      <c r="BJ12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Row],[Tipo]]="DROP"),BJ121+TbTradesBinance[[#This Row],[Qtt]],BJ121-TbTradesBinance[[#This Row],[Qtt]]),IF(TbTradesBinance[[#This Row],[Tipo]]="BUY",BJ121-TbTradesBinance[[#This Row],[Qtt]]*TbTradesBinance[[#This Row],[Preço]],BJ121+TbTradesBinance[[#This Row],[Qtt]]*TbTradesBinance[[#This Row],[Preço]])),BJ121)-IF(TbTradesBinance[[#This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Row],[Tipo]]="DROP"),BJ121+TbTradesBinance[[#This Row],[Qtt]],BJ121-TbTradesBinance[[#This Row],[Qtt]]),IF(TbTradesBinance[[#This Row],[Tipo]]="BUY",BJ121-TbTradesBinance[[#This Row],[Qtt]]*TbTradesBinance[[#This Row],[Preço]],BJ121+TbTradesBinance[[#This Row],[Qtt]]*TbTradesBinance[[#This Row],[Preço]])),BJ121)-IF(TbTradesBinance[[#This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Row],[Tipo]]="DROP"),BJ121+TbTradesBinance[[#This Row],[Qtt]],BJ121-TbTradesBinance[[#This Row],[Qtt]]),IF(TbTradesBinance[[#This Row],[Tipo]]="BUY",BJ121-TbTradesBinance[[#This Row],[Qtt]]*TbTradesBinance[[#This Row],[Preço]],BJ121+TbTradesBinance[[#This Row],[Qtt]]*TbTradesBinance[[#This Row],[Preço]])),BJ121)-IF(TbTradesBinance[[#This Row],[Moeda da Taxa]]=MID(BJ$1,9,5),TbTradesBinance[[#This Row],[Taxa]],0),8)))</f>
        <v>0</v>
      </c>
      <c r="BK122" s="145" cm="1">
        <f t="array" ref="BK122">IF(TbTradesBinance[[#This Row],[Tipo]]="EMPTY",0,BK121+IF(TbTradesBinance[[#This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Row],[Par]]))),$1:$1,0)),-(BJ121-BJ122)/BJ121*BK121),0),0)+IF(TbTradesBinance[[#This Row],[Tipo]]="SELL",IF(ISNUMBER(FIND(MID(BK$1,10,5),TbTradesBinance[[#This Row],[Par]])),IF(FIND(MID(BK$1,10,5),TbTradesBinance[[#This Row],[Par]])=1, -(BJ121-BJ122)/BJ121*BK121,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Row],[Par]])),(-(BJ121-BJ122)/BJ121*BK121)+IF(TbTradesBinance[[#This Row],[Resultado]]&gt;0,0,TbTradesBinance[[#This Row],[Taxa]]),0),0))</f>
        <v>0</v>
      </c>
      <c r="BL122" s="145">
        <f t="shared" si="36"/>
        <v>0</v>
      </c>
      <c r="BM12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Row],[Tipo]]="DROP"),BM121+TbTradesBinance[[#This Row],[Qtt]],BM121-TbTradesBinance[[#This Row],[Qtt]]),IF(TbTradesBinance[[#This Row],[Tipo]]="BUY",BM121-TbTradesBinance[[#This Row],[Qtt]]*TbTradesBinance[[#This Row],[Preço]],BM121+TbTradesBinance[[#This Row],[Qtt]]*TbTradesBinance[[#This Row],[Preço]])),BM121)-IF(TbTradesBinance[[#This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Row],[Tipo]]="DROP"),BM121+TbTradesBinance[[#This Row],[Qtt]],BM121-TbTradesBinance[[#This Row],[Qtt]]),IF(TbTradesBinance[[#This Row],[Tipo]]="BUY",BM121-TbTradesBinance[[#This Row],[Qtt]]*TbTradesBinance[[#This Row],[Preço]],BM121+TbTradesBinance[[#This Row],[Qtt]]*TbTradesBinance[[#This Row],[Preço]])),BM121)-IF(TbTradesBinance[[#This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Row],[Tipo]]="DROP"),BM121+TbTradesBinance[[#This Row],[Qtt]],BM121-TbTradesBinance[[#This Row],[Qtt]]),IF(TbTradesBinance[[#This Row],[Tipo]]="BUY",BM121-TbTradesBinance[[#This Row],[Qtt]]*TbTradesBinance[[#This Row],[Preço]],BM121+TbTradesBinance[[#This Row],[Qtt]]*TbTradesBinance[[#This Row],[Preço]])),BM121)-IF(TbTradesBinance[[#This Row],[Moeda da Taxa]]=MID(BM$1,9,5),TbTradesBinance[[#This Row],[Taxa]],0),8)))</f>
        <v>0</v>
      </c>
      <c r="BN122" s="145" cm="1">
        <f t="array" ref="BN122">IF(TbTradesBinance[[#This Row],[Tipo]]="EMPTY",0,BN121+IF(TbTradesBinance[[#This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Row],[Par]]))),$1:$1,0)),-(BM121-BM122)/BM121*BN121),0),0)+IF(TbTradesBinance[[#This Row],[Tipo]]="SELL",IF(ISNUMBER(FIND(MID(BN$1,10,5),TbTradesBinance[[#This Row],[Par]])),IF(FIND(MID(BN$1,10,5),TbTradesBinance[[#This Row],[Par]])=1, -(BM121-BM122)/BM121*BN121,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Row],[Par]])),(-(BM121-BM122)/BM121*BN121)+IF(TbTradesBinance[[#This Row],[Resultado]]&gt;0,0,TbTradesBinance[[#This Row],[Taxa]]),0),0))</f>
        <v>0</v>
      </c>
      <c r="BO122" s="145">
        <f t="shared" si="37"/>
        <v>0</v>
      </c>
    </row>
    <row r="123" spans="2:67" x14ac:dyDescent="0.3">
      <c r="B123" s="51" t="s">
        <v>107</v>
      </c>
      <c r="C123" s="40">
        <f>TRUNC(IF(AND(TbTradesBinance[[#This Row],[Tipo]]="SEND",TbTradesBinance[[#This Row],[Par]]="BRL"),TbTradesBinance[[#This Row],[Qtt]]*(1-P121)-IF(TbTradesBinance[[#This Row],[Moeda da Taxa]]="BRL",TbTradesBinance[[#This Row],[Taxa]],0),0)+IF(AND(TbTradesBinance[[#This Row],[Tipo]]="BURN",TbTradesBinance[[#This Row],[Par]]="BRL"),-TbTradesBinance[[#This Row],[Qtt]]*P121,0),2)</f>
        <v>0</v>
      </c>
      <c r="D123" s="53">
        <v>44276.760358796295</v>
      </c>
      <c r="E123" s="37" t="s">
        <v>243</v>
      </c>
      <c r="F123" s="47" t="s">
        <v>139</v>
      </c>
      <c r="G123" s="38">
        <v>266.89403972999997</v>
      </c>
      <c r="H123" s="38">
        <v>1.5099999999999999E-6</v>
      </c>
      <c r="I123" s="38">
        <v>2.9999999999999997E-8</v>
      </c>
      <c r="J123" s="37" t="s">
        <v>45</v>
      </c>
      <c r="K123" s="52">
        <v>5.593</v>
      </c>
      <c r="L123" s="40">
        <f t="shared" si="19"/>
        <v>1492.73</v>
      </c>
      <c r="M123" s="40">
        <f>IF(OR(TbTradesBinance[[#This Row],[Tipo]]="BUY",TbTradesBinance[[#This Row],[Tipo]]="RECEIVE",TbTradesBinance[[#This Row],[Tipo]]="DROP"),L123*H123,-L123*H123)</f>
        <v>2.2540222999999997E-3</v>
      </c>
      <c r="N12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Row],[Tipo]]="DROP"),N122+TbTradesBinance[[#This Row],[Qtt]],N122-TbTradesBinance[[#This Row],[Qtt]]),IF(TbTradesBinance[[#This Row],[Tipo]]="BUY",N122-TbTradesBinance[[#This Row],[Qtt]]*TbTradesBinance[[#This Row],[Preço]],N122+TbTradesBinance[[#This Row],[Qtt]]*TbTradesBinance[[#This Row],[Preço]])),N122)-IF(TbTradesBinance[[#This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Row],[Tipo]]="DROP"),N122+TbTradesBinance[[#This Row],[Qtt]],N122-TbTradesBinance[[#This Row],[Qtt]]),IF(TbTradesBinance[[#This Row],[Tipo]]="BUY",N122-TbTradesBinance[[#This Row],[Qtt]]*TbTradesBinance[[#This Row],[Preço]],N122+TbTradesBinance[[#This Row],[Qtt]]*TbTradesBinance[[#This Row],[Preço]])),N122)-IF(TbTradesBinance[[#This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Row],[Tipo]]="DROP"),N122+TbTradesBinance[[#This Row],[Qtt]],N122-TbTradesBinance[[#This Row],[Qtt]]),IF(TbTradesBinance[[#This Row],[Tipo]]="BUY",N122-TbTradesBinance[[#This Row],[Qtt]]*TbTradesBinance[[#This Row],[Preço]],N122+TbTradesBinance[[#This Row],[Qtt]]*TbTradesBinance[[#This Row],[Preço]])),N122)-IF(TbTradesBinance[[#This Row],[Moeda da Taxa]]=MID(N$1,9,5),TbTradesBinance[[#This Row],[Taxa]],0),8)))</f>
        <v>119850.11049418</v>
      </c>
      <c r="O123" s="145" cm="1">
        <f t="array" ref="O123">IF(TbTradesBinance[[#This Row],[Tipo]]="EMPTY",0,O122+IF(TbTradesBinance[[#This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Row],[Par]]))),$1:$1,0)),-(N122-N123)/N122*O122),0),0)+IF(TbTradesBinance[[#This Row],[Tipo]]="SELL",IF(ISNUMBER(FIND(MID(O$1,10,5),TbTradesBinance[[#This Row],[Par]])),IF(FIND(MID(O$1,10,5),TbTradesBinance[[#This Row],[Par]])=1, -(N122-N123)/N122*O122,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Row],[Par]])),(-(N122-N123)/N122*O122)+IF(TbTradesBinance[[#This Row],[Resultado]]&gt;0,0,TbTradesBinance[[#This Row],[Taxa]]),0),0))</f>
        <v>119842.46197104781</v>
      </c>
      <c r="P123" s="145">
        <f t="shared" si="20"/>
        <v>0.99993618259423667</v>
      </c>
      <c r="Q12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Row],[Tipo]]="DROP"),Q122+TbTradesBinance[[#This Row],[Qtt]],Q122-TbTradesBinance[[#This Row],[Qtt]]),IF(TbTradesBinance[[#This Row],[Tipo]]="BUY",Q122-TbTradesBinance[[#This Row],[Qtt]]*TbTradesBinance[[#This Row],[Preço]],Q122+TbTradesBinance[[#This Row],[Qtt]]*TbTradesBinance[[#This Row],[Preço]])),Q122)-IF(TbTradesBinance[[#This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Row],[Tipo]]="DROP"),Q122+TbTradesBinance[[#This Row],[Qtt]],Q122-TbTradesBinance[[#This Row],[Qtt]]),IF(TbTradesBinance[[#This Row],[Tipo]]="BUY",Q122-TbTradesBinance[[#This Row],[Qtt]]*TbTradesBinance[[#This Row],[Preço]],Q122+TbTradesBinance[[#This Row],[Qtt]]*TbTradesBinance[[#This Row],[Preço]])),Q122)-IF(TbTradesBinance[[#This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Row],[Tipo]]="DROP"),Q122+TbTradesBinance[[#This Row],[Qtt]],Q122-TbTradesBinance[[#This Row],[Qtt]]),IF(TbTradesBinance[[#This Row],[Tipo]]="BUY",Q122-TbTradesBinance[[#This Row],[Qtt]]*TbTradesBinance[[#This Row],[Preço]],Q122+TbTradesBinance[[#This Row],[Qtt]]*TbTradesBinance[[#This Row],[Preço]])),Q122)-IF(TbTradesBinance[[#This Row],[Moeda da Taxa]]=MID(Q$1,9,5),TbTradesBinance[[#This Row],[Taxa]],0),8)))</f>
        <v>0</v>
      </c>
      <c r="R123" s="145" cm="1">
        <f t="array" ref="R123">IF(TbTradesBinance[[#This Row],[Tipo]]="EMPTY",0,R122+IF(TbTradesBinance[[#This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Row],[Par]]))),$1:$1,0)),-(Q122-Q123)/Q122*R122),0),0)+IF(TbTradesBinance[[#This Row],[Tipo]]="SELL",IF(ISNUMBER(FIND(MID(R$1,10,5),TbTradesBinance[[#This Row],[Par]])),IF(FIND(MID(R$1,10,5),TbTradesBinance[[#This Row],[Par]])=1, -(Q122-Q123)/Q122*R122,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Row],[Par]])),(-(Q122-Q123)/Q122*R122)+IF(TbTradesBinance[[#This Row],[Resultado]]&gt;0,0,TbTradesBinance[[#This Row],[Taxa]]),0),0))</f>
        <v>0</v>
      </c>
      <c r="S123" s="145">
        <f t="shared" si="21"/>
        <v>0</v>
      </c>
      <c r="T12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Row],[Tipo]]="DROP"),T122+TbTradesBinance[[#This Row],[Qtt]],T122-TbTradesBinance[[#This Row],[Qtt]]),IF(TbTradesBinance[[#This Row],[Tipo]]="BUY",T122-TbTradesBinance[[#This Row],[Qtt]]*TbTradesBinance[[#This Row],[Preço]],T122+TbTradesBinance[[#This Row],[Qtt]]*TbTradesBinance[[#This Row],[Preço]])),T122)-IF(TbTradesBinance[[#This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Row],[Tipo]]="DROP"),T122+TbTradesBinance[[#This Row],[Qtt]],T122-TbTradesBinance[[#This Row],[Qtt]]),IF(TbTradesBinance[[#This Row],[Tipo]]="BUY",T122-TbTradesBinance[[#This Row],[Qtt]]*TbTradesBinance[[#This Row],[Preço]],T122+TbTradesBinance[[#This Row],[Qtt]]*TbTradesBinance[[#This Row],[Preço]])),T122)-IF(TbTradesBinance[[#This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Row],[Tipo]]="DROP"),T122+TbTradesBinance[[#This Row],[Qtt]],T122-TbTradesBinance[[#This Row],[Qtt]]),IF(TbTradesBinance[[#This Row],[Tipo]]="BUY",T122-TbTradesBinance[[#This Row],[Qtt]]*TbTradesBinance[[#This Row],[Preço]],T122+TbTradesBinance[[#This Row],[Qtt]]*TbTradesBinance[[#This Row],[Preço]])),T122)-IF(TbTradesBinance[[#This Row],[Moeda da Taxa]]=MID(T$1,9,5),TbTradesBinance[[#This Row],[Taxa]],0),8)))</f>
        <v>199735.32000169999</v>
      </c>
      <c r="U123" s="145" cm="1">
        <f t="array" ref="U123">IF(TbTradesBinance[[#This Row],[Tipo]]="EMPTY",0,U122+IF(TbTradesBinance[[#This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Row],[Par]]))),$1:$1,0)),-(T122-T123)/T122*U122),0),0)+IF(TbTradesBinance[[#This Row],[Tipo]]="SELL",IF(ISNUMBER(FIND(MID(U$1,10,5),TbTradesBinance[[#This Row],[Par]])),IF(FIND(MID(U$1,10,5),TbTradesBinance[[#This Row],[Par]])=1, -(T122-T123)/T122*U122,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Row],[Par]])),(-(T122-T123)/T122*U122)+IF(TbTradesBinance[[#This Row],[Resultado]]&gt;0,0,TbTradesBinance[[#This Row],[Taxa]]),0),0))</f>
        <v>1328239.8809817513</v>
      </c>
      <c r="V123" s="145">
        <f t="shared" si="22"/>
        <v>6.6500000148719129</v>
      </c>
      <c r="W12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Row],[Tipo]]="DROP"),W122+TbTradesBinance[[#This Row],[Qtt]],W122-TbTradesBinance[[#This Row],[Qtt]]),IF(TbTradesBinance[[#This Row],[Tipo]]="BUY",W122-TbTradesBinance[[#This Row],[Qtt]]*TbTradesBinance[[#This Row],[Preço]],W122+TbTradesBinance[[#This Row],[Qtt]]*TbTradesBinance[[#This Row],[Preço]])),W122)-IF(TbTradesBinance[[#This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Row],[Tipo]]="DROP"),W122+TbTradesBinance[[#This Row],[Qtt]],W122-TbTradesBinance[[#This Row],[Qtt]]),IF(TbTradesBinance[[#This Row],[Tipo]]="BUY",W122-TbTradesBinance[[#This Row],[Qtt]]*TbTradesBinance[[#This Row],[Preço]],W122+TbTradesBinance[[#This Row],[Qtt]]*TbTradesBinance[[#This Row],[Preço]])),W122)-IF(TbTradesBinance[[#This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Row],[Tipo]]="DROP"),W122+TbTradesBinance[[#This Row],[Qtt]],W122-TbTradesBinance[[#This Row],[Qtt]]),IF(TbTradesBinance[[#This Row],[Tipo]]="BUY",W122-TbTradesBinance[[#This Row],[Qtt]]*TbTradesBinance[[#This Row],[Preço]],W122+TbTradesBinance[[#This Row],[Qtt]]*TbTradesBinance[[#This Row],[Preço]])),W122)-IF(TbTradesBinance[[#This Row],[Moeda da Taxa]]=MID(W$1,9,5),TbTradesBinance[[#This Row],[Taxa]],0),8)))</f>
        <v>2.5393600000000001E-3</v>
      </c>
      <c r="X123" s="145" cm="1">
        <f t="array" ref="X123">IF(TbTradesBinance[[#This Row],[Tipo]]="EMPTY",0,X122+IF(TbTradesBinance[[#This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Row],[Par]]))),$1:$1,0)),-(W122-W123)/W122*X122),0),0)+IF(TbTradesBinance[[#This Row],[Tipo]]="SELL",IF(ISNUMBER(FIND(MID(X$1,10,5),TbTradesBinance[[#This Row],[Par]])),IF(FIND(MID(X$1,10,5),TbTradesBinance[[#This Row],[Par]])=1, -(W122-W123)/W122*X122,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Row],[Par]])),(-(W122-W123)/W122*X122)+IF(TbTradesBinance[[#This Row],[Resultado]]&gt;0,0,TbTradesBinance[[#This Row],[Taxa]]),0),0))</f>
        <v>847.47496668103008</v>
      </c>
      <c r="Y123" s="145">
        <f t="shared" si="23"/>
        <v>333735.65255853051</v>
      </c>
      <c r="Z12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Row],[Tipo]]="DROP"),Z122+TbTradesBinance[[#This Row],[Qtt]],Z122-TbTradesBinance[[#This Row],[Qtt]]),IF(TbTradesBinance[[#This Row],[Tipo]]="BUY",Z122-TbTradesBinance[[#This Row],[Qtt]]*TbTradesBinance[[#This Row],[Preço]],Z122+TbTradesBinance[[#This Row],[Qtt]]*TbTradesBinance[[#This Row],[Preço]])),Z122)-IF(TbTradesBinance[[#This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Row],[Tipo]]="DROP"),Z122+TbTradesBinance[[#This Row],[Qtt]],Z122-TbTradesBinance[[#This Row],[Qtt]]),IF(TbTradesBinance[[#This Row],[Tipo]]="BUY",Z122-TbTradesBinance[[#This Row],[Qtt]]*TbTradesBinance[[#This Row],[Preço]],Z122+TbTradesBinance[[#This Row],[Qtt]]*TbTradesBinance[[#This Row],[Preço]])),Z122)-IF(TbTradesBinance[[#This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Row],[Tipo]]="DROP"),Z122+TbTradesBinance[[#This Row],[Qtt]],Z122-TbTradesBinance[[#This Row],[Qtt]]),IF(TbTradesBinance[[#This Row],[Tipo]]="BUY",Z122-TbTradesBinance[[#This Row],[Qtt]]*TbTradesBinance[[#This Row],[Preço]],Z122+TbTradesBinance[[#This Row],[Qtt]]*TbTradesBinance[[#This Row],[Preço]])),Z122)-IF(TbTradesBinance[[#This Row],[Moeda da Taxa]]=MID(Z$1,9,5),TbTradesBinance[[#This Row],[Taxa]],0),8)))</f>
        <v>9.3300000000000005E-6</v>
      </c>
      <c r="AA123" s="145" cm="1">
        <f t="array" ref="AA123">IF(TbTradesBinance[[#This Row],[Tipo]]="EMPTY",0,AA122+IF(TbTradesBinance[[#This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Row],[Par]]))),$1:$1,0)),-(Z122-Z123)/Z122*AA122),0),0)+IF(TbTradesBinance[[#This Row],[Tipo]]="SELL",IF(ISNUMBER(FIND(MID(AA$1,10,5),TbTradesBinance[[#This Row],[Par]])),IF(FIND(MID(AA$1,10,5),TbTradesBinance[[#This Row],[Par]])=1, -(Z122-Z123)/Z122*AA122,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Row],[Par]])),(-(Z122-Z123)/Z122*AA122)+IF(TbTradesBinance[[#This Row],[Resultado]]&gt;0,0,TbTradesBinance[[#This Row],[Taxa]]),0),0))</f>
        <v>9.7066397187928644E-2</v>
      </c>
      <c r="AB123" s="145">
        <f t="shared" si="24"/>
        <v>10403.686729681525</v>
      </c>
      <c r="AC12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Row],[Tipo]]="DROP"),AC122+TbTradesBinance[[#This Row],[Qtt]],AC122-TbTradesBinance[[#This Row],[Qtt]]),IF(TbTradesBinance[[#This Row],[Tipo]]="BUY",AC122-TbTradesBinance[[#This Row],[Qtt]]*TbTradesBinance[[#This Row],[Preço]],AC122+TbTradesBinance[[#This Row],[Qtt]]*TbTradesBinance[[#This Row],[Preço]])),AC122)-IF(TbTradesBinance[[#This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Row],[Tipo]]="DROP"),AC122+TbTradesBinance[[#This Row],[Qtt]],AC122-TbTradesBinance[[#This Row],[Qtt]]),IF(TbTradesBinance[[#This Row],[Tipo]]="BUY",AC122-TbTradesBinance[[#This Row],[Qtt]]*TbTradesBinance[[#This Row],[Preço]],AC122+TbTradesBinance[[#This Row],[Qtt]]*TbTradesBinance[[#This Row],[Preço]])),AC122)-IF(TbTradesBinance[[#This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Row],[Tipo]]="DROP"),AC122+TbTradesBinance[[#This Row],[Qtt]],AC122-TbTradesBinance[[#This Row],[Qtt]]),IF(TbTradesBinance[[#This Row],[Tipo]]="BUY",AC122-TbTradesBinance[[#This Row],[Qtt]]*TbTradesBinance[[#This Row],[Preço]],AC122+TbTradesBinance[[#This Row],[Qtt]]*TbTradesBinance[[#This Row],[Preço]])),AC122)-IF(TbTradesBinance[[#This Row],[Moeda da Taxa]]=MID(AC$1,9,5),TbTradesBinance[[#This Row],[Taxa]],0),8)))</f>
        <v>9.6999E-4</v>
      </c>
      <c r="AD123" s="145" cm="1">
        <f t="array" ref="AD123">IF(TbTradesBinance[[#This Row],[Tipo]]="EMPTY",0,AD122+IF(TbTradesBinance[[#This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Row],[Par]]))),$1:$1,0)),-(AC122-AC123)/AC122*AD122),0),0)+IF(TbTradesBinance[[#This Row],[Tipo]]="SELL",IF(ISNUMBER(FIND(MID(AD$1,10,5),TbTradesBinance[[#This Row],[Par]])),IF(FIND(MID(AD$1,10,5),TbTradesBinance[[#This Row],[Par]])=1, -(AC122-AC123)/AC122*AD122,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Row],[Par]])),(-(AC122-AC123)/AC122*AD122)+IF(TbTradesBinance[[#This Row],[Resultado]]&gt;0,0,TbTradesBinance[[#This Row],[Taxa]]),0),0))</f>
        <v>1.9483868939812083</v>
      </c>
      <c r="AE123" s="145">
        <f t="shared" si="25"/>
        <v>2008.6669903619711</v>
      </c>
      <c r="AF12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Row],[Tipo]]="DROP"),AF122+TbTradesBinance[[#This Row],[Qtt]],AF122-TbTradesBinance[[#This Row],[Qtt]]),IF(TbTradesBinance[[#This Row],[Tipo]]="BUY",AF122-TbTradesBinance[[#This Row],[Qtt]]*TbTradesBinance[[#This Row],[Preço]],AF122+TbTradesBinance[[#This Row],[Qtt]]*TbTradesBinance[[#This Row],[Preço]])),AF122)-IF(TbTradesBinance[[#This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Row],[Tipo]]="DROP"),AF122+TbTradesBinance[[#This Row],[Qtt]],AF122-TbTradesBinance[[#This Row],[Qtt]]),IF(TbTradesBinance[[#This Row],[Tipo]]="BUY",AF122-TbTradesBinance[[#This Row],[Qtt]]*TbTradesBinance[[#This Row],[Preço]],AF122+TbTradesBinance[[#This Row],[Qtt]]*TbTradesBinance[[#This Row],[Preço]])),AF122)-IF(TbTradesBinance[[#This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Row],[Tipo]]="DROP"),AF122+TbTradesBinance[[#This Row],[Qtt]],AF122-TbTradesBinance[[#This Row],[Qtt]]),IF(TbTradesBinance[[#This Row],[Tipo]]="BUY",AF122-TbTradesBinance[[#This Row],[Qtt]]*TbTradesBinance[[#This Row],[Preço]],AF122+TbTradesBinance[[#This Row],[Qtt]]*TbTradesBinance[[#This Row],[Preço]])),AF122)-IF(TbTradesBinance[[#This Row],[Moeda da Taxa]]=MID(AF$1,9,5),TbTradesBinance[[#This Row],[Taxa]],0),8)))</f>
        <v>0.08</v>
      </c>
      <c r="AG123" s="145" cm="1">
        <f t="array" ref="AG123">IF(TbTradesBinance[[#This Row],[Tipo]]="EMPTY",0,AG122+IF(TbTradesBinance[[#This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Row],[Par]]))),$1:$1,0)),-(AF122-AF123)/AF122*AG122),0),0)+IF(TbTradesBinance[[#This Row],[Tipo]]="SELL",IF(ISNUMBER(FIND(MID(AG$1,10,5),TbTradesBinance[[#This Row],[Par]])),IF(FIND(MID(AG$1,10,5),TbTradesBinance[[#This Row],[Par]])=1, -(AF122-AF123)/AF122*AG122,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Row],[Par]])),(-(AF122-AF123)/AF122*AG122)+IF(TbTradesBinance[[#This Row],[Resultado]]&gt;0,0,TbTradesBinance[[#This Row],[Taxa]]),0),0))</f>
        <v>0.49666397429723474</v>
      </c>
      <c r="AH123" s="145">
        <f t="shared" si="26"/>
        <v>6.2082996787154343</v>
      </c>
      <c r="AI12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Row],[Tipo]]="DROP"),AI122+TbTradesBinance[[#This Row],[Qtt]],AI122-TbTradesBinance[[#This Row],[Qtt]]),IF(TbTradesBinance[[#This Row],[Tipo]]="BUY",AI122-TbTradesBinance[[#This Row],[Qtt]]*TbTradesBinance[[#This Row],[Preço]],AI122+TbTradesBinance[[#This Row],[Qtt]]*TbTradesBinance[[#This Row],[Preço]])),AI122)-IF(TbTradesBinance[[#This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Row],[Tipo]]="DROP"),AI122+TbTradesBinance[[#This Row],[Qtt]],AI122-TbTradesBinance[[#This Row],[Qtt]]),IF(TbTradesBinance[[#This Row],[Tipo]]="BUY",AI122-TbTradesBinance[[#This Row],[Qtt]]*TbTradesBinance[[#This Row],[Preço]],AI122+TbTradesBinance[[#This Row],[Qtt]]*TbTradesBinance[[#This Row],[Preço]])),AI122)-IF(TbTradesBinance[[#This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Row],[Tipo]]="DROP"),AI122+TbTradesBinance[[#This Row],[Qtt]],AI122-TbTradesBinance[[#This Row],[Qtt]]),IF(TbTradesBinance[[#This Row],[Tipo]]="BUY",AI122-TbTradesBinance[[#This Row],[Qtt]]*TbTradesBinance[[#This Row],[Preço]],AI122+TbTradesBinance[[#This Row],[Qtt]]*TbTradesBinance[[#This Row],[Preço]])),AI122)-IF(TbTradesBinance[[#This Row],[Moeda da Taxa]]=MID(AI$1,9,5),TbTradesBinance[[#This Row],[Taxa]],0),8)))</f>
        <v>0</v>
      </c>
      <c r="AJ123" s="145" cm="1">
        <f t="array" ref="AJ123">IF(TbTradesBinance[[#This Row],[Tipo]]="EMPTY",0,AJ122+IF(TbTradesBinance[[#This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Row],[Par]]))),$1:$1,0)),-(AI122-AI123)/AI122*AJ122),0),0)+IF(TbTradesBinance[[#This Row],[Tipo]]="SELL",IF(ISNUMBER(FIND(MID(AJ$1,10,5),TbTradesBinance[[#This Row],[Par]])),IF(FIND(MID(AJ$1,10,5),TbTradesBinance[[#This Row],[Par]])=1, -(AI122-AI123)/AI122*AJ122,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Row],[Par]])),(-(AI122-AI123)/AI122*AJ122)+IF(TbTradesBinance[[#This Row],[Resultado]]&gt;0,0,TbTradesBinance[[#This Row],[Taxa]]),0),0))</f>
        <v>0</v>
      </c>
      <c r="AK123" s="145">
        <f t="shared" si="27"/>
        <v>0</v>
      </c>
      <c r="AL12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Row],[Tipo]]="DROP"),AL122+TbTradesBinance[[#This Row],[Qtt]],AL122-TbTradesBinance[[#This Row],[Qtt]]),IF(TbTradesBinance[[#This Row],[Tipo]]="BUY",AL122-TbTradesBinance[[#This Row],[Qtt]]*TbTradesBinance[[#This Row],[Preço]],AL122+TbTradesBinance[[#This Row],[Qtt]]*TbTradesBinance[[#This Row],[Preço]])),AL122)-IF(TbTradesBinance[[#This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Row],[Tipo]]="DROP"),AL122+TbTradesBinance[[#This Row],[Qtt]],AL122-TbTradesBinance[[#This Row],[Qtt]]),IF(TbTradesBinance[[#This Row],[Tipo]]="BUY",AL122-TbTradesBinance[[#This Row],[Qtt]]*TbTradesBinance[[#This Row],[Preço]],AL122+TbTradesBinance[[#This Row],[Qtt]]*TbTradesBinance[[#This Row],[Preço]])),AL122)-IF(TbTradesBinance[[#This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Row],[Tipo]]="DROP"),AL122+TbTradesBinance[[#This Row],[Qtt]],AL122-TbTradesBinance[[#This Row],[Qtt]]),IF(TbTradesBinance[[#This Row],[Tipo]]="BUY",AL122-TbTradesBinance[[#This Row],[Qtt]]*TbTradesBinance[[#This Row],[Preço]],AL122+TbTradesBinance[[#This Row],[Qtt]]*TbTradesBinance[[#This Row],[Preço]])),AL122)-IF(TbTradesBinance[[#This Row],[Moeda da Taxa]]=MID(AL$1,9,5),TbTradesBinance[[#This Row],[Taxa]],0),8)))</f>
        <v>8.2400000000000008E-3</v>
      </c>
      <c r="AM123" s="145" cm="1">
        <f t="array" ref="AM123">IF(TbTradesBinance[[#This Row],[Tipo]]="EMPTY",0,AM122+IF(TbTradesBinance[[#This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Row],[Par]]))),$1:$1,0)),-(AL122-AL123)/AL122*AM122),0),0)+IF(TbTradesBinance[[#This Row],[Tipo]]="SELL",IF(ISNUMBER(FIND(MID(AM$1,10,5),TbTradesBinance[[#This Row],[Par]])),IF(FIND(MID(AM$1,10,5),TbTradesBinance[[#This Row],[Par]])=1, -(AL122-AL123)/AL122*AM122,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Row],[Par]])),(-(AL122-AL123)/AL122*AM122)+IF(TbTradesBinance[[#This Row],[Resultado]]&gt;0,0,TbTradesBinance[[#This Row],[Taxa]]),0),0))</f>
        <v>0.67751089887772764</v>
      </c>
      <c r="AN123" s="145">
        <f t="shared" si="28"/>
        <v>82.222196465743636</v>
      </c>
      <c r="AO12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Row],[Tipo]]="DROP"),AO122+TbTradesBinance[[#This Row],[Qtt]],AO122-TbTradesBinance[[#This Row],[Qtt]]),IF(TbTradesBinance[[#This Row],[Tipo]]="BUY",AO122-TbTradesBinance[[#This Row],[Qtt]]*TbTradesBinance[[#This Row],[Preço]],AO122+TbTradesBinance[[#This Row],[Qtt]]*TbTradesBinance[[#This Row],[Preço]])),AO122)-IF(TbTradesBinance[[#This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Row],[Tipo]]="DROP"),AO122+TbTradesBinance[[#This Row],[Qtt]],AO122-TbTradesBinance[[#This Row],[Qtt]]),IF(TbTradesBinance[[#This Row],[Tipo]]="BUY",AO122-TbTradesBinance[[#This Row],[Qtt]]*TbTradesBinance[[#This Row],[Preço]],AO122+TbTradesBinance[[#This Row],[Qtt]]*TbTradesBinance[[#This Row],[Preço]])),AO122)-IF(TbTradesBinance[[#This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Row],[Tipo]]="DROP"),AO122+TbTradesBinance[[#This Row],[Qtt]],AO122-TbTradesBinance[[#This Row],[Qtt]]),IF(TbTradesBinance[[#This Row],[Tipo]]="BUY",AO122-TbTradesBinance[[#This Row],[Qtt]]*TbTradesBinance[[#This Row],[Preço]],AO122+TbTradesBinance[[#This Row],[Qtt]]*TbTradesBinance[[#This Row],[Preço]])),AO122)-IF(TbTradesBinance[[#This Row],[Moeda da Taxa]]=MID(AO$1,9,5),TbTradesBinance[[#This Row],[Taxa]],0),8)))</f>
        <v>7.4514880000000006E-2</v>
      </c>
      <c r="AP123" s="145" cm="1">
        <f t="array" ref="AP123">IF(TbTradesBinance[[#This Row],[Tipo]]="EMPTY",0,AP122+IF(TbTradesBinance[[#This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Row],[Par]]))),$1:$1,0)),-(AO122-AO123)/AO122*AP122),0),0)+IF(TbTradesBinance[[#This Row],[Tipo]]="SELL",IF(ISNUMBER(FIND(MID(AP$1,10,5),TbTradesBinance[[#This Row],[Par]])),IF(FIND(MID(AP$1,10,5),TbTradesBinance[[#This Row],[Par]])=1, -(AO122-AO123)/AO122*AP122,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Row],[Par]])),(-(AO122-AO123)/AO122*AP122)+IF(TbTradesBinance[[#This Row],[Resultado]]&gt;0,0,TbTradesBinance[[#This Row],[Taxa]]),0),0))</f>
        <v>113.88001431470147</v>
      </c>
      <c r="AQ123" s="145">
        <f t="shared" si="29"/>
        <v>1528.2855493386214</v>
      </c>
      <c r="AR12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Row],[Tipo]]="DROP"),AR122+TbTradesBinance[[#This Row],[Qtt]],AR122-TbTradesBinance[[#This Row],[Qtt]]),IF(TbTradesBinance[[#This Row],[Tipo]]="BUY",AR122-TbTradesBinance[[#This Row],[Qtt]]*TbTradesBinance[[#This Row],[Preço]],AR122+TbTradesBinance[[#This Row],[Qtt]]*TbTradesBinance[[#This Row],[Preço]])),AR122)-IF(TbTradesBinance[[#This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Row],[Tipo]]="DROP"),AR122+TbTradesBinance[[#This Row],[Qtt]],AR122-TbTradesBinance[[#This Row],[Qtt]]),IF(TbTradesBinance[[#This Row],[Tipo]]="BUY",AR122-TbTradesBinance[[#This Row],[Qtt]]*TbTradesBinance[[#This Row],[Preço]],AR122+TbTradesBinance[[#This Row],[Qtt]]*TbTradesBinance[[#This Row],[Preço]])),AR122)-IF(TbTradesBinance[[#This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Row],[Tipo]]="DROP"),AR122+TbTradesBinance[[#This Row],[Qtt]],AR122-TbTradesBinance[[#This Row],[Qtt]]),IF(TbTradesBinance[[#This Row],[Tipo]]="BUY",AR122-TbTradesBinance[[#This Row],[Qtt]]*TbTradesBinance[[#This Row],[Preço]],AR122+TbTradesBinance[[#This Row],[Qtt]]*TbTradesBinance[[#This Row],[Preço]])),AR122)-IF(TbTradesBinance[[#This Row],[Moeda da Taxa]]=MID(AR$1,9,5),TbTradesBinance[[#This Row],[Taxa]],0),8)))</f>
        <v>61.251199999999997</v>
      </c>
      <c r="AS123" s="145" cm="1">
        <f t="array" ref="AS123">IF(TbTradesBinance[[#This Row],[Tipo]]="EMPTY",0,AS122+IF(TbTradesBinance[[#This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Row],[Par]]))),$1:$1,0)),-(AR122-AR123)/AR122*AS122),0),0)+IF(TbTradesBinance[[#This Row],[Tipo]]="SELL",IF(ISNUMBER(FIND(MID(AS$1,10,5),TbTradesBinance[[#This Row],[Par]])),IF(FIND(MID(AS$1,10,5),TbTradesBinance[[#This Row],[Par]])=1, -(AR122-AR123)/AR122*AS122,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Row],[Par]])),(-(AR122-AR123)/AR122*AS122)+IF(TbTradesBinance[[#This Row],[Resultado]]&gt;0,0,TbTradesBinance[[#This Row],[Taxa]]),0),0))</f>
        <v>230.84001376053044</v>
      </c>
      <c r="AT123" s="145">
        <f t="shared" si="30"/>
        <v>3.7687427146003745</v>
      </c>
      <c r="AU12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Row],[Tipo]]="DROP"),AU122+TbTradesBinance[[#This Row],[Qtt]],AU122-TbTradesBinance[[#This Row],[Qtt]]),IF(TbTradesBinance[[#This Row],[Tipo]]="BUY",AU122-TbTradesBinance[[#This Row],[Qtt]]*TbTradesBinance[[#This Row],[Preço]],AU122+TbTradesBinance[[#This Row],[Qtt]]*TbTradesBinance[[#This Row],[Preço]])),AU122)-IF(TbTradesBinance[[#This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Row],[Tipo]]="DROP"),AU122+TbTradesBinance[[#This Row],[Qtt]],AU122-TbTradesBinance[[#This Row],[Qtt]]),IF(TbTradesBinance[[#This Row],[Tipo]]="BUY",AU122-TbTradesBinance[[#This Row],[Qtt]]*TbTradesBinance[[#This Row],[Preço]],AU122+TbTradesBinance[[#This Row],[Qtt]]*TbTradesBinance[[#This Row],[Preço]])),AU122)-IF(TbTradesBinance[[#This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Row],[Tipo]]="DROP"),AU122+TbTradesBinance[[#This Row],[Qtt]],AU122-TbTradesBinance[[#This Row],[Qtt]]),IF(TbTradesBinance[[#This Row],[Tipo]]="BUY",AU122-TbTradesBinance[[#This Row],[Qtt]]*TbTradesBinance[[#This Row],[Preço]],AU122+TbTradesBinance[[#This Row],[Qtt]]*TbTradesBinance[[#This Row],[Preço]])),AU122)-IF(TbTradesBinance[[#This Row],[Moeda da Taxa]]=MID(AU$1,9,5),TbTradesBinance[[#This Row],[Taxa]],0),8)))</f>
        <v>0</v>
      </c>
      <c r="AV123" s="145" cm="1">
        <f t="array" ref="AV123">IF(TbTradesBinance[[#This Row],[Tipo]]="EMPTY",0,AV122+IF(TbTradesBinance[[#This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Row],[Par]]))),$1:$1,0)),-(AU122-AU123)/AU122*AV122),0),0)+IF(TbTradesBinance[[#This Row],[Tipo]]="SELL",IF(ISNUMBER(FIND(MID(AV$1,10,5),TbTradesBinance[[#This Row],[Par]])),IF(FIND(MID(AV$1,10,5),TbTradesBinance[[#This Row],[Par]])=1, -(AU122-AU123)/AU122*AV122,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Row],[Par]])),(-(AU122-AU123)/AU122*AV122)+IF(TbTradesBinance[[#This Row],[Resultado]]&gt;0,0,TbTradesBinance[[#This Row],[Taxa]]),0),0))</f>
        <v>0</v>
      </c>
      <c r="AW123" s="145">
        <f t="shared" si="31"/>
        <v>0</v>
      </c>
      <c r="AX12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Row],[Tipo]]="DROP"),AX122+TbTradesBinance[[#This Row],[Qtt]],AX122-TbTradesBinance[[#This Row],[Qtt]]),IF(TbTradesBinance[[#This Row],[Tipo]]="BUY",AX122-TbTradesBinance[[#This Row],[Qtt]]*TbTradesBinance[[#This Row],[Preço]],AX122+TbTradesBinance[[#This Row],[Qtt]]*TbTradesBinance[[#This Row],[Preço]])),AX122)-IF(TbTradesBinance[[#This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Row],[Tipo]]="DROP"),AX122+TbTradesBinance[[#This Row],[Qtt]],AX122-TbTradesBinance[[#This Row],[Qtt]]),IF(TbTradesBinance[[#This Row],[Tipo]]="BUY",AX122-TbTradesBinance[[#This Row],[Qtt]]*TbTradesBinance[[#This Row],[Preço]],AX122+TbTradesBinance[[#This Row],[Qtt]]*TbTradesBinance[[#This Row],[Preço]])),AX122)-IF(TbTradesBinance[[#This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Row],[Tipo]]="DROP"),AX122+TbTradesBinance[[#This Row],[Qtt]],AX122-TbTradesBinance[[#This Row],[Qtt]]),IF(TbTradesBinance[[#This Row],[Tipo]]="BUY",AX122-TbTradesBinance[[#This Row],[Qtt]]*TbTradesBinance[[#This Row],[Preço]],AX122+TbTradesBinance[[#This Row],[Qtt]]*TbTradesBinance[[#This Row],[Preço]])),AX122)-IF(TbTradesBinance[[#This Row],[Moeda da Taxa]]=MID(AX$1,9,5),TbTradesBinance[[#This Row],[Taxa]],0),8)))</f>
        <v>0.85636999999999996</v>
      </c>
      <c r="AY123" s="145" cm="1">
        <f t="array" ref="AY123">IF(TbTradesBinance[[#This Row],[Tipo]]="EMPTY",0,AY122+IF(TbTradesBinance[[#This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Row],[Par]]))),$1:$1,0)),-(AX122-AX123)/AX122*AY122),0),0)+IF(TbTradesBinance[[#This Row],[Tipo]]="SELL",IF(ISNUMBER(FIND(MID(AY$1,10,5),TbTradesBinance[[#This Row],[Par]])),IF(FIND(MID(AY$1,10,5),TbTradesBinance[[#This Row],[Par]])=1, -(AX122-AX123)/AX122*AY122,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Row],[Par]])),(-(AX122-AX123)/AX122*AY122)+IF(TbTradesBinance[[#This Row],[Resultado]]&gt;0,0,TbTradesBinance[[#This Row],[Taxa]]),0),0))</f>
        <v>131.82971181780295</v>
      </c>
      <c r="AZ123" s="145">
        <f t="shared" si="32"/>
        <v>153.94013314081874</v>
      </c>
      <c r="BA12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Row],[Tipo]]="DROP"),BA122+TbTradesBinance[[#This Row],[Qtt]],BA122-TbTradesBinance[[#This Row],[Qtt]]),IF(TbTradesBinance[[#This Row],[Tipo]]="BUY",BA122-TbTradesBinance[[#This Row],[Qtt]]*TbTradesBinance[[#This Row],[Preço]],BA122+TbTradesBinance[[#This Row],[Qtt]]*TbTradesBinance[[#This Row],[Preço]])),BA122)-IF(TbTradesBinance[[#This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Row],[Tipo]]="DROP"),BA122+TbTradesBinance[[#This Row],[Qtt]],BA122-TbTradesBinance[[#This Row],[Qtt]]),IF(TbTradesBinance[[#This Row],[Tipo]]="BUY",BA122-TbTradesBinance[[#This Row],[Qtt]]*TbTradesBinance[[#This Row],[Preço]],BA122+TbTradesBinance[[#This Row],[Qtt]]*TbTradesBinance[[#This Row],[Preço]])),BA122)-IF(TbTradesBinance[[#This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Row],[Tipo]]="DROP"),BA122+TbTradesBinance[[#This Row],[Qtt]],BA122-TbTradesBinance[[#This Row],[Qtt]]),IF(TbTradesBinance[[#This Row],[Tipo]]="BUY",BA122-TbTradesBinance[[#This Row],[Qtt]]*TbTradesBinance[[#This Row],[Preço]],BA122+TbTradesBinance[[#This Row],[Qtt]]*TbTradesBinance[[#This Row],[Preço]])),BA122)-IF(TbTradesBinance[[#This Row],[Moeda da Taxa]]=MID(BA$1,9,5),TbTradesBinance[[#This Row],[Taxa]],0),8)))</f>
        <v>0.10571</v>
      </c>
      <c r="BB123" s="145" cm="1">
        <f t="array" ref="BB123">IF(TbTradesBinance[[#This Row],[Tipo]]="EMPTY",0,BB122+IF(TbTradesBinance[[#This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Row],[Par]]))),$1:$1,0)),-(BA122-BA123)/BA122*BB122),0),0)+IF(TbTradesBinance[[#This Row],[Tipo]]="SELL",IF(ISNUMBER(FIND(MID(BB$1,10,5),TbTradesBinance[[#This Row],[Par]])),IF(FIND(MID(BB$1,10,5),TbTradesBinance[[#This Row],[Par]])=1, -(BA122-BA123)/BA122*BB122,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Row],[Par]])),(-(BA122-BA123)/BA122*BB122)+IF(TbTradesBinance[[#This Row],[Resultado]]&gt;0,0,TbTradesBinance[[#This Row],[Taxa]]),0),0))</f>
        <v>120.8257969142021</v>
      </c>
      <c r="BC123" s="145">
        <f t="shared" si="33"/>
        <v>1142.9930651234708</v>
      </c>
      <c r="BD12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Row],[Tipo]]="DROP"),BD122+TbTradesBinance[[#This Row],[Qtt]],BD122-TbTradesBinance[[#This Row],[Qtt]]),IF(TbTradesBinance[[#This Row],[Tipo]]="BUY",BD122-TbTradesBinance[[#This Row],[Qtt]]*TbTradesBinance[[#This Row],[Preço]],BD122+TbTradesBinance[[#This Row],[Qtt]]*TbTradesBinance[[#This Row],[Preço]])),BD122)-IF(TbTradesBinance[[#This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Row],[Tipo]]="DROP"),BD122+TbTradesBinance[[#This Row],[Qtt]],BD122-TbTradesBinance[[#This Row],[Qtt]]),IF(TbTradesBinance[[#This Row],[Tipo]]="BUY",BD122-TbTradesBinance[[#This Row],[Qtt]]*TbTradesBinance[[#This Row],[Preço]],BD122+TbTradesBinance[[#This Row],[Qtt]]*TbTradesBinance[[#This Row],[Preço]])),BD122)-IF(TbTradesBinance[[#This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Row],[Tipo]]="DROP"),BD122+TbTradesBinance[[#This Row],[Qtt]],BD122-TbTradesBinance[[#This Row],[Qtt]]),IF(TbTradesBinance[[#This Row],[Tipo]]="BUY",BD122-TbTradesBinance[[#This Row],[Qtt]]*TbTradesBinance[[#This Row],[Preço]],BD122+TbTradesBinance[[#This Row],[Qtt]]*TbTradesBinance[[#This Row],[Preço]])),BD122)-IF(TbTradesBinance[[#This Row],[Moeda da Taxa]]=MID(BD$1,9,5),TbTradesBinance[[#This Row],[Taxa]],0),8)))</f>
        <v>9.0599900000000004E-3</v>
      </c>
      <c r="BE123" s="145" cm="1">
        <f t="array" ref="BE123">IF(TbTradesBinance[[#This Row],[Tipo]]="EMPTY",0,BE122+IF(TbTradesBinance[[#This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Row],[Par]]))),$1:$1,0)),-(BD122-BD123)/BD122*BE122),0),0)+IF(TbTradesBinance[[#This Row],[Tipo]]="SELL",IF(ISNUMBER(FIND(MID(BE$1,10,5),TbTradesBinance[[#This Row],[Par]])),IF(FIND(MID(BE$1,10,5),TbTradesBinance[[#This Row],[Par]])=1, -(BD122-BD123)/BD122*BE122,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Row],[Par]])),(-(BD122-BD123)/BD122*BE122)+IF(TbTradesBinance[[#This Row],[Resultado]]&gt;0,0,TbTradesBinance[[#This Row],[Taxa]]),0),0))</f>
        <v>1.6846969284922721</v>
      </c>
      <c r="BF123" s="145">
        <f t="shared" si="34"/>
        <v>185.94909359638058</v>
      </c>
      <c r="BG12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Row],[Tipo]]="DROP"),BG122+TbTradesBinance[[#This Row],[Qtt]],BG122-TbTradesBinance[[#This Row],[Qtt]]),IF(TbTradesBinance[[#This Row],[Tipo]]="BUY",BG122-TbTradesBinance[[#This Row],[Qtt]]*TbTradesBinance[[#This Row],[Preço]],BG122+TbTradesBinance[[#This Row],[Qtt]]*TbTradesBinance[[#This Row],[Preço]])),BG122)-IF(TbTradesBinance[[#This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Row],[Tipo]]="DROP"),BG122+TbTradesBinance[[#This Row],[Qtt]],BG122-TbTradesBinance[[#This Row],[Qtt]]),IF(TbTradesBinance[[#This Row],[Tipo]]="BUY",BG122-TbTradesBinance[[#This Row],[Qtt]]*TbTradesBinance[[#This Row],[Preço]],BG122+TbTradesBinance[[#This Row],[Qtt]]*TbTradesBinance[[#This Row],[Preço]])),BG122)-IF(TbTradesBinance[[#This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Row],[Tipo]]="DROP"),BG122+TbTradesBinance[[#This Row],[Qtt]],BG122-TbTradesBinance[[#This Row],[Qtt]]),IF(TbTradesBinance[[#This Row],[Tipo]]="BUY",BG122-TbTradesBinance[[#This Row],[Qtt]]*TbTradesBinance[[#This Row],[Preço]],BG122+TbTradesBinance[[#This Row],[Qtt]]*TbTradesBinance[[#This Row],[Preço]])),BG122)-IF(TbTradesBinance[[#This Row],[Moeda da Taxa]]=MID(BG$1,9,5),TbTradesBinance[[#This Row],[Taxa]],0),8)))</f>
        <v>0</v>
      </c>
      <c r="BH123" s="145" cm="1">
        <f t="array" ref="BH123">IF(TbTradesBinance[[#This Row],[Tipo]]="EMPTY",0,BH122+IF(TbTradesBinance[[#This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Row],[Par]]))),$1:$1,0)),-(BG122-BG123)/BG122*BH122),0),0)+IF(TbTradesBinance[[#This Row],[Tipo]]="SELL",IF(ISNUMBER(FIND(MID(BH$1,10,5),TbTradesBinance[[#This Row],[Par]])),IF(FIND(MID(BH$1,10,5),TbTradesBinance[[#This Row],[Par]])=1, -(BG122-BG123)/BG122*BH122,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Row],[Par]])),(-(BG122-BG123)/BG122*BH122)+IF(TbTradesBinance[[#This Row],[Resultado]]&gt;0,0,TbTradesBinance[[#This Row],[Taxa]]),0),0))</f>
        <v>0</v>
      </c>
      <c r="BI123" s="145">
        <f t="shared" si="35"/>
        <v>0</v>
      </c>
      <c r="BJ12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Row],[Tipo]]="DROP"),BJ122+TbTradesBinance[[#This Row],[Qtt]],BJ122-TbTradesBinance[[#This Row],[Qtt]]),IF(TbTradesBinance[[#This Row],[Tipo]]="BUY",BJ122-TbTradesBinance[[#This Row],[Qtt]]*TbTradesBinance[[#This Row],[Preço]],BJ122+TbTradesBinance[[#This Row],[Qtt]]*TbTradesBinance[[#This Row],[Preço]])),BJ122)-IF(TbTradesBinance[[#This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Row],[Tipo]]="DROP"),BJ122+TbTradesBinance[[#This Row],[Qtt]],BJ122-TbTradesBinance[[#This Row],[Qtt]]),IF(TbTradesBinance[[#This Row],[Tipo]]="BUY",BJ122-TbTradesBinance[[#This Row],[Qtt]]*TbTradesBinance[[#This Row],[Preço]],BJ122+TbTradesBinance[[#This Row],[Qtt]]*TbTradesBinance[[#This Row],[Preço]])),BJ122)-IF(TbTradesBinance[[#This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Row],[Tipo]]="DROP"),BJ122+TbTradesBinance[[#This Row],[Qtt]],BJ122-TbTradesBinance[[#This Row],[Qtt]]),IF(TbTradesBinance[[#This Row],[Tipo]]="BUY",BJ122-TbTradesBinance[[#This Row],[Qtt]]*TbTradesBinance[[#This Row],[Preço]],BJ122+TbTradesBinance[[#This Row],[Qtt]]*TbTradesBinance[[#This Row],[Preço]])),BJ122)-IF(TbTradesBinance[[#This Row],[Moeda da Taxa]]=MID(BJ$1,9,5),TbTradesBinance[[#This Row],[Taxa]],0),8)))</f>
        <v>0</v>
      </c>
      <c r="BK123" s="145" cm="1">
        <f t="array" ref="BK123">IF(TbTradesBinance[[#This Row],[Tipo]]="EMPTY",0,BK122+IF(TbTradesBinance[[#This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Row],[Par]]))),$1:$1,0)),-(BJ122-BJ123)/BJ122*BK122),0),0)+IF(TbTradesBinance[[#This Row],[Tipo]]="SELL",IF(ISNUMBER(FIND(MID(BK$1,10,5),TbTradesBinance[[#This Row],[Par]])),IF(FIND(MID(BK$1,10,5),TbTradesBinance[[#This Row],[Par]])=1, -(BJ122-BJ123)/BJ122*BK122,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Row],[Par]])),(-(BJ122-BJ123)/BJ122*BK122)+IF(TbTradesBinance[[#This Row],[Resultado]]&gt;0,0,TbTradesBinance[[#This Row],[Taxa]]),0),0))</f>
        <v>0</v>
      </c>
      <c r="BL123" s="145">
        <f t="shared" si="36"/>
        <v>0</v>
      </c>
      <c r="BM12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Row],[Tipo]]="DROP"),BM122+TbTradesBinance[[#This Row],[Qtt]],BM122-TbTradesBinance[[#This Row],[Qtt]]),IF(TbTradesBinance[[#This Row],[Tipo]]="BUY",BM122-TbTradesBinance[[#This Row],[Qtt]]*TbTradesBinance[[#This Row],[Preço]],BM122+TbTradesBinance[[#This Row],[Qtt]]*TbTradesBinance[[#This Row],[Preço]])),BM122)-IF(TbTradesBinance[[#This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Row],[Tipo]]="DROP"),BM122+TbTradesBinance[[#This Row],[Qtt]],BM122-TbTradesBinance[[#This Row],[Qtt]]),IF(TbTradesBinance[[#This Row],[Tipo]]="BUY",BM122-TbTradesBinance[[#This Row],[Qtt]]*TbTradesBinance[[#This Row],[Preço]],BM122+TbTradesBinance[[#This Row],[Qtt]]*TbTradesBinance[[#This Row],[Preço]])),BM122)-IF(TbTradesBinance[[#This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Row],[Tipo]]="DROP"),BM122+TbTradesBinance[[#This Row],[Qtt]],BM122-TbTradesBinance[[#This Row],[Qtt]]),IF(TbTradesBinance[[#This Row],[Tipo]]="BUY",BM122-TbTradesBinance[[#This Row],[Qtt]]*TbTradesBinance[[#This Row],[Preço]],BM122+TbTradesBinance[[#This Row],[Qtt]]*TbTradesBinance[[#This Row],[Preço]])),BM122)-IF(TbTradesBinance[[#This Row],[Moeda da Taxa]]=MID(BM$1,9,5),TbTradesBinance[[#This Row],[Taxa]],0),8)))</f>
        <v>0</v>
      </c>
      <c r="BN123" s="145" cm="1">
        <f t="array" ref="BN123">IF(TbTradesBinance[[#This Row],[Tipo]]="EMPTY",0,BN122+IF(TbTradesBinance[[#This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Row],[Par]]))),$1:$1,0)),-(BM122-BM123)/BM122*BN122),0),0)+IF(TbTradesBinance[[#This Row],[Tipo]]="SELL",IF(ISNUMBER(FIND(MID(BN$1,10,5),TbTradesBinance[[#This Row],[Par]])),IF(FIND(MID(BN$1,10,5),TbTradesBinance[[#This Row],[Par]])=1, -(BM122-BM123)/BM122*BN122,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Row],[Par]])),(-(BM122-BM123)/BM122*BN122)+IF(TbTradesBinance[[#This Row],[Resultado]]&gt;0,0,TbTradesBinance[[#This Row],[Taxa]]),0),0))</f>
        <v>0</v>
      </c>
      <c r="BO123" s="145">
        <f t="shared" si="37"/>
        <v>0</v>
      </c>
    </row>
    <row r="124" spans="2:67" x14ac:dyDescent="0.3">
      <c r="B124" s="51" t="s">
        <v>107</v>
      </c>
      <c r="C124" s="40">
        <f>TRUNC(IF(AND(TbTradesBinance[[#This Row],[Tipo]]="SEND",TbTradesBinance[[#This Row],[Par]]="BRL"),TbTradesBinance[[#This Row],[Qtt]]*(1-P122)-IF(TbTradesBinance[[#This Row],[Moeda da Taxa]]="BRL",TbTradesBinance[[#This Row],[Taxa]],0),0)+IF(AND(TbTradesBinance[[#This Row],[Tipo]]="BURN",TbTradesBinance[[#This Row],[Par]]="BRL"),-TbTradesBinance[[#This Row],[Qtt]]*P122,0),2)</f>
        <v>0</v>
      </c>
      <c r="D124" s="53">
        <v>44276.760358796295</v>
      </c>
      <c r="E124" s="37" t="s">
        <v>260</v>
      </c>
      <c r="F124" s="47" t="s">
        <v>140</v>
      </c>
      <c r="G124" s="38">
        <v>0.10578035</v>
      </c>
      <c r="H124" s="38">
        <v>9.0600000000000003E-3</v>
      </c>
      <c r="I124" s="38">
        <v>1.9170000000000001E-5</v>
      </c>
      <c r="J124" s="37" t="s">
        <v>45</v>
      </c>
      <c r="K124" s="52">
        <v>1492.73</v>
      </c>
      <c r="L124" s="40">
        <f t="shared" si="19"/>
        <v>157.9</v>
      </c>
      <c r="M124" s="40">
        <f>IF(OR(TbTradesBinance[[#This Row],[Tipo]]="BUY",TbTradesBinance[[#This Row],[Tipo]]="RECEIVE",TbTradesBinance[[#This Row],[Tipo]]="DROP"),L124*H124,-L124*H124)</f>
        <v>-1.430574</v>
      </c>
      <c r="N12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Row],[Tipo]]="DROP"),N123+TbTradesBinance[[#This Row],[Qtt]],N123-TbTradesBinance[[#This Row],[Qtt]]),IF(TbTradesBinance[[#This Row],[Tipo]]="BUY",N123-TbTradesBinance[[#This Row],[Qtt]]*TbTradesBinance[[#This Row],[Preço]],N123+TbTradesBinance[[#This Row],[Qtt]]*TbTradesBinance[[#This Row],[Preço]])),N123)-IF(TbTradesBinance[[#This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Row],[Tipo]]="DROP"),N123+TbTradesBinance[[#This Row],[Qtt]],N123-TbTradesBinance[[#This Row],[Qtt]]),IF(TbTradesBinance[[#This Row],[Tipo]]="BUY",N123-TbTradesBinance[[#This Row],[Qtt]]*TbTradesBinance[[#This Row],[Preço]],N123+TbTradesBinance[[#This Row],[Qtt]]*TbTradesBinance[[#This Row],[Preço]])),N123)-IF(TbTradesBinance[[#This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Row],[Tipo]]="DROP"),N123+TbTradesBinance[[#This Row],[Qtt]],N123-TbTradesBinance[[#This Row],[Qtt]]),IF(TbTradesBinance[[#This Row],[Tipo]]="BUY",N123-TbTradesBinance[[#This Row],[Qtt]]*TbTradesBinance[[#This Row],[Preço]],N123+TbTradesBinance[[#This Row],[Qtt]]*TbTradesBinance[[#This Row],[Preço]])),N123)-IF(TbTradesBinance[[#This Row],[Moeda da Taxa]]=MID(N$1,9,5),TbTradesBinance[[#This Row],[Taxa]],0),8)))</f>
        <v>119850.11049418</v>
      </c>
      <c r="O124" s="145" cm="1">
        <f t="array" ref="O124">IF(TbTradesBinance[[#This Row],[Tipo]]="EMPTY",0,O123+IF(TbTradesBinance[[#This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Row],[Par]]))),$1:$1,0)),-(N123-N124)/N123*O123),0),0)+IF(TbTradesBinance[[#This Row],[Tipo]]="SELL",IF(ISNUMBER(FIND(MID(O$1,10,5),TbTradesBinance[[#This Row],[Par]])),IF(FIND(MID(O$1,10,5),TbTradesBinance[[#This Row],[Par]])=1, -(N123-N124)/N123*O123,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Row],[Par]])),(-(N123-N124)/N123*O123)+IF(TbTradesBinance[[#This Row],[Resultado]]&gt;0,0,TbTradesBinance[[#This Row],[Taxa]]),0),0))</f>
        <v>119842.46197104781</v>
      </c>
      <c r="P124" s="145">
        <f t="shared" si="20"/>
        <v>0.99993618259423667</v>
      </c>
      <c r="Q12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Row],[Tipo]]="DROP"),Q123+TbTradesBinance[[#This Row],[Qtt]],Q123-TbTradesBinance[[#This Row],[Qtt]]),IF(TbTradesBinance[[#This Row],[Tipo]]="BUY",Q123-TbTradesBinance[[#This Row],[Qtt]]*TbTradesBinance[[#This Row],[Preço]],Q123+TbTradesBinance[[#This Row],[Qtt]]*TbTradesBinance[[#This Row],[Preço]])),Q123)-IF(TbTradesBinance[[#This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Row],[Tipo]]="DROP"),Q123+TbTradesBinance[[#This Row],[Qtt]],Q123-TbTradesBinance[[#This Row],[Qtt]]),IF(TbTradesBinance[[#This Row],[Tipo]]="BUY",Q123-TbTradesBinance[[#This Row],[Qtt]]*TbTradesBinance[[#This Row],[Preço]],Q123+TbTradesBinance[[#This Row],[Qtt]]*TbTradesBinance[[#This Row],[Preço]])),Q123)-IF(TbTradesBinance[[#This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Row],[Tipo]]="DROP"),Q123+TbTradesBinance[[#This Row],[Qtt]],Q123-TbTradesBinance[[#This Row],[Qtt]]),IF(TbTradesBinance[[#This Row],[Tipo]]="BUY",Q123-TbTradesBinance[[#This Row],[Qtt]]*TbTradesBinance[[#This Row],[Preço]],Q123+TbTradesBinance[[#This Row],[Qtt]]*TbTradesBinance[[#This Row],[Preço]])),Q123)-IF(TbTradesBinance[[#This Row],[Moeda da Taxa]]=MID(Q$1,9,5),TbTradesBinance[[#This Row],[Taxa]],0),8)))</f>
        <v>0</v>
      </c>
      <c r="R124" s="145" cm="1">
        <f t="array" ref="R124">IF(TbTradesBinance[[#This Row],[Tipo]]="EMPTY",0,R123+IF(TbTradesBinance[[#This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Row],[Par]]))),$1:$1,0)),-(Q123-Q124)/Q123*R123),0),0)+IF(TbTradesBinance[[#This Row],[Tipo]]="SELL",IF(ISNUMBER(FIND(MID(R$1,10,5),TbTradesBinance[[#This Row],[Par]])),IF(FIND(MID(R$1,10,5),TbTradesBinance[[#This Row],[Par]])=1, -(Q123-Q124)/Q123*R123,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Row],[Par]])),(-(Q123-Q124)/Q123*R123)+IF(TbTradesBinance[[#This Row],[Resultado]]&gt;0,0,TbTradesBinance[[#This Row],[Taxa]]),0),0))</f>
        <v>0</v>
      </c>
      <c r="S124" s="145">
        <f t="shared" si="21"/>
        <v>0</v>
      </c>
      <c r="T12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Row],[Tipo]]="DROP"),T123+TbTradesBinance[[#This Row],[Qtt]],T123-TbTradesBinance[[#This Row],[Qtt]]),IF(TbTradesBinance[[#This Row],[Tipo]]="BUY",T123-TbTradesBinance[[#This Row],[Qtt]]*TbTradesBinance[[#This Row],[Preço]],T123+TbTradesBinance[[#This Row],[Qtt]]*TbTradesBinance[[#This Row],[Preço]])),T123)-IF(TbTradesBinance[[#This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Row],[Tipo]]="DROP"),T123+TbTradesBinance[[#This Row],[Qtt]],T123-TbTradesBinance[[#This Row],[Qtt]]),IF(TbTradesBinance[[#This Row],[Tipo]]="BUY",T123-TbTradesBinance[[#This Row],[Qtt]]*TbTradesBinance[[#This Row],[Preço]],T123+TbTradesBinance[[#This Row],[Qtt]]*TbTradesBinance[[#This Row],[Preço]])),T123)-IF(TbTradesBinance[[#This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Row],[Tipo]]="DROP"),T123+TbTradesBinance[[#This Row],[Qtt]],T123-TbTradesBinance[[#This Row],[Qtt]]),IF(TbTradesBinance[[#This Row],[Tipo]]="BUY",T123-TbTradesBinance[[#This Row],[Qtt]]*TbTradesBinance[[#This Row],[Preço]],T123+TbTradesBinance[[#This Row],[Qtt]]*TbTradesBinance[[#This Row],[Preço]])),T123)-IF(TbTradesBinance[[#This Row],[Moeda da Taxa]]=MID(T$1,9,5),TbTradesBinance[[#This Row],[Taxa]],0),8)))</f>
        <v>199735.32000169999</v>
      </c>
      <c r="U124" s="145" cm="1">
        <f t="array" ref="U124">IF(TbTradesBinance[[#This Row],[Tipo]]="EMPTY",0,U123+IF(TbTradesBinance[[#This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Row],[Par]]))),$1:$1,0)),-(T123-T124)/T123*U123),0),0)+IF(TbTradesBinance[[#This Row],[Tipo]]="SELL",IF(ISNUMBER(FIND(MID(U$1,10,5),TbTradesBinance[[#This Row],[Par]])),IF(FIND(MID(U$1,10,5),TbTradesBinance[[#This Row],[Par]])=1, -(T123-T124)/T123*U123,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Row],[Par]])),(-(T123-T124)/T123*U123)+IF(TbTradesBinance[[#This Row],[Resultado]]&gt;0,0,TbTradesBinance[[#This Row],[Taxa]]),0),0))</f>
        <v>1328239.8809817513</v>
      </c>
      <c r="V124" s="145">
        <f t="shared" si="22"/>
        <v>6.6500000148719129</v>
      </c>
      <c r="W12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Row],[Tipo]]="DROP"),W123+TbTradesBinance[[#This Row],[Qtt]],W123-TbTradesBinance[[#This Row],[Qtt]]),IF(TbTradesBinance[[#This Row],[Tipo]]="BUY",W123-TbTradesBinance[[#This Row],[Qtt]]*TbTradesBinance[[#This Row],[Preço]],W123+TbTradesBinance[[#This Row],[Qtt]]*TbTradesBinance[[#This Row],[Preço]])),W123)-IF(TbTradesBinance[[#This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Row],[Tipo]]="DROP"),W123+TbTradesBinance[[#This Row],[Qtt]],W123-TbTradesBinance[[#This Row],[Qtt]]),IF(TbTradesBinance[[#This Row],[Tipo]]="BUY",W123-TbTradesBinance[[#This Row],[Qtt]]*TbTradesBinance[[#This Row],[Preço]],W123+TbTradesBinance[[#This Row],[Qtt]]*TbTradesBinance[[#This Row],[Preço]])),W123)-IF(TbTradesBinance[[#This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Row],[Tipo]]="DROP"),W123+TbTradesBinance[[#This Row],[Qtt]],W123-TbTradesBinance[[#This Row],[Qtt]]),IF(TbTradesBinance[[#This Row],[Tipo]]="BUY",W123-TbTradesBinance[[#This Row],[Qtt]]*TbTradesBinance[[#This Row],[Preço]],W123+TbTradesBinance[[#This Row],[Qtt]]*TbTradesBinance[[#This Row],[Preço]])),W123)-IF(TbTradesBinance[[#This Row],[Moeda da Taxa]]=MID(W$1,9,5),TbTradesBinance[[#This Row],[Taxa]],0),8)))</f>
        <v>2.5393600000000001E-3</v>
      </c>
      <c r="X124" s="145" cm="1">
        <f t="array" ref="X124">IF(TbTradesBinance[[#This Row],[Tipo]]="EMPTY",0,X123+IF(TbTradesBinance[[#This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Row],[Par]]))),$1:$1,0)),-(W123-W124)/W123*X123),0),0)+IF(TbTradesBinance[[#This Row],[Tipo]]="SELL",IF(ISNUMBER(FIND(MID(X$1,10,5),TbTradesBinance[[#This Row],[Par]])),IF(FIND(MID(X$1,10,5),TbTradesBinance[[#This Row],[Par]])=1, -(W123-W124)/W123*X123,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Row],[Par]])),(-(W123-W124)/W123*X123)+IF(TbTradesBinance[[#This Row],[Resultado]]&gt;0,0,TbTradesBinance[[#This Row],[Taxa]]),0),0))</f>
        <v>847.47496668103008</v>
      </c>
      <c r="Y124" s="145">
        <f t="shared" si="23"/>
        <v>333735.65255853051</v>
      </c>
      <c r="Z12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Row],[Tipo]]="DROP"),Z123+TbTradesBinance[[#This Row],[Qtt]],Z123-TbTradesBinance[[#This Row],[Qtt]]),IF(TbTradesBinance[[#This Row],[Tipo]]="BUY",Z123-TbTradesBinance[[#This Row],[Qtt]]*TbTradesBinance[[#This Row],[Preço]],Z123+TbTradesBinance[[#This Row],[Qtt]]*TbTradesBinance[[#This Row],[Preço]])),Z123)-IF(TbTradesBinance[[#This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Row],[Tipo]]="DROP"),Z123+TbTradesBinance[[#This Row],[Qtt]],Z123-TbTradesBinance[[#This Row],[Qtt]]),IF(TbTradesBinance[[#This Row],[Tipo]]="BUY",Z123-TbTradesBinance[[#This Row],[Qtt]]*TbTradesBinance[[#This Row],[Preço]],Z123+TbTradesBinance[[#This Row],[Qtt]]*TbTradesBinance[[#This Row],[Preço]])),Z123)-IF(TbTradesBinance[[#This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Row],[Tipo]]="DROP"),Z123+TbTradesBinance[[#This Row],[Qtt]],Z123-TbTradesBinance[[#This Row],[Qtt]]),IF(TbTradesBinance[[#This Row],[Tipo]]="BUY",Z123-TbTradesBinance[[#This Row],[Qtt]]*TbTradesBinance[[#This Row],[Preço]],Z123+TbTradesBinance[[#This Row],[Qtt]]*TbTradesBinance[[#This Row],[Preço]])),Z123)-IF(TbTradesBinance[[#This Row],[Moeda da Taxa]]=MID(Z$1,9,5),TbTradesBinance[[#This Row],[Taxa]],0),8)))</f>
        <v>9.3300000000000005E-6</v>
      </c>
      <c r="AA124" s="145" cm="1">
        <f t="array" ref="AA124">IF(TbTradesBinance[[#This Row],[Tipo]]="EMPTY",0,AA123+IF(TbTradesBinance[[#This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Row],[Par]]))),$1:$1,0)),-(Z123-Z124)/Z123*AA123),0),0)+IF(TbTradesBinance[[#This Row],[Tipo]]="SELL",IF(ISNUMBER(FIND(MID(AA$1,10,5),TbTradesBinance[[#This Row],[Par]])),IF(FIND(MID(AA$1,10,5),TbTradesBinance[[#This Row],[Par]])=1, -(Z123-Z124)/Z123*AA123,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Row],[Par]])),(-(Z123-Z124)/Z123*AA123)+IF(TbTradesBinance[[#This Row],[Resultado]]&gt;0,0,TbTradesBinance[[#This Row],[Taxa]]),0),0))</f>
        <v>9.7066397187928644E-2</v>
      </c>
      <c r="AB124" s="145">
        <f t="shared" si="24"/>
        <v>10403.686729681525</v>
      </c>
      <c r="AC12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Row],[Tipo]]="DROP"),AC123+TbTradesBinance[[#This Row],[Qtt]],AC123-TbTradesBinance[[#This Row],[Qtt]]),IF(TbTradesBinance[[#This Row],[Tipo]]="BUY",AC123-TbTradesBinance[[#This Row],[Qtt]]*TbTradesBinance[[#This Row],[Preço]],AC123+TbTradesBinance[[#This Row],[Qtt]]*TbTradesBinance[[#This Row],[Preço]])),AC123)-IF(TbTradesBinance[[#This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Row],[Tipo]]="DROP"),AC123+TbTradesBinance[[#This Row],[Qtt]],AC123-TbTradesBinance[[#This Row],[Qtt]]),IF(TbTradesBinance[[#This Row],[Tipo]]="BUY",AC123-TbTradesBinance[[#This Row],[Qtt]]*TbTradesBinance[[#This Row],[Preço]],AC123+TbTradesBinance[[#This Row],[Qtt]]*TbTradesBinance[[#This Row],[Preço]])),AC123)-IF(TbTradesBinance[[#This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Row],[Tipo]]="DROP"),AC123+TbTradesBinance[[#This Row],[Qtt]],AC123-TbTradesBinance[[#This Row],[Qtt]]),IF(TbTradesBinance[[#This Row],[Tipo]]="BUY",AC123-TbTradesBinance[[#This Row],[Qtt]]*TbTradesBinance[[#This Row],[Preço]],AC123+TbTradesBinance[[#This Row],[Qtt]]*TbTradesBinance[[#This Row],[Preço]])),AC123)-IF(TbTradesBinance[[#This Row],[Moeda da Taxa]]=MID(AC$1,9,5),TbTradesBinance[[#This Row],[Taxa]],0),8)))</f>
        <v>9.6999E-4</v>
      </c>
      <c r="AD124" s="145" cm="1">
        <f t="array" ref="AD124">IF(TbTradesBinance[[#This Row],[Tipo]]="EMPTY",0,AD123+IF(TbTradesBinance[[#This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Row],[Par]]))),$1:$1,0)),-(AC123-AC124)/AC123*AD123),0),0)+IF(TbTradesBinance[[#This Row],[Tipo]]="SELL",IF(ISNUMBER(FIND(MID(AD$1,10,5),TbTradesBinance[[#This Row],[Par]])),IF(FIND(MID(AD$1,10,5),TbTradesBinance[[#This Row],[Par]])=1, -(AC123-AC124)/AC123*AD123,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Row],[Par]])),(-(AC123-AC124)/AC123*AD123)+IF(TbTradesBinance[[#This Row],[Resultado]]&gt;0,0,TbTradesBinance[[#This Row],[Taxa]]),0),0))</f>
        <v>1.9483868939812083</v>
      </c>
      <c r="AE124" s="145">
        <f t="shared" si="25"/>
        <v>2008.6669903619711</v>
      </c>
      <c r="AF12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Row],[Tipo]]="DROP"),AF123+TbTradesBinance[[#This Row],[Qtt]],AF123-TbTradesBinance[[#This Row],[Qtt]]),IF(TbTradesBinance[[#This Row],[Tipo]]="BUY",AF123-TbTradesBinance[[#This Row],[Qtt]]*TbTradesBinance[[#This Row],[Preço]],AF123+TbTradesBinance[[#This Row],[Qtt]]*TbTradesBinance[[#This Row],[Preço]])),AF123)-IF(TbTradesBinance[[#This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Row],[Tipo]]="DROP"),AF123+TbTradesBinance[[#This Row],[Qtt]],AF123-TbTradesBinance[[#This Row],[Qtt]]),IF(TbTradesBinance[[#This Row],[Tipo]]="BUY",AF123-TbTradesBinance[[#This Row],[Qtt]]*TbTradesBinance[[#This Row],[Preço]],AF123+TbTradesBinance[[#This Row],[Qtt]]*TbTradesBinance[[#This Row],[Preço]])),AF123)-IF(TbTradesBinance[[#This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Row],[Tipo]]="DROP"),AF123+TbTradesBinance[[#This Row],[Qtt]],AF123-TbTradesBinance[[#This Row],[Qtt]]),IF(TbTradesBinance[[#This Row],[Tipo]]="BUY",AF123-TbTradesBinance[[#This Row],[Qtt]]*TbTradesBinance[[#This Row],[Preço]],AF123+TbTradesBinance[[#This Row],[Qtt]]*TbTradesBinance[[#This Row],[Preço]])),AF123)-IF(TbTradesBinance[[#This Row],[Moeda da Taxa]]=MID(AF$1,9,5),TbTradesBinance[[#This Row],[Taxa]],0),8)))</f>
        <v>0.08</v>
      </c>
      <c r="AG124" s="145" cm="1">
        <f t="array" ref="AG124">IF(TbTradesBinance[[#This Row],[Tipo]]="EMPTY",0,AG123+IF(TbTradesBinance[[#This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Row],[Par]]))),$1:$1,0)),-(AF123-AF124)/AF123*AG123),0),0)+IF(TbTradesBinance[[#This Row],[Tipo]]="SELL",IF(ISNUMBER(FIND(MID(AG$1,10,5),TbTradesBinance[[#This Row],[Par]])),IF(FIND(MID(AG$1,10,5),TbTradesBinance[[#This Row],[Par]])=1, -(AF123-AF124)/AF123*AG123,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Row],[Par]])),(-(AF123-AF124)/AF123*AG123)+IF(TbTradesBinance[[#This Row],[Resultado]]&gt;0,0,TbTradesBinance[[#This Row],[Taxa]]),0),0))</f>
        <v>0.49666397429723474</v>
      </c>
      <c r="AH124" s="145">
        <f t="shared" si="26"/>
        <v>6.2082996787154343</v>
      </c>
      <c r="AI12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Row],[Tipo]]="DROP"),AI123+TbTradesBinance[[#This Row],[Qtt]],AI123-TbTradesBinance[[#This Row],[Qtt]]),IF(TbTradesBinance[[#This Row],[Tipo]]="BUY",AI123-TbTradesBinance[[#This Row],[Qtt]]*TbTradesBinance[[#This Row],[Preço]],AI123+TbTradesBinance[[#This Row],[Qtt]]*TbTradesBinance[[#This Row],[Preço]])),AI123)-IF(TbTradesBinance[[#This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Row],[Tipo]]="DROP"),AI123+TbTradesBinance[[#This Row],[Qtt]],AI123-TbTradesBinance[[#This Row],[Qtt]]),IF(TbTradesBinance[[#This Row],[Tipo]]="BUY",AI123-TbTradesBinance[[#This Row],[Qtt]]*TbTradesBinance[[#This Row],[Preço]],AI123+TbTradesBinance[[#This Row],[Qtt]]*TbTradesBinance[[#This Row],[Preço]])),AI123)-IF(TbTradesBinance[[#This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Row],[Tipo]]="DROP"),AI123+TbTradesBinance[[#This Row],[Qtt]],AI123-TbTradesBinance[[#This Row],[Qtt]]),IF(TbTradesBinance[[#This Row],[Tipo]]="BUY",AI123-TbTradesBinance[[#This Row],[Qtt]]*TbTradesBinance[[#This Row],[Preço]],AI123+TbTradesBinance[[#This Row],[Qtt]]*TbTradesBinance[[#This Row],[Preço]])),AI123)-IF(TbTradesBinance[[#This Row],[Moeda da Taxa]]=MID(AI$1,9,5),TbTradesBinance[[#This Row],[Taxa]],0),8)))</f>
        <v>0</v>
      </c>
      <c r="AJ124" s="145" cm="1">
        <f t="array" ref="AJ124">IF(TbTradesBinance[[#This Row],[Tipo]]="EMPTY",0,AJ123+IF(TbTradesBinance[[#This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Row],[Par]]))),$1:$1,0)),-(AI123-AI124)/AI123*AJ123),0),0)+IF(TbTradesBinance[[#This Row],[Tipo]]="SELL",IF(ISNUMBER(FIND(MID(AJ$1,10,5),TbTradesBinance[[#This Row],[Par]])),IF(FIND(MID(AJ$1,10,5),TbTradesBinance[[#This Row],[Par]])=1, -(AI123-AI124)/AI123*AJ123,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Row],[Par]])),(-(AI123-AI124)/AI123*AJ123)+IF(TbTradesBinance[[#This Row],[Resultado]]&gt;0,0,TbTradesBinance[[#This Row],[Taxa]]),0),0))</f>
        <v>0</v>
      </c>
      <c r="AK124" s="145">
        <f t="shared" si="27"/>
        <v>0</v>
      </c>
      <c r="AL12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Row],[Tipo]]="DROP"),AL123+TbTradesBinance[[#This Row],[Qtt]],AL123-TbTradesBinance[[#This Row],[Qtt]]),IF(TbTradesBinance[[#This Row],[Tipo]]="BUY",AL123-TbTradesBinance[[#This Row],[Qtt]]*TbTradesBinance[[#This Row],[Preço]],AL123+TbTradesBinance[[#This Row],[Qtt]]*TbTradesBinance[[#This Row],[Preço]])),AL123)-IF(TbTradesBinance[[#This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Row],[Tipo]]="DROP"),AL123+TbTradesBinance[[#This Row],[Qtt]],AL123-TbTradesBinance[[#This Row],[Qtt]]),IF(TbTradesBinance[[#This Row],[Tipo]]="BUY",AL123-TbTradesBinance[[#This Row],[Qtt]]*TbTradesBinance[[#This Row],[Preço]],AL123+TbTradesBinance[[#This Row],[Qtt]]*TbTradesBinance[[#This Row],[Preço]])),AL123)-IF(TbTradesBinance[[#This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Row],[Tipo]]="DROP"),AL123+TbTradesBinance[[#This Row],[Qtt]],AL123-TbTradesBinance[[#This Row],[Qtt]]),IF(TbTradesBinance[[#This Row],[Tipo]]="BUY",AL123-TbTradesBinance[[#This Row],[Qtt]]*TbTradesBinance[[#This Row],[Preço]],AL123+TbTradesBinance[[#This Row],[Qtt]]*TbTradesBinance[[#This Row],[Preço]])),AL123)-IF(TbTradesBinance[[#This Row],[Moeda da Taxa]]=MID(AL$1,9,5),TbTradesBinance[[#This Row],[Taxa]],0),8)))</f>
        <v>8.2400000000000008E-3</v>
      </c>
      <c r="AM124" s="145" cm="1">
        <f t="array" ref="AM124">IF(TbTradesBinance[[#This Row],[Tipo]]="EMPTY",0,AM123+IF(TbTradesBinance[[#This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Row],[Par]]))),$1:$1,0)),-(AL123-AL124)/AL123*AM123),0),0)+IF(TbTradesBinance[[#This Row],[Tipo]]="SELL",IF(ISNUMBER(FIND(MID(AM$1,10,5),TbTradesBinance[[#This Row],[Par]])),IF(FIND(MID(AM$1,10,5),TbTradesBinance[[#This Row],[Par]])=1, -(AL123-AL124)/AL123*AM123,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Row],[Par]])),(-(AL123-AL124)/AL123*AM123)+IF(TbTradesBinance[[#This Row],[Resultado]]&gt;0,0,TbTradesBinance[[#This Row],[Taxa]]),0),0))</f>
        <v>0.67751089887772764</v>
      </c>
      <c r="AN124" s="145">
        <f t="shared" si="28"/>
        <v>82.222196465743636</v>
      </c>
      <c r="AO12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Row],[Tipo]]="DROP"),AO123+TbTradesBinance[[#This Row],[Qtt]],AO123-TbTradesBinance[[#This Row],[Qtt]]),IF(TbTradesBinance[[#This Row],[Tipo]]="BUY",AO123-TbTradesBinance[[#This Row],[Qtt]]*TbTradesBinance[[#This Row],[Preço]],AO123+TbTradesBinance[[#This Row],[Qtt]]*TbTradesBinance[[#This Row],[Preço]])),AO123)-IF(TbTradesBinance[[#This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Row],[Tipo]]="DROP"),AO123+TbTradesBinance[[#This Row],[Qtt]],AO123-TbTradesBinance[[#This Row],[Qtt]]),IF(TbTradesBinance[[#This Row],[Tipo]]="BUY",AO123-TbTradesBinance[[#This Row],[Qtt]]*TbTradesBinance[[#This Row],[Preço]],AO123+TbTradesBinance[[#This Row],[Qtt]]*TbTradesBinance[[#This Row],[Preço]])),AO123)-IF(TbTradesBinance[[#This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Row],[Tipo]]="DROP"),AO123+TbTradesBinance[[#This Row],[Qtt]],AO123-TbTradesBinance[[#This Row],[Qtt]]),IF(TbTradesBinance[[#This Row],[Tipo]]="BUY",AO123-TbTradesBinance[[#This Row],[Qtt]]*TbTradesBinance[[#This Row],[Preço]],AO123+TbTradesBinance[[#This Row],[Qtt]]*TbTradesBinance[[#This Row],[Preço]])),AO123)-IF(TbTradesBinance[[#This Row],[Moeda da Taxa]]=MID(AO$1,9,5),TbTradesBinance[[#This Row],[Taxa]],0),8)))</f>
        <v>7.5454069999999998E-2</v>
      </c>
      <c r="AP124" s="145" cm="1">
        <f t="array" ref="AP124">IF(TbTradesBinance[[#This Row],[Tipo]]="EMPTY",0,AP123+IF(TbTradesBinance[[#This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Row],[Par]]))),$1:$1,0)),-(AO123-AO124)/AO123*AP123),0),0)+IF(TbTradesBinance[[#This Row],[Tipo]]="SELL",IF(ISNUMBER(FIND(MID(AP$1,10,5),TbTradesBinance[[#This Row],[Par]])),IF(FIND(MID(AP$1,10,5),TbTradesBinance[[#This Row],[Par]])=1, -(AO123-AO124)/AO123*AP123,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Row],[Par]])),(-(AO123-AO124)/AO123*AP123)+IF(TbTradesBinance[[#This Row],[Resultado]]&gt;0,0,TbTradesBinance[[#This Row],[Taxa]]),0),0))</f>
        <v>115.56471124319374</v>
      </c>
      <c r="AQ124" s="145">
        <f t="shared" si="29"/>
        <v>1531.590161315271</v>
      </c>
      <c r="AR12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Row],[Tipo]]="DROP"),AR123+TbTradesBinance[[#This Row],[Qtt]],AR123-TbTradesBinance[[#This Row],[Qtt]]),IF(TbTradesBinance[[#This Row],[Tipo]]="BUY",AR123-TbTradesBinance[[#This Row],[Qtt]]*TbTradesBinance[[#This Row],[Preço]],AR123+TbTradesBinance[[#This Row],[Qtt]]*TbTradesBinance[[#This Row],[Preço]])),AR123)-IF(TbTradesBinance[[#This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Row],[Tipo]]="DROP"),AR123+TbTradesBinance[[#This Row],[Qtt]],AR123-TbTradesBinance[[#This Row],[Qtt]]),IF(TbTradesBinance[[#This Row],[Tipo]]="BUY",AR123-TbTradesBinance[[#This Row],[Qtt]]*TbTradesBinance[[#This Row],[Preço]],AR123+TbTradesBinance[[#This Row],[Qtt]]*TbTradesBinance[[#This Row],[Preço]])),AR123)-IF(TbTradesBinance[[#This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Row],[Tipo]]="DROP"),AR123+TbTradesBinance[[#This Row],[Qtt]],AR123-TbTradesBinance[[#This Row],[Qtt]]),IF(TbTradesBinance[[#This Row],[Tipo]]="BUY",AR123-TbTradesBinance[[#This Row],[Qtt]]*TbTradesBinance[[#This Row],[Preço]],AR123+TbTradesBinance[[#This Row],[Qtt]]*TbTradesBinance[[#This Row],[Preço]])),AR123)-IF(TbTradesBinance[[#This Row],[Moeda da Taxa]]=MID(AR$1,9,5),TbTradesBinance[[#This Row],[Taxa]],0),8)))</f>
        <v>61.251199999999997</v>
      </c>
      <c r="AS124" s="145" cm="1">
        <f t="array" ref="AS124">IF(TbTradesBinance[[#This Row],[Tipo]]="EMPTY",0,AS123+IF(TbTradesBinance[[#This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Row],[Par]]))),$1:$1,0)),-(AR123-AR124)/AR123*AS123),0),0)+IF(TbTradesBinance[[#This Row],[Tipo]]="SELL",IF(ISNUMBER(FIND(MID(AS$1,10,5),TbTradesBinance[[#This Row],[Par]])),IF(FIND(MID(AS$1,10,5),TbTradesBinance[[#This Row],[Par]])=1, -(AR123-AR124)/AR123*AS123,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Row],[Par]])),(-(AR123-AR124)/AR123*AS123)+IF(TbTradesBinance[[#This Row],[Resultado]]&gt;0,0,TbTradesBinance[[#This Row],[Taxa]]),0),0))</f>
        <v>230.84001376053044</v>
      </c>
      <c r="AT124" s="145">
        <f t="shared" si="30"/>
        <v>3.7687427146003745</v>
      </c>
      <c r="AU12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Row],[Tipo]]="DROP"),AU123+TbTradesBinance[[#This Row],[Qtt]],AU123-TbTradesBinance[[#This Row],[Qtt]]),IF(TbTradesBinance[[#This Row],[Tipo]]="BUY",AU123-TbTradesBinance[[#This Row],[Qtt]]*TbTradesBinance[[#This Row],[Preço]],AU123+TbTradesBinance[[#This Row],[Qtt]]*TbTradesBinance[[#This Row],[Preço]])),AU123)-IF(TbTradesBinance[[#This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Row],[Tipo]]="DROP"),AU123+TbTradesBinance[[#This Row],[Qtt]],AU123-TbTradesBinance[[#This Row],[Qtt]]),IF(TbTradesBinance[[#This Row],[Tipo]]="BUY",AU123-TbTradesBinance[[#This Row],[Qtt]]*TbTradesBinance[[#This Row],[Preço]],AU123+TbTradesBinance[[#This Row],[Qtt]]*TbTradesBinance[[#This Row],[Preço]])),AU123)-IF(TbTradesBinance[[#This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Row],[Tipo]]="DROP"),AU123+TbTradesBinance[[#This Row],[Qtt]],AU123-TbTradesBinance[[#This Row],[Qtt]]),IF(TbTradesBinance[[#This Row],[Tipo]]="BUY",AU123-TbTradesBinance[[#This Row],[Qtt]]*TbTradesBinance[[#This Row],[Preço]],AU123+TbTradesBinance[[#This Row],[Qtt]]*TbTradesBinance[[#This Row],[Preço]])),AU123)-IF(TbTradesBinance[[#This Row],[Moeda da Taxa]]=MID(AU$1,9,5),TbTradesBinance[[#This Row],[Taxa]],0),8)))</f>
        <v>0</v>
      </c>
      <c r="AV124" s="145" cm="1">
        <f t="array" ref="AV124">IF(TbTradesBinance[[#This Row],[Tipo]]="EMPTY",0,AV123+IF(TbTradesBinance[[#This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Row],[Par]]))),$1:$1,0)),-(AU123-AU124)/AU123*AV123),0),0)+IF(TbTradesBinance[[#This Row],[Tipo]]="SELL",IF(ISNUMBER(FIND(MID(AV$1,10,5),TbTradesBinance[[#This Row],[Par]])),IF(FIND(MID(AV$1,10,5),TbTradesBinance[[#This Row],[Par]])=1, -(AU123-AU124)/AU123*AV123,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Row],[Par]])),(-(AU123-AU124)/AU123*AV123)+IF(TbTradesBinance[[#This Row],[Resultado]]&gt;0,0,TbTradesBinance[[#This Row],[Taxa]]),0),0))</f>
        <v>0</v>
      </c>
      <c r="AW124" s="145">
        <f t="shared" si="31"/>
        <v>0</v>
      </c>
      <c r="AX12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Row],[Tipo]]="DROP"),AX123+TbTradesBinance[[#This Row],[Qtt]],AX123-TbTradesBinance[[#This Row],[Qtt]]),IF(TbTradesBinance[[#This Row],[Tipo]]="BUY",AX123-TbTradesBinance[[#This Row],[Qtt]]*TbTradesBinance[[#This Row],[Preço]],AX123+TbTradesBinance[[#This Row],[Qtt]]*TbTradesBinance[[#This Row],[Preço]])),AX123)-IF(TbTradesBinance[[#This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Row],[Tipo]]="DROP"),AX123+TbTradesBinance[[#This Row],[Qtt]],AX123-TbTradesBinance[[#This Row],[Qtt]]),IF(TbTradesBinance[[#This Row],[Tipo]]="BUY",AX123-TbTradesBinance[[#This Row],[Qtt]]*TbTradesBinance[[#This Row],[Preço]],AX123+TbTradesBinance[[#This Row],[Qtt]]*TbTradesBinance[[#This Row],[Preço]])),AX123)-IF(TbTradesBinance[[#This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Row],[Tipo]]="DROP"),AX123+TbTradesBinance[[#This Row],[Qtt]],AX123-TbTradesBinance[[#This Row],[Qtt]]),IF(TbTradesBinance[[#This Row],[Tipo]]="BUY",AX123-TbTradesBinance[[#This Row],[Qtt]]*TbTradesBinance[[#This Row],[Preço]],AX123+TbTradesBinance[[#This Row],[Qtt]]*TbTradesBinance[[#This Row],[Preço]])),AX123)-IF(TbTradesBinance[[#This Row],[Moeda da Taxa]]=MID(AX$1,9,5),TbTradesBinance[[#This Row],[Taxa]],0),8)))</f>
        <v>0.85636999999999996</v>
      </c>
      <c r="AY124" s="145" cm="1">
        <f t="array" ref="AY124">IF(TbTradesBinance[[#This Row],[Tipo]]="EMPTY",0,AY123+IF(TbTradesBinance[[#This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Row],[Par]]))),$1:$1,0)),-(AX123-AX124)/AX123*AY123),0),0)+IF(TbTradesBinance[[#This Row],[Tipo]]="SELL",IF(ISNUMBER(FIND(MID(AY$1,10,5),TbTradesBinance[[#This Row],[Par]])),IF(FIND(MID(AY$1,10,5),TbTradesBinance[[#This Row],[Par]])=1, -(AX123-AX124)/AX123*AY123,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Row],[Par]])),(-(AX123-AX124)/AX123*AY123)+IF(TbTradesBinance[[#This Row],[Resultado]]&gt;0,0,TbTradesBinance[[#This Row],[Taxa]]),0),0))</f>
        <v>131.82971181780295</v>
      </c>
      <c r="AZ124" s="145">
        <f t="shared" si="32"/>
        <v>153.94013314081874</v>
      </c>
      <c r="BA12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Row],[Tipo]]="DROP"),BA123+TbTradesBinance[[#This Row],[Qtt]],BA123-TbTradesBinance[[#This Row],[Qtt]]),IF(TbTradesBinance[[#This Row],[Tipo]]="BUY",BA123-TbTradesBinance[[#This Row],[Qtt]]*TbTradesBinance[[#This Row],[Preço]],BA123+TbTradesBinance[[#This Row],[Qtt]]*TbTradesBinance[[#This Row],[Preço]])),BA123)-IF(TbTradesBinance[[#This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Row],[Tipo]]="DROP"),BA123+TbTradesBinance[[#This Row],[Qtt]],BA123-TbTradesBinance[[#This Row],[Qtt]]),IF(TbTradesBinance[[#This Row],[Tipo]]="BUY",BA123-TbTradesBinance[[#This Row],[Qtt]]*TbTradesBinance[[#This Row],[Preço]],BA123+TbTradesBinance[[#This Row],[Qtt]]*TbTradesBinance[[#This Row],[Preço]])),BA123)-IF(TbTradesBinance[[#This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Row],[Tipo]]="DROP"),BA123+TbTradesBinance[[#This Row],[Qtt]],BA123-TbTradesBinance[[#This Row],[Qtt]]),IF(TbTradesBinance[[#This Row],[Tipo]]="BUY",BA123-TbTradesBinance[[#This Row],[Qtt]]*TbTradesBinance[[#This Row],[Preço]],BA123+TbTradesBinance[[#This Row],[Qtt]]*TbTradesBinance[[#This Row],[Preço]])),BA123)-IF(TbTradesBinance[[#This Row],[Moeda da Taxa]]=MID(BA$1,9,5),TbTradesBinance[[#This Row],[Taxa]],0),8)))</f>
        <v>0.10571</v>
      </c>
      <c r="BB124" s="145" cm="1">
        <f t="array" ref="BB124">IF(TbTradesBinance[[#This Row],[Tipo]]="EMPTY",0,BB123+IF(TbTradesBinance[[#This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Row],[Par]]))),$1:$1,0)),-(BA123-BA124)/BA123*BB123),0),0)+IF(TbTradesBinance[[#This Row],[Tipo]]="SELL",IF(ISNUMBER(FIND(MID(BB$1,10,5),TbTradesBinance[[#This Row],[Par]])),IF(FIND(MID(BB$1,10,5),TbTradesBinance[[#This Row],[Par]])=1, -(BA123-BA124)/BA123*BB123,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Row],[Par]])),(-(BA123-BA124)/BA123*BB123)+IF(TbTradesBinance[[#This Row],[Resultado]]&gt;0,0,TbTradesBinance[[#This Row],[Taxa]]),0),0))</f>
        <v>120.8257969142021</v>
      </c>
      <c r="BC124" s="145">
        <f t="shared" si="33"/>
        <v>1142.9930651234708</v>
      </c>
      <c r="BD12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Row],[Tipo]]="DROP"),BD123+TbTradesBinance[[#This Row],[Qtt]],BD123-TbTradesBinance[[#This Row],[Qtt]]),IF(TbTradesBinance[[#This Row],[Tipo]]="BUY",BD123-TbTradesBinance[[#This Row],[Qtt]]*TbTradesBinance[[#This Row],[Preço]],BD123+TbTradesBinance[[#This Row],[Qtt]]*TbTradesBinance[[#This Row],[Preço]])),BD123)-IF(TbTradesBinance[[#This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Row],[Tipo]]="DROP"),BD123+TbTradesBinance[[#This Row],[Qtt]],BD123-TbTradesBinance[[#This Row],[Qtt]]),IF(TbTradesBinance[[#This Row],[Tipo]]="BUY",BD123-TbTradesBinance[[#This Row],[Qtt]]*TbTradesBinance[[#This Row],[Preço]],BD123+TbTradesBinance[[#This Row],[Qtt]]*TbTradesBinance[[#This Row],[Preço]])),BD123)-IF(TbTradesBinance[[#This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Row],[Tipo]]="DROP"),BD123+TbTradesBinance[[#This Row],[Qtt]],BD123-TbTradesBinance[[#This Row],[Qtt]]),IF(TbTradesBinance[[#This Row],[Tipo]]="BUY",BD123-TbTradesBinance[[#This Row],[Qtt]]*TbTradesBinance[[#This Row],[Preço]],BD123+TbTradesBinance[[#This Row],[Qtt]]*TbTradesBinance[[#This Row],[Preço]])),BD123)-IF(TbTradesBinance[[#This Row],[Moeda da Taxa]]=MID(BD$1,9,5),TbTradesBinance[[#This Row],[Taxa]],0),8)))</f>
        <v>0</v>
      </c>
      <c r="BE124" s="145" cm="1">
        <f t="array" ref="BE124">IF(TbTradesBinance[[#This Row],[Tipo]]="EMPTY",0,BE123+IF(TbTradesBinance[[#This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Row],[Par]]))),$1:$1,0)),-(BD123-BD124)/BD123*BE123),0),0)+IF(TbTradesBinance[[#This Row],[Tipo]]="SELL",IF(ISNUMBER(FIND(MID(BE$1,10,5),TbTradesBinance[[#This Row],[Par]])),IF(FIND(MID(BE$1,10,5),TbTradesBinance[[#This Row],[Par]])=1, -(BD123-BD124)/BD123*BE123,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Row],[Par]])),(-(BD123-BD124)/BD123*BE123)+IF(TbTradesBinance[[#This Row],[Resultado]]&gt;0,0,TbTradesBinance[[#This Row],[Taxa]]),0),0))</f>
        <v>0</v>
      </c>
      <c r="BF124" s="145">
        <f t="shared" si="34"/>
        <v>0</v>
      </c>
      <c r="BG12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Row],[Tipo]]="DROP"),BG123+TbTradesBinance[[#This Row],[Qtt]],BG123-TbTradesBinance[[#This Row],[Qtt]]),IF(TbTradesBinance[[#This Row],[Tipo]]="BUY",BG123-TbTradesBinance[[#This Row],[Qtt]]*TbTradesBinance[[#This Row],[Preço]],BG123+TbTradesBinance[[#This Row],[Qtt]]*TbTradesBinance[[#This Row],[Preço]])),BG123)-IF(TbTradesBinance[[#This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Row],[Tipo]]="DROP"),BG123+TbTradesBinance[[#This Row],[Qtt]],BG123-TbTradesBinance[[#This Row],[Qtt]]),IF(TbTradesBinance[[#This Row],[Tipo]]="BUY",BG123-TbTradesBinance[[#This Row],[Qtt]]*TbTradesBinance[[#This Row],[Preço]],BG123+TbTradesBinance[[#This Row],[Qtt]]*TbTradesBinance[[#This Row],[Preço]])),BG123)-IF(TbTradesBinance[[#This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Row],[Tipo]]="DROP"),BG123+TbTradesBinance[[#This Row],[Qtt]],BG123-TbTradesBinance[[#This Row],[Qtt]]),IF(TbTradesBinance[[#This Row],[Tipo]]="BUY",BG123-TbTradesBinance[[#This Row],[Qtt]]*TbTradesBinance[[#This Row],[Preço]],BG123+TbTradesBinance[[#This Row],[Qtt]]*TbTradesBinance[[#This Row],[Preço]])),BG123)-IF(TbTradesBinance[[#This Row],[Moeda da Taxa]]=MID(BG$1,9,5),TbTradesBinance[[#This Row],[Taxa]],0),8)))</f>
        <v>0</v>
      </c>
      <c r="BH124" s="145" cm="1">
        <f t="array" ref="BH124">IF(TbTradesBinance[[#This Row],[Tipo]]="EMPTY",0,BH123+IF(TbTradesBinance[[#This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Row],[Par]]))),$1:$1,0)),-(BG123-BG124)/BG123*BH123),0),0)+IF(TbTradesBinance[[#This Row],[Tipo]]="SELL",IF(ISNUMBER(FIND(MID(BH$1,10,5),TbTradesBinance[[#This Row],[Par]])),IF(FIND(MID(BH$1,10,5),TbTradesBinance[[#This Row],[Par]])=1, -(BG123-BG124)/BG123*BH123,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Row],[Par]])),(-(BG123-BG124)/BG123*BH123)+IF(TbTradesBinance[[#This Row],[Resultado]]&gt;0,0,TbTradesBinance[[#This Row],[Taxa]]),0),0))</f>
        <v>0</v>
      </c>
      <c r="BI124" s="145">
        <f t="shared" si="35"/>
        <v>0</v>
      </c>
      <c r="BJ12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Row],[Tipo]]="DROP"),BJ123+TbTradesBinance[[#This Row],[Qtt]],BJ123-TbTradesBinance[[#This Row],[Qtt]]),IF(TbTradesBinance[[#This Row],[Tipo]]="BUY",BJ123-TbTradesBinance[[#This Row],[Qtt]]*TbTradesBinance[[#This Row],[Preço]],BJ123+TbTradesBinance[[#This Row],[Qtt]]*TbTradesBinance[[#This Row],[Preço]])),BJ123)-IF(TbTradesBinance[[#This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Row],[Tipo]]="DROP"),BJ123+TbTradesBinance[[#This Row],[Qtt]],BJ123-TbTradesBinance[[#This Row],[Qtt]]),IF(TbTradesBinance[[#This Row],[Tipo]]="BUY",BJ123-TbTradesBinance[[#This Row],[Qtt]]*TbTradesBinance[[#This Row],[Preço]],BJ123+TbTradesBinance[[#This Row],[Qtt]]*TbTradesBinance[[#This Row],[Preço]])),BJ123)-IF(TbTradesBinance[[#This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Row],[Tipo]]="DROP"),BJ123+TbTradesBinance[[#This Row],[Qtt]],BJ123-TbTradesBinance[[#This Row],[Qtt]]),IF(TbTradesBinance[[#This Row],[Tipo]]="BUY",BJ123-TbTradesBinance[[#This Row],[Qtt]]*TbTradesBinance[[#This Row],[Preço]],BJ123+TbTradesBinance[[#This Row],[Qtt]]*TbTradesBinance[[#This Row],[Preço]])),BJ123)-IF(TbTradesBinance[[#This Row],[Moeda da Taxa]]=MID(BJ$1,9,5),TbTradesBinance[[#This Row],[Taxa]],0),8)))</f>
        <v>0</v>
      </c>
      <c r="BK124" s="145" cm="1">
        <f t="array" ref="BK124">IF(TbTradesBinance[[#This Row],[Tipo]]="EMPTY",0,BK123+IF(TbTradesBinance[[#This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Row],[Par]]))),$1:$1,0)),-(BJ123-BJ124)/BJ123*BK123),0),0)+IF(TbTradesBinance[[#This Row],[Tipo]]="SELL",IF(ISNUMBER(FIND(MID(BK$1,10,5),TbTradesBinance[[#This Row],[Par]])),IF(FIND(MID(BK$1,10,5),TbTradesBinance[[#This Row],[Par]])=1, -(BJ123-BJ124)/BJ123*BK123,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Row],[Par]])),(-(BJ123-BJ124)/BJ123*BK123)+IF(TbTradesBinance[[#This Row],[Resultado]]&gt;0,0,TbTradesBinance[[#This Row],[Taxa]]),0),0))</f>
        <v>0</v>
      </c>
      <c r="BL124" s="145">
        <f t="shared" si="36"/>
        <v>0</v>
      </c>
      <c r="BM12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Row],[Tipo]]="DROP"),BM123+TbTradesBinance[[#This Row],[Qtt]],BM123-TbTradesBinance[[#This Row],[Qtt]]),IF(TbTradesBinance[[#This Row],[Tipo]]="BUY",BM123-TbTradesBinance[[#This Row],[Qtt]]*TbTradesBinance[[#This Row],[Preço]],BM123+TbTradesBinance[[#This Row],[Qtt]]*TbTradesBinance[[#This Row],[Preço]])),BM123)-IF(TbTradesBinance[[#This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Row],[Tipo]]="DROP"),BM123+TbTradesBinance[[#This Row],[Qtt]],BM123-TbTradesBinance[[#This Row],[Qtt]]),IF(TbTradesBinance[[#This Row],[Tipo]]="BUY",BM123-TbTradesBinance[[#This Row],[Qtt]]*TbTradesBinance[[#This Row],[Preço]],BM123+TbTradesBinance[[#This Row],[Qtt]]*TbTradesBinance[[#This Row],[Preço]])),BM123)-IF(TbTradesBinance[[#This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Row],[Tipo]]="DROP"),BM123+TbTradesBinance[[#This Row],[Qtt]],BM123-TbTradesBinance[[#This Row],[Qtt]]),IF(TbTradesBinance[[#This Row],[Tipo]]="BUY",BM123-TbTradesBinance[[#This Row],[Qtt]]*TbTradesBinance[[#This Row],[Preço]],BM123+TbTradesBinance[[#This Row],[Qtt]]*TbTradesBinance[[#This Row],[Preço]])),BM123)-IF(TbTradesBinance[[#This Row],[Moeda da Taxa]]=MID(BM$1,9,5),TbTradesBinance[[#This Row],[Taxa]],0),8)))</f>
        <v>0</v>
      </c>
      <c r="BN124" s="145" cm="1">
        <f t="array" ref="BN124">IF(TbTradesBinance[[#This Row],[Tipo]]="EMPTY",0,BN123+IF(TbTradesBinance[[#This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Row],[Par]]))),$1:$1,0)),-(BM123-BM124)/BM123*BN123),0),0)+IF(TbTradesBinance[[#This Row],[Tipo]]="SELL",IF(ISNUMBER(FIND(MID(BN$1,10,5),TbTradesBinance[[#This Row],[Par]])),IF(FIND(MID(BN$1,10,5),TbTradesBinance[[#This Row],[Par]])=1, -(BM123-BM124)/BM123*BN123,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Row],[Par]])),(-(BM123-BM124)/BM123*BN123)+IF(TbTradesBinance[[#This Row],[Resultado]]&gt;0,0,TbTradesBinance[[#This Row],[Taxa]]),0),0))</f>
        <v>0</v>
      </c>
      <c r="BO124" s="145">
        <f t="shared" si="37"/>
        <v>0</v>
      </c>
    </row>
    <row r="125" spans="2:67" x14ac:dyDescent="0.3">
      <c r="B125" s="51" t="s">
        <v>107</v>
      </c>
      <c r="C125" s="40">
        <f>TRUNC(IF(AND(TbTradesBinance[[#This Row],[Tipo]]="SEND",TbTradesBinance[[#This Row],[Par]]="BRL"),TbTradesBinance[[#This Row],[Qtt]]*(1-P123)-IF(TbTradesBinance[[#This Row],[Moeda da Taxa]]="BRL",TbTradesBinance[[#This Row],[Taxa]],0),0)+IF(AND(TbTradesBinance[[#This Row],[Tipo]]="BURN",TbTradesBinance[[#This Row],[Par]]="BRL"),-TbTradesBinance[[#This Row],[Qtt]]*P123,0),2)</f>
        <v>0</v>
      </c>
      <c r="D125" s="53">
        <v>44276.760358796295</v>
      </c>
      <c r="E125" s="37" t="s">
        <v>261</v>
      </c>
      <c r="F125" s="47" t="s">
        <v>140</v>
      </c>
      <c r="G125" s="38">
        <v>1.3828969</v>
      </c>
      <c r="H125" s="38">
        <v>9.7000000000000005E-4</v>
      </c>
      <c r="I125" s="38">
        <v>2.6829999999999999E-5</v>
      </c>
      <c r="J125" s="37" t="s">
        <v>45</v>
      </c>
      <c r="K125" s="52">
        <v>1492.73</v>
      </c>
      <c r="L125" s="40">
        <f t="shared" si="19"/>
        <v>2064.29</v>
      </c>
      <c r="M125" s="40">
        <f>IF(OR(TbTradesBinance[[#This Row],[Tipo]]="BUY",TbTradesBinance[[#This Row],[Tipo]]="RECEIVE",TbTradesBinance[[#This Row],[Tipo]]="DROP"),L125*H125,-L125*H125)</f>
        <v>-2.0023613</v>
      </c>
      <c r="N12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Row],[Tipo]]="DROP"),N124+TbTradesBinance[[#This Row],[Qtt]],N124-TbTradesBinance[[#This Row],[Qtt]]),IF(TbTradesBinance[[#This Row],[Tipo]]="BUY",N124-TbTradesBinance[[#This Row],[Qtt]]*TbTradesBinance[[#This Row],[Preço]],N124+TbTradesBinance[[#This Row],[Qtt]]*TbTradesBinance[[#This Row],[Preço]])),N124)-IF(TbTradesBinance[[#This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Row],[Tipo]]="DROP"),N124+TbTradesBinance[[#This Row],[Qtt]],N124-TbTradesBinance[[#This Row],[Qtt]]),IF(TbTradesBinance[[#This Row],[Tipo]]="BUY",N124-TbTradesBinance[[#This Row],[Qtt]]*TbTradesBinance[[#This Row],[Preço]],N124+TbTradesBinance[[#This Row],[Qtt]]*TbTradesBinance[[#This Row],[Preço]])),N124)-IF(TbTradesBinance[[#This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Row],[Tipo]]="DROP"),N124+TbTradesBinance[[#This Row],[Qtt]],N124-TbTradesBinance[[#This Row],[Qtt]]),IF(TbTradesBinance[[#This Row],[Tipo]]="BUY",N124-TbTradesBinance[[#This Row],[Qtt]]*TbTradesBinance[[#This Row],[Preço]],N124+TbTradesBinance[[#This Row],[Qtt]]*TbTradesBinance[[#This Row],[Preço]])),N124)-IF(TbTradesBinance[[#This Row],[Moeda da Taxa]]=MID(N$1,9,5),TbTradesBinance[[#This Row],[Taxa]],0),8)))</f>
        <v>119850.11049418</v>
      </c>
      <c r="O125" s="145" cm="1">
        <f t="array" ref="O125">IF(TbTradesBinance[[#This Row],[Tipo]]="EMPTY",0,O124+IF(TbTradesBinance[[#This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Row],[Par]]))),$1:$1,0)),-(N124-N125)/N124*O124),0),0)+IF(TbTradesBinance[[#This Row],[Tipo]]="SELL",IF(ISNUMBER(FIND(MID(O$1,10,5),TbTradesBinance[[#This Row],[Par]])),IF(FIND(MID(O$1,10,5),TbTradesBinance[[#This Row],[Par]])=1, -(N124-N125)/N124*O124,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Row],[Par]])),(-(N124-N125)/N124*O124)+IF(TbTradesBinance[[#This Row],[Resultado]]&gt;0,0,TbTradesBinance[[#This Row],[Taxa]]),0),0))</f>
        <v>119842.46197104781</v>
      </c>
      <c r="P125" s="145">
        <f t="shared" si="20"/>
        <v>0.99993618259423667</v>
      </c>
      <c r="Q12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Row],[Tipo]]="DROP"),Q124+TbTradesBinance[[#This Row],[Qtt]],Q124-TbTradesBinance[[#This Row],[Qtt]]),IF(TbTradesBinance[[#This Row],[Tipo]]="BUY",Q124-TbTradesBinance[[#This Row],[Qtt]]*TbTradesBinance[[#This Row],[Preço]],Q124+TbTradesBinance[[#This Row],[Qtt]]*TbTradesBinance[[#This Row],[Preço]])),Q124)-IF(TbTradesBinance[[#This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Row],[Tipo]]="DROP"),Q124+TbTradesBinance[[#This Row],[Qtt]],Q124-TbTradesBinance[[#This Row],[Qtt]]),IF(TbTradesBinance[[#This Row],[Tipo]]="BUY",Q124-TbTradesBinance[[#This Row],[Qtt]]*TbTradesBinance[[#This Row],[Preço]],Q124+TbTradesBinance[[#This Row],[Qtt]]*TbTradesBinance[[#This Row],[Preço]])),Q124)-IF(TbTradesBinance[[#This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Row],[Tipo]]="DROP"),Q124+TbTradesBinance[[#This Row],[Qtt]],Q124-TbTradesBinance[[#This Row],[Qtt]]),IF(TbTradesBinance[[#This Row],[Tipo]]="BUY",Q124-TbTradesBinance[[#This Row],[Qtt]]*TbTradesBinance[[#This Row],[Preço]],Q124+TbTradesBinance[[#This Row],[Qtt]]*TbTradesBinance[[#This Row],[Preço]])),Q124)-IF(TbTradesBinance[[#This Row],[Moeda da Taxa]]=MID(Q$1,9,5),TbTradesBinance[[#This Row],[Taxa]],0),8)))</f>
        <v>0</v>
      </c>
      <c r="R125" s="145" cm="1">
        <f t="array" ref="R125">IF(TbTradesBinance[[#This Row],[Tipo]]="EMPTY",0,R124+IF(TbTradesBinance[[#This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Row],[Par]]))),$1:$1,0)),-(Q124-Q125)/Q124*R124),0),0)+IF(TbTradesBinance[[#This Row],[Tipo]]="SELL",IF(ISNUMBER(FIND(MID(R$1,10,5),TbTradesBinance[[#This Row],[Par]])),IF(FIND(MID(R$1,10,5),TbTradesBinance[[#This Row],[Par]])=1, -(Q124-Q125)/Q124*R124,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Row],[Par]])),(-(Q124-Q125)/Q124*R124)+IF(TbTradesBinance[[#This Row],[Resultado]]&gt;0,0,TbTradesBinance[[#This Row],[Taxa]]),0),0))</f>
        <v>0</v>
      </c>
      <c r="S125" s="145">
        <f t="shared" si="21"/>
        <v>0</v>
      </c>
      <c r="T12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Row],[Tipo]]="DROP"),T124+TbTradesBinance[[#This Row],[Qtt]],T124-TbTradesBinance[[#This Row],[Qtt]]),IF(TbTradesBinance[[#This Row],[Tipo]]="BUY",T124-TbTradesBinance[[#This Row],[Qtt]]*TbTradesBinance[[#This Row],[Preço]],T124+TbTradesBinance[[#This Row],[Qtt]]*TbTradesBinance[[#This Row],[Preço]])),T124)-IF(TbTradesBinance[[#This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Row],[Tipo]]="DROP"),T124+TbTradesBinance[[#This Row],[Qtt]],T124-TbTradesBinance[[#This Row],[Qtt]]),IF(TbTradesBinance[[#This Row],[Tipo]]="BUY",T124-TbTradesBinance[[#This Row],[Qtt]]*TbTradesBinance[[#This Row],[Preço]],T124+TbTradesBinance[[#This Row],[Qtt]]*TbTradesBinance[[#This Row],[Preço]])),T124)-IF(TbTradesBinance[[#This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Row],[Tipo]]="DROP"),T124+TbTradesBinance[[#This Row],[Qtt]],T124-TbTradesBinance[[#This Row],[Qtt]]),IF(TbTradesBinance[[#This Row],[Tipo]]="BUY",T124-TbTradesBinance[[#This Row],[Qtt]]*TbTradesBinance[[#This Row],[Preço]],T124+TbTradesBinance[[#This Row],[Qtt]]*TbTradesBinance[[#This Row],[Preço]])),T124)-IF(TbTradesBinance[[#This Row],[Moeda da Taxa]]=MID(T$1,9,5),TbTradesBinance[[#This Row],[Taxa]],0),8)))</f>
        <v>199735.32000169999</v>
      </c>
      <c r="U125" s="145" cm="1">
        <f t="array" ref="U125">IF(TbTradesBinance[[#This Row],[Tipo]]="EMPTY",0,U124+IF(TbTradesBinance[[#This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Row],[Par]]))),$1:$1,0)),-(T124-T125)/T124*U124),0),0)+IF(TbTradesBinance[[#This Row],[Tipo]]="SELL",IF(ISNUMBER(FIND(MID(U$1,10,5),TbTradesBinance[[#This Row],[Par]])),IF(FIND(MID(U$1,10,5),TbTradesBinance[[#This Row],[Par]])=1, -(T124-T125)/T124*U124,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Row],[Par]])),(-(T124-T125)/T124*U124)+IF(TbTradesBinance[[#This Row],[Resultado]]&gt;0,0,TbTradesBinance[[#This Row],[Taxa]]),0),0))</f>
        <v>1328239.8809817513</v>
      </c>
      <c r="V125" s="145">
        <f t="shared" si="22"/>
        <v>6.6500000148719129</v>
      </c>
      <c r="W12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Row],[Tipo]]="DROP"),W124+TbTradesBinance[[#This Row],[Qtt]],W124-TbTradesBinance[[#This Row],[Qtt]]),IF(TbTradesBinance[[#This Row],[Tipo]]="BUY",W124-TbTradesBinance[[#This Row],[Qtt]]*TbTradesBinance[[#This Row],[Preço]],W124+TbTradesBinance[[#This Row],[Qtt]]*TbTradesBinance[[#This Row],[Preço]])),W124)-IF(TbTradesBinance[[#This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Row],[Tipo]]="DROP"),W124+TbTradesBinance[[#This Row],[Qtt]],W124-TbTradesBinance[[#This Row],[Qtt]]),IF(TbTradesBinance[[#This Row],[Tipo]]="BUY",W124-TbTradesBinance[[#This Row],[Qtt]]*TbTradesBinance[[#This Row],[Preço]],W124+TbTradesBinance[[#This Row],[Qtt]]*TbTradesBinance[[#This Row],[Preço]])),W124)-IF(TbTradesBinance[[#This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Row],[Tipo]]="DROP"),W124+TbTradesBinance[[#This Row],[Qtt]],W124-TbTradesBinance[[#This Row],[Qtt]]),IF(TbTradesBinance[[#This Row],[Tipo]]="BUY",W124-TbTradesBinance[[#This Row],[Qtt]]*TbTradesBinance[[#This Row],[Preço]],W124+TbTradesBinance[[#This Row],[Qtt]]*TbTradesBinance[[#This Row],[Preço]])),W124)-IF(TbTradesBinance[[#This Row],[Moeda da Taxa]]=MID(W$1,9,5),TbTradesBinance[[#This Row],[Taxa]],0),8)))</f>
        <v>2.5393600000000001E-3</v>
      </c>
      <c r="X125" s="145" cm="1">
        <f t="array" ref="X125">IF(TbTradesBinance[[#This Row],[Tipo]]="EMPTY",0,X124+IF(TbTradesBinance[[#This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Row],[Par]]))),$1:$1,0)),-(W124-W125)/W124*X124),0),0)+IF(TbTradesBinance[[#This Row],[Tipo]]="SELL",IF(ISNUMBER(FIND(MID(X$1,10,5),TbTradesBinance[[#This Row],[Par]])),IF(FIND(MID(X$1,10,5),TbTradesBinance[[#This Row],[Par]])=1, -(W124-W125)/W124*X124,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Row],[Par]])),(-(W124-W125)/W124*X124)+IF(TbTradesBinance[[#This Row],[Resultado]]&gt;0,0,TbTradesBinance[[#This Row],[Taxa]]),0),0))</f>
        <v>847.47496668103008</v>
      </c>
      <c r="Y125" s="145">
        <f t="shared" si="23"/>
        <v>333735.65255853051</v>
      </c>
      <c r="Z12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Row],[Tipo]]="DROP"),Z124+TbTradesBinance[[#This Row],[Qtt]],Z124-TbTradesBinance[[#This Row],[Qtt]]),IF(TbTradesBinance[[#This Row],[Tipo]]="BUY",Z124-TbTradesBinance[[#This Row],[Qtt]]*TbTradesBinance[[#This Row],[Preço]],Z124+TbTradesBinance[[#This Row],[Qtt]]*TbTradesBinance[[#This Row],[Preço]])),Z124)-IF(TbTradesBinance[[#This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Row],[Tipo]]="DROP"),Z124+TbTradesBinance[[#This Row],[Qtt]],Z124-TbTradesBinance[[#This Row],[Qtt]]),IF(TbTradesBinance[[#This Row],[Tipo]]="BUY",Z124-TbTradesBinance[[#This Row],[Qtt]]*TbTradesBinance[[#This Row],[Preço]],Z124+TbTradesBinance[[#This Row],[Qtt]]*TbTradesBinance[[#This Row],[Preço]])),Z124)-IF(TbTradesBinance[[#This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Row],[Tipo]]="DROP"),Z124+TbTradesBinance[[#This Row],[Qtt]],Z124-TbTradesBinance[[#This Row],[Qtt]]),IF(TbTradesBinance[[#This Row],[Tipo]]="BUY",Z124-TbTradesBinance[[#This Row],[Qtt]]*TbTradesBinance[[#This Row],[Preço]],Z124+TbTradesBinance[[#This Row],[Qtt]]*TbTradesBinance[[#This Row],[Preço]])),Z124)-IF(TbTradesBinance[[#This Row],[Moeda da Taxa]]=MID(Z$1,9,5),TbTradesBinance[[#This Row],[Taxa]],0),8)))</f>
        <v>9.3300000000000005E-6</v>
      </c>
      <c r="AA125" s="145" cm="1">
        <f t="array" ref="AA125">IF(TbTradesBinance[[#This Row],[Tipo]]="EMPTY",0,AA124+IF(TbTradesBinance[[#This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Row],[Par]]))),$1:$1,0)),-(Z124-Z125)/Z124*AA124),0),0)+IF(TbTradesBinance[[#This Row],[Tipo]]="SELL",IF(ISNUMBER(FIND(MID(AA$1,10,5),TbTradesBinance[[#This Row],[Par]])),IF(FIND(MID(AA$1,10,5),TbTradesBinance[[#This Row],[Par]])=1, -(Z124-Z125)/Z124*AA124,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Row],[Par]])),(-(Z124-Z125)/Z124*AA124)+IF(TbTradesBinance[[#This Row],[Resultado]]&gt;0,0,TbTradesBinance[[#This Row],[Taxa]]),0),0))</f>
        <v>9.7066397187928644E-2</v>
      </c>
      <c r="AB125" s="145">
        <f t="shared" si="24"/>
        <v>10403.686729681525</v>
      </c>
      <c r="AC12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Row],[Tipo]]="DROP"),AC124+TbTradesBinance[[#This Row],[Qtt]],AC124-TbTradesBinance[[#This Row],[Qtt]]),IF(TbTradesBinance[[#This Row],[Tipo]]="BUY",AC124-TbTradesBinance[[#This Row],[Qtt]]*TbTradesBinance[[#This Row],[Preço]],AC124+TbTradesBinance[[#This Row],[Qtt]]*TbTradesBinance[[#This Row],[Preço]])),AC124)-IF(TbTradesBinance[[#This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Row],[Tipo]]="DROP"),AC124+TbTradesBinance[[#This Row],[Qtt]],AC124-TbTradesBinance[[#This Row],[Qtt]]),IF(TbTradesBinance[[#This Row],[Tipo]]="BUY",AC124-TbTradesBinance[[#This Row],[Qtt]]*TbTradesBinance[[#This Row],[Preço]],AC124+TbTradesBinance[[#This Row],[Qtt]]*TbTradesBinance[[#This Row],[Preço]])),AC124)-IF(TbTradesBinance[[#This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Row],[Tipo]]="DROP"),AC124+TbTradesBinance[[#This Row],[Qtt]],AC124-TbTradesBinance[[#This Row],[Qtt]]),IF(TbTradesBinance[[#This Row],[Tipo]]="BUY",AC124-TbTradesBinance[[#This Row],[Qtt]]*TbTradesBinance[[#This Row],[Preço]],AC124+TbTradesBinance[[#This Row],[Qtt]]*TbTradesBinance[[#This Row],[Preço]])),AC124)-IF(TbTradesBinance[[#This Row],[Moeda da Taxa]]=MID(AC$1,9,5),TbTradesBinance[[#This Row],[Taxa]],0),8)))</f>
        <v>0</v>
      </c>
      <c r="AD125" s="145" cm="1">
        <f t="array" ref="AD125">IF(TbTradesBinance[[#This Row],[Tipo]]="EMPTY",0,AD124+IF(TbTradesBinance[[#This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Row],[Par]]))),$1:$1,0)),-(AC124-AC125)/AC124*AD124),0),0)+IF(TbTradesBinance[[#This Row],[Tipo]]="SELL",IF(ISNUMBER(FIND(MID(AD$1,10,5),TbTradesBinance[[#This Row],[Par]])),IF(FIND(MID(AD$1,10,5),TbTradesBinance[[#This Row],[Par]])=1, -(AC124-AC125)/AC124*AD124,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Row],[Par]])),(-(AC124-AC125)/AC124*AD124)+IF(TbTradesBinance[[#This Row],[Resultado]]&gt;0,0,TbTradesBinance[[#This Row],[Taxa]]),0),0))</f>
        <v>0</v>
      </c>
      <c r="AE125" s="145">
        <f t="shared" si="25"/>
        <v>0</v>
      </c>
      <c r="AF12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Row],[Tipo]]="DROP"),AF124+TbTradesBinance[[#This Row],[Qtt]],AF124-TbTradesBinance[[#This Row],[Qtt]]),IF(TbTradesBinance[[#This Row],[Tipo]]="BUY",AF124-TbTradesBinance[[#This Row],[Qtt]]*TbTradesBinance[[#This Row],[Preço]],AF124+TbTradesBinance[[#This Row],[Qtt]]*TbTradesBinance[[#This Row],[Preço]])),AF124)-IF(TbTradesBinance[[#This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Row],[Tipo]]="DROP"),AF124+TbTradesBinance[[#This Row],[Qtt]],AF124-TbTradesBinance[[#This Row],[Qtt]]),IF(TbTradesBinance[[#This Row],[Tipo]]="BUY",AF124-TbTradesBinance[[#This Row],[Qtt]]*TbTradesBinance[[#This Row],[Preço]],AF124+TbTradesBinance[[#This Row],[Qtt]]*TbTradesBinance[[#This Row],[Preço]])),AF124)-IF(TbTradesBinance[[#This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Row],[Tipo]]="DROP"),AF124+TbTradesBinance[[#This Row],[Qtt]],AF124-TbTradesBinance[[#This Row],[Qtt]]),IF(TbTradesBinance[[#This Row],[Tipo]]="BUY",AF124-TbTradesBinance[[#This Row],[Qtt]]*TbTradesBinance[[#This Row],[Preço]],AF124+TbTradesBinance[[#This Row],[Qtt]]*TbTradesBinance[[#This Row],[Preço]])),AF124)-IF(TbTradesBinance[[#This Row],[Moeda da Taxa]]=MID(AF$1,9,5),TbTradesBinance[[#This Row],[Taxa]],0),8)))</f>
        <v>0.08</v>
      </c>
      <c r="AG125" s="145" cm="1">
        <f t="array" ref="AG125">IF(TbTradesBinance[[#This Row],[Tipo]]="EMPTY",0,AG124+IF(TbTradesBinance[[#This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Row],[Par]]))),$1:$1,0)),-(AF124-AF125)/AF124*AG124),0),0)+IF(TbTradesBinance[[#This Row],[Tipo]]="SELL",IF(ISNUMBER(FIND(MID(AG$1,10,5),TbTradesBinance[[#This Row],[Par]])),IF(FIND(MID(AG$1,10,5),TbTradesBinance[[#This Row],[Par]])=1, -(AF124-AF125)/AF124*AG124,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Row],[Par]])),(-(AF124-AF125)/AF124*AG124)+IF(TbTradesBinance[[#This Row],[Resultado]]&gt;0,0,TbTradesBinance[[#This Row],[Taxa]]),0),0))</f>
        <v>0.49666397429723474</v>
      </c>
      <c r="AH125" s="145">
        <f t="shared" si="26"/>
        <v>6.2082996787154343</v>
      </c>
      <c r="AI12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Row],[Tipo]]="DROP"),AI124+TbTradesBinance[[#This Row],[Qtt]],AI124-TbTradesBinance[[#This Row],[Qtt]]),IF(TbTradesBinance[[#This Row],[Tipo]]="BUY",AI124-TbTradesBinance[[#This Row],[Qtt]]*TbTradesBinance[[#This Row],[Preço]],AI124+TbTradesBinance[[#This Row],[Qtt]]*TbTradesBinance[[#This Row],[Preço]])),AI124)-IF(TbTradesBinance[[#This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Row],[Tipo]]="DROP"),AI124+TbTradesBinance[[#This Row],[Qtt]],AI124-TbTradesBinance[[#This Row],[Qtt]]),IF(TbTradesBinance[[#This Row],[Tipo]]="BUY",AI124-TbTradesBinance[[#This Row],[Qtt]]*TbTradesBinance[[#This Row],[Preço]],AI124+TbTradesBinance[[#This Row],[Qtt]]*TbTradesBinance[[#This Row],[Preço]])),AI124)-IF(TbTradesBinance[[#This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Row],[Tipo]]="DROP"),AI124+TbTradesBinance[[#This Row],[Qtt]],AI124-TbTradesBinance[[#This Row],[Qtt]]),IF(TbTradesBinance[[#This Row],[Tipo]]="BUY",AI124-TbTradesBinance[[#This Row],[Qtt]]*TbTradesBinance[[#This Row],[Preço]],AI124+TbTradesBinance[[#This Row],[Qtt]]*TbTradesBinance[[#This Row],[Preço]])),AI124)-IF(TbTradesBinance[[#This Row],[Moeda da Taxa]]=MID(AI$1,9,5),TbTradesBinance[[#This Row],[Taxa]],0),8)))</f>
        <v>0</v>
      </c>
      <c r="AJ125" s="145" cm="1">
        <f t="array" ref="AJ125">IF(TbTradesBinance[[#This Row],[Tipo]]="EMPTY",0,AJ124+IF(TbTradesBinance[[#This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Row],[Par]]))),$1:$1,0)),-(AI124-AI125)/AI124*AJ124),0),0)+IF(TbTradesBinance[[#This Row],[Tipo]]="SELL",IF(ISNUMBER(FIND(MID(AJ$1,10,5),TbTradesBinance[[#This Row],[Par]])),IF(FIND(MID(AJ$1,10,5),TbTradesBinance[[#This Row],[Par]])=1, -(AI124-AI125)/AI124*AJ124,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Row],[Par]])),(-(AI124-AI125)/AI124*AJ124)+IF(TbTradesBinance[[#This Row],[Resultado]]&gt;0,0,TbTradesBinance[[#This Row],[Taxa]]),0),0))</f>
        <v>0</v>
      </c>
      <c r="AK125" s="145">
        <f t="shared" si="27"/>
        <v>0</v>
      </c>
      <c r="AL12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Row],[Tipo]]="DROP"),AL124+TbTradesBinance[[#This Row],[Qtt]],AL124-TbTradesBinance[[#This Row],[Qtt]]),IF(TbTradesBinance[[#This Row],[Tipo]]="BUY",AL124-TbTradesBinance[[#This Row],[Qtt]]*TbTradesBinance[[#This Row],[Preço]],AL124+TbTradesBinance[[#This Row],[Qtt]]*TbTradesBinance[[#This Row],[Preço]])),AL124)-IF(TbTradesBinance[[#This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Row],[Tipo]]="DROP"),AL124+TbTradesBinance[[#This Row],[Qtt]],AL124-TbTradesBinance[[#This Row],[Qtt]]),IF(TbTradesBinance[[#This Row],[Tipo]]="BUY",AL124-TbTradesBinance[[#This Row],[Qtt]]*TbTradesBinance[[#This Row],[Preço]],AL124+TbTradesBinance[[#This Row],[Qtt]]*TbTradesBinance[[#This Row],[Preço]])),AL124)-IF(TbTradesBinance[[#This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Row],[Tipo]]="DROP"),AL124+TbTradesBinance[[#This Row],[Qtt]],AL124-TbTradesBinance[[#This Row],[Qtt]]),IF(TbTradesBinance[[#This Row],[Tipo]]="BUY",AL124-TbTradesBinance[[#This Row],[Qtt]]*TbTradesBinance[[#This Row],[Preço]],AL124+TbTradesBinance[[#This Row],[Qtt]]*TbTradesBinance[[#This Row],[Preço]])),AL124)-IF(TbTradesBinance[[#This Row],[Moeda da Taxa]]=MID(AL$1,9,5),TbTradesBinance[[#This Row],[Taxa]],0),8)))</f>
        <v>8.2400000000000008E-3</v>
      </c>
      <c r="AM125" s="145" cm="1">
        <f t="array" ref="AM125">IF(TbTradesBinance[[#This Row],[Tipo]]="EMPTY",0,AM124+IF(TbTradesBinance[[#This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Row],[Par]]))),$1:$1,0)),-(AL124-AL125)/AL124*AM124),0),0)+IF(TbTradesBinance[[#This Row],[Tipo]]="SELL",IF(ISNUMBER(FIND(MID(AM$1,10,5),TbTradesBinance[[#This Row],[Par]])),IF(FIND(MID(AM$1,10,5),TbTradesBinance[[#This Row],[Par]])=1, -(AL124-AL125)/AL124*AM124,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Row],[Par]])),(-(AL124-AL125)/AL124*AM124)+IF(TbTradesBinance[[#This Row],[Resultado]]&gt;0,0,TbTradesBinance[[#This Row],[Taxa]]),0),0))</f>
        <v>0.67751089887772764</v>
      </c>
      <c r="AN125" s="145">
        <f t="shared" si="28"/>
        <v>82.222196465743636</v>
      </c>
      <c r="AO12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Row],[Tipo]]="DROP"),AO124+TbTradesBinance[[#This Row],[Qtt]],AO124-TbTradesBinance[[#This Row],[Qtt]]),IF(TbTradesBinance[[#This Row],[Tipo]]="BUY",AO124-TbTradesBinance[[#This Row],[Qtt]]*TbTradesBinance[[#This Row],[Preço]],AO124+TbTradesBinance[[#This Row],[Qtt]]*TbTradesBinance[[#This Row],[Preço]])),AO124)-IF(TbTradesBinance[[#This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Row],[Tipo]]="DROP"),AO124+TbTradesBinance[[#This Row],[Qtt]],AO124-TbTradesBinance[[#This Row],[Qtt]]),IF(TbTradesBinance[[#This Row],[Tipo]]="BUY",AO124-TbTradesBinance[[#This Row],[Qtt]]*TbTradesBinance[[#This Row],[Preço]],AO124+TbTradesBinance[[#This Row],[Qtt]]*TbTradesBinance[[#This Row],[Preço]])),AO124)-IF(TbTradesBinance[[#This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Row],[Tipo]]="DROP"),AO124+TbTradesBinance[[#This Row],[Qtt]],AO124-TbTradesBinance[[#This Row],[Qtt]]),IF(TbTradesBinance[[#This Row],[Tipo]]="BUY",AO124-TbTradesBinance[[#This Row],[Qtt]]*TbTradesBinance[[#This Row],[Preço]],AO124+TbTradesBinance[[#This Row],[Qtt]]*TbTradesBinance[[#This Row],[Preço]])),AO124)-IF(TbTradesBinance[[#This Row],[Moeda da Taxa]]=MID(AO$1,9,5),TbTradesBinance[[#This Row],[Taxa]],0),8)))</f>
        <v>7.6768639999999999E-2</v>
      </c>
      <c r="AP125" s="145" cm="1">
        <f t="array" ref="AP125">IF(TbTradesBinance[[#This Row],[Tipo]]="EMPTY",0,AP124+IF(TbTradesBinance[[#This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Row],[Par]]))),$1:$1,0)),-(AO124-AO125)/AO124*AP124),0),0)+IF(TbTradesBinance[[#This Row],[Tipo]]="SELL",IF(ISNUMBER(FIND(MID(AP$1,10,5),TbTradesBinance[[#This Row],[Par]])),IF(FIND(MID(AP$1,10,5),TbTradesBinance[[#This Row],[Par]])=1, -(AO124-AO125)/AO124*AP124,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Row],[Par]])),(-(AO124-AO125)/AO124*AP124)+IF(TbTradesBinance[[#This Row],[Resultado]]&gt;0,0,TbTradesBinance[[#This Row],[Taxa]]),0),0))</f>
        <v>117.51309813717495</v>
      </c>
      <c r="AQ125" s="145">
        <f t="shared" si="29"/>
        <v>1530.7435189313626</v>
      </c>
      <c r="AR12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Row],[Tipo]]="DROP"),AR124+TbTradesBinance[[#This Row],[Qtt]],AR124-TbTradesBinance[[#This Row],[Qtt]]),IF(TbTradesBinance[[#This Row],[Tipo]]="BUY",AR124-TbTradesBinance[[#This Row],[Qtt]]*TbTradesBinance[[#This Row],[Preço]],AR124+TbTradesBinance[[#This Row],[Qtt]]*TbTradesBinance[[#This Row],[Preço]])),AR124)-IF(TbTradesBinance[[#This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Row],[Tipo]]="DROP"),AR124+TbTradesBinance[[#This Row],[Qtt]],AR124-TbTradesBinance[[#This Row],[Qtt]]),IF(TbTradesBinance[[#This Row],[Tipo]]="BUY",AR124-TbTradesBinance[[#This Row],[Qtt]]*TbTradesBinance[[#This Row],[Preço]],AR124+TbTradesBinance[[#This Row],[Qtt]]*TbTradesBinance[[#This Row],[Preço]])),AR124)-IF(TbTradesBinance[[#This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Row],[Tipo]]="DROP"),AR124+TbTradesBinance[[#This Row],[Qtt]],AR124-TbTradesBinance[[#This Row],[Qtt]]),IF(TbTradesBinance[[#This Row],[Tipo]]="BUY",AR124-TbTradesBinance[[#This Row],[Qtt]]*TbTradesBinance[[#This Row],[Preço]],AR124+TbTradesBinance[[#This Row],[Qtt]]*TbTradesBinance[[#This Row],[Preço]])),AR124)-IF(TbTradesBinance[[#This Row],[Moeda da Taxa]]=MID(AR$1,9,5),TbTradesBinance[[#This Row],[Taxa]],0),8)))</f>
        <v>61.251199999999997</v>
      </c>
      <c r="AS125" s="145" cm="1">
        <f t="array" ref="AS125">IF(TbTradesBinance[[#This Row],[Tipo]]="EMPTY",0,AS124+IF(TbTradesBinance[[#This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Row],[Par]]))),$1:$1,0)),-(AR124-AR125)/AR124*AS124),0),0)+IF(TbTradesBinance[[#This Row],[Tipo]]="SELL",IF(ISNUMBER(FIND(MID(AS$1,10,5),TbTradesBinance[[#This Row],[Par]])),IF(FIND(MID(AS$1,10,5),TbTradesBinance[[#This Row],[Par]])=1, -(AR124-AR125)/AR124*AS124,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Row],[Par]])),(-(AR124-AR125)/AR124*AS124)+IF(TbTradesBinance[[#This Row],[Resultado]]&gt;0,0,TbTradesBinance[[#This Row],[Taxa]]),0),0))</f>
        <v>230.84001376053044</v>
      </c>
      <c r="AT125" s="145">
        <f t="shared" si="30"/>
        <v>3.7687427146003745</v>
      </c>
      <c r="AU12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Row],[Tipo]]="DROP"),AU124+TbTradesBinance[[#This Row],[Qtt]],AU124-TbTradesBinance[[#This Row],[Qtt]]),IF(TbTradesBinance[[#This Row],[Tipo]]="BUY",AU124-TbTradesBinance[[#This Row],[Qtt]]*TbTradesBinance[[#This Row],[Preço]],AU124+TbTradesBinance[[#This Row],[Qtt]]*TbTradesBinance[[#This Row],[Preço]])),AU124)-IF(TbTradesBinance[[#This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Row],[Tipo]]="DROP"),AU124+TbTradesBinance[[#This Row],[Qtt]],AU124-TbTradesBinance[[#This Row],[Qtt]]),IF(TbTradesBinance[[#This Row],[Tipo]]="BUY",AU124-TbTradesBinance[[#This Row],[Qtt]]*TbTradesBinance[[#This Row],[Preço]],AU124+TbTradesBinance[[#This Row],[Qtt]]*TbTradesBinance[[#This Row],[Preço]])),AU124)-IF(TbTradesBinance[[#This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Row],[Tipo]]="DROP"),AU124+TbTradesBinance[[#This Row],[Qtt]],AU124-TbTradesBinance[[#This Row],[Qtt]]),IF(TbTradesBinance[[#This Row],[Tipo]]="BUY",AU124-TbTradesBinance[[#This Row],[Qtt]]*TbTradesBinance[[#This Row],[Preço]],AU124+TbTradesBinance[[#This Row],[Qtt]]*TbTradesBinance[[#This Row],[Preço]])),AU124)-IF(TbTradesBinance[[#This Row],[Moeda da Taxa]]=MID(AU$1,9,5),TbTradesBinance[[#This Row],[Taxa]],0),8)))</f>
        <v>0</v>
      </c>
      <c r="AV125" s="145" cm="1">
        <f t="array" ref="AV125">IF(TbTradesBinance[[#This Row],[Tipo]]="EMPTY",0,AV124+IF(TbTradesBinance[[#This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Row],[Par]]))),$1:$1,0)),-(AU124-AU125)/AU124*AV124),0),0)+IF(TbTradesBinance[[#This Row],[Tipo]]="SELL",IF(ISNUMBER(FIND(MID(AV$1,10,5),TbTradesBinance[[#This Row],[Par]])),IF(FIND(MID(AV$1,10,5),TbTradesBinance[[#This Row],[Par]])=1, -(AU124-AU125)/AU124*AV124,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Row],[Par]])),(-(AU124-AU125)/AU124*AV124)+IF(TbTradesBinance[[#This Row],[Resultado]]&gt;0,0,TbTradesBinance[[#This Row],[Taxa]]),0),0))</f>
        <v>0</v>
      </c>
      <c r="AW125" s="145">
        <f t="shared" si="31"/>
        <v>0</v>
      </c>
      <c r="AX12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Row],[Tipo]]="DROP"),AX124+TbTradesBinance[[#This Row],[Qtt]],AX124-TbTradesBinance[[#This Row],[Qtt]]),IF(TbTradesBinance[[#This Row],[Tipo]]="BUY",AX124-TbTradesBinance[[#This Row],[Qtt]]*TbTradesBinance[[#This Row],[Preço]],AX124+TbTradesBinance[[#This Row],[Qtt]]*TbTradesBinance[[#This Row],[Preço]])),AX124)-IF(TbTradesBinance[[#This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Row],[Tipo]]="DROP"),AX124+TbTradesBinance[[#This Row],[Qtt]],AX124-TbTradesBinance[[#This Row],[Qtt]]),IF(TbTradesBinance[[#This Row],[Tipo]]="BUY",AX124-TbTradesBinance[[#This Row],[Qtt]]*TbTradesBinance[[#This Row],[Preço]],AX124+TbTradesBinance[[#This Row],[Qtt]]*TbTradesBinance[[#This Row],[Preço]])),AX124)-IF(TbTradesBinance[[#This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Row],[Tipo]]="DROP"),AX124+TbTradesBinance[[#This Row],[Qtt]],AX124-TbTradesBinance[[#This Row],[Qtt]]),IF(TbTradesBinance[[#This Row],[Tipo]]="BUY",AX124-TbTradesBinance[[#This Row],[Qtt]]*TbTradesBinance[[#This Row],[Preço]],AX124+TbTradesBinance[[#This Row],[Qtt]]*TbTradesBinance[[#This Row],[Preço]])),AX124)-IF(TbTradesBinance[[#This Row],[Moeda da Taxa]]=MID(AX$1,9,5),TbTradesBinance[[#This Row],[Taxa]],0),8)))</f>
        <v>0.85636999999999996</v>
      </c>
      <c r="AY125" s="145" cm="1">
        <f t="array" ref="AY125">IF(TbTradesBinance[[#This Row],[Tipo]]="EMPTY",0,AY124+IF(TbTradesBinance[[#This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Row],[Par]]))),$1:$1,0)),-(AX124-AX125)/AX124*AY124),0),0)+IF(TbTradesBinance[[#This Row],[Tipo]]="SELL",IF(ISNUMBER(FIND(MID(AY$1,10,5),TbTradesBinance[[#This Row],[Par]])),IF(FIND(MID(AY$1,10,5),TbTradesBinance[[#This Row],[Par]])=1, -(AX124-AX125)/AX124*AY124,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Row],[Par]])),(-(AX124-AX125)/AX124*AY124)+IF(TbTradesBinance[[#This Row],[Resultado]]&gt;0,0,TbTradesBinance[[#This Row],[Taxa]]),0),0))</f>
        <v>131.82971181780295</v>
      </c>
      <c r="AZ125" s="145">
        <f t="shared" si="32"/>
        <v>153.94013314081874</v>
      </c>
      <c r="BA12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Row],[Tipo]]="DROP"),BA124+TbTradesBinance[[#This Row],[Qtt]],BA124-TbTradesBinance[[#This Row],[Qtt]]),IF(TbTradesBinance[[#This Row],[Tipo]]="BUY",BA124-TbTradesBinance[[#This Row],[Qtt]]*TbTradesBinance[[#This Row],[Preço]],BA124+TbTradesBinance[[#This Row],[Qtt]]*TbTradesBinance[[#This Row],[Preço]])),BA124)-IF(TbTradesBinance[[#This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Row],[Tipo]]="DROP"),BA124+TbTradesBinance[[#This Row],[Qtt]],BA124-TbTradesBinance[[#This Row],[Qtt]]),IF(TbTradesBinance[[#This Row],[Tipo]]="BUY",BA124-TbTradesBinance[[#This Row],[Qtt]]*TbTradesBinance[[#This Row],[Preço]],BA124+TbTradesBinance[[#This Row],[Qtt]]*TbTradesBinance[[#This Row],[Preço]])),BA124)-IF(TbTradesBinance[[#This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Row],[Tipo]]="DROP"),BA124+TbTradesBinance[[#This Row],[Qtt]],BA124-TbTradesBinance[[#This Row],[Qtt]]),IF(TbTradesBinance[[#This Row],[Tipo]]="BUY",BA124-TbTradesBinance[[#This Row],[Qtt]]*TbTradesBinance[[#This Row],[Preço]],BA124+TbTradesBinance[[#This Row],[Qtt]]*TbTradesBinance[[#This Row],[Preço]])),BA124)-IF(TbTradesBinance[[#This Row],[Moeda da Taxa]]=MID(BA$1,9,5),TbTradesBinance[[#This Row],[Taxa]],0),8)))</f>
        <v>0.10571</v>
      </c>
      <c r="BB125" s="145" cm="1">
        <f t="array" ref="BB125">IF(TbTradesBinance[[#This Row],[Tipo]]="EMPTY",0,BB124+IF(TbTradesBinance[[#This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Row],[Par]]))),$1:$1,0)),-(BA124-BA125)/BA124*BB124),0),0)+IF(TbTradesBinance[[#This Row],[Tipo]]="SELL",IF(ISNUMBER(FIND(MID(BB$1,10,5),TbTradesBinance[[#This Row],[Par]])),IF(FIND(MID(BB$1,10,5),TbTradesBinance[[#This Row],[Par]])=1, -(BA124-BA125)/BA124*BB124,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Row],[Par]])),(-(BA124-BA125)/BA124*BB124)+IF(TbTradesBinance[[#This Row],[Resultado]]&gt;0,0,TbTradesBinance[[#This Row],[Taxa]]),0),0))</f>
        <v>120.8257969142021</v>
      </c>
      <c r="BC125" s="145">
        <f t="shared" si="33"/>
        <v>1142.9930651234708</v>
      </c>
      <c r="BD12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Row],[Tipo]]="DROP"),BD124+TbTradesBinance[[#This Row],[Qtt]],BD124-TbTradesBinance[[#This Row],[Qtt]]),IF(TbTradesBinance[[#This Row],[Tipo]]="BUY",BD124-TbTradesBinance[[#This Row],[Qtt]]*TbTradesBinance[[#This Row],[Preço]],BD124+TbTradesBinance[[#This Row],[Qtt]]*TbTradesBinance[[#This Row],[Preço]])),BD124)-IF(TbTradesBinance[[#This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Row],[Tipo]]="DROP"),BD124+TbTradesBinance[[#This Row],[Qtt]],BD124-TbTradesBinance[[#This Row],[Qtt]]),IF(TbTradesBinance[[#This Row],[Tipo]]="BUY",BD124-TbTradesBinance[[#This Row],[Qtt]]*TbTradesBinance[[#This Row],[Preço]],BD124+TbTradesBinance[[#This Row],[Qtt]]*TbTradesBinance[[#This Row],[Preço]])),BD124)-IF(TbTradesBinance[[#This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Row],[Tipo]]="DROP"),BD124+TbTradesBinance[[#This Row],[Qtt]],BD124-TbTradesBinance[[#This Row],[Qtt]]),IF(TbTradesBinance[[#This Row],[Tipo]]="BUY",BD124-TbTradesBinance[[#This Row],[Qtt]]*TbTradesBinance[[#This Row],[Preço]],BD124+TbTradesBinance[[#This Row],[Qtt]]*TbTradesBinance[[#This Row],[Preço]])),BD124)-IF(TbTradesBinance[[#This Row],[Moeda da Taxa]]=MID(BD$1,9,5),TbTradesBinance[[#This Row],[Taxa]],0),8)))</f>
        <v>0</v>
      </c>
      <c r="BE125" s="145" cm="1">
        <f t="array" ref="BE125">IF(TbTradesBinance[[#This Row],[Tipo]]="EMPTY",0,BE124+IF(TbTradesBinance[[#This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Row],[Par]]))),$1:$1,0)),-(BD124-BD125)/BD124*BE124),0),0)+IF(TbTradesBinance[[#This Row],[Tipo]]="SELL",IF(ISNUMBER(FIND(MID(BE$1,10,5),TbTradesBinance[[#This Row],[Par]])),IF(FIND(MID(BE$1,10,5),TbTradesBinance[[#This Row],[Par]])=1, -(BD124-BD125)/BD124*BE124,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Row],[Par]])),(-(BD124-BD125)/BD124*BE124)+IF(TbTradesBinance[[#This Row],[Resultado]]&gt;0,0,TbTradesBinance[[#This Row],[Taxa]]),0),0))</f>
        <v>0</v>
      </c>
      <c r="BF125" s="145">
        <f t="shared" si="34"/>
        <v>0</v>
      </c>
      <c r="BG12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Row],[Tipo]]="DROP"),BG124+TbTradesBinance[[#This Row],[Qtt]],BG124-TbTradesBinance[[#This Row],[Qtt]]),IF(TbTradesBinance[[#This Row],[Tipo]]="BUY",BG124-TbTradesBinance[[#This Row],[Qtt]]*TbTradesBinance[[#This Row],[Preço]],BG124+TbTradesBinance[[#This Row],[Qtt]]*TbTradesBinance[[#This Row],[Preço]])),BG124)-IF(TbTradesBinance[[#This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Row],[Tipo]]="DROP"),BG124+TbTradesBinance[[#This Row],[Qtt]],BG124-TbTradesBinance[[#This Row],[Qtt]]),IF(TbTradesBinance[[#This Row],[Tipo]]="BUY",BG124-TbTradesBinance[[#This Row],[Qtt]]*TbTradesBinance[[#This Row],[Preço]],BG124+TbTradesBinance[[#This Row],[Qtt]]*TbTradesBinance[[#This Row],[Preço]])),BG124)-IF(TbTradesBinance[[#This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Row],[Tipo]]="DROP"),BG124+TbTradesBinance[[#This Row],[Qtt]],BG124-TbTradesBinance[[#This Row],[Qtt]]),IF(TbTradesBinance[[#This Row],[Tipo]]="BUY",BG124-TbTradesBinance[[#This Row],[Qtt]]*TbTradesBinance[[#This Row],[Preço]],BG124+TbTradesBinance[[#This Row],[Qtt]]*TbTradesBinance[[#This Row],[Preço]])),BG124)-IF(TbTradesBinance[[#This Row],[Moeda da Taxa]]=MID(BG$1,9,5),TbTradesBinance[[#This Row],[Taxa]],0),8)))</f>
        <v>0</v>
      </c>
      <c r="BH125" s="145" cm="1">
        <f t="array" ref="BH125">IF(TbTradesBinance[[#This Row],[Tipo]]="EMPTY",0,BH124+IF(TbTradesBinance[[#This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Row],[Par]]))),$1:$1,0)),-(BG124-BG125)/BG124*BH124),0),0)+IF(TbTradesBinance[[#This Row],[Tipo]]="SELL",IF(ISNUMBER(FIND(MID(BH$1,10,5),TbTradesBinance[[#This Row],[Par]])),IF(FIND(MID(BH$1,10,5),TbTradesBinance[[#This Row],[Par]])=1, -(BG124-BG125)/BG124*BH124,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Row],[Par]])),(-(BG124-BG125)/BG124*BH124)+IF(TbTradesBinance[[#This Row],[Resultado]]&gt;0,0,TbTradesBinance[[#This Row],[Taxa]]),0),0))</f>
        <v>0</v>
      </c>
      <c r="BI125" s="145">
        <f t="shared" si="35"/>
        <v>0</v>
      </c>
      <c r="BJ12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Row],[Tipo]]="DROP"),BJ124+TbTradesBinance[[#This Row],[Qtt]],BJ124-TbTradesBinance[[#This Row],[Qtt]]),IF(TbTradesBinance[[#This Row],[Tipo]]="BUY",BJ124-TbTradesBinance[[#This Row],[Qtt]]*TbTradesBinance[[#This Row],[Preço]],BJ124+TbTradesBinance[[#This Row],[Qtt]]*TbTradesBinance[[#This Row],[Preço]])),BJ124)-IF(TbTradesBinance[[#This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Row],[Tipo]]="DROP"),BJ124+TbTradesBinance[[#This Row],[Qtt]],BJ124-TbTradesBinance[[#This Row],[Qtt]]),IF(TbTradesBinance[[#This Row],[Tipo]]="BUY",BJ124-TbTradesBinance[[#This Row],[Qtt]]*TbTradesBinance[[#This Row],[Preço]],BJ124+TbTradesBinance[[#This Row],[Qtt]]*TbTradesBinance[[#This Row],[Preço]])),BJ124)-IF(TbTradesBinance[[#This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Row],[Tipo]]="DROP"),BJ124+TbTradesBinance[[#This Row],[Qtt]],BJ124-TbTradesBinance[[#This Row],[Qtt]]),IF(TbTradesBinance[[#This Row],[Tipo]]="BUY",BJ124-TbTradesBinance[[#This Row],[Qtt]]*TbTradesBinance[[#This Row],[Preço]],BJ124+TbTradesBinance[[#This Row],[Qtt]]*TbTradesBinance[[#This Row],[Preço]])),BJ124)-IF(TbTradesBinance[[#This Row],[Moeda da Taxa]]=MID(BJ$1,9,5),TbTradesBinance[[#This Row],[Taxa]],0),8)))</f>
        <v>0</v>
      </c>
      <c r="BK125" s="145" cm="1">
        <f t="array" ref="BK125">IF(TbTradesBinance[[#This Row],[Tipo]]="EMPTY",0,BK124+IF(TbTradesBinance[[#This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Row],[Par]]))),$1:$1,0)),-(BJ124-BJ125)/BJ124*BK124),0),0)+IF(TbTradesBinance[[#This Row],[Tipo]]="SELL",IF(ISNUMBER(FIND(MID(BK$1,10,5),TbTradesBinance[[#This Row],[Par]])),IF(FIND(MID(BK$1,10,5),TbTradesBinance[[#This Row],[Par]])=1, -(BJ124-BJ125)/BJ124*BK124,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Row],[Par]])),(-(BJ124-BJ125)/BJ124*BK124)+IF(TbTradesBinance[[#This Row],[Resultado]]&gt;0,0,TbTradesBinance[[#This Row],[Taxa]]),0),0))</f>
        <v>0</v>
      </c>
      <c r="BL125" s="145">
        <f t="shared" si="36"/>
        <v>0</v>
      </c>
      <c r="BM12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Row],[Tipo]]="DROP"),BM124+TbTradesBinance[[#This Row],[Qtt]],BM124-TbTradesBinance[[#This Row],[Qtt]]),IF(TbTradesBinance[[#This Row],[Tipo]]="BUY",BM124-TbTradesBinance[[#This Row],[Qtt]]*TbTradesBinance[[#This Row],[Preço]],BM124+TbTradesBinance[[#This Row],[Qtt]]*TbTradesBinance[[#This Row],[Preço]])),BM124)-IF(TbTradesBinance[[#This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Row],[Tipo]]="DROP"),BM124+TbTradesBinance[[#This Row],[Qtt]],BM124-TbTradesBinance[[#This Row],[Qtt]]),IF(TbTradesBinance[[#This Row],[Tipo]]="BUY",BM124-TbTradesBinance[[#This Row],[Qtt]]*TbTradesBinance[[#This Row],[Preço]],BM124+TbTradesBinance[[#This Row],[Qtt]]*TbTradesBinance[[#This Row],[Preço]])),BM124)-IF(TbTradesBinance[[#This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Row],[Tipo]]="DROP"),BM124+TbTradesBinance[[#This Row],[Qtt]],BM124-TbTradesBinance[[#This Row],[Qtt]]),IF(TbTradesBinance[[#This Row],[Tipo]]="BUY",BM124-TbTradesBinance[[#This Row],[Qtt]]*TbTradesBinance[[#This Row],[Preço]],BM124+TbTradesBinance[[#This Row],[Qtt]]*TbTradesBinance[[#This Row],[Preço]])),BM124)-IF(TbTradesBinance[[#This Row],[Moeda da Taxa]]=MID(BM$1,9,5),TbTradesBinance[[#This Row],[Taxa]],0),8)))</f>
        <v>0</v>
      </c>
      <c r="BN125" s="145" cm="1">
        <f t="array" ref="BN125">IF(TbTradesBinance[[#This Row],[Tipo]]="EMPTY",0,BN124+IF(TbTradesBinance[[#This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Row],[Par]]))),$1:$1,0)),-(BM124-BM125)/BM124*BN124),0),0)+IF(TbTradesBinance[[#This Row],[Tipo]]="SELL",IF(ISNUMBER(FIND(MID(BN$1,10,5),TbTradesBinance[[#This Row],[Par]])),IF(FIND(MID(BN$1,10,5),TbTradesBinance[[#This Row],[Par]])=1, -(BM124-BM125)/BM124*BN124,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Row],[Par]])),(-(BM124-BM125)/BM124*BN124)+IF(TbTradesBinance[[#This Row],[Resultado]]&gt;0,0,TbTradesBinance[[#This Row],[Taxa]]),0),0))</f>
        <v>0</v>
      </c>
      <c r="BO125" s="145">
        <f t="shared" si="37"/>
        <v>0</v>
      </c>
    </row>
    <row r="126" spans="2:67" x14ac:dyDescent="0.3">
      <c r="B126" s="51" t="s">
        <v>107</v>
      </c>
      <c r="C126" s="40">
        <f>TRUNC(IF(AND(TbTradesBinance[[#This Row],[Tipo]]="SEND",TbTradesBinance[[#This Row],[Par]]="BRL"),TbTradesBinance[[#This Row],[Qtt]]*(1-P124)-IF(TbTradesBinance[[#This Row],[Moeda da Taxa]]="BRL",TbTradesBinance[[#This Row],[Taxa]],0),0)+IF(AND(TbTradesBinance[[#This Row],[Tipo]]="BURN",TbTradesBinance[[#This Row],[Par]]="BRL"),-TbTradesBinance[[#This Row],[Qtt]]*P124,0),2)</f>
        <v>0</v>
      </c>
      <c r="D126" s="53">
        <v>44276.760358796295</v>
      </c>
      <c r="E126" s="37" t="s">
        <v>262</v>
      </c>
      <c r="F126" s="47" t="s">
        <v>140</v>
      </c>
      <c r="G126" s="38">
        <v>5.3160190000000003E-2</v>
      </c>
      <c r="H126" s="38">
        <v>8.2400000000000008E-3</v>
      </c>
      <c r="I126" s="38">
        <v>8.7600000000000008E-6</v>
      </c>
      <c r="J126" s="37" t="s">
        <v>45</v>
      </c>
      <c r="K126" s="52">
        <v>1492.73</v>
      </c>
      <c r="L126" s="40">
        <f t="shared" si="19"/>
        <v>79.349999999999994</v>
      </c>
      <c r="M126" s="40">
        <f>IF(OR(TbTradesBinance[[#This Row],[Tipo]]="BUY",TbTradesBinance[[#This Row],[Tipo]]="RECEIVE",TbTradesBinance[[#This Row],[Tipo]]="DROP"),L126*H126,-L126*H126)</f>
        <v>-0.65384399999999998</v>
      </c>
      <c r="N12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Row],[Tipo]]="DROP"),N125+TbTradesBinance[[#This Row],[Qtt]],N125-TbTradesBinance[[#This Row],[Qtt]]),IF(TbTradesBinance[[#This Row],[Tipo]]="BUY",N125-TbTradesBinance[[#This Row],[Qtt]]*TbTradesBinance[[#This Row],[Preço]],N125+TbTradesBinance[[#This Row],[Qtt]]*TbTradesBinance[[#This Row],[Preço]])),N125)-IF(TbTradesBinance[[#This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Row],[Tipo]]="DROP"),N125+TbTradesBinance[[#This Row],[Qtt]],N125-TbTradesBinance[[#This Row],[Qtt]]),IF(TbTradesBinance[[#This Row],[Tipo]]="BUY",N125-TbTradesBinance[[#This Row],[Qtt]]*TbTradesBinance[[#This Row],[Preço]],N125+TbTradesBinance[[#This Row],[Qtt]]*TbTradesBinance[[#This Row],[Preço]])),N125)-IF(TbTradesBinance[[#This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Row],[Tipo]]="DROP"),N125+TbTradesBinance[[#This Row],[Qtt]],N125-TbTradesBinance[[#This Row],[Qtt]]),IF(TbTradesBinance[[#This Row],[Tipo]]="BUY",N125-TbTradesBinance[[#This Row],[Qtt]]*TbTradesBinance[[#This Row],[Preço]],N125+TbTradesBinance[[#This Row],[Qtt]]*TbTradesBinance[[#This Row],[Preço]])),N125)-IF(TbTradesBinance[[#This Row],[Moeda da Taxa]]=MID(N$1,9,5),TbTradesBinance[[#This Row],[Taxa]],0),8)))</f>
        <v>119850.11049418</v>
      </c>
      <c r="O126" s="145" cm="1">
        <f t="array" ref="O126">IF(TbTradesBinance[[#This Row],[Tipo]]="EMPTY",0,O125+IF(TbTradesBinance[[#This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Row],[Par]]))),$1:$1,0)),-(N125-N126)/N125*O125),0),0)+IF(TbTradesBinance[[#This Row],[Tipo]]="SELL",IF(ISNUMBER(FIND(MID(O$1,10,5),TbTradesBinance[[#This Row],[Par]])),IF(FIND(MID(O$1,10,5),TbTradesBinance[[#This Row],[Par]])=1, -(N125-N126)/N125*O125,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Row],[Par]])),(-(N125-N126)/N125*O125)+IF(TbTradesBinance[[#This Row],[Resultado]]&gt;0,0,TbTradesBinance[[#This Row],[Taxa]]),0),0))</f>
        <v>119842.46197104781</v>
      </c>
      <c r="P126" s="145">
        <f t="shared" si="20"/>
        <v>0.99993618259423667</v>
      </c>
      <c r="Q12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Row],[Tipo]]="DROP"),Q125+TbTradesBinance[[#This Row],[Qtt]],Q125-TbTradesBinance[[#This Row],[Qtt]]),IF(TbTradesBinance[[#This Row],[Tipo]]="BUY",Q125-TbTradesBinance[[#This Row],[Qtt]]*TbTradesBinance[[#This Row],[Preço]],Q125+TbTradesBinance[[#This Row],[Qtt]]*TbTradesBinance[[#This Row],[Preço]])),Q125)-IF(TbTradesBinance[[#This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Row],[Tipo]]="DROP"),Q125+TbTradesBinance[[#This Row],[Qtt]],Q125-TbTradesBinance[[#This Row],[Qtt]]),IF(TbTradesBinance[[#This Row],[Tipo]]="BUY",Q125-TbTradesBinance[[#This Row],[Qtt]]*TbTradesBinance[[#This Row],[Preço]],Q125+TbTradesBinance[[#This Row],[Qtt]]*TbTradesBinance[[#This Row],[Preço]])),Q125)-IF(TbTradesBinance[[#This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Row],[Tipo]]="DROP"),Q125+TbTradesBinance[[#This Row],[Qtt]],Q125-TbTradesBinance[[#This Row],[Qtt]]),IF(TbTradesBinance[[#This Row],[Tipo]]="BUY",Q125-TbTradesBinance[[#This Row],[Qtt]]*TbTradesBinance[[#This Row],[Preço]],Q125+TbTradesBinance[[#This Row],[Qtt]]*TbTradesBinance[[#This Row],[Preço]])),Q125)-IF(TbTradesBinance[[#This Row],[Moeda da Taxa]]=MID(Q$1,9,5),TbTradesBinance[[#This Row],[Taxa]],0),8)))</f>
        <v>0</v>
      </c>
      <c r="R126" s="145" cm="1">
        <f t="array" ref="R126">IF(TbTradesBinance[[#This Row],[Tipo]]="EMPTY",0,R125+IF(TbTradesBinance[[#This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Row],[Par]]))),$1:$1,0)),-(Q125-Q126)/Q125*R125),0),0)+IF(TbTradesBinance[[#This Row],[Tipo]]="SELL",IF(ISNUMBER(FIND(MID(R$1,10,5),TbTradesBinance[[#This Row],[Par]])),IF(FIND(MID(R$1,10,5),TbTradesBinance[[#This Row],[Par]])=1, -(Q125-Q126)/Q125*R125,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Row],[Par]])),(-(Q125-Q126)/Q125*R125)+IF(TbTradesBinance[[#This Row],[Resultado]]&gt;0,0,TbTradesBinance[[#This Row],[Taxa]]),0),0))</f>
        <v>0</v>
      </c>
      <c r="S126" s="145">
        <f t="shared" si="21"/>
        <v>0</v>
      </c>
      <c r="T12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Row],[Tipo]]="DROP"),T125+TbTradesBinance[[#This Row],[Qtt]],T125-TbTradesBinance[[#This Row],[Qtt]]),IF(TbTradesBinance[[#This Row],[Tipo]]="BUY",T125-TbTradesBinance[[#This Row],[Qtt]]*TbTradesBinance[[#This Row],[Preço]],T125+TbTradesBinance[[#This Row],[Qtt]]*TbTradesBinance[[#This Row],[Preço]])),T125)-IF(TbTradesBinance[[#This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Row],[Tipo]]="DROP"),T125+TbTradesBinance[[#This Row],[Qtt]],T125-TbTradesBinance[[#This Row],[Qtt]]),IF(TbTradesBinance[[#This Row],[Tipo]]="BUY",T125-TbTradesBinance[[#This Row],[Qtt]]*TbTradesBinance[[#This Row],[Preço]],T125+TbTradesBinance[[#This Row],[Qtt]]*TbTradesBinance[[#This Row],[Preço]])),T125)-IF(TbTradesBinance[[#This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Row],[Tipo]]="DROP"),T125+TbTradesBinance[[#This Row],[Qtt]],T125-TbTradesBinance[[#This Row],[Qtt]]),IF(TbTradesBinance[[#This Row],[Tipo]]="BUY",T125-TbTradesBinance[[#This Row],[Qtt]]*TbTradesBinance[[#This Row],[Preço]],T125+TbTradesBinance[[#This Row],[Qtt]]*TbTradesBinance[[#This Row],[Preço]])),T125)-IF(TbTradesBinance[[#This Row],[Moeda da Taxa]]=MID(T$1,9,5),TbTradesBinance[[#This Row],[Taxa]],0),8)))</f>
        <v>199735.32000169999</v>
      </c>
      <c r="U126" s="145" cm="1">
        <f t="array" ref="U126">IF(TbTradesBinance[[#This Row],[Tipo]]="EMPTY",0,U125+IF(TbTradesBinance[[#This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Row],[Par]]))),$1:$1,0)),-(T125-T126)/T125*U125),0),0)+IF(TbTradesBinance[[#This Row],[Tipo]]="SELL",IF(ISNUMBER(FIND(MID(U$1,10,5),TbTradesBinance[[#This Row],[Par]])),IF(FIND(MID(U$1,10,5),TbTradesBinance[[#This Row],[Par]])=1, -(T125-T126)/T125*U125,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Row],[Par]])),(-(T125-T126)/T125*U125)+IF(TbTradesBinance[[#This Row],[Resultado]]&gt;0,0,TbTradesBinance[[#This Row],[Taxa]]),0),0))</f>
        <v>1328239.8809817513</v>
      </c>
      <c r="V126" s="145">
        <f t="shared" si="22"/>
        <v>6.6500000148719129</v>
      </c>
      <c r="W12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Row],[Tipo]]="DROP"),W125+TbTradesBinance[[#This Row],[Qtt]],W125-TbTradesBinance[[#This Row],[Qtt]]),IF(TbTradesBinance[[#This Row],[Tipo]]="BUY",W125-TbTradesBinance[[#This Row],[Qtt]]*TbTradesBinance[[#This Row],[Preço]],W125+TbTradesBinance[[#This Row],[Qtt]]*TbTradesBinance[[#This Row],[Preço]])),W125)-IF(TbTradesBinance[[#This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Row],[Tipo]]="DROP"),W125+TbTradesBinance[[#This Row],[Qtt]],W125-TbTradesBinance[[#This Row],[Qtt]]),IF(TbTradesBinance[[#This Row],[Tipo]]="BUY",W125-TbTradesBinance[[#This Row],[Qtt]]*TbTradesBinance[[#This Row],[Preço]],W125+TbTradesBinance[[#This Row],[Qtt]]*TbTradesBinance[[#This Row],[Preço]])),W125)-IF(TbTradesBinance[[#This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Row],[Tipo]]="DROP"),W125+TbTradesBinance[[#This Row],[Qtt]],W125-TbTradesBinance[[#This Row],[Qtt]]),IF(TbTradesBinance[[#This Row],[Tipo]]="BUY",W125-TbTradesBinance[[#This Row],[Qtt]]*TbTradesBinance[[#This Row],[Preço]],W125+TbTradesBinance[[#This Row],[Qtt]]*TbTradesBinance[[#This Row],[Preço]])),W125)-IF(TbTradesBinance[[#This Row],[Moeda da Taxa]]=MID(W$1,9,5),TbTradesBinance[[#This Row],[Taxa]],0),8)))</f>
        <v>2.5393600000000001E-3</v>
      </c>
      <c r="X126" s="145" cm="1">
        <f t="array" ref="X126">IF(TbTradesBinance[[#This Row],[Tipo]]="EMPTY",0,X125+IF(TbTradesBinance[[#This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Row],[Par]]))),$1:$1,0)),-(W125-W126)/W125*X125),0),0)+IF(TbTradesBinance[[#This Row],[Tipo]]="SELL",IF(ISNUMBER(FIND(MID(X$1,10,5),TbTradesBinance[[#This Row],[Par]])),IF(FIND(MID(X$1,10,5),TbTradesBinance[[#This Row],[Par]])=1, -(W125-W126)/W125*X125,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Row],[Par]])),(-(W125-W126)/W125*X125)+IF(TbTradesBinance[[#This Row],[Resultado]]&gt;0,0,TbTradesBinance[[#This Row],[Taxa]]),0),0))</f>
        <v>847.47496668103008</v>
      </c>
      <c r="Y126" s="145">
        <f t="shared" si="23"/>
        <v>333735.65255853051</v>
      </c>
      <c r="Z12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Row],[Tipo]]="DROP"),Z125+TbTradesBinance[[#This Row],[Qtt]],Z125-TbTradesBinance[[#This Row],[Qtt]]),IF(TbTradesBinance[[#This Row],[Tipo]]="BUY",Z125-TbTradesBinance[[#This Row],[Qtt]]*TbTradesBinance[[#This Row],[Preço]],Z125+TbTradesBinance[[#This Row],[Qtt]]*TbTradesBinance[[#This Row],[Preço]])),Z125)-IF(TbTradesBinance[[#This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Row],[Tipo]]="DROP"),Z125+TbTradesBinance[[#This Row],[Qtt]],Z125-TbTradesBinance[[#This Row],[Qtt]]),IF(TbTradesBinance[[#This Row],[Tipo]]="BUY",Z125-TbTradesBinance[[#This Row],[Qtt]]*TbTradesBinance[[#This Row],[Preço]],Z125+TbTradesBinance[[#This Row],[Qtt]]*TbTradesBinance[[#This Row],[Preço]])),Z125)-IF(TbTradesBinance[[#This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Row],[Tipo]]="DROP"),Z125+TbTradesBinance[[#This Row],[Qtt]],Z125-TbTradesBinance[[#This Row],[Qtt]]),IF(TbTradesBinance[[#This Row],[Tipo]]="BUY",Z125-TbTradesBinance[[#This Row],[Qtt]]*TbTradesBinance[[#This Row],[Preço]],Z125+TbTradesBinance[[#This Row],[Qtt]]*TbTradesBinance[[#This Row],[Preço]])),Z125)-IF(TbTradesBinance[[#This Row],[Moeda da Taxa]]=MID(Z$1,9,5),TbTradesBinance[[#This Row],[Taxa]],0),8)))</f>
        <v>9.3300000000000005E-6</v>
      </c>
      <c r="AA126" s="145" cm="1">
        <f t="array" ref="AA126">IF(TbTradesBinance[[#This Row],[Tipo]]="EMPTY",0,AA125+IF(TbTradesBinance[[#This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Row],[Par]]))),$1:$1,0)),-(Z125-Z126)/Z125*AA125),0),0)+IF(TbTradesBinance[[#This Row],[Tipo]]="SELL",IF(ISNUMBER(FIND(MID(AA$1,10,5),TbTradesBinance[[#This Row],[Par]])),IF(FIND(MID(AA$1,10,5),TbTradesBinance[[#This Row],[Par]])=1, -(Z125-Z126)/Z125*AA125,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Row],[Par]])),(-(Z125-Z126)/Z125*AA125)+IF(TbTradesBinance[[#This Row],[Resultado]]&gt;0,0,TbTradesBinance[[#This Row],[Taxa]]),0),0))</f>
        <v>9.7066397187928644E-2</v>
      </c>
      <c r="AB126" s="145">
        <f t="shared" si="24"/>
        <v>10403.686729681525</v>
      </c>
      <c r="AC12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Row],[Tipo]]="DROP"),AC125+TbTradesBinance[[#This Row],[Qtt]],AC125-TbTradesBinance[[#This Row],[Qtt]]),IF(TbTradesBinance[[#This Row],[Tipo]]="BUY",AC125-TbTradesBinance[[#This Row],[Qtt]]*TbTradesBinance[[#This Row],[Preço]],AC125+TbTradesBinance[[#This Row],[Qtt]]*TbTradesBinance[[#This Row],[Preço]])),AC125)-IF(TbTradesBinance[[#This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Row],[Tipo]]="DROP"),AC125+TbTradesBinance[[#This Row],[Qtt]],AC125-TbTradesBinance[[#This Row],[Qtt]]),IF(TbTradesBinance[[#This Row],[Tipo]]="BUY",AC125-TbTradesBinance[[#This Row],[Qtt]]*TbTradesBinance[[#This Row],[Preço]],AC125+TbTradesBinance[[#This Row],[Qtt]]*TbTradesBinance[[#This Row],[Preço]])),AC125)-IF(TbTradesBinance[[#This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Row],[Tipo]]="DROP"),AC125+TbTradesBinance[[#This Row],[Qtt]],AC125-TbTradesBinance[[#This Row],[Qtt]]),IF(TbTradesBinance[[#This Row],[Tipo]]="BUY",AC125-TbTradesBinance[[#This Row],[Qtt]]*TbTradesBinance[[#This Row],[Preço]],AC125+TbTradesBinance[[#This Row],[Qtt]]*TbTradesBinance[[#This Row],[Preço]])),AC125)-IF(TbTradesBinance[[#This Row],[Moeda da Taxa]]=MID(AC$1,9,5),TbTradesBinance[[#This Row],[Taxa]],0),8)))</f>
        <v>0</v>
      </c>
      <c r="AD126" s="145" cm="1">
        <f t="array" ref="AD126">IF(TbTradesBinance[[#This Row],[Tipo]]="EMPTY",0,AD125+IF(TbTradesBinance[[#This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Row],[Par]]))),$1:$1,0)),-(AC125-AC126)/AC125*AD125),0),0)+IF(TbTradesBinance[[#This Row],[Tipo]]="SELL",IF(ISNUMBER(FIND(MID(AD$1,10,5),TbTradesBinance[[#This Row],[Par]])),IF(FIND(MID(AD$1,10,5),TbTradesBinance[[#This Row],[Par]])=1, -(AC125-AC126)/AC125*AD125,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Row],[Par]])),(-(AC125-AC126)/AC125*AD125)+IF(TbTradesBinance[[#This Row],[Resultado]]&gt;0,0,TbTradesBinance[[#This Row],[Taxa]]),0),0))</f>
        <v>0</v>
      </c>
      <c r="AE126" s="145">
        <f t="shared" si="25"/>
        <v>0</v>
      </c>
      <c r="AF12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Row],[Tipo]]="DROP"),AF125+TbTradesBinance[[#This Row],[Qtt]],AF125-TbTradesBinance[[#This Row],[Qtt]]),IF(TbTradesBinance[[#This Row],[Tipo]]="BUY",AF125-TbTradesBinance[[#This Row],[Qtt]]*TbTradesBinance[[#This Row],[Preço]],AF125+TbTradesBinance[[#This Row],[Qtt]]*TbTradesBinance[[#This Row],[Preço]])),AF125)-IF(TbTradesBinance[[#This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Row],[Tipo]]="DROP"),AF125+TbTradesBinance[[#This Row],[Qtt]],AF125-TbTradesBinance[[#This Row],[Qtt]]),IF(TbTradesBinance[[#This Row],[Tipo]]="BUY",AF125-TbTradesBinance[[#This Row],[Qtt]]*TbTradesBinance[[#This Row],[Preço]],AF125+TbTradesBinance[[#This Row],[Qtt]]*TbTradesBinance[[#This Row],[Preço]])),AF125)-IF(TbTradesBinance[[#This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Row],[Tipo]]="DROP"),AF125+TbTradesBinance[[#This Row],[Qtt]],AF125-TbTradesBinance[[#This Row],[Qtt]]),IF(TbTradesBinance[[#This Row],[Tipo]]="BUY",AF125-TbTradesBinance[[#This Row],[Qtt]]*TbTradesBinance[[#This Row],[Preço]],AF125+TbTradesBinance[[#This Row],[Qtt]]*TbTradesBinance[[#This Row],[Preço]])),AF125)-IF(TbTradesBinance[[#This Row],[Moeda da Taxa]]=MID(AF$1,9,5),TbTradesBinance[[#This Row],[Taxa]],0),8)))</f>
        <v>0.08</v>
      </c>
      <c r="AG126" s="145" cm="1">
        <f t="array" ref="AG126">IF(TbTradesBinance[[#This Row],[Tipo]]="EMPTY",0,AG125+IF(TbTradesBinance[[#This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Row],[Par]]))),$1:$1,0)),-(AF125-AF126)/AF125*AG125),0),0)+IF(TbTradesBinance[[#This Row],[Tipo]]="SELL",IF(ISNUMBER(FIND(MID(AG$1,10,5),TbTradesBinance[[#This Row],[Par]])),IF(FIND(MID(AG$1,10,5),TbTradesBinance[[#This Row],[Par]])=1, -(AF125-AF126)/AF125*AG125,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Row],[Par]])),(-(AF125-AF126)/AF125*AG125)+IF(TbTradesBinance[[#This Row],[Resultado]]&gt;0,0,TbTradesBinance[[#This Row],[Taxa]]),0),0))</f>
        <v>0.49666397429723474</v>
      </c>
      <c r="AH126" s="145">
        <f t="shared" si="26"/>
        <v>6.2082996787154343</v>
      </c>
      <c r="AI12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Row],[Tipo]]="DROP"),AI125+TbTradesBinance[[#This Row],[Qtt]],AI125-TbTradesBinance[[#This Row],[Qtt]]),IF(TbTradesBinance[[#This Row],[Tipo]]="BUY",AI125-TbTradesBinance[[#This Row],[Qtt]]*TbTradesBinance[[#This Row],[Preço]],AI125+TbTradesBinance[[#This Row],[Qtt]]*TbTradesBinance[[#This Row],[Preço]])),AI125)-IF(TbTradesBinance[[#This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Row],[Tipo]]="DROP"),AI125+TbTradesBinance[[#This Row],[Qtt]],AI125-TbTradesBinance[[#This Row],[Qtt]]),IF(TbTradesBinance[[#This Row],[Tipo]]="BUY",AI125-TbTradesBinance[[#This Row],[Qtt]]*TbTradesBinance[[#This Row],[Preço]],AI125+TbTradesBinance[[#This Row],[Qtt]]*TbTradesBinance[[#This Row],[Preço]])),AI125)-IF(TbTradesBinance[[#This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Row],[Tipo]]="DROP"),AI125+TbTradesBinance[[#This Row],[Qtt]],AI125-TbTradesBinance[[#This Row],[Qtt]]),IF(TbTradesBinance[[#This Row],[Tipo]]="BUY",AI125-TbTradesBinance[[#This Row],[Qtt]]*TbTradesBinance[[#This Row],[Preço]],AI125+TbTradesBinance[[#This Row],[Qtt]]*TbTradesBinance[[#This Row],[Preço]])),AI125)-IF(TbTradesBinance[[#This Row],[Moeda da Taxa]]=MID(AI$1,9,5),TbTradesBinance[[#This Row],[Taxa]],0),8)))</f>
        <v>0</v>
      </c>
      <c r="AJ126" s="145" cm="1">
        <f t="array" ref="AJ126">IF(TbTradesBinance[[#This Row],[Tipo]]="EMPTY",0,AJ125+IF(TbTradesBinance[[#This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Row],[Par]]))),$1:$1,0)),-(AI125-AI126)/AI125*AJ125),0),0)+IF(TbTradesBinance[[#This Row],[Tipo]]="SELL",IF(ISNUMBER(FIND(MID(AJ$1,10,5),TbTradesBinance[[#This Row],[Par]])),IF(FIND(MID(AJ$1,10,5),TbTradesBinance[[#This Row],[Par]])=1, -(AI125-AI126)/AI125*AJ125,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Row],[Par]])),(-(AI125-AI126)/AI125*AJ125)+IF(TbTradesBinance[[#This Row],[Resultado]]&gt;0,0,TbTradesBinance[[#This Row],[Taxa]]),0),0))</f>
        <v>0</v>
      </c>
      <c r="AK126" s="145">
        <f t="shared" si="27"/>
        <v>0</v>
      </c>
      <c r="AL12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Row],[Tipo]]="DROP"),AL125+TbTradesBinance[[#This Row],[Qtt]],AL125-TbTradesBinance[[#This Row],[Qtt]]),IF(TbTradesBinance[[#This Row],[Tipo]]="BUY",AL125-TbTradesBinance[[#This Row],[Qtt]]*TbTradesBinance[[#This Row],[Preço]],AL125+TbTradesBinance[[#This Row],[Qtt]]*TbTradesBinance[[#This Row],[Preço]])),AL125)-IF(TbTradesBinance[[#This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Row],[Tipo]]="DROP"),AL125+TbTradesBinance[[#This Row],[Qtt]],AL125-TbTradesBinance[[#This Row],[Qtt]]),IF(TbTradesBinance[[#This Row],[Tipo]]="BUY",AL125-TbTradesBinance[[#This Row],[Qtt]]*TbTradesBinance[[#This Row],[Preço]],AL125+TbTradesBinance[[#This Row],[Qtt]]*TbTradesBinance[[#This Row],[Preço]])),AL125)-IF(TbTradesBinance[[#This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Row],[Tipo]]="DROP"),AL125+TbTradesBinance[[#This Row],[Qtt]],AL125-TbTradesBinance[[#This Row],[Qtt]]),IF(TbTradesBinance[[#This Row],[Tipo]]="BUY",AL125-TbTradesBinance[[#This Row],[Qtt]]*TbTradesBinance[[#This Row],[Preço]],AL125+TbTradesBinance[[#This Row],[Qtt]]*TbTradesBinance[[#This Row],[Preço]])),AL125)-IF(TbTradesBinance[[#This Row],[Moeda da Taxa]]=MID(AL$1,9,5),TbTradesBinance[[#This Row],[Taxa]],0),8)))</f>
        <v>0</v>
      </c>
      <c r="AM126" s="145" cm="1">
        <f t="array" ref="AM126">IF(TbTradesBinance[[#This Row],[Tipo]]="EMPTY",0,AM125+IF(TbTradesBinance[[#This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Row],[Par]]))),$1:$1,0)),-(AL125-AL126)/AL125*AM125),0),0)+IF(TbTradesBinance[[#This Row],[Tipo]]="SELL",IF(ISNUMBER(FIND(MID(AM$1,10,5),TbTradesBinance[[#This Row],[Par]])),IF(FIND(MID(AM$1,10,5),TbTradesBinance[[#This Row],[Par]])=1, -(AL125-AL126)/AL125*AM125,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Row],[Par]])),(-(AL125-AL126)/AL125*AM125)+IF(TbTradesBinance[[#This Row],[Resultado]]&gt;0,0,TbTradesBinance[[#This Row],[Taxa]]),0),0))</f>
        <v>0</v>
      </c>
      <c r="AN126" s="145">
        <f t="shared" si="28"/>
        <v>0</v>
      </c>
      <c r="AO12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Row],[Tipo]]="DROP"),AO125+TbTradesBinance[[#This Row],[Qtt]],AO125-TbTradesBinance[[#This Row],[Qtt]]),IF(TbTradesBinance[[#This Row],[Tipo]]="BUY",AO125-TbTradesBinance[[#This Row],[Qtt]]*TbTradesBinance[[#This Row],[Preço]],AO125+TbTradesBinance[[#This Row],[Qtt]]*TbTradesBinance[[#This Row],[Preço]])),AO125)-IF(TbTradesBinance[[#This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Row],[Tipo]]="DROP"),AO125+TbTradesBinance[[#This Row],[Qtt]],AO125-TbTradesBinance[[#This Row],[Qtt]]),IF(TbTradesBinance[[#This Row],[Tipo]]="BUY",AO125-TbTradesBinance[[#This Row],[Qtt]]*TbTradesBinance[[#This Row],[Preço]],AO125+TbTradesBinance[[#This Row],[Qtt]]*TbTradesBinance[[#This Row],[Preço]])),AO125)-IF(TbTradesBinance[[#This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Row],[Tipo]]="DROP"),AO125+TbTradesBinance[[#This Row],[Qtt]],AO125-TbTradesBinance[[#This Row],[Qtt]]),IF(TbTradesBinance[[#This Row],[Tipo]]="BUY",AO125-TbTradesBinance[[#This Row],[Qtt]]*TbTradesBinance[[#This Row],[Preço]],AO125+TbTradesBinance[[#This Row],[Qtt]]*TbTradesBinance[[#This Row],[Preço]])),AO125)-IF(TbTradesBinance[[#This Row],[Moeda da Taxa]]=MID(AO$1,9,5),TbTradesBinance[[#This Row],[Taxa]],0),8)))</f>
        <v>7.7197909999999995E-2</v>
      </c>
      <c r="AP126" s="145" cm="1">
        <f t="array" ref="AP126">IF(TbTradesBinance[[#This Row],[Tipo]]="EMPTY",0,AP125+IF(TbTradesBinance[[#This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Row],[Par]]))),$1:$1,0)),-(AO125-AO126)/AO125*AP125),0),0)+IF(TbTradesBinance[[#This Row],[Tipo]]="SELL",IF(ISNUMBER(FIND(MID(AP$1,10,5),TbTradesBinance[[#This Row],[Par]])),IF(FIND(MID(AP$1,10,5),TbTradesBinance[[#This Row],[Par]])=1, -(AO125-AO126)/AO125*AP125,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Row],[Par]])),(-(AO125-AO126)/AO125*AP125)+IF(TbTradesBinance[[#This Row],[Resultado]]&gt;0,0,TbTradesBinance[[#This Row],[Taxa]]),0),0))</f>
        <v>118.19060903605268</v>
      </c>
      <c r="AQ126" s="145">
        <f t="shared" si="29"/>
        <v>1531.007886561342</v>
      </c>
      <c r="AR12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Row],[Tipo]]="DROP"),AR125+TbTradesBinance[[#This Row],[Qtt]],AR125-TbTradesBinance[[#This Row],[Qtt]]),IF(TbTradesBinance[[#This Row],[Tipo]]="BUY",AR125-TbTradesBinance[[#This Row],[Qtt]]*TbTradesBinance[[#This Row],[Preço]],AR125+TbTradesBinance[[#This Row],[Qtt]]*TbTradesBinance[[#This Row],[Preço]])),AR125)-IF(TbTradesBinance[[#This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Row],[Tipo]]="DROP"),AR125+TbTradesBinance[[#This Row],[Qtt]],AR125-TbTradesBinance[[#This Row],[Qtt]]),IF(TbTradesBinance[[#This Row],[Tipo]]="BUY",AR125-TbTradesBinance[[#This Row],[Qtt]]*TbTradesBinance[[#This Row],[Preço]],AR125+TbTradesBinance[[#This Row],[Qtt]]*TbTradesBinance[[#This Row],[Preço]])),AR125)-IF(TbTradesBinance[[#This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Row],[Tipo]]="DROP"),AR125+TbTradesBinance[[#This Row],[Qtt]],AR125-TbTradesBinance[[#This Row],[Qtt]]),IF(TbTradesBinance[[#This Row],[Tipo]]="BUY",AR125-TbTradesBinance[[#This Row],[Qtt]]*TbTradesBinance[[#This Row],[Preço]],AR125+TbTradesBinance[[#This Row],[Qtt]]*TbTradesBinance[[#This Row],[Preço]])),AR125)-IF(TbTradesBinance[[#This Row],[Moeda da Taxa]]=MID(AR$1,9,5),TbTradesBinance[[#This Row],[Taxa]],0),8)))</f>
        <v>61.251199999999997</v>
      </c>
      <c r="AS126" s="145" cm="1">
        <f t="array" ref="AS126">IF(TbTradesBinance[[#This Row],[Tipo]]="EMPTY",0,AS125+IF(TbTradesBinance[[#This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Row],[Par]]))),$1:$1,0)),-(AR125-AR126)/AR125*AS125),0),0)+IF(TbTradesBinance[[#This Row],[Tipo]]="SELL",IF(ISNUMBER(FIND(MID(AS$1,10,5),TbTradesBinance[[#This Row],[Par]])),IF(FIND(MID(AS$1,10,5),TbTradesBinance[[#This Row],[Par]])=1, -(AR125-AR126)/AR125*AS125,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Row],[Par]])),(-(AR125-AR126)/AR125*AS125)+IF(TbTradesBinance[[#This Row],[Resultado]]&gt;0,0,TbTradesBinance[[#This Row],[Taxa]]),0),0))</f>
        <v>230.84001376053044</v>
      </c>
      <c r="AT126" s="145">
        <f t="shared" si="30"/>
        <v>3.7687427146003745</v>
      </c>
      <c r="AU12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Row],[Tipo]]="DROP"),AU125+TbTradesBinance[[#This Row],[Qtt]],AU125-TbTradesBinance[[#This Row],[Qtt]]),IF(TbTradesBinance[[#This Row],[Tipo]]="BUY",AU125-TbTradesBinance[[#This Row],[Qtt]]*TbTradesBinance[[#This Row],[Preço]],AU125+TbTradesBinance[[#This Row],[Qtt]]*TbTradesBinance[[#This Row],[Preço]])),AU125)-IF(TbTradesBinance[[#This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Row],[Tipo]]="DROP"),AU125+TbTradesBinance[[#This Row],[Qtt]],AU125-TbTradesBinance[[#This Row],[Qtt]]),IF(TbTradesBinance[[#This Row],[Tipo]]="BUY",AU125-TbTradesBinance[[#This Row],[Qtt]]*TbTradesBinance[[#This Row],[Preço]],AU125+TbTradesBinance[[#This Row],[Qtt]]*TbTradesBinance[[#This Row],[Preço]])),AU125)-IF(TbTradesBinance[[#This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Row],[Tipo]]="DROP"),AU125+TbTradesBinance[[#This Row],[Qtt]],AU125-TbTradesBinance[[#This Row],[Qtt]]),IF(TbTradesBinance[[#This Row],[Tipo]]="BUY",AU125-TbTradesBinance[[#This Row],[Qtt]]*TbTradesBinance[[#This Row],[Preço]],AU125+TbTradesBinance[[#This Row],[Qtt]]*TbTradesBinance[[#This Row],[Preço]])),AU125)-IF(TbTradesBinance[[#This Row],[Moeda da Taxa]]=MID(AU$1,9,5),TbTradesBinance[[#This Row],[Taxa]],0),8)))</f>
        <v>0</v>
      </c>
      <c r="AV126" s="145" cm="1">
        <f t="array" ref="AV126">IF(TbTradesBinance[[#This Row],[Tipo]]="EMPTY",0,AV125+IF(TbTradesBinance[[#This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Row],[Par]]))),$1:$1,0)),-(AU125-AU126)/AU125*AV125),0),0)+IF(TbTradesBinance[[#This Row],[Tipo]]="SELL",IF(ISNUMBER(FIND(MID(AV$1,10,5),TbTradesBinance[[#This Row],[Par]])),IF(FIND(MID(AV$1,10,5),TbTradesBinance[[#This Row],[Par]])=1, -(AU125-AU126)/AU125*AV125,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Row],[Par]])),(-(AU125-AU126)/AU125*AV125)+IF(TbTradesBinance[[#This Row],[Resultado]]&gt;0,0,TbTradesBinance[[#This Row],[Taxa]]),0),0))</f>
        <v>0</v>
      </c>
      <c r="AW126" s="145">
        <f t="shared" si="31"/>
        <v>0</v>
      </c>
      <c r="AX12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Row],[Tipo]]="DROP"),AX125+TbTradesBinance[[#This Row],[Qtt]],AX125-TbTradesBinance[[#This Row],[Qtt]]),IF(TbTradesBinance[[#This Row],[Tipo]]="BUY",AX125-TbTradesBinance[[#This Row],[Qtt]]*TbTradesBinance[[#This Row],[Preço]],AX125+TbTradesBinance[[#This Row],[Qtt]]*TbTradesBinance[[#This Row],[Preço]])),AX125)-IF(TbTradesBinance[[#This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Row],[Tipo]]="DROP"),AX125+TbTradesBinance[[#This Row],[Qtt]],AX125-TbTradesBinance[[#This Row],[Qtt]]),IF(TbTradesBinance[[#This Row],[Tipo]]="BUY",AX125-TbTradesBinance[[#This Row],[Qtt]]*TbTradesBinance[[#This Row],[Preço]],AX125+TbTradesBinance[[#This Row],[Qtt]]*TbTradesBinance[[#This Row],[Preço]])),AX125)-IF(TbTradesBinance[[#This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Row],[Tipo]]="DROP"),AX125+TbTradesBinance[[#This Row],[Qtt]],AX125-TbTradesBinance[[#This Row],[Qtt]]),IF(TbTradesBinance[[#This Row],[Tipo]]="BUY",AX125-TbTradesBinance[[#This Row],[Qtt]]*TbTradesBinance[[#This Row],[Preço]],AX125+TbTradesBinance[[#This Row],[Qtt]]*TbTradesBinance[[#This Row],[Preço]])),AX125)-IF(TbTradesBinance[[#This Row],[Moeda da Taxa]]=MID(AX$1,9,5),TbTradesBinance[[#This Row],[Taxa]],0),8)))</f>
        <v>0.85636999999999996</v>
      </c>
      <c r="AY126" s="145" cm="1">
        <f t="array" ref="AY126">IF(TbTradesBinance[[#This Row],[Tipo]]="EMPTY",0,AY125+IF(TbTradesBinance[[#This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Row],[Par]]))),$1:$1,0)),-(AX125-AX126)/AX125*AY125),0),0)+IF(TbTradesBinance[[#This Row],[Tipo]]="SELL",IF(ISNUMBER(FIND(MID(AY$1,10,5),TbTradesBinance[[#This Row],[Par]])),IF(FIND(MID(AY$1,10,5),TbTradesBinance[[#This Row],[Par]])=1, -(AX125-AX126)/AX125*AY125,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Row],[Par]])),(-(AX125-AX126)/AX125*AY125)+IF(TbTradesBinance[[#This Row],[Resultado]]&gt;0,0,TbTradesBinance[[#This Row],[Taxa]]),0),0))</f>
        <v>131.82971181780295</v>
      </c>
      <c r="AZ126" s="145">
        <f t="shared" si="32"/>
        <v>153.94013314081874</v>
      </c>
      <c r="BA12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Row],[Tipo]]="DROP"),BA125+TbTradesBinance[[#This Row],[Qtt]],BA125-TbTradesBinance[[#This Row],[Qtt]]),IF(TbTradesBinance[[#This Row],[Tipo]]="BUY",BA125-TbTradesBinance[[#This Row],[Qtt]]*TbTradesBinance[[#This Row],[Preço]],BA125+TbTradesBinance[[#This Row],[Qtt]]*TbTradesBinance[[#This Row],[Preço]])),BA125)-IF(TbTradesBinance[[#This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Row],[Tipo]]="DROP"),BA125+TbTradesBinance[[#This Row],[Qtt]],BA125-TbTradesBinance[[#This Row],[Qtt]]),IF(TbTradesBinance[[#This Row],[Tipo]]="BUY",BA125-TbTradesBinance[[#This Row],[Qtt]]*TbTradesBinance[[#This Row],[Preço]],BA125+TbTradesBinance[[#This Row],[Qtt]]*TbTradesBinance[[#This Row],[Preço]])),BA125)-IF(TbTradesBinance[[#This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Row],[Tipo]]="DROP"),BA125+TbTradesBinance[[#This Row],[Qtt]],BA125-TbTradesBinance[[#This Row],[Qtt]]),IF(TbTradesBinance[[#This Row],[Tipo]]="BUY",BA125-TbTradesBinance[[#This Row],[Qtt]]*TbTradesBinance[[#This Row],[Preço]],BA125+TbTradesBinance[[#This Row],[Qtt]]*TbTradesBinance[[#This Row],[Preço]])),BA125)-IF(TbTradesBinance[[#This Row],[Moeda da Taxa]]=MID(BA$1,9,5),TbTradesBinance[[#This Row],[Taxa]],0),8)))</f>
        <v>0.10571</v>
      </c>
      <c r="BB126" s="145" cm="1">
        <f t="array" ref="BB126">IF(TbTradesBinance[[#This Row],[Tipo]]="EMPTY",0,BB125+IF(TbTradesBinance[[#This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Row],[Par]]))),$1:$1,0)),-(BA125-BA126)/BA125*BB125),0),0)+IF(TbTradesBinance[[#This Row],[Tipo]]="SELL",IF(ISNUMBER(FIND(MID(BB$1,10,5),TbTradesBinance[[#This Row],[Par]])),IF(FIND(MID(BB$1,10,5),TbTradesBinance[[#This Row],[Par]])=1, -(BA125-BA126)/BA125*BB125,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Row],[Par]])),(-(BA125-BA126)/BA125*BB125)+IF(TbTradesBinance[[#This Row],[Resultado]]&gt;0,0,TbTradesBinance[[#This Row],[Taxa]]),0),0))</f>
        <v>120.8257969142021</v>
      </c>
      <c r="BC126" s="145">
        <f t="shared" si="33"/>
        <v>1142.9930651234708</v>
      </c>
      <c r="BD12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Row],[Tipo]]="DROP"),BD125+TbTradesBinance[[#This Row],[Qtt]],BD125-TbTradesBinance[[#This Row],[Qtt]]),IF(TbTradesBinance[[#This Row],[Tipo]]="BUY",BD125-TbTradesBinance[[#This Row],[Qtt]]*TbTradesBinance[[#This Row],[Preço]],BD125+TbTradesBinance[[#This Row],[Qtt]]*TbTradesBinance[[#This Row],[Preço]])),BD125)-IF(TbTradesBinance[[#This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Row],[Tipo]]="DROP"),BD125+TbTradesBinance[[#This Row],[Qtt]],BD125-TbTradesBinance[[#This Row],[Qtt]]),IF(TbTradesBinance[[#This Row],[Tipo]]="BUY",BD125-TbTradesBinance[[#This Row],[Qtt]]*TbTradesBinance[[#This Row],[Preço]],BD125+TbTradesBinance[[#This Row],[Qtt]]*TbTradesBinance[[#This Row],[Preço]])),BD125)-IF(TbTradesBinance[[#This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Row],[Tipo]]="DROP"),BD125+TbTradesBinance[[#This Row],[Qtt]],BD125-TbTradesBinance[[#This Row],[Qtt]]),IF(TbTradesBinance[[#This Row],[Tipo]]="BUY",BD125-TbTradesBinance[[#This Row],[Qtt]]*TbTradesBinance[[#This Row],[Preço]],BD125+TbTradesBinance[[#This Row],[Qtt]]*TbTradesBinance[[#This Row],[Preço]])),BD125)-IF(TbTradesBinance[[#This Row],[Moeda da Taxa]]=MID(BD$1,9,5),TbTradesBinance[[#This Row],[Taxa]],0),8)))</f>
        <v>0</v>
      </c>
      <c r="BE126" s="145" cm="1">
        <f t="array" ref="BE126">IF(TbTradesBinance[[#This Row],[Tipo]]="EMPTY",0,BE125+IF(TbTradesBinance[[#This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Row],[Par]]))),$1:$1,0)),-(BD125-BD126)/BD125*BE125),0),0)+IF(TbTradesBinance[[#This Row],[Tipo]]="SELL",IF(ISNUMBER(FIND(MID(BE$1,10,5),TbTradesBinance[[#This Row],[Par]])),IF(FIND(MID(BE$1,10,5),TbTradesBinance[[#This Row],[Par]])=1, -(BD125-BD126)/BD125*BE125,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Row],[Par]])),(-(BD125-BD126)/BD125*BE125)+IF(TbTradesBinance[[#This Row],[Resultado]]&gt;0,0,TbTradesBinance[[#This Row],[Taxa]]),0),0))</f>
        <v>0</v>
      </c>
      <c r="BF126" s="145">
        <f t="shared" si="34"/>
        <v>0</v>
      </c>
      <c r="BG12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Row],[Tipo]]="DROP"),BG125+TbTradesBinance[[#This Row],[Qtt]],BG125-TbTradesBinance[[#This Row],[Qtt]]),IF(TbTradesBinance[[#This Row],[Tipo]]="BUY",BG125-TbTradesBinance[[#This Row],[Qtt]]*TbTradesBinance[[#This Row],[Preço]],BG125+TbTradesBinance[[#This Row],[Qtt]]*TbTradesBinance[[#This Row],[Preço]])),BG125)-IF(TbTradesBinance[[#This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Row],[Tipo]]="DROP"),BG125+TbTradesBinance[[#This Row],[Qtt]],BG125-TbTradesBinance[[#This Row],[Qtt]]),IF(TbTradesBinance[[#This Row],[Tipo]]="BUY",BG125-TbTradesBinance[[#This Row],[Qtt]]*TbTradesBinance[[#This Row],[Preço]],BG125+TbTradesBinance[[#This Row],[Qtt]]*TbTradesBinance[[#This Row],[Preço]])),BG125)-IF(TbTradesBinance[[#This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Row],[Tipo]]="DROP"),BG125+TbTradesBinance[[#This Row],[Qtt]],BG125-TbTradesBinance[[#This Row],[Qtt]]),IF(TbTradesBinance[[#This Row],[Tipo]]="BUY",BG125-TbTradesBinance[[#This Row],[Qtt]]*TbTradesBinance[[#This Row],[Preço]],BG125+TbTradesBinance[[#This Row],[Qtt]]*TbTradesBinance[[#This Row],[Preço]])),BG125)-IF(TbTradesBinance[[#This Row],[Moeda da Taxa]]=MID(BG$1,9,5),TbTradesBinance[[#This Row],[Taxa]],0),8)))</f>
        <v>0</v>
      </c>
      <c r="BH126" s="145" cm="1">
        <f t="array" ref="BH126">IF(TbTradesBinance[[#This Row],[Tipo]]="EMPTY",0,BH125+IF(TbTradesBinance[[#This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Row],[Par]]))),$1:$1,0)),-(BG125-BG126)/BG125*BH125),0),0)+IF(TbTradesBinance[[#This Row],[Tipo]]="SELL",IF(ISNUMBER(FIND(MID(BH$1,10,5),TbTradesBinance[[#This Row],[Par]])),IF(FIND(MID(BH$1,10,5),TbTradesBinance[[#This Row],[Par]])=1, -(BG125-BG126)/BG125*BH125,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Row],[Par]])),(-(BG125-BG126)/BG125*BH125)+IF(TbTradesBinance[[#This Row],[Resultado]]&gt;0,0,TbTradesBinance[[#This Row],[Taxa]]),0),0))</f>
        <v>0</v>
      </c>
      <c r="BI126" s="145">
        <f t="shared" si="35"/>
        <v>0</v>
      </c>
      <c r="BJ12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Row],[Tipo]]="DROP"),BJ125+TbTradesBinance[[#This Row],[Qtt]],BJ125-TbTradesBinance[[#This Row],[Qtt]]),IF(TbTradesBinance[[#This Row],[Tipo]]="BUY",BJ125-TbTradesBinance[[#This Row],[Qtt]]*TbTradesBinance[[#This Row],[Preço]],BJ125+TbTradesBinance[[#This Row],[Qtt]]*TbTradesBinance[[#This Row],[Preço]])),BJ125)-IF(TbTradesBinance[[#This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Row],[Tipo]]="DROP"),BJ125+TbTradesBinance[[#This Row],[Qtt]],BJ125-TbTradesBinance[[#This Row],[Qtt]]),IF(TbTradesBinance[[#This Row],[Tipo]]="BUY",BJ125-TbTradesBinance[[#This Row],[Qtt]]*TbTradesBinance[[#This Row],[Preço]],BJ125+TbTradesBinance[[#This Row],[Qtt]]*TbTradesBinance[[#This Row],[Preço]])),BJ125)-IF(TbTradesBinance[[#This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Row],[Tipo]]="DROP"),BJ125+TbTradesBinance[[#This Row],[Qtt]],BJ125-TbTradesBinance[[#This Row],[Qtt]]),IF(TbTradesBinance[[#This Row],[Tipo]]="BUY",BJ125-TbTradesBinance[[#This Row],[Qtt]]*TbTradesBinance[[#This Row],[Preço]],BJ125+TbTradesBinance[[#This Row],[Qtt]]*TbTradesBinance[[#This Row],[Preço]])),BJ125)-IF(TbTradesBinance[[#This Row],[Moeda da Taxa]]=MID(BJ$1,9,5),TbTradesBinance[[#This Row],[Taxa]],0),8)))</f>
        <v>0</v>
      </c>
      <c r="BK126" s="145" cm="1">
        <f t="array" ref="BK126">IF(TbTradesBinance[[#This Row],[Tipo]]="EMPTY",0,BK125+IF(TbTradesBinance[[#This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Row],[Par]]))),$1:$1,0)),-(BJ125-BJ126)/BJ125*BK125),0),0)+IF(TbTradesBinance[[#This Row],[Tipo]]="SELL",IF(ISNUMBER(FIND(MID(BK$1,10,5),TbTradesBinance[[#This Row],[Par]])),IF(FIND(MID(BK$1,10,5),TbTradesBinance[[#This Row],[Par]])=1, -(BJ125-BJ126)/BJ125*BK125,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Row],[Par]])),(-(BJ125-BJ126)/BJ125*BK125)+IF(TbTradesBinance[[#This Row],[Resultado]]&gt;0,0,TbTradesBinance[[#This Row],[Taxa]]),0),0))</f>
        <v>0</v>
      </c>
      <c r="BL126" s="145">
        <f t="shared" si="36"/>
        <v>0</v>
      </c>
      <c r="BM12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Row],[Tipo]]="DROP"),BM125+TbTradesBinance[[#This Row],[Qtt]],BM125-TbTradesBinance[[#This Row],[Qtt]]),IF(TbTradesBinance[[#This Row],[Tipo]]="BUY",BM125-TbTradesBinance[[#This Row],[Qtt]]*TbTradesBinance[[#This Row],[Preço]],BM125+TbTradesBinance[[#This Row],[Qtt]]*TbTradesBinance[[#This Row],[Preço]])),BM125)-IF(TbTradesBinance[[#This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Row],[Tipo]]="DROP"),BM125+TbTradesBinance[[#This Row],[Qtt]],BM125-TbTradesBinance[[#This Row],[Qtt]]),IF(TbTradesBinance[[#This Row],[Tipo]]="BUY",BM125-TbTradesBinance[[#This Row],[Qtt]]*TbTradesBinance[[#This Row],[Preço]],BM125+TbTradesBinance[[#This Row],[Qtt]]*TbTradesBinance[[#This Row],[Preço]])),BM125)-IF(TbTradesBinance[[#This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Row],[Tipo]]="DROP"),BM125+TbTradesBinance[[#This Row],[Qtt]],BM125-TbTradesBinance[[#This Row],[Qtt]]),IF(TbTradesBinance[[#This Row],[Tipo]]="BUY",BM125-TbTradesBinance[[#This Row],[Qtt]]*TbTradesBinance[[#This Row],[Preço]],BM125+TbTradesBinance[[#This Row],[Qtt]]*TbTradesBinance[[#This Row],[Preço]])),BM125)-IF(TbTradesBinance[[#This Row],[Moeda da Taxa]]=MID(BM$1,9,5),TbTradesBinance[[#This Row],[Taxa]],0),8)))</f>
        <v>0</v>
      </c>
      <c r="BN126" s="145" cm="1">
        <f t="array" ref="BN126">IF(TbTradesBinance[[#This Row],[Tipo]]="EMPTY",0,BN125+IF(TbTradesBinance[[#This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Row],[Par]]))),$1:$1,0)),-(BM125-BM126)/BM125*BN125),0),0)+IF(TbTradesBinance[[#This Row],[Tipo]]="SELL",IF(ISNUMBER(FIND(MID(BN$1,10,5),TbTradesBinance[[#This Row],[Par]])),IF(FIND(MID(BN$1,10,5),TbTradesBinance[[#This Row],[Par]])=1, -(BM125-BM126)/BM125*BN125,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Row],[Par]])),(-(BM125-BM126)/BM125*BN125)+IF(TbTradesBinance[[#This Row],[Resultado]]&gt;0,0,TbTradesBinance[[#This Row],[Taxa]]),0),0))</f>
        <v>0</v>
      </c>
      <c r="BO126" s="145">
        <f t="shared" si="37"/>
        <v>0</v>
      </c>
    </row>
    <row r="127" spans="2:67" x14ac:dyDescent="0.3">
      <c r="B127" s="51" t="s">
        <v>107</v>
      </c>
      <c r="C127" s="40">
        <f>TRUNC(IF(AND(TbTradesBinance[[#This Row],[Tipo]]="SEND",TbTradesBinance[[#This Row],[Par]]="BRL"),TbTradesBinance[[#This Row],[Qtt]]*(1-P125)-IF(TbTradesBinance[[#This Row],[Moeda da Taxa]]="BRL",TbTradesBinance[[#This Row],[Taxa]],0),0)+IF(AND(TbTradesBinance[[#This Row],[Tipo]]="BURN",TbTradesBinance[[#This Row],[Par]]="BRL"),-TbTradesBinance[[#This Row],[Qtt]]*P125,0),2)</f>
        <v>0</v>
      </c>
      <c r="D127" s="53">
        <v>44276.760358796295</v>
      </c>
      <c r="E127" s="37" t="s">
        <v>263</v>
      </c>
      <c r="F127" s="47" t="s">
        <v>140</v>
      </c>
      <c r="G127" s="38">
        <v>4.4879999999999998E-3</v>
      </c>
      <c r="H127" s="38">
        <v>0.08</v>
      </c>
      <c r="I127" s="38">
        <v>7.1799999999999999E-6</v>
      </c>
      <c r="J127" s="37" t="s">
        <v>45</v>
      </c>
      <c r="K127" s="52">
        <v>1492.73</v>
      </c>
      <c r="L127" s="40">
        <f t="shared" si="19"/>
        <v>6.69</v>
      </c>
      <c r="M127" s="40">
        <f>IF(OR(TbTradesBinance[[#This Row],[Tipo]]="BUY",TbTradesBinance[[#This Row],[Tipo]]="RECEIVE",TbTradesBinance[[#This Row],[Tipo]]="DROP"),L127*H127,-L127*H127)</f>
        <v>-0.53520000000000001</v>
      </c>
      <c r="N12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Row],[Tipo]]="DROP"),N126+TbTradesBinance[[#This Row],[Qtt]],N126-TbTradesBinance[[#This Row],[Qtt]]),IF(TbTradesBinance[[#This Row],[Tipo]]="BUY",N126-TbTradesBinance[[#This Row],[Qtt]]*TbTradesBinance[[#This Row],[Preço]],N126+TbTradesBinance[[#This Row],[Qtt]]*TbTradesBinance[[#This Row],[Preço]])),N126)-IF(TbTradesBinance[[#This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Row],[Tipo]]="DROP"),N126+TbTradesBinance[[#This Row],[Qtt]],N126-TbTradesBinance[[#This Row],[Qtt]]),IF(TbTradesBinance[[#This Row],[Tipo]]="BUY",N126-TbTradesBinance[[#This Row],[Qtt]]*TbTradesBinance[[#This Row],[Preço]],N126+TbTradesBinance[[#This Row],[Qtt]]*TbTradesBinance[[#This Row],[Preço]])),N126)-IF(TbTradesBinance[[#This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Row],[Tipo]]="DROP"),N126+TbTradesBinance[[#This Row],[Qtt]],N126-TbTradesBinance[[#This Row],[Qtt]]),IF(TbTradesBinance[[#This Row],[Tipo]]="BUY",N126-TbTradesBinance[[#This Row],[Qtt]]*TbTradesBinance[[#This Row],[Preço]],N126+TbTradesBinance[[#This Row],[Qtt]]*TbTradesBinance[[#This Row],[Preço]])),N126)-IF(TbTradesBinance[[#This Row],[Moeda da Taxa]]=MID(N$1,9,5),TbTradesBinance[[#This Row],[Taxa]],0),8)))</f>
        <v>119850.11049418</v>
      </c>
      <c r="O127" s="145" cm="1">
        <f t="array" ref="O127">IF(TbTradesBinance[[#This Row],[Tipo]]="EMPTY",0,O126+IF(TbTradesBinance[[#This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Row],[Par]]))),$1:$1,0)),-(N126-N127)/N126*O126),0),0)+IF(TbTradesBinance[[#This Row],[Tipo]]="SELL",IF(ISNUMBER(FIND(MID(O$1,10,5),TbTradesBinance[[#This Row],[Par]])),IF(FIND(MID(O$1,10,5),TbTradesBinance[[#This Row],[Par]])=1, -(N126-N127)/N126*O126,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Row],[Par]])),(-(N126-N127)/N126*O126)+IF(TbTradesBinance[[#This Row],[Resultado]]&gt;0,0,TbTradesBinance[[#This Row],[Taxa]]),0),0))</f>
        <v>119842.46197104781</v>
      </c>
      <c r="P127" s="145">
        <f t="shared" si="20"/>
        <v>0.99993618259423667</v>
      </c>
      <c r="Q12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Row],[Tipo]]="DROP"),Q126+TbTradesBinance[[#This Row],[Qtt]],Q126-TbTradesBinance[[#This Row],[Qtt]]),IF(TbTradesBinance[[#This Row],[Tipo]]="BUY",Q126-TbTradesBinance[[#This Row],[Qtt]]*TbTradesBinance[[#This Row],[Preço]],Q126+TbTradesBinance[[#This Row],[Qtt]]*TbTradesBinance[[#This Row],[Preço]])),Q126)-IF(TbTradesBinance[[#This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Row],[Tipo]]="DROP"),Q126+TbTradesBinance[[#This Row],[Qtt]],Q126-TbTradesBinance[[#This Row],[Qtt]]),IF(TbTradesBinance[[#This Row],[Tipo]]="BUY",Q126-TbTradesBinance[[#This Row],[Qtt]]*TbTradesBinance[[#This Row],[Preço]],Q126+TbTradesBinance[[#This Row],[Qtt]]*TbTradesBinance[[#This Row],[Preço]])),Q126)-IF(TbTradesBinance[[#This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Row],[Tipo]]="DROP"),Q126+TbTradesBinance[[#This Row],[Qtt]],Q126-TbTradesBinance[[#This Row],[Qtt]]),IF(TbTradesBinance[[#This Row],[Tipo]]="BUY",Q126-TbTradesBinance[[#This Row],[Qtt]]*TbTradesBinance[[#This Row],[Preço]],Q126+TbTradesBinance[[#This Row],[Qtt]]*TbTradesBinance[[#This Row],[Preço]])),Q126)-IF(TbTradesBinance[[#This Row],[Moeda da Taxa]]=MID(Q$1,9,5),TbTradesBinance[[#This Row],[Taxa]],0),8)))</f>
        <v>0</v>
      </c>
      <c r="R127" s="145" cm="1">
        <f t="array" ref="R127">IF(TbTradesBinance[[#This Row],[Tipo]]="EMPTY",0,R126+IF(TbTradesBinance[[#This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Row],[Par]]))),$1:$1,0)),-(Q126-Q127)/Q126*R126),0),0)+IF(TbTradesBinance[[#This Row],[Tipo]]="SELL",IF(ISNUMBER(FIND(MID(R$1,10,5),TbTradesBinance[[#This Row],[Par]])),IF(FIND(MID(R$1,10,5),TbTradesBinance[[#This Row],[Par]])=1, -(Q126-Q127)/Q126*R126,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Row],[Par]])),(-(Q126-Q127)/Q126*R126)+IF(TbTradesBinance[[#This Row],[Resultado]]&gt;0,0,TbTradesBinance[[#This Row],[Taxa]]),0),0))</f>
        <v>0</v>
      </c>
      <c r="S127" s="145">
        <f t="shared" si="21"/>
        <v>0</v>
      </c>
      <c r="T12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Row],[Tipo]]="DROP"),T126+TbTradesBinance[[#This Row],[Qtt]],T126-TbTradesBinance[[#This Row],[Qtt]]),IF(TbTradesBinance[[#This Row],[Tipo]]="BUY",T126-TbTradesBinance[[#This Row],[Qtt]]*TbTradesBinance[[#This Row],[Preço]],T126+TbTradesBinance[[#This Row],[Qtt]]*TbTradesBinance[[#This Row],[Preço]])),T126)-IF(TbTradesBinance[[#This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Row],[Tipo]]="DROP"),T126+TbTradesBinance[[#This Row],[Qtt]],T126-TbTradesBinance[[#This Row],[Qtt]]),IF(TbTradesBinance[[#This Row],[Tipo]]="BUY",T126-TbTradesBinance[[#This Row],[Qtt]]*TbTradesBinance[[#This Row],[Preço]],T126+TbTradesBinance[[#This Row],[Qtt]]*TbTradesBinance[[#This Row],[Preço]])),T126)-IF(TbTradesBinance[[#This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Row],[Tipo]]="DROP"),T126+TbTradesBinance[[#This Row],[Qtt]],T126-TbTradesBinance[[#This Row],[Qtt]]),IF(TbTradesBinance[[#This Row],[Tipo]]="BUY",T126-TbTradesBinance[[#This Row],[Qtt]]*TbTradesBinance[[#This Row],[Preço]],T126+TbTradesBinance[[#This Row],[Qtt]]*TbTradesBinance[[#This Row],[Preço]])),T126)-IF(TbTradesBinance[[#This Row],[Moeda da Taxa]]=MID(T$1,9,5),TbTradesBinance[[#This Row],[Taxa]],0),8)))</f>
        <v>199735.32000169999</v>
      </c>
      <c r="U127" s="145" cm="1">
        <f t="array" ref="U127">IF(TbTradesBinance[[#This Row],[Tipo]]="EMPTY",0,U126+IF(TbTradesBinance[[#This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Row],[Par]]))),$1:$1,0)),-(T126-T127)/T126*U126),0),0)+IF(TbTradesBinance[[#This Row],[Tipo]]="SELL",IF(ISNUMBER(FIND(MID(U$1,10,5),TbTradesBinance[[#This Row],[Par]])),IF(FIND(MID(U$1,10,5),TbTradesBinance[[#This Row],[Par]])=1, -(T126-T127)/T126*U126,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Row],[Par]])),(-(T126-T127)/T126*U126)+IF(TbTradesBinance[[#This Row],[Resultado]]&gt;0,0,TbTradesBinance[[#This Row],[Taxa]]),0),0))</f>
        <v>1328239.8809817513</v>
      </c>
      <c r="V127" s="145">
        <f t="shared" si="22"/>
        <v>6.6500000148719129</v>
      </c>
      <c r="W12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Row],[Tipo]]="DROP"),W126+TbTradesBinance[[#This Row],[Qtt]],W126-TbTradesBinance[[#This Row],[Qtt]]),IF(TbTradesBinance[[#This Row],[Tipo]]="BUY",W126-TbTradesBinance[[#This Row],[Qtt]]*TbTradesBinance[[#This Row],[Preço]],W126+TbTradesBinance[[#This Row],[Qtt]]*TbTradesBinance[[#This Row],[Preço]])),W126)-IF(TbTradesBinance[[#This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Row],[Tipo]]="DROP"),W126+TbTradesBinance[[#This Row],[Qtt]],W126-TbTradesBinance[[#This Row],[Qtt]]),IF(TbTradesBinance[[#This Row],[Tipo]]="BUY",W126-TbTradesBinance[[#This Row],[Qtt]]*TbTradesBinance[[#This Row],[Preço]],W126+TbTradesBinance[[#This Row],[Qtt]]*TbTradesBinance[[#This Row],[Preço]])),W126)-IF(TbTradesBinance[[#This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Row],[Tipo]]="DROP"),W126+TbTradesBinance[[#This Row],[Qtt]],W126-TbTradesBinance[[#This Row],[Qtt]]),IF(TbTradesBinance[[#This Row],[Tipo]]="BUY",W126-TbTradesBinance[[#This Row],[Qtt]]*TbTradesBinance[[#This Row],[Preço]],W126+TbTradesBinance[[#This Row],[Qtt]]*TbTradesBinance[[#This Row],[Preço]])),W126)-IF(TbTradesBinance[[#This Row],[Moeda da Taxa]]=MID(W$1,9,5),TbTradesBinance[[#This Row],[Taxa]],0),8)))</f>
        <v>2.5393600000000001E-3</v>
      </c>
      <c r="X127" s="145" cm="1">
        <f t="array" ref="X127">IF(TbTradesBinance[[#This Row],[Tipo]]="EMPTY",0,X126+IF(TbTradesBinance[[#This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Row],[Par]]))),$1:$1,0)),-(W126-W127)/W126*X126),0),0)+IF(TbTradesBinance[[#This Row],[Tipo]]="SELL",IF(ISNUMBER(FIND(MID(X$1,10,5),TbTradesBinance[[#This Row],[Par]])),IF(FIND(MID(X$1,10,5),TbTradesBinance[[#This Row],[Par]])=1, -(W126-W127)/W126*X126,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Row],[Par]])),(-(W126-W127)/W126*X126)+IF(TbTradesBinance[[#This Row],[Resultado]]&gt;0,0,TbTradesBinance[[#This Row],[Taxa]]),0),0))</f>
        <v>847.47496668103008</v>
      </c>
      <c r="Y127" s="145">
        <f t="shared" si="23"/>
        <v>333735.65255853051</v>
      </c>
      <c r="Z12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Row],[Tipo]]="DROP"),Z126+TbTradesBinance[[#This Row],[Qtt]],Z126-TbTradesBinance[[#This Row],[Qtt]]),IF(TbTradesBinance[[#This Row],[Tipo]]="BUY",Z126-TbTradesBinance[[#This Row],[Qtt]]*TbTradesBinance[[#This Row],[Preço]],Z126+TbTradesBinance[[#This Row],[Qtt]]*TbTradesBinance[[#This Row],[Preço]])),Z126)-IF(TbTradesBinance[[#This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Row],[Tipo]]="DROP"),Z126+TbTradesBinance[[#This Row],[Qtt]],Z126-TbTradesBinance[[#This Row],[Qtt]]),IF(TbTradesBinance[[#This Row],[Tipo]]="BUY",Z126-TbTradesBinance[[#This Row],[Qtt]]*TbTradesBinance[[#This Row],[Preço]],Z126+TbTradesBinance[[#This Row],[Qtt]]*TbTradesBinance[[#This Row],[Preço]])),Z126)-IF(TbTradesBinance[[#This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Row],[Tipo]]="DROP"),Z126+TbTradesBinance[[#This Row],[Qtt]],Z126-TbTradesBinance[[#This Row],[Qtt]]),IF(TbTradesBinance[[#This Row],[Tipo]]="BUY",Z126-TbTradesBinance[[#This Row],[Qtt]]*TbTradesBinance[[#This Row],[Preço]],Z126+TbTradesBinance[[#This Row],[Qtt]]*TbTradesBinance[[#This Row],[Preço]])),Z126)-IF(TbTradesBinance[[#This Row],[Moeda da Taxa]]=MID(Z$1,9,5),TbTradesBinance[[#This Row],[Taxa]],0),8)))</f>
        <v>9.3300000000000005E-6</v>
      </c>
      <c r="AA127" s="145" cm="1">
        <f t="array" ref="AA127">IF(TbTradesBinance[[#This Row],[Tipo]]="EMPTY",0,AA126+IF(TbTradesBinance[[#This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Row],[Par]]))),$1:$1,0)),-(Z126-Z127)/Z126*AA126),0),0)+IF(TbTradesBinance[[#This Row],[Tipo]]="SELL",IF(ISNUMBER(FIND(MID(AA$1,10,5),TbTradesBinance[[#This Row],[Par]])),IF(FIND(MID(AA$1,10,5),TbTradesBinance[[#This Row],[Par]])=1, -(Z126-Z127)/Z126*AA126,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Row],[Par]])),(-(Z126-Z127)/Z126*AA126)+IF(TbTradesBinance[[#This Row],[Resultado]]&gt;0,0,TbTradesBinance[[#This Row],[Taxa]]),0),0))</f>
        <v>9.7066397187928644E-2</v>
      </c>
      <c r="AB127" s="145">
        <f t="shared" si="24"/>
        <v>10403.686729681525</v>
      </c>
      <c r="AC12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Row],[Tipo]]="DROP"),AC126+TbTradesBinance[[#This Row],[Qtt]],AC126-TbTradesBinance[[#This Row],[Qtt]]),IF(TbTradesBinance[[#This Row],[Tipo]]="BUY",AC126-TbTradesBinance[[#This Row],[Qtt]]*TbTradesBinance[[#This Row],[Preço]],AC126+TbTradesBinance[[#This Row],[Qtt]]*TbTradesBinance[[#This Row],[Preço]])),AC126)-IF(TbTradesBinance[[#This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Row],[Tipo]]="DROP"),AC126+TbTradesBinance[[#This Row],[Qtt]],AC126-TbTradesBinance[[#This Row],[Qtt]]),IF(TbTradesBinance[[#This Row],[Tipo]]="BUY",AC126-TbTradesBinance[[#This Row],[Qtt]]*TbTradesBinance[[#This Row],[Preço]],AC126+TbTradesBinance[[#This Row],[Qtt]]*TbTradesBinance[[#This Row],[Preço]])),AC126)-IF(TbTradesBinance[[#This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Row],[Tipo]]="DROP"),AC126+TbTradesBinance[[#This Row],[Qtt]],AC126-TbTradesBinance[[#This Row],[Qtt]]),IF(TbTradesBinance[[#This Row],[Tipo]]="BUY",AC126-TbTradesBinance[[#This Row],[Qtt]]*TbTradesBinance[[#This Row],[Preço]],AC126+TbTradesBinance[[#This Row],[Qtt]]*TbTradesBinance[[#This Row],[Preço]])),AC126)-IF(TbTradesBinance[[#This Row],[Moeda da Taxa]]=MID(AC$1,9,5),TbTradesBinance[[#This Row],[Taxa]],0),8)))</f>
        <v>0</v>
      </c>
      <c r="AD127" s="145" cm="1">
        <f t="array" ref="AD127">IF(TbTradesBinance[[#This Row],[Tipo]]="EMPTY",0,AD126+IF(TbTradesBinance[[#This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Row],[Par]]))),$1:$1,0)),-(AC126-AC127)/AC126*AD126),0),0)+IF(TbTradesBinance[[#This Row],[Tipo]]="SELL",IF(ISNUMBER(FIND(MID(AD$1,10,5),TbTradesBinance[[#This Row],[Par]])),IF(FIND(MID(AD$1,10,5),TbTradesBinance[[#This Row],[Par]])=1, -(AC126-AC127)/AC126*AD126,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Row],[Par]])),(-(AC126-AC127)/AC126*AD126)+IF(TbTradesBinance[[#This Row],[Resultado]]&gt;0,0,TbTradesBinance[[#This Row],[Taxa]]),0),0))</f>
        <v>0</v>
      </c>
      <c r="AE127" s="145">
        <f t="shared" si="25"/>
        <v>0</v>
      </c>
      <c r="AF12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Row],[Tipo]]="DROP"),AF126+TbTradesBinance[[#This Row],[Qtt]],AF126-TbTradesBinance[[#This Row],[Qtt]]),IF(TbTradesBinance[[#This Row],[Tipo]]="BUY",AF126-TbTradesBinance[[#This Row],[Qtt]]*TbTradesBinance[[#This Row],[Preço]],AF126+TbTradesBinance[[#This Row],[Qtt]]*TbTradesBinance[[#This Row],[Preço]])),AF126)-IF(TbTradesBinance[[#This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Row],[Tipo]]="DROP"),AF126+TbTradesBinance[[#This Row],[Qtt]],AF126-TbTradesBinance[[#This Row],[Qtt]]),IF(TbTradesBinance[[#This Row],[Tipo]]="BUY",AF126-TbTradesBinance[[#This Row],[Qtt]]*TbTradesBinance[[#This Row],[Preço]],AF126+TbTradesBinance[[#This Row],[Qtt]]*TbTradesBinance[[#This Row],[Preço]])),AF126)-IF(TbTradesBinance[[#This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Row],[Tipo]]="DROP"),AF126+TbTradesBinance[[#This Row],[Qtt]],AF126-TbTradesBinance[[#This Row],[Qtt]]),IF(TbTradesBinance[[#This Row],[Tipo]]="BUY",AF126-TbTradesBinance[[#This Row],[Qtt]]*TbTradesBinance[[#This Row],[Preço]],AF126+TbTradesBinance[[#This Row],[Qtt]]*TbTradesBinance[[#This Row],[Preço]])),AF126)-IF(TbTradesBinance[[#This Row],[Moeda da Taxa]]=MID(AF$1,9,5),TbTradesBinance[[#This Row],[Taxa]],0),8)))</f>
        <v>0</v>
      </c>
      <c r="AG127" s="145" cm="1">
        <f t="array" ref="AG127">IF(TbTradesBinance[[#This Row],[Tipo]]="EMPTY",0,AG126+IF(TbTradesBinance[[#This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Row],[Par]]))),$1:$1,0)),-(AF126-AF127)/AF126*AG126),0),0)+IF(TbTradesBinance[[#This Row],[Tipo]]="SELL",IF(ISNUMBER(FIND(MID(AG$1,10,5),TbTradesBinance[[#This Row],[Par]])),IF(FIND(MID(AG$1,10,5),TbTradesBinance[[#This Row],[Par]])=1, -(AF126-AF127)/AF126*AG126,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Row],[Par]])),(-(AF126-AF127)/AF126*AG126)+IF(TbTradesBinance[[#This Row],[Resultado]]&gt;0,0,TbTradesBinance[[#This Row],[Taxa]]),0),0))</f>
        <v>0</v>
      </c>
      <c r="AH127" s="145">
        <f t="shared" si="26"/>
        <v>0</v>
      </c>
      <c r="AI12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Row],[Tipo]]="DROP"),AI126+TbTradesBinance[[#This Row],[Qtt]],AI126-TbTradesBinance[[#This Row],[Qtt]]),IF(TbTradesBinance[[#This Row],[Tipo]]="BUY",AI126-TbTradesBinance[[#This Row],[Qtt]]*TbTradesBinance[[#This Row],[Preço]],AI126+TbTradesBinance[[#This Row],[Qtt]]*TbTradesBinance[[#This Row],[Preço]])),AI126)-IF(TbTradesBinance[[#This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Row],[Tipo]]="DROP"),AI126+TbTradesBinance[[#This Row],[Qtt]],AI126-TbTradesBinance[[#This Row],[Qtt]]),IF(TbTradesBinance[[#This Row],[Tipo]]="BUY",AI126-TbTradesBinance[[#This Row],[Qtt]]*TbTradesBinance[[#This Row],[Preço]],AI126+TbTradesBinance[[#This Row],[Qtt]]*TbTradesBinance[[#This Row],[Preço]])),AI126)-IF(TbTradesBinance[[#This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Row],[Tipo]]="DROP"),AI126+TbTradesBinance[[#This Row],[Qtt]],AI126-TbTradesBinance[[#This Row],[Qtt]]),IF(TbTradesBinance[[#This Row],[Tipo]]="BUY",AI126-TbTradesBinance[[#This Row],[Qtt]]*TbTradesBinance[[#This Row],[Preço]],AI126+TbTradesBinance[[#This Row],[Qtt]]*TbTradesBinance[[#This Row],[Preço]])),AI126)-IF(TbTradesBinance[[#This Row],[Moeda da Taxa]]=MID(AI$1,9,5),TbTradesBinance[[#This Row],[Taxa]],0),8)))</f>
        <v>0</v>
      </c>
      <c r="AJ127" s="145" cm="1">
        <f t="array" ref="AJ127">IF(TbTradesBinance[[#This Row],[Tipo]]="EMPTY",0,AJ126+IF(TbTradesBinance[[#This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Row],[Par]]))),$1:$1,0)),-(AI126-AI127)/AI126*AJ126),0),0)+IF(TbTradesBinance[[#This Row],[Tipo]]="SELL",IF(ISNUMBER(FIND(MID(AJ$1,10,5),TbTradesBinance[[#This Row],[Par]])),IF(FIND(MID(AJ$1,10,5),TbTradesBinance[[#This Row],[Par]])=1, -(AI126-AI127)/AI126*AJ126,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Row],[Par]])),(-(AI126-AI127)/AI126*AJ126)+IF(TbTradesBinance[[#This Row],[Resultado]]&gt;0,0,TbTradesBinance[[#This Row],[Taxa]]),0),0))</f>
        <v>0</v>
      </c>
      <c r="AK127" s="145">
        <f t="shared" si="27"/>
        <v>0</v>
      </c>
      <c r="AL12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Row],[Tipo]]="DROP"),AL126+TbTradesBinance[[#This Row],[Qtt]],AL126-TbTradesBinance[[#This Row],[Qtt]]),IF(TbTradesBinance[[#This Row],[Tipo]]="BUY",AL126-TbTradesBinance[[#This Row],[Qtt]]*TbTradesBinance[[#This Row],[Preço]],AL126+TbTradesBinance[[#This Row],[Qtt]]*TbTradesBinance[[#This Row],[Preço]])),AL126)-IF(TbTradesBinance[[#This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Row],[Tipo]]="DROP"),AL126+TbTradesBinance[[#This Row],[Qtt]],AL126-TbTradesBinance[[#This Row],[Qtt]]),IF(TbTradesBinance[[#This Row],[Tipo]]="BUY",AL126-TbTradesBinance[[#This Row],[Qtt]]*TbTradesBinance[[#This Row],[Preço]],AL126+TbTradesBinance[[#This Row],[Qtt]]*TbTradesBinance[[#This Row],[Preço]])),AL126)-IF(TbTradesBinance[[#This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Row],[Tipo]]="DROP"),AL126+TbTradesBinance[[#This Row],[Qtt]],AL126-TbTradesBinance[[#This Row],[Qtt]]),IF(TbTradesBinance[[#This Row],[Tipo]]="BUY",AL126-TbTradesBinance[[#This Row],[Qtt]]*TbTradesBinance[[#This Row],[Preço]],AL126+TbTradesBinance[[#This Row],[Qtt]]*TbTradesBinance[[#This Row],[Preço]])),AL126)-IF(TbTradesBinance[[#This Row],[Moeda da Taxa]]=MID(AL$1,9,5),TbTradesBinance[[#This Row],[Taxa]],0),8)))</f>
        <v>0</v>
      </c>
      <c r="AM127" s="145" cm="1">
        <f t="array" ref="AM127">IF(TbTradesBinance[[#This Row],[Tipo]]="EMPTY",0,AM126+IF(TbTradesBinance[[#This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Row],[Par]]))),$1:$1,0)),-(AL126-AL127)/AL126*AM126),0),0)+IF(TbTradesBinance[[#This Row],[Tipo]]="SELL",IF(ISNUMBER(FIND(MID(AM$1,10,5),TbTradesBinance[[#This Row],[Par]])),IF(FIND(MID(AM$1,10,5),TbTradesBinance[[#This Row],[Par]])=1, -(AL126-AL127)/AL126*AM126,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Row],[Par]])),(-(AL126-AL127)/AL126*AM126)+IF(TbTradesBinance[[#This Row],[Resultado]]&gt;0,0,TbTradesBinance[[#This Row],[Taxa]]),0),0))</f>
        <v>0</v>
      </c>
      <c r="AN127" s="145">
        <f t="shared" si="28"/>
        <v>0</v>
      </c>
      <c r="AO12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Row],[Tipo]]="DROP"),AO126+TbTradesBinance[[#This Row],[Qtt]],AO126-TbTradesBinance[[#This Row],[Qtt]]),IF(TbTradesBinance[[#This Row],[Tipo]]="BUY",AO126-TbTradesBinance[[#This Row],[Qtt]]*TbTradesBinance[[#This Row],[Preço]],AO126+TbTradesBinance[[#This Row],[Qtt]]*TbTradesBinance[[#This Row],[Preço]])),AO126)-IF(TbTradesBinance[[#This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Row],[Tipo]]="DROP"),AO126+TbTradesBinance[[#This Row],[Qtt]],AO126-TbTradesBinance[[#This Row],[Qtt]]),IF(TbTradesBinance[[#This Row],[Tipo]]="BUY",AO126-TbTradesBinance[[#This Row],[Qtt]]*TbTradesBinance[[#This Row],[Preço]],AO126+TbTradesBinance[[#This Row],[Qtt]]*TbTradesBinance[[#This Row],[Preço]])),AO126)-IF(TbTradesBinance[[#This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Row],[Tipo]]="DROP"),AO126+TbTradesBinance[[#This Row],[Qtt]],AO126-TbTradesBinance[[#This Row],[Qtt]]),IF(TbTradesBinance[[#This Row],[Tipo]]="BUY",AO126-TbTradesBinance[[#This Row],[Qtt]]*TbTradesBinance[[#This Row],[Preço]],AO126+TbTradesBinance[[#This Row],[Qtt]]*TbTradesBinance[[#This Row],[Preço]])),AO126)-IF(TbTradesBinance[[#This Row],[Moeda da Taxa]]=MID(AO$1,9,5),TbTradesBinance[[#This Row],[Taxa]],0),8)))</f>
        <v>7.7549770000000004E-2</v>
      </c>
      <c r="AP127" s="145" cm="1">
        <f t="array" ref="AP127">IF(TbTradesBinance[[#This Row],[Tipo]]="EMPTY",0,AP126+IF(TbTradesBinance[[#This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Row],[Par]]))),$1:$1,0)),-(AO126-AO127)/AO126*AP126),0),0)+IF(TbTradesBinance[[#This Row],[Tipo]]="SELL",IF(ISNUMBER(FIND(MID(AP$1,10,5),TbTradesBinance[[#This Row],[Par]])),IF(FIND(MID(AP$1,10,5),TbTradesBinance[[#This Row],[Par]])=1, -(AO126-AO127)/AO126*AP126,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Row],[Par]])),(-(AO126-AO127)/AO126*AP126)+IF(TbTradesBinance[[#This Row],[Resultado]]&gt;0,0,TbTradesBinance[[#This Row],[Taxa]]),0),0))</f>
        <v>118.68727301034991</v>
      </c>
      <c r="AQ127" s="145">
        <f t="shared" si="29"/>
        <v>1530.4658287232819</v>
      </c>
      <c r="AR12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Row],[Tipo]]="DROP"),AR126+TbTradesBinance[[#This Row],[Qtt]],AR126-TbTradesBinance[[#This Row],[Qtt]]),IF(TbTradesBinance[[#This Row],[Tipo]]="BUY",AR126-TbTradesBinance[[#This Row],[Qtt]]*TbTradesBinance[[#This Row],[Preço]],AR126+TbTradesBinance[[#This Row],[Qtt]]*TbTradesBinance[[#This Row],[Preço]])),AR126)-IF(TbTradesBinance[[#This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Row],[Tipo]]="DROP"),AR126+TbTradesBinance[[#This Row],[Qtt]],AR126-TbTradesBinance[[#This Row],[Qtt]]),IF(TbTradesBinance[[#This Row],[Tipo]]="BUY",AR126-TbTradesBinance[[#This Row],[Qtt]]*TbTradesBinance[[#This Row],[Preço]],AR126+TbTradesBinance[[#This Row],[Qtt]]*TbTradesBinance[[#This Row],[Preço]])),AR126)-IF(TbTradesBinance[[#This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Row],[Tipo]]="DROP"),AR126+TbTradesBinance[[#This Row],[Qtt]],AR126-TbTradesBinance[[#This Row],[Qtt]]),IF(TbTradesBinance[[#This Row],[Tipo]]="BUY",AR126-TbTradesBinance[[#This Row],[Qtt]]*TbTradesBinance[[#This Row],[Preço]],AR126+TbTradesBinance[[#This Row],[Qtt]]*TbTradesBinance[[#This Row],[Preço]])),AR126)-IF(TbTradesBinance[[#This Row],[Moeda da Taxa]]=MID(AR$1,9,5),TbTradesBinance[[#This Row],[Taxa]],0),8)))</f>
        <v>61.251199999999997</v>
      </c>
      <c r="AS127" s="145" cm="1">
        <f t="array" ref="AS127">IF(TbTradesBinance[[#This Row],[Tipo]]="EMPTY",0,AS126+IF(TbTradesBinance[[#This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Row],[Par]]))),$1:$1,0)),-(AR126-AR127)/AR126*AS126),0),0)+IF(TbTradesBinance[[#This Row],[Tipo]]="SELL",IF(ISNUMBER(FIND(MID(AS$1,10,5),TbTradesBinance[[#This Row],[Par]])),IF(FIND(MID(AS$1,10,5),TbTradesBinance[[#This Row],[Par]])=1, -(AR126-AR127)/AR126*AS126,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Row],[Par]])),(-(AR126-AR127)/AR126*AS126)+IF(TbTradesBinance[[#This Row],[Resultado]]&gt;0,0,TbTradesBinance[[#This Row],[Taxa]]),0),0))</f>
        <v>230.84001376053044</v>
      </c>
      <c r="AT127" s="145">
        <f t="shared" si="30"/>
        <v>3.7687427146003745</v>
      </c>
      <c r="AU12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Row],[Tipo]]="DROP"),AU126+TbTradesBinance[[#This Row],[Qtt]],AU126-TbTradesBinance[[#This Row],[Qtt]]),IF(TbTradesBinance[[#This Row],[Tipo]]="BUY",AU126-TbTradesBinance[[#This Row],[Qtt]]*TbTradesBinance[[#This Row],[Preço]],AU126+TbTradesBinance[[#This Row],[Qtt]]*TbTradesBinance[[#This Row],[Preço]])),AU126)-IF(TbTradesBinance[[#This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Row],[Tipo]]="DROP"),AU126+TbTradesBinance[[#This Row],[Qtt]],AU126-TbTradesBinance[[#This Row],[Qtt]]),IF(TbTradesBinance[[#This Row],[Tipo]]="BUY",AU126-TbTradesBinance[[#This Row],[Qtt]]*TbTradesBinance[[#This Row],[Preço]],AU126+TbTradesBinance[[#This Row],[Qtt]]*TbTradesBinance[[#This Row],[Preço]])),AU126)-IF(TbTradesBinance[[#This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Row],[Tipo]]="DROP"),AU126+TbTradesBinance[[#This Row],[Qtt]],AU126-TbTradesBinance[[#This Row],[Qtt]]),IF(TbTradesBinance[[#This Row],[Tipo]]="BUY",AU126-TbTradesBinance[[#This Row],[Qtt]]*TbTradesBinance[[#This Row],[Preço]],AU126+TbTradesBinance[[#This Row],[Qtt]]*TbTradesBinance[[#This Row],[Preço]])),AU126)-IF(TbTradesBinance[[#This Row],[Moeda da Taxa]]=MID(AU$1,9,5),TbTradesBinance[[#This Row],[Taxa]],0),8)))</f>
        <v>0</v>
      </c>
      <c r="AV127" s="145" cm="1">
        <f t="array" ref="AV127">IF(TbTradesBinance[[#This Row],[Tipo]]="EMPTY",0,AV126+IF(TbTradesBinance[[#This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Row],[Par]]))),$1:$1,0)),-(AU126-AU127)/AU126*AV126),0),0)+IF(TbTradesBinance[[#This Row],[Tipo]]="SELL",IF(ISNUMBER(FIND(MID(AV$1,10,5),TbTradesBinance[[#This Row],[Par]])),IF(FIND(MID(AV$1,10,5),TbTradesBinance[[#This Row],[Par]])=1, -(AU126-AU127)/AU126*AV126,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Row],[Par]])),(-(AU126-AU127)/AU126*AV126)+IF(TbTradesBinance[[#This Row],[Resultado]]&gt;0,0,TbTradesBinance[[#This Row],[Taxa]]),0),0))</f>
        <v>0</v>
      </c>
      <c r="AW127" s="145">
        <f t="shared" si="31"/>
        <v>0</v>
      </c>
      <c r="AX12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Row],[Tipo]]="DROP"),AX126+TbTradesBinance[[#This Row],[Qtt]],AX126-TbTradesBinance[[#This Row],[Qtt]]),IF(TbTradesBinance[[#This Row],[Tipo]]="BUY",AX126-TbTradesBinance[[#This Row],[Qtt]]*TbTradesBinance[[#This Row],[Preço]],AX126+TbTradesBinance[[#This Row],[Qtt]]*TbTradesBinance[[#This Row],[Preço]])),AX126)-IF(TbTradesBinance[[#This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Row],[Tipo]]="DROP"),AX126+TbTradesBinance[[#This Row],[Qtt]],AX126-TbTradesBinance[[#This Row],[Qtt]]),IF(TbTradesBinance[[#This Row],[Tipo]]="BUY",AX126-TbTradesBinance[[#This Row],[Qtt]]*TbTradesBinance[[#This Row],[Preço]],AX126+TbTradesBinance[[#This Row],[Qtt]]*TbTradesBinance[[#This Row],[Preço]])),AX126)-IF(TbTradesBinance[[#This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Row],[Tipo]]="DROP"),AX126+TbTradesBinance[[#This Row],[Qtt]],AX126-TbTradesBinance[[#This Row],[Qtt]]),IF(TbTradesBinance[[#This Row],[Tipo]]="BUY",AX126-TbTradesBinance[[#This Row],[Qtt]]*TbTradesBinance[[#This Row],[Preço]],AX126+TbTradesBinance[[#This Row],[Qtt]]*TbTradesBinance[[#This Row],[Preço]])),AX126)-IF(TbTradesBinance[[#This Row],[Moeda da Taxa]]=MID(AX$1,9,5),TbTradesBinance[[#This Row],[Taxa]],0),8)))</f>
        <v>0.85636999999999996</v>
      </c>
      <c r="AY127" s="145" cm="1">
        <f t="array" ref="AY127">IF(TbTradesBinance[[#This Row],[Tipo]]="EMPTY",0,AY126+IF(TbTradesBinance[[#This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Row],[Par]]))),$1:$1,0)),-(AX126-AX127)/AX126*AY126),0),0)+IF(TbTradesBinance[[#This Row],[Tipo]]="SELL",IF(ISNUMBER(FIND(MID(AY$1,10,5),TbTradesBinance[[#This Row],[Par]])),IF(FIND(MID(AY$1,10,5),TbTradesBinance[[#This Row],[Par]])=1, -(AX126-AX127)/AX126*AY126,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Row],[Par]])),(-(AX126-AX127)/AX126*AY126)+IF(TbTradesBinance[[#This Row],[Resultado]]&gt;0,0,TbTradesBinance[[#This Row],[Taxa]]),0),0))</f>
        <v>131.82971181780295</v>
      </c>
      <c r="AZ127" s="145">
        <f t="shared" si="32"/>
        <v>153.94013314081874</v>
      </c>
      <c r="BA12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Row],[Tipo]]="DROP"),BA126+TbTradesBinance[[#This Row],[Qtt]],BA126-TbTradesBinance[[#This Row],[Qtt]]),IF(TbTradesBinance[[#This Row],[Tipo]]="BUY",BA126-TbTradesBinance[[#This Row],[Qtt]]*TbTradesBinance[[#This Row],[Preço]],BA126+TbTradesBinance[[#This Row],[Qtt]]*TbTradesBinance[[#This Row],[Preço]])),BA126)-IF(TbTradesBinance[[#This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Row],[Tipo]]="DROP"),BA126+TbTradesBinance[[#This Row],[Qtt]],BA126-TbTradesBinance[[#This Row],[Qtt]]),IF(TbTradesBinance[[#This Row],[Tipo]]="BUY",BA126-TbTradesBinance[[#This Row],[Qtt]]*TbTradesBinance[[#This Row],[Preço]],BA126+TbTradesBinance[[#This Row],[Qtt]]*TbTradesBinance[[#This Row],[Preço]])),BA126)-IF(TbTradesBinance[[#This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Row],[Tipo]]="DROP"),BA126+TbTradesBinance[[#This Row],[Qtt]],BA126-TbTradesBinance[[#This Row],[Qtt]]),IF(TbTradesBinance[[#This Row],[Tipo]]="BUY",BA126-TbTradesBinance[[#This Row],[Qtt]]*TbTradesBinance[[#This Row],[Preço]],BA126+TbTradesBinance[[#This Row],[Qtt]]*TbTradesBinance[[#This Row],[Preço]])),BA126)-IF(TbTradesBinance[[#This Row],[Moeda da Taxa]]=MID(BA$1,9,5),TbTradesBinance[[#This Row],[Taxa]],0),8)))</f>
        <v>0.10571</v>
      </c>
      <c r="BB127" s="145" cm="1">
        <f t="array" ref="BB127">IF(TbTradesBinance[[#This Row],[Tipo]]="EMPTY",0,BB126+IF(TbTradesBinance[[#This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Row],[Par]]))),$1:$1,0)),-(BA126-BA127)/BA126*BB126),0),0)+IF(TbTradesBinance[[#This Row],[Tipo]]="SELL",IF(ISNUMBER(FIND(MID(BB$1,10,5),TbTradesBinance[[#This Row],[Par]])),IF(FIND(MID(BB$1,10,5),TbTradesBinance[[#This Row],[Par]])=1, -(BA126-BA127)/BA126*BB126,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Row],[Par]])),(-(BA126-BA127)/BA126*BB126)+IF(TbTradesBinance[[#This Row],[Resultado]]&gt;0,0,TbTradesBinance[[#This Row],[Taxa]]),0),0))</f>
        <v>120.8257969142021</v>
      </c>
      <c r="BC127" s="145">
        <f t="shared" si="33"/>
        <v>1142.9930651234708</v>
      </c>
      <c r="BD12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Row],[Tipo]]="DROP"),BD126+TbTradesBinance[[#This Row],[Qtt]],BD126-TbTradesBinance[[#This Row],[Qtt]]),IF(TbTradesBinance[[#This Row],[Tipo]]="BUY",BD126-TbTradesBinance[[#This Row],[Qtt]]*TbTradesBinance[[#This Row],[Preço]],BD126+TbTradesBinance[[#This Row],[Qtt]]*TbTradesBinance[[#This Row],[Preço]])),BD126)-IF(TbTradesBinance[[#This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Row],[Tipo]]="DROP"),BD126+TbTradesBinance[[#This Row],[Qtt]],BD126-TbTradesBinance[[#This Row],[Qtt]]),IF(TbTradesBinance[[#This Row],[Tipo]]="BUY",BD126-TbTradesBinance[[#This Row],[Qtt]]*TbTradesBinance[[#This Row],[Preço]],BD126+TbTradesBinance[[#This Row],[Qtt]]*TbTradesBinance[[#This Row],[Preço]])),BD126)-IF(TbTradesBinance[[#This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Row],[Tipo]]="DROP"),BD126+TbTradesBinance[[#This Row],[Qtt]],BD126-TbTradesBinance[[#This Row],[Qtt]]),IF(TbTradesBinance[[#This Row],[Tipo]]="BUY",BD126-TbTradesBinance[[#This Row],[Qtt]]*TbTradesBinance[[#This Row],[Preço]],BD126+TbTradesBinance[[#This Row],[Qtt]]*TbTradesBinance[[#This Row],[Preço]])),BD126)-IF(TbTradesBinance[[#This Row],[Moeda da Taxa]]=MID(BD$1,9,5),TbTradesBinance[[#This Row],[Taxa]],0),8)))</f>
        <v>0</v>
      </c>
      <c r="BE127" s="145" cm="1">
        <f t="array" ref="BE127">IF(TbTradesBinance[[#This Row],[Tipo]]="EMPTY",0,BE126+IF(TbTradesBinance[[#This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Row],[Par]]))),$1:$1,0)),-(BD126-BD127)/BD126*BE126),0),0)+IF(TbTradesBinance[[#This Row],[Tipo]]="SELL",IF(ISNUMBER(FIND(MID(BE$1,10,5),TbTradesBinance[[#This Row],[Par]])),IF(FIND(MID(BE$1,10,5),TbTradesBinance[[#This Row],[Par]])=1, -(BD126-BD127)/BD126*BE126,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Row],[Par]])),(-(BD126-BD127)/BD126*BE126)+IF(TbTradesBinance[[#This Row],[Resultado]]&gt;0,0,TbTradesBinance[[#This Row],[Taxa]]),0),0))</f>
        <v>0</v>
      </c>
      <c r="BF127" s="145">
        <f t="shared" si="34"/>
        <v>0</v>
      </c>
      <c r="BG12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Row],[Tipo]]="DROP"),BG126+TbTradesBinance[[#This Row],[Qtt]],BG126-TbTradesBinance[[#This Row],[Qtt]]),IF(TbTradesBinance[[#This Row],[Tipo]]="BUY",BG126-TbTradesBinance[[#This Row],[Qtt]]*TbTradesBinance[[#This Row],[Preço]],BG126+TbTradesBinance[[#This Row],[Qtt]]*TbTradesBinance[[#This Row],[Preço]])),BG126)-IF(TbTradesBinance[[#This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Row],[Tipo]]="DROP"),BG126+TbTradesBinance[[#This Row],[Qtt]],BG126-TbTradesBinance[[#This Row],[Qtt]]),IF(TbTradesBinance[[#This Row],[Tipo]]="BUY",BG126-TbTradesBinance[[#This Row],[Qtt]]*TbTradesBinance[[#This Row],[Preço]],BG126+TbTradesBinance[[#This Row],[Qtt]]*TbTradesBinance[[#This Row],[Preço]])),BG126)-IF(TbTradesBinance[[#This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Row],[Tipo]]="DROP"),BG126+TbTradesBinance[[#This Row],[Qtt]],BG126-TbTradesBinance[[#This Row],[Qtt]]),IF(TbTradesBinance[[#This Row],[Tipo]]="BUY",BG126-TbTradesBinance[[#This Row],[Qtt]]*TbTradesBinance[[#This Row],[Preço]],BG126+TbTradesBinance[[#This Row],[Qtt]]*TbTradesBinance[[#This Row],[Preço]])),BG126)-IF(TbTradesBinance[[#This Row],[Moeda da Taxa]]=MID(BG$1,9,5),TbTradesBinance[[#This Row],[Taxa]],0),8)))</f>
        <v>0</v>
      </c>
      <c r="BH127" s="145" cm="1">
        <f t="array" ref="BH127">IF(TbTradesBinance[[#This Row],[Tipo]]="EMPTY",0,BH126+IF(TbTradesBinance[[#This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Row],[Par]]))),$1:$1,0)),-(BG126-BG127)/BG126*BH126),0),0)+IF(TbTradesBinance[[#This Row],[Tipo]]="SELL",IF(ISNUMBER(FIND(MID(BH$1,10,5),TbTradesBinance[[#This Row],[Par]])),IF(FIND(MID(BH$1,10,5),TbTradesBinance[[#This Row],[Par]])=1, -(BG126-BG127)/BG126*BH126,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Row],[Par]])),(-(BG126-BG127)/BG126*BH126)+IF(TbTradesBinance[[#This Row],[Resultado]]&gt;0,0,TbTradesBinance[[#This Row],[Taxa]]),0),0))</f>
        <v>0</v>
      </c>
      <c r="BI127" s="145">
        <f t="shared" si="35"/>
        <v>0</v>
      </c>
      <c r="BJ12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Row],[Tipo]]="DROP"),BJ126+TbTradesBinance[[#This Row],[Qtt]],BJ126-TbTradesBinance[[#This Row],[Qtt]]),IF(TbTradesBinance[[#This Row],[Tipo]]="BUY",BJ126-TbTradesBinance[[#This Row],[Qtt]]*TbTradesBinance[[#This Row],[Preço]],BJ126+TbTradesBinance[[#This Row],[Qtt]]*TbTradesBinance[[#This Row],[Preço]])),BJ126)-IF(TbTradesBinance[[#This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Row],[Tipo]]="DROP"),BJ126+TbTradesBinance[[#This Row],[Qtt]],BJ126-TbTradesBinance[[#This Row],[Qtt]]),IF(TbTradesBinance[[#This Row],[Tipo]]="BUY",BJ126-TbTradesBinance[[#This Row],[Qtt]]*TbTradesBinance[[#This Row],[Preço]],BJ126+TbTradesBinance[[#This Row],[Qtt]]*TbTradesBinance[[#This Row],[Preço]])),BJ126)-IF(TbTradesBinance[[#This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Row],[Tipo]]="DROP"),BJ126+TbTradesBinance[[#This Row],[Qtt]],BJ126-TbTradesBinance[[#This Row],[Qtt]]),IF(TbTradesBinance[[#This Row],[Tipo]]="BUY",BJ126-TbTradesBinance[[#This Row],[Qtt]]*TbTradesBinance[[#This Row],[Preço]],BJ126+TbTradesBinance[[#This Row],[Qtt]]*TbTradesBinance[[#This Row],[Preço]])),BJ126)-IF(TbTradesBinance[[#This Row],[Moeda da Taxa]]=MID(BJ$1,9,5),TbTradesBinance[[#This Row],[Taxa]],0),8)))</f>
        <v>0</v>
      </c>
      <c r="BK127" s="145" cm="1">
        <f t="array" ref="BK127">IF(TbTradesBinance[[#This Row],[Tipo]]="EMPTY",0,BK126+IF(TbTradesBinance[[#This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Row],[Par]]))),$1:$1,0)),-(BJ126-BJ127)/BJ126*BK126),0),0)+IF(TbTradesBinance[[#This Row],[Tipo]]="SELL",IF(ISNUMBER(FIND(MID(BK$1,10,5),TbTradesBinance[[#This Row],[Par]])),IF(FIND(MID(BK$1,10,5),TbTradesBinance[[#This Row],[Par]])=1, -(BJ126-BJ127)/BJ126*BK126,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Row],[Par]])),(-(BJ126-BJ127)/BJ126*BK126)+IF(TbTradesBinance[[#This Row],[Resultado]]&gt;0,0,TbTradesBinance[[#This Row],[Taxa]]),0),0))</f>
        <v>0</v>
      </c>
      <c r="BL127" s="145">
        <f t="shared" si="36"/>
        <v>0</v>
      </c>
      <c r="BM12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Row],[Tipo]]="DROP"),BM126+TbTradesBinance[[#This Row],[Qtt]],BM126-TbTradesBinance[[#This Row],[Qtt]]),IF(TbTradesBinance[[#This Row],[Tipo]]="BUY",BM126-TbTradesBinance[[#This Row],[Qtt]]*TbTradesBinance[[#This Row],[Preço]],BM126+TbTradesBinance[[#This Row],[Qtt]]*TbTradesBinance[[#This Row],[Preço]])),BM126)-IF(TbTradesBinance[[#This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Row],[Tipo]]="DROP"),BM126+TbTradesBinance[[#This Row],[Qtt]],BM126-TbTradesBinance[[#This Row],[Qtt]]),IF(TbTradesBinance[[#This Row],[Tipo]]="BUY",BM126-TbTradesBinance[[#This Row],[Qtt]]*TbTradesBinance[[#This Row],[Preço]],BM126+TbTradesBinance[[#This Row],[Qtt]]*TbTradesBinance[[#This Row],[Preço]])),BM126)-IF(TbTradesBinance[[#This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Row],[Tipo]]="DROP"),BM126+TbTradesBinance[[#This Row],[Qtt]],BM126-TbTradesBinance[[#This Row],[Qtt]]),IF(TbTradesBinance[[#This Row],[Tipo]]="BUY",BM126-TbTradesBinance[[#This Row],[Qtt]]*TbTradesBinance[[#This Row],[Preço]],BM126+TbTradesBinance[[#This Row],[Qtt]]*TbTradesBinance[[#This Row],[Preço]])),BM126)-IF(TbTradesBinance[[#This Row],[Moeda da Taxa]]=MID(BM$1,9,5),TbTradesBinance[[#This Row],[Taxa]],0),8)))</f>
        <v>0</v>
      </c>
      <c r="BN127" s="145" cm="1">
        <f t="array" ref="BN127">IF(TbTradesBinance[[#This Row],[Tipo]]="EMPTY",0,BN126+IF(TbTradesBinance[[#This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Row],[Par]]))),$1:$1,0)),-(BM126-BM127)/BM126*BN126),0),0)+IF(TbTradesBinance[[#This Row],[Tipo]]="SELL",IF(ISNUMBER(FIND(MID(BN$1,10,5),TbTradesBinance[[#This Row],[Par]])),IF(FIND(MID(BN$1,10,5),TbTradesBinance[[#This Row],[Par]])=1, -(BM126-BM127)/BM126*BN126,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Row],[Par]])),(-(BM126-BM127)/BM126*BN126)+IF(TbTradesBinance[[#This Row],[Resultado]]&gt;0,0,TbTradesBinance[[#This Row],[Taxa]]),0),0))</f>
        <v>0</v>
      </c>
      <c r="BO127" s="145">
        <f t="shared" si="37"/>
        <v>0</v>
      </c>
    </row>
    <row r="128" spans="2:67" x14ac:dyDescent="0.3">
      <c r="B128" s="51" t="s">
        <v>264</v>
      </c>
      <c r="C128" s="40">
        <f>TRUNC(IF(AND(TbTradesBinance[[#This Row],[Tipo]]="SEND",TbTradesBinance[[#This Row],[Par]]="BRL"),TbTradesBinance[[#This Row],[Qtt]]*(1-P126)-IF(TbTradesBinance[[#This Row],[Moeda da Taxa]]="BRL",TbTradesBinance[[#This Row],[Taxa]],0),0)+IF(AND(TbTradesBinance[[#This Row],[Tipo]]="BURN",TbTradesBinance[[#This Row],[Par]]="BRL"),-TbTradesBinance[[#This Row],[Qtt]]*P126,0),2)</f>
        <v>0</v>
      </c>
      <c r="D128" s="53">
        <v>44276.760358796295</v>
      </c>
      <c r="E128" s="37" t="s">
        <v>55</v>
      </c>
      <c r="F128" s="47" t="s">
        <v>148</v>
      </c>
      <c r="G128" s="38">
        <v>0</v>
      </c>
      <c r="H128" s="38">
        <v>2.6513499999999998E-3</v>
      </c>
      <c r="I128" s="38">
        <v>0</v>
      </c>
      <c r="J128" s="37" t="s">
        <v>45</v>
      </c>
      <c r="K128" s="52">
        <v>1</v>
      </c>
      <c r="L128" s="40">
        <f t="shared" si="19"/>
        <v>0</v>
      </c>
      <c r="M128" s="40">
        <f>IF(OR(TbTradesBinance[[#This Row],[Tipo]]="BUY",TbTradesBinance[[#This Row],[Tipo]]="RECEIVE",TbTradesBinance[[#This Row],[Tipo]]="DROP"),L128*H128,-L128*H128)</f>
        <v>0</v>
      </c>
      <c r="N12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Row],[Tipo]]="DROP"),N127+TbTradesBinance[[#This Row],[Qtt]],N127-TbTradesBinance[[#This Row],[Qtt]]),IF(TbTradesBinance[[#This Row],[Tipo]]="BUY",N127-TbTradesBinance[[#This Row],[Qtt]]*TbTradesBinance[[#This Row],[Preço]],N127+TbTradesBinance[[#This Row],[Qtt]]*TbTradesBinance[[#This Row],[Preço]])),N127)-IF(TbTradesBinance[[#This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Row],[Tipo]]="DROP"),N127+TbTradesBinance[[#This Row],[Qtt]],N127-TbTradesBinance[[#This Row],[Qtt]]),IF(TbTradesBinance[[#This Row],[Tipo]]="BUY",N127-TbTradesBinance[[#This Row],[Qtt]]*TbTradesBinance[[#This Row],[Preço]],N127+TbTradesBinance[[#This Row],[Qtt]]*TbTradesBinance[[#This Row],[Preço]])),N127)-IF(TbTradesBinance[[#This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Row],[Tipo]]="DROP"),N127+TbTradesBinance[[#This Row],[Qtt]],N127-TbTradesBinance[[#This Row],[Qtt]]),IF(TbTradesBinance[[#This Row],[Tipo]]="BUY",N127-TbTradesBinance[[#This Row],[Qtt]]*TbTradesBinance[[#This Row],[Preço]],N127+TbTradesBinance[[#This Row],[Qtt]]*TbTradesBinance[[#This Row],[Preço]])),N127)-IF(TbTradesBinance[[#This Row],[Moeda da Taxa]]=MID(N$1,9,5),TbTradesBinance[[#This Row],[Taxa]],0),8)))</f>
        <v>119850.11049418</v>
      </c>
      <c r="O128" s="145" cm="1">
        <f t="array" ref="O128">IF(TbTradesBinance[[#This Row],[Tipo]]="EMPTY",0,O127+IF(TbTradesBinance[[#This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Row],[Par]]))),$1:$1,0)),-(N127-N128)/N127*O127),0),0)+IF(TbTradesBinance[[#This Row],[Tipo]]="SELL",IF(ISNUMBER(FIND(MID(O$1,10,5),TbTradesBinance[[#This Row],[Par]])),IF(FIND(MID(O$1,10,5),TbTradesBinance[[#This Row],[Par]])=1, -(N127-N128)/N127*O127,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Row],[Par]])),(-(N127-N128)/N127*O127)+IF(TbTradesBinance[[#This Row],[Resultado]]&gt;0,0,TbTradesBinance[[#This Row],[Taxa]]),0),0))</f>
        <v>119842.46197104781</v>
      </c>
      <c r="P128" s="145">
        <f t="shared" si="20"/>
        <v>0.99993618259423667</v>
      </c>
      <c r="Q12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Row],[Tipo]]="DROP"),Q127+TbTradesBinance[[#This Row],[Qtt]],Q127-TbTradesBinance[[#This Row],[Qtt]]),IF(TbTradesBinance[[#This Row],[Tipo]]="BUY",Q127-TbTradesBinance[[#This Row],[Qtt]]*TbTradesBinance[[#This Row],[Preço]],Q127+TbTradesBinance[[#This Row],[Qtt]]*TbTradesBinance[[#This Row],[Preço]])),Q127)-IF(TbTradesBinance[[#This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Row],[Tipo]]="DROP"),Q127+TbTradesBinance[[#This Row],[Qtt]],Q127-TbTradesBinance[[#This Row],[Qtt]]),IF(TbTradesBinance[[#This Row],[Tipo]]="BUY",Q127-TbTradesBinance[[#This Row],[Qtt]]*TbTradesBinance[[#This Row],[Preço]],Q127+TbTradesBinance[[#This Row],[Qtt]]*TbTradesBinance[[#This Row],[Preço]])),Q127)-IF(TbTradesBinance[[#This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Row],[Tipo]]="DROP"),Q127+TbTradesBinance[[#This Row],[Qtt]],Q127-TbTradesBinance[[#This Row],[Qtt]]),IF(TbTradesBinance[[#This Row],[Tipo]]="BUY",Q127-TbTradesBinance[[#This Row],[Qtt]]*TbTradesBinance[[#This Row],[Preço]],Q127+TbTradesBinance[[#This Row],[Qtt]]*TbTradesBinance[[#This Row],[Preço]])),Q127)-IF(TbTradesBinance[[#This Row],[Moeda da Taxa]]=MID(Q$1,9,5),TbTradesBinance[[#This Row],[Taxa]],0),8)))</f>
        <v>0</v>
      </c>
      <c r="R128" s="145" cm="1">
        <f t="array" ref="R128">IF(TbTradesBinance[[#This Row],[Tipo]]="EMPTY",0,R127+IF(TbTradesBinance[[#This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Row],[Par]]))),$1:$1,0)),-(Q127-Q128)/Q127*R127),0),0)+IF(TbTradesBinance[[#This Row],[Tipo]]="SELL",IF(ISNUMBER(FIND(MID(R$1,10,5),TbTradesBinance[[#This Row],[Par]])),IF(FIND(MID(R$1,10,5),TbTradesBinance[[#This Row],[Par]])=1, -(Q127-Q128)/Q127*R127,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Row],[Par]])),(-(Q127-Q128)/Q127*R127)+IF(TbTradesBinance[[#This Row],[Resultado]]&gt;0,0,TbTradesBinance[[#This Row],[Taxa]]),0),0))</f>
        <v>0</v>
      </c>
      <c r="S128" s="145">
        <f t="shared" si="21"/>
        <v>0</v>
      </c>
      <c r="T12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Row],[Tipo]]="DROP"),T127+TbTradesBinance[[#This Row],[Qtt]],T127-TbTradesBinance[[#This Row],[Qtt]]),IF(TbTradesBinance[[#This Row],[Tipo]]="BUY",T127-TbTradesBinance[[#This Row],[Qtt]]*TbTradesBinance[[#This Row],[Preço]],T127+TbTradesBinance[[#This Row],[Qtt]]*TbTradesBinance[[#This Row],[Preço]])),T127)-IF(TbTradesBinance[[#This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Row],[Tipo]]="DROP"),T127+TbTradesBinance[[#This Row],[Qtt]],T127-TbTradesBinance[[#This Row],[Qtt]]),IF(TbTradesBinance[[#This Row],[Tipo]]="BUY",T127-TbTradesBinance[[#This Row],[Qtt]]*TbTradesBinance[[#This Row],[Preço]],T127+TbTradesBinance[[#This Row],[Qtt]]*TbTradesBinance[[#This Row],[Preço]])),T127)-IF(TbTradesBinance[[#This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Row],[Tipo]]="DROP"),T127+TbTradesBinance[[#This Row],[Qtt]],T127-TbTradesBinance[[#This Row],[Qtt]]),IF(TbTradesBinance[[#This Row],[Tipo]]="BUY",T127-TbTradesBinance[[#This Row],[Qtt]]*TbTradesBinance[[#This Row],[Preço]],T127+TbTradesBinance[[#This Row],[Qtt]]*TbTradesBinance[[#This Row],[Preço]])),T127)-IF(TbTradesBinance[[#This Row],[Moeda da Taxa]]=MID(T$1,9,5),TbTradesBinance[[#This Row],[Taxa]],0),8)))</f>
        <v>199735.32000169999</v>
      </c>
      <c r="U128" s="145" cm="1">
        <f t="array" ref="U128">IF(TbTradesBinance[[#This Row],[Tipo]]="EMPTY",0,U127+IF(TbTradesBinance[[#This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Row],[Par]]))),$1:$1,0)),-(T127-T128)/T127*U127),0),0)+IF(TbTradesBinance[[#This Row],[Tipo]]="SELL",IF(ISNUMBER(FIND(MID(U$1,10,5),TbTradesBinance[[#This Row],[Par]])),IF(FIND(MID(U$1,10,5),TbTradesBinance[[#This Row],[Par]])=1, -(T127-T128)/T127*U127,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Row],[Par]])),(-(T127-T128)/T127*U127)+IF(TbTradesBinance[[#This Row],[Resultado]]&gt;0,0,TbTradesBinance[[#This Row],[Taxa]]),0),0))</f>
        <v>1328239.8809817513</v>
      </c>
      <c r="V128" s="145">
        <f t="shared" si="22"/>
        <v>6.6500000148719129</v>
      </c>
      <c r="W12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Row],[Tipo]]="DROP"),W127+TbTradesBinance[[#This Row],[Qtt]],W127-TbTradesBinance[[#This Row],[Qtt]]),IF(TbTradesBinance[[#This Row],[Tipo]]="BUY",W127-TbTradesBinance[[#This Row],[Qtt]]*TbTradesBinance[[#This Row],[Preço]],W127+TbTradesBinance[[#This Row],[Qtt]]*TbTradesBinance[[#This Row],[Preço]])),W127)-IF(TbTradesBinance[[#This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Row],[Tipo]]="DROP"),W127+TbTradesBinance[[#This Row],[Qtt]],W127-TbTradesBinance[[#This Row],[Qtt]]),IF(TbTradesBinance[[#This Row],[Tipo]]="BUY",W127-TbTradesBinance[[#This Row],[Qtt]]*TbTradesBinance[[#This Row],[Preço]],W127+TbTradesBinance[[#This Row],[Qtt]]*TbTradesBinance[[#This Row],[Preço]])),W127)-IF(TbTradesBinance[[#This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Row],[Tipo]]="DROP"),W127+TbTradesBinance[[#This Row],[Qtt]],W127-TbTradesBinance[[#This Row],[Qtt]]),IF(TbTradesBinance[[#This Row],[Tipo]]="BUY",W127-TbTradesBinance[[#This Row],[Qtt]]*TbTradesBinance[[#This Row],[Preço]],W127+TbTradesBinance[[#This Row],[Qtt]]*TbTradesBinance[[#This Row],[Preço]])),W127)-IF(TbTradesBinance[[#This Row],[Moeda da Taxa]]=MID(W$1,9,5),TbTradesBinance[[#This Row],[Taxa]],0),8)))</f>
        <v>2.5393600000000001E-3</v>
      </c>
      <c r="X128" s="145" cm="1">
        <f t="array" ref="X128">IF(TbTradesBinance[[#This Row],[Tipo]]="EMPTY",0,X127+IF(TbTradesBinance[[#This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Row],[Par]]))),$1:$1,0)),-(W127-W128)/W127*X127),0),0)+IF(TbTradesBinance[[#This Row],[Tipo]]="SELL",IF(ISNUMBER(FIND(MID(X$1,10,5),TbTradesBinance[[#This Row],[Par]])),IF(FIND(MID(X$1,10,5),TbTradesBinance[[#This Row],[Par]])=1, -(W127-W128)/W127*X127,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Row],[Par]])),(-(W127-W128)/W127*X127)+IF(TbTradesBinance[[#This Row],[Resultado]]&gt;0,0,TbTradesBinance[[#This Row],[Taxa]]),0),0))</f>
        <v>847.47496668103008</v>
      </c>
      <c r="Y128" s="145">
        <f t="shared" si="23"/>
        <v>333735.65255853051</v>
      </c>
      <c r="Z12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Row],[Tipo]]="DROP"),Z127+TbTradesBinance[[#This Row],[Qtt]],Z127-TbTradesBinance[[#This Row],[Qtt]]),IF(TbTradesBinance[[#This Row],[Tipo]]="BUY",Z127-TbTradesBinance[[#This Row],[Qtt]]*TbTradesBinance[[#This Row],[Preço]],Z127+TbTradesBinance[[#This Row],[Qtt]]*TbTradesBinance[[#This Row],[Preço]])),Z127)-IF(TbTradesBinance[[#This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Row],[Tipo]]="DROP"),Z127+TbTradesBinance[[#This Row],[Qtt]],Z127-TbTradesBinance[[#This Row],[Qtt]]),IF(TbTradesBinance[[#This Row],[Tipo]]="BUY",Z127-TbTradesBinance[[#This Row],[Qtt]]*TbTradesBinance[[#This Row],[Preço]],Z127+TbTradesBinance[[#This Row],[Qtt]]*TbTradesBinance[[#This Row],[Preço]])),Z127)-IF(TbTradesBinance[[#This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Row],[Tipo]]="DROP"),Z127+TbTradesBinance[[#This Row],[Qtt]],Z127-TbTradesBinance[[#This Row],[Qtt]]),IF(TbTradesBinance[[#This Row],[Tipo]]="BUY",Z127-TbTradesBinance[[#This Row],[Qtt]]*TbTradesBinance[[#This Row],[Preço]],Z127+TbTradesBinance[[#This Row],[Qtt]]*TbTradesBinance[[#This Row],[Preço]])),Z127)-IF(TbTradesBinance[[#This Row],[Moeda da Taxa]]=MID(Z$1,9,5),TbTradesBinance[[#This Row],[Taxa]],0),8)))</f>
        <v>9.3300000000000005E-6</v>
      </c>
      <c r="AA128" s="145" cm="1">
        <f t="array" ref="AA128">IF(TbTradesBinance[[#This Row],[Tipo]]="EMPTY",0,AA127+IF(TbTradesBinance[[#This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Row],[Par]]))),$1:$1,0)),-(Z127-Z128)/Z127*AA127),0),0)+IF(TbTradesBinance[[#This Row],[Tipo]]="SELL",IF(ISNUMBER(FIND(MID(AA$1,10,5),TbTradesBinance[[#This Row],[Par]])),IF(FIND(MID(AA$1,10,5),TbTradesBinance[[#This Row],[Par]])=1, -(Z127-Z128)/Z127*AA127,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Row],[Par]])),(-(Z127-Z128)/Z127*AA127)+IF(TbTradesBinance[[#This Row],[Resultado]]&gt;0,0,TbTradesBinance[[#This Row],[Taxa]]),0),0))</f>
        <v>9.7066397187928644E-2</v>
      </c>
      <c r="AB128" s="145">
        <f t="shared" si="24"/>
        <v>10403.686729681525</v>
      </c>
      <c r="AC12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Row],[Tipo]]="DROP"),AC127+TbTradesBinance[[#This Row],[Qtt]],AC127-TbTradesBinance[[#This Row],[Qtt]]),IF(TbTradesBinance[[#This Row],[Tipo]]="BUY",AC127-TbTradesBinance[[#This Row],[Qtt]]*TbTradesBinance[[#This Row],[Preço]],AC127+TbTradesBinance[[#This Row],[Qtt]]*TbTradesBinance[[#This Row],[Preço]])),AC127)-IF(TbTradesBinance[[#This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Row],[Tipo]]="DROP"),AC127+TbTradesBinance[[#This Row],[Qtt]],AC127-TbTradesBinance[[#This Row],[Qtt]]),IF(TbTradesBinance[[#This Row],[Tipo]]="BUY",AC127-TbTradesBinance[[#This Row],[Qtt]]*TbTradesBinance[[#This Row],[Preço]],AC127+TbTradesBinance[[#This Row],[Qtt]]*TbTradesBinance[[#This Row],[Preço]])),AC127)-IF(TbTradesBinance[[#This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Row],[Tipo]]="DROP"),AC127+TbTradesBinance[[#This Row],[Qtt]],AC127-TbTradesBinance[[#This Row],[Qtt]]),IF(TbTradesBinance[[#This Row],[Tipo]]="BUY",AC127-TbTradesBinance[[#This Row],[Qtt]]*TbTradesBinance[[#This Row],[Preço]],AC127+TbTradesBinance[[#This Row],[Qtt]]*TbTradesBinance[[#This Row],[Preço]])),AC127)-IF(TbTradesBinance[[#This Row],[Moeda da Taxa]]=MID(AC$1,9,5),TbTradesBinance[[#This Row],[Taxa]],0),8)))</f>
        <v>0</v>
      </c>
      <c r="AD128" s="145" cm="1">
        <f t="array" ref="AD128">IF(TbTradesBinance[[#This Row],[Tipo]]="EMPTY",0,AD127+IF(TbTradesBinance[[#This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Row],[Par]]))),$1:$1,0)),-(AC127-AC128)/AC127*AD127),0),0)+IF(TbTradesBinance[[#This Row],[Tipo]]="SELL",IF(ISNUMBER(FIND(MID(AD$1,10,5),TbTradesBinance[[#This Row],[Par]])),IF(FIND(MID(AD$1,10,5),TbTradesBinance[[#This Row],[Par]])=1, -(AC127-AC128)/AC127*AD127,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Row],[Par]])),(-(AC127-AC128)/AC127*AD127)+IF(TbTradesBinance[[#This Row],[Resultado]]&gt;0,0,TbTradesBinance[[#This Row],[Taxa]]),0),0))</f>
        <v>0</v>
      </c>
      <c r="AE128" s="145">
        <f t="shared" si="25"/>
        <v>0</v>
      </c>
      <c r="AF12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Row],[Tipo]]="DROP"),AF127+TbTradesBinance[[#This Row],[Qtt]],AF127-TbTradesBinance[[#This Row],[Qtt]]),IF(TbTradesBinance[[#This Row],[Tipo]]="BUY",AF127-TbTradesBinance[[#This Row],[Qtt]]*TbTradesBinance[[#This Row],[Preço]],AF127+TbTradesBinance[[#This Row],[Qtt]]*TbTradesBinance[[#This Row],[Preço]])),AF127)-IF(TbTradesBinance[[#This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Row],[Tipo]]="DROP"),AF127+TbTradesBinance[[#This Row],[Qtt]],AF127-TbTradesBinance[[#This Row],[Qtt]]),IF(TbTradesBinance[[#This Row],[Tipo]]="BUY",AF127-TbTradesBinance[[#This Row],[Qtt]]*TbTradesBinance[[#This Row],[Preço]],AF127+TbTradesBinance[[#This Row],[Qtt]]*TbTradesBinance[[#This Row],[Preço]])),AF127)-IF(TbTradesBinance[[#This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Row],[Tipo]]="DROP"),AF127+TbTradesBinance[[#This Row],[Qtt]],AF127-TbTradesBinance[[#This Row],[Qtt]]),IF(TbTradesBinance[[#This Row],[Tipo]]="BUY",AF127-TbTradesBinance[[#This Row],[Qtt]]*TbTradesBinance[[#This Row],[Preço]],AF127+TbTradesBinance[[#This Row],[Qtt]]*TbTradesBinance[[#This Row],[Preço]])),AF127)-IF(TbTradesBinance[[#This Row],[Moeda da Taxa]]=MID(AF$1,9,5),TbTradesBinance[[#This Row],[Taxa]],0),8)))</f>
        <v>0</v>
      </c>
      <c r="AG128" s="145" cm="1">
        <f t="array" ref="AG128">IF(TbTradesBinance[[#This Row],[Tipo]]="EMPTY",0,AG127+IF(TbTradesBinance[[#This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Row],[Par]]))),$1:$1,0)),-(AF127-AF128)/AF127*AG127),0),0)+IF(TbTradesBinance[[#This Row],[Tipo]]="SELL",IF(ISNUMBER(FIND(MID(AG$1,10,5),TbTradesBinance[[#This Row],[Par]])),IF(FIND(MID(AG$1,10,5),TbTradesBinance[[#This Row],[Par]])=1, -(AF127-AF128)/AF127*AG127,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Row],[Par]])),(-(AF127-AF128)/AF127*AG127)+IF(TbTradesBinance[[#This Row],[Resultado]]&gt;0,0,TbTradesBinance[[#This Row],[Taxa]]),0),0))</f>
        <v>0</v>
      </c>
      <c r="AH128" s="145">
        <f t="shared" si="26"/>
        <v>0</v>
      </c>
      <c r="AI12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Row],[Tipo]]="DROP"),AI127+TbTradesBinance[[#This Row],[Qtt]],AI127-TbTradesBinance[[#This Row],[Qtt]]),IF(TbTradesBinance[[#This Row],[Tipo]]="BUY",AI127-TbTradesBinance[[#This Row],[Qtt]]*TbTradesBinance[[#This Row],[Preço]],AI127+TbTradesBinance[[#This Row],[Qtt]]*TbTradesBinance[[#This Row],[Preço]])),AI127)-IF(TbTradesBinance[[#This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Row],[Tipo]]="DROP"),AI127+TbTradesBinance[[#This Row],[Qtt]],AI127-TbTradesBinance[[#This Row],[Qtt]]),IF(TbTradesBinance[[#This Row],[Tipo]]="BUY",AI127-TbTradesBinance[[#This Row],[Qtt]]*TbTradesBinance[[#This Row],[Preço]],AI127+TbTradesBinance[[#This Row],[Qtt]]*TbTradesBinance[[#This Row],[Preço]])),AI127)-IF(TbTradesBinance[[#This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Row],[Tipo]]="DROP"),AI127+TbTradesBinance[[#This Row],[Qtt]],AI127-TbTradesBinance[[#This Row],[Qtt]]),IF(TbTradesBinance[[#This Row],[Tipo]]="BUY",AI127-TbTradesBinance[[#This Row],[Qtt]]*TbTradesBinance[[#This Row],[Preço]],AI127+TbTradesBinance[[#This Row],[Qtt]]*TbTradesBinance[[#This Row],[Preço]])),AI127)-IF(TbTradesBinance[[#This Row],[Moeda da Taxa]]=MID(AI$1,9,5),TbTradesBinance[[#This Row],[Taxa]],0),8)))</f>
        <v>0</v>
      </c>
      <c r="AJ128" s="145" cm="1">
        <f t="array" ref="AJ128">IF(TbTradesBinance[[#This Row],[Tipo]]="EMPTY",0,AJ127+IF(TbTradesBinance[[#This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Row],[Par]]))),$1:$1,0)),-(AI127-AI128)/AI127*AJ127),0),0)+IF(TbTradesBinance[[#This Row],[Tipo]]="SELL",IF(ISNUMBER(FIND(MID(AJ$1,10,5),TbTradesBinance[[#This Row],[Par]])),IF(FIND(MID(AJ$1,10,5),TbTradesBinance[[#This Row],[Par]])=1, -(AI127-AI128)/AI127*AJ127,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Row],[Par]])),(-(AI127-AI128)/AI127*AJ127)+IF(TbTradesBinance[[#This Row],[Resultado]]&gt;0,0,TbTradesBinance[[#This Row],[Taxa]]),0),0))</f>
        <v>0</v>
      </c>
      <c r="AK128" s="145">
        <f t="shared" si="27"/>
        <v>0</v>
      </c>
      <c r="AL12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Row],[Tipo]]="DROP"),AL127+TbTradesBinance[[#This Row],[Qtt]],AL127-TbTradesBinance[[#This Row],[Qtt]]),IF(TbTradesBinance[[#This Row],[Tipo]]="BUY",AL127-TbTradesBinance[[#This Row],[Qtt]]*TbTradesBinance[[#This Row],[Preço]],AL127+TbTradesBinance[[#This Row],[Qtt]]*TbTradesBinance[[#This Row],[Preço]])),AL127)-IF(TbTradesBinance[[#This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Row],[Tipo]]="DROP"),AL127+TbTradesBinance[[#This Row],[Qtt]],AL127-TbTradesBinance[[#This Row],[Qtt]]),IF(TbTradesBinance[[#This Row],[Tipo]]="BUY",AL127-TbTradesBinance[[#This Row],[Qtt]]*TbTradesBinance[[#This Row],[Preço]],AL127+TbTradesBinance[[#This Row],[Qtt]]*TbTradesBinance[[#This Row],[Preço]])),AL127)-IF(TbTradesBinance[[#This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Row],[Tipo]]="DROP"),AL127+TbTradesBinance[[#This Row],[Qtt]],AL127-TbTradesBinance[[#This Row],[Qtt]]),IF(TbTradesBinance[[#This Row],[Tipo]]="BUY",AL127-TbTradesBinance[[#This Row],[Qtt]]*TbTradesBinance[[#This Row],[Preço]],AL127+TbTradesBinance[[#This Row],[Qtt]]*TbTradesBinance[[#This Row],[Preço]])),AL127)-IF(TbTradesBinance[[#This Row],[Moeda da Taxa]]=MID(AL$1,9,5),TbTradesBinance[[#This Row],[Taxa]],0),8)))</f>
        <v>0</v>
      </c>
      <c r="AM128" s="145" cm="1">
        <f t="array" ref="AM128">IF(TbTradesBinance[[#This Row],[Tipo]]="EMPTY",0,AM127+IF(TbTradesBinance[[#This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Row],[Par]]))),$1:$1,0)),-(AL127-AL128)/AL127*AM127),0),0)+IF(TbTradesBinance[[#This Row],[Tipo]]="SELL",IF(ISNUMBER(FIND(MID(AM$1,10,5),TbTradesBinance[[#This Row],[Par]])),IF(FIND(MID(AM$1,10,5),TbTradesBinance[[#This Row],[Par]])=1, -(AL127-AL128)/AL127*AM127,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Row],[Par]])),(-(AL127-AL128)/AL127*AM127)+IF(TbTradesBinance[[#This Row],[Resultado]]&gt;0,0,TbTradesBinance[[#This Row],[Taxa]]),0),0))</f>
        <v>0</v>
      </c>
      <c r="AN128" s="145">
        <f t="shared" si="28"/>
        <v>0</v>
      </c>
      <c r="AO12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Row],[Tipo]]="DROP"),AO127+TbTradesBinance[[#This Row],[Qtt]],AO127-TbTradesBinance[[#This Row],[Qtt]]),IF(TbTradesBinance[[#This Row],[Tipo]]="BUY",AO127-TbTradesBinance[[#This Row],[Qtt]]*TbTradesBinance[[#This Row],[Preço]],AO127+TbTradesBinance[[#This Row],[Qtt]]*TbTradesBinance[[#This Row],[Preço]])),AO127)-IF(TbTradesBinance[[#This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Row],[Tipo]]="DROP"),AO127+TbTradesBinance[[#This Row],[Qtt]],AO127-TbTradesBinance[[#This Row],[Qtt]]),IF(TbTradesBinance[[#This Row],[Tipo]]="BUY",AO127-TbTradesBinance[[#This Row],[Qtt]]*TbTradesBinance[[#This Row],[Preço]],AO127+TbTradesBinance[[#This Row],[Qtt]]*TbTradesBinance[[#This Row],[Preço]])),AO127)-IF(TbTradesBinance[[#This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Row],[Tipo]]="DROP"),AO127+TbTradesBinance[[#This Row],[Qtt]],AO127-TbTradesBinance[[#This Row],[Qtt]]),IF(TbTradesBinance[[#This Row],[Tipo]]="BUY",AO127-TbTradesBinance[[#This Row],[Qtt]]*TbTradesBinance[[#This Row],[Preço]],AO127+TbTradesBinance[[#This Row],[Qtt]]*TbTradesBinance[[#This Row],[Preço]])),AO127)-IF(TbTradesBinance[[#This Row],[Moeda da Taxa]]=MID(AO$1,9,5),TbTradesBinance[[#This Row],[Taxa]],0),8)))</f>
        <v>7.7549770000000004E-2</v>
      </c>
      <c r="AP128" s="145" cm="1">
        <f t="array" ref="AP128">IF(TbTradesBinance[[#This Row],[Tipo]]="EMPTY",0,AP127+IF(TbTradesBinance[[#This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Row],[Par]]))),$1:$1,0)),-(AO127-AO128)/AO127*AP127),0),0)+IF(TbTradesBinance[[#This Row],[Tipo]]="SELL",IF(ISNUMBER(FIND(MID(AP$1,10,5),TbTradesBinance[[#This Row],[Par]])),IF(FIND(MID(AP$1,10,5),TbTradesBinance[[#This Row],[Par]])=1, -(AO127-AO128)/AO127*AP127,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Row],[Par]])),(-(AO127-AO128)/AO127*AP127)+IF(TbTradesBinance[[#This Row],[Resultado]]&gt;0,0,TbTradesBinance[[#This Row],[Taxa]]),0),0))</f>
        <v>118.68727301034991</v>
      </c>
      <c r="AQ128" s="145">
        <f t="shared" si="29"/>
        <v>1530.4658287232819</v>
      </c>
      <c r="AR12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Row],[Tipo]]="DROP"),AR127+TbTradesBinance[[#This Row],[Qtt]],AR127-TbTradesBinance[[#This Row],[Qtt]]),IF(TbTradesBinance[[#This Row],[Tipo]]="BUY",AR127-TbTradesBinance[[#This Row],[Qtt]]*TbTradesBinance[[#This Row],[Preço]],AR127+TbTradesBinance[[#This Row],[Qtt]]*TbTradesBinance[[#This Row],[Preço]])),AR127)-IF(TbTradesBinance[[#This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Row],[Tipo]]="DROP"),AR127+TbTradesBinance[[#This Row],[Qtt]],AR127-TbTradesBinance[[#This Row],[Qtt]]),IF(TbTradesBinance[[#This Row],[Tipo]]="BUY",AR127-TbTradesBinance[[#This Row],[Qtt]]*TbTradesBinance[[#This Row],[Preço]],AR127+TbTradesBinance[[#This Row],[Qtt]]*TbTradesBinance[[#This Row],[Preço]])),AR127)-IF(TbTradesBinance[[#This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Row],[Tipo]]="DROP"),AR127+TbTradesBinance[[#This Row],[Qtt]],AR127-TbTradesBinance[[#This Row],[Qtt]]),IF(TbTradesBinance[[#This Row],[Tipo]]="BUY",AR127-TbTradesBinance[[#This Row],[Qtt]]*TbTradesBinance[[#This Row],[Preço]],AR127+TbTradesBinance[[#This Row],[Qtt]]*TbTradesBinance[[#This Row],[Preço]])),AR127)-IF(TbTradesBinance[[#This Row],[Moeda da Taxa]]=MID(AR$1,9,5),TbTradesBinance[[#This Row],[Taxa]],0),8)))</f>
        <v>61.251199999999997</v>
      </c>
      <c r="AS128" s="145" cm="1">
        <f t="array" ref="AS128">IF(TbTradesBinance[[#This Row],[Tipo]]="EMPTY",0,AS127+IF(TbTradesBinance[[#This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Row],[Par]]))),$1:$1,0)),-(AR127-AR128)/AR127*AS127),0),0)+IF(TbTradesBinance[[#This Row],[Tipo]]="SELL",IF(ISNUMBER(FIND(MID(AS$1,10,5),TbTradesBinance[[#This Row],[Par]])),IF(FIND(MID(AS$1,10,5),TbTradesBinance[[#This Row],[Par]])=1, -(AR127-AR128)/AR127*AS127,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Row],[Par]])),(-(AR127-AR128)/AR127*AS127)+IF(TbTradesBinance[[#This Row],[Resultado]]&gt;0,0,TbTradesBinance[[#This Row],[Taxa]]),0),0))</f>
        <v>230.84001376053044</v>
      </c>
      <c r="AT128" s="145">
        <f t="shared" si="30"/>
        <v>3.7687427146003745</v>
      </c>
      <c r="AU12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Row],[Tipo]]="DROP"),AU127+TbTradesBinance[[#This Row],[Qtt]],AU127-TbTradesBinance[[#This Row],[Qtt]]),IF(TbTradesBinance[[#This Row],[Tipo]]="BUY",AU127-TbTradesBinance[[#This Row],[Qtt]]*TbTradesBinance[[#This Row],[Preço]],AU127+TbTradesBinance[[#This Row],[Qtt]]*TbTradesBinance[[#This Row],[Preço]])),AU127)-IF(TbTradesBinance[[#This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Row],[Tipo]]="DROP"),AU127+TbTradesBinance[[#This Row],[Qtt]],AU127-TbTradesBinance[[#This Row],[Qtt]]),IF(TbTradesBinance[[#This Row],[Tipo]]="BUY",AU127-TbTradesBinance[[#This Row],[Qtt]]*TbTradesBinance[[#This Row],[Preço]],AU127+TbTradesBinance[[#This Row],[Qtt]]*TbTradesBinance[[#This Row],[Preço]])),AU127)-IF(TbTradesBinance[[#This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Row],[Tipo]]="DROP"),AU127+TbTradesBinance[[#This Row],[Qtt]],AU127-TbTradesBinance[[#This Row],[Qtt]]),IF(TbTradesBinance[[#This Row],[Tipo]]="BUY",AU127-TbTradesBinance[[#This Row],[Qtt]]*TbTradesBinance[[#This Row],[Preço]],AU127+TbTradesBinance[[#This Row],[Qtt]]*TbTradesBinance[[#This Row],[Preço]])),AU127)-IF(TbTradesBinance[[#This Row],[Moeda da Taxa]]=MID(AU$1,9,5),TbTradesBinance[[#This Row],[Taxa]],0),8)))</f>
        <v>0</v>
      </c>
      <c r="AV128" s="145" cm="1">
        <f t="array" ref="AV128">IF(TbTradesBinance[[#This Row],[Tipo]]="EMPTY",0,AV127+IF(TbTradesBinance[[#This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Row],[Par]]))),$1:$1,0)),-(AU127-AU128)/AU127*AV127),0),0)+IF(TbTradesBinance[[#This Row],[Tipo]]="SELL",IF(ISNUMBER(FIND(MID(AV$1,10,5),TbTradesBinance[[#This Row],[Par]])),IF(FIND(MID(AV$1,10,5),TbTradesBinance[[#This Row],[Par]])=1, -(AU127-AU128)/AU127*AV127,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Row],[Par]])),(-(AU127-AU128)/AU127*AV127)+IF(TbTradesBinance[[#This Row],[Resultado]]&gt;0,0,TbTradesBinance[[#This Row],[Taxa]]),0),0))</f>
        <v>0</v>
      </c>
      <c r="AW128" s="145">
        <f t="shared" si="31"/>
        <v>0</v>
      </c>
      <c r="AX12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Row],[Tipo]]="DROP"),AX127+TbTradesBinance[[#This Row],[Qtt]],AX127-TbTradesBinance[[#This Row],[Qtt]]),IF(TbTradesBinance[[#This Row],[Tipo]]="BUY",AX127-TbTradesBinance[[#This Row],[Qtt]]*TbTradesBinance[[#This Row],[Preço]],AX127+TbTradesBinance[[#This Row],[Qtt]]*TbTradesBinance[[#This Row],[Preço]])),AX127)-IF(TbTradesBinance[[#This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Row],[Tipo]]="DROP"),AX127+TbTradesBinance[[#This Row],[Qtt]],AX127-TbTradesBinance[[#This Row],[Qtt]]),IF(TbTradesBinance[[#This Row],[Tipo]]="BUY",AX127-TbTradesBinance[[#This Row],[Qtt]]*TbTradesBinance[[#This Row],[Preço]],AX127+TbTradesBinance[[#This Row],[Qtt]]*TbTradesBinance[[#This Row],[Preço]])),AX127)-IF(TbTradesBinance[[#This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Row],[Tipo]]="DROP"),AX127+TbTradesBinance[[#This Row],[Qtt]],AX127-TbTradesBinance[[#This Row],[Qtt]]),IF(TbTradesBinance[[#This Row],[Tipo]]="BUY",AX127-TbTradesBinance[[#This Row],[Qtt]]*TbTradesBinance[[#This Row],[Preço]],AX127+TbTradesBinance[[#This Row],[Qtt]]*TbTradesBinance[[#This Row],[Preço]])),AX127)-IF(TbTradesBinance[[#This Row],[Moeda da Taxa]]=MID(AX$1,9,5),TbTradesBinance[[#This Row],[Taxa]],0),8)))</f>
        <v>0.85636999999999996</v>
      </c>
      <c r="AY128" s="145" cm="1">
        <f t="array" ref="AY128">IF(TbTradesBinance[[#This Row],[Tipo]]="EMPTY",0,AY127+IF(TbTradesBinance[[#This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Row],[Par]]))),$1:$1,0)),-(AX127-AX128)/AX127*AY127),0),0)+IF(TbTradesBinance[[#This Row],[Tipo]]="SELL",IF(ISNUMBER(FIND(MID(AY$1,10,5),TbTradesBinance[[#This Row],[Par]])),IF(FIND(MID(AY$1,10,5),TbTradesBinance[[#This Row],[Par]])=1, -(AX127-AX128)/AX127*AY127,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Row],[Par]])),(-(AX127-AX128)/AX127*AY127)+IF(TbTradesBinance[[#This Row],[Resultado]]&gt;0,0,TbTradesBinance[[#This Row],[Taxa]]),0),0))</f>
        <v>131.82971181780295</v>
      </c>
      <c r="AZ128" s="145">
        <f t="shared" si="32"/>
        <v>153.94013314081874</v>
      </c>
      <c r="BA12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Row],[Tipo]]="DROP"),BA127+TbTradesBinance[[#This Row],[Qtt]],BA127-TbTradesBinance[[#This Row],[Qtt]]),IF(TbTradesBinance[[#This Row],[Tipo]]="BUY",BA127-TbTradesBinance[[#This Row],[Qtt]]*TbTradesBinance[[#This Row],[Preço]],BA127+TbTradesBinance[[#This Row],[Qtt]]*TbTradesBinance[[#This Row],[Preço]])),BA127)-IF(TbTradesBinance[[#This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Row],[Tipo]]="DROP"),BA127+TbTradesBinance[[#This Row],[Qtt]],BA127-TbTradesBinance[[#This Row],[Qtt]]),IF(TbTradesBinance[[#This Row],[Tipo]]="BUY",BA127-TbTradesBinance[[#This Row],[Qtt]]*TbTradesBinance[[#This Row],[Preço]],BA127+TbTradesBinance[[#This Row],[Qtt]]*TbTradesBinance[[#This Row],[Preço]])),BA127)-IF(TbTradesBinance[[#This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Row],[Tipo]]="DROP"),BA127+TbTradesBinance[[#This Row],[Qtt]],BA127-TbTradesBinance[[#This Row],[Qtt]]),IF(TbTradesBinance[[#This Row],[Tipo]]="BUY",BA127-TbTradesBinance[[#This Row],[Qtt]]*TbTradesBinance[[#This Row],[Preço]],BA127+TbTradesBinance[[#This Row],[Qtt]]*TbTradesBinance[[#This Row],[Preço]])),BA127)-IF(TbTradesBinance[[#This Row],[Moeda da Taxa]]=MID(BA$1,9,5),TbTradesBinance[[#This Row],[Taxa]],0),8)))</f>
        <v>0.10571</v>
      </c>
      <c r="BB128" s="145" cm="1">
        <f t="array" ref="BB128">IF(TbTradesBinance[[#This Row],[Tipo]]="EMPTY",0,BB127+IF(TbTradesBinance[[#This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Row],[Par]]))),$1:$1,0)),-(BA127-BA128)/BA127*BB127),0),0)+IF(TbTradesBinance[[#This Row],[Tipo]]="SELL",IF(ISNUMBER(FIND(MID(BB$1,10,5),TbTradesBinance[[#This Row],[Par]])),IF(FIND(MID(BB$1,10,5),TbTradesBinance[[#This Row],[Par]])=1, -(BA127-BA128)/BA127*BB127,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Row],[Par]])),(-(BA127-BA128)/BA127*BB127)+IF(TbTradesBinance[[#This Row],[Resultado]]&gt;0,0,TbTradesBinance[[#This Row],[Taxa]]),0),0))</f>
        <v>120.8257969142021</v>
      </c>
      <c r="BC128" s="145">
        <f t="shared" si="33"/>
        <v>1142.9930651234708</v>
      </c>
      <c r="BD12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Row],[Tipo]]="DROP"),BD127+TbTradesBinance[[#This Row],[Qtt]],BD127-TbTradesBinance[[#This Row],[Qtt]]),IF(TbTradesBinance[[#This Row],[Tipo]]="BUY",BD127-TbTradesBinance[[#This Row],[Qtt]]*TbTradesBinance[[#This Row],[Preço]],BD127+TbTradesBinance[[#This Row],[Qtt]]*TbTradesBinance[[#This Row],[Preço]])),BD127)-IF(TbTradesBinance[[#This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Row],[Tipo]]="DROP"),BD127+TbTradesBinance[[#This Row],[Qtt]],BD127-TbTradesBinance[[#This Row],[Qtt]]),IF(TbTradesBinance[[#This Row],[Tipo]]="BUY",BD127-TbTradesBinance[[#This Row],[Qtt]]*TbTradesBinance[[#This Row],[Preço]],BD127+TbTradesBinance[[#This Row],[Qtt]]*TbTradesBinance[[#This Row],[Preço]])),BD127)-IF(TbTradesBinance[[#This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Row],[Tipo]]="DROP"),BD127+TbTradesBinance[[#This Row],[Qtt]],BD127-TbTradesBinance[[#This Row],[Qtt]]),IF(TbTradesBinance[[#This Row],[Tipo]]="BUY",BD127-TbTradesBinance[[#This Row],[Qtt]]*TbTradesBinance[[#This Row],[Preço]],BD127+TbTradesBinance[[#This Row],[Qtt]]*TbTradesBinance[[#This Row],[Preço]])),BD127)-IF(TbTradesBinance[[#This Row],[Moeda da Taxa]]=MID(BD$1,9,5),TbTradesBinance[[#This Row],[Taxa]],0),8)))</f>
        <v>0</v>
      </c>
      <c r="BE128" s="145" cm="1">
        <f t="array" ref="BE128">IF(TbTradesBinance[[#This Row],[Tipo]]="EMPTY",0,BE127+IF(TbTradesBinance[[#This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Row],[Par]]))),$1:$1,0)),-(BD127-BD128)/BD127*BE127),0),0)+IF(TbTradesBinance[[#This Row],[Tipo]]="SELL",IF(ISNUMBER(FIND(MID(BE$1,10,5),TbTradesBinance[[#This Row],[Par]])),IF(FIND(MID(BE$1,10,5),TbTradesBinance[[#This Row],[Par]])=1, -(BD127-BD128)/BD127*BE127,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Row],[Par]])),(-(BD127-BD128)/BD127*BE127)+IF(TbTradesBinance[[#This Row],[Resultado]]&gt;0,0,TbTradesBinance[[#This Row],[Taxa]]),0),0))</f>
        <v>0</v>
      </c>
      <c r="BF128" s="145">
        <f t="shared" si="34"/>
        <v>0</v>
      </c>
      <c r="BG12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Row],[Tipo]]="DROP"),BG127+TbTradesBinance[[#This Row],[Qtt]],BG127-TbTradesBinance[[#This Row],[Qtt]]),IF(TbTradesBinance[[#This Row],[Tipo]]="BUY",BG127-TbTradesBinance[[#This Row],[Qtt]]*TbTradesBinance[[#This Row],[Preço]],BG127+TbTradesBinance[[#This Row],[Qtt]]*TbTradesBinance[[#This Row],[Preço]])),BG127)-IF(TbTradesBinance[[#This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Row],[Tipo]]="DROP"),BG127+TbTradesBinance[[#This Row],[Qtt]],BG127-TbTradesBinance[[#This Row],[Qtt]]),IF(TbTradesBinance[[#This Row],[Tipo]]="BUY",BG127-TbTradesBinance[[#This Row],[Qtt]]*TbTradesBinance[[#This Row],[Preço]],BG127+TbTradesBinance[[#This Row],[Qtt]]*TbTradesBinance[[#This Row],[Preço]])),BG127)-IF(TbTradesBinance[[#This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Row],[Tipo]]="DROP"),BG127+TbTradesBinance[[#This Row],[Qtt]],BG127-TbTradesBinance[[#This Row],[Qtt]]),IF(TbTradesBinance[[#This Row],[Tipo]]="BUY",BG127-TbTradesBinance[[#This Row],[Qtt]]*TbTradesBinance[[#This Row],[Preço]],BG127+TbTradesBinance[[#This Row],[Qtt]]*TbTradesBinance[[#This Row],[Preço]])),BG127)-IF(TbTradesBinance[[#This Row],[Moeda da Taxa]]=MID(BG$1,9,5),TbTradesBinance[[#This Row],[Taxa]],0),8)))</f>
        <v>0</v>
      </c>
      <c r="BH128" s="145" cm="1">
        <f t="array" ref="BH128">IF(TbTradesBinance[[#This Row],[Tipo]]="EMPTY",0,BH127+IF(TbTradesBinance[[#This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Row],[Par]]))),$1:$1,0)),-(BG127-BG128)/BG127*BH127),0),0)+IF(TbTradesBinance[[#This Row],[Tipo]]="SELL",IF(ISNUMBER(FIND(MID(BH$1,10,5),TbTradesBinance[[#This Row],[Par]])),IF(FIND(MID(BH$1,10,5),TbTradesBinance[[#This Row],[Par]])=1, -(BG127-BG128)/BG127*BH127,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Row],[Par]])),(-(BG127-BG128)/BG127*BH127)+IF(TbTradesBinance[[#This Row],[Resultado]]&gt;0,0,TbTradesBinance[[#This Row],[Taxa]]),0),0))</f>
        <v>0</v>
      </c>
      <c r="BI128" s="145">
        <f t="shared" si="35"/>
        <v>0</v>
      </c>
      <c r="BJ12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Row],[Tipo]]="DROP"),BJ127+TbTradesBinance[[#This Row],[Qtt]],BJ127-TbTradesBinance[[#This Row],[Qtt]]),IF(TbTradesBinance[[#This Row],[Tipo]]="BUY",BJ127-TbTradesBinance[[#This Row],[Qtt]]*TbTradesBinance[[#This Row],[Preço]],BJ127+TbTradesBinance[[#This Row],[Qtt]]*TbTradesBinance[[#This Row],[Preço]])),BJ127)-IF(TbTradesBinance[[#This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Row],[Tipo]]="DROP"),BJ127+TbTradesBinance[[#This Row],[Qtt]],BJ127-TbTradesBinance[[#This Row],[Qtt]]),IF(TbTradesBinance[[#This Row],[Tipo]]="BUY",BJ127-TbTradesBinance[[#This Row],[Qtt]]*TbTradesBinance[[#This Row],[Preço]],BJ127+TbTradesBinance[[#This Row],[Qtt]]*TbTradesBinance[[#This Row],[Preço]])),BJ127)-IF(TbTradesBinance[[#This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Row],[Tipo]]="DROP"),BJ127+TbTradesBinance[[#This Row],[Qtt]],BJ127-TbTradesBinance[[#This Row],[Qtt]]),IF(TbTradesBinance[[#This Row],[Tipo]]="BUY",BJ127-TbTradesBinance[[#This Row],[Qtt]]*TbTradesBinance[[#This Row],[Preço]],BJ127+TbTradesBinance[[#This Row],[Qtt]]*TbTradesBinance[[#This Row],[Preço]])),BJ127)-IF(TbTradesBinance[[#This Row],[Moeda da Taxa]]=MID(BJ$1,9,5),TbTradesBinance[[#This Row],[Taxa]],0),8)))</f>
        <v>2.6513499999999998E-3</v>
      </c>
      <c r="BK128" s="145" cm="1">
        <f t="array" ref="BK128">IF(TbTradesBinance[[#This Row],[Tipo]]="EMPTY",0,BK127+IF(TbTradesBinance[[#This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Row],[Par]]))),$1:$1,0)),-(BJ127-BJ128)/BJ127*BK127),0),0)+IF(TbTradesBinance[[#This Row],[Tipo]]="SELL",IF(ISNUMBER(FIND(MID(BK$1,10,5),TbTradesBinance[[#This Row],[Par]])),IF(FIND(MID(BK$1,10,5),TbTradesBinance[[#This Row],[Par]])=1, -(BJ127-BJ128)/BJ127*BK127,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Row],[Par]])),(-(BJ127-BJ128)/BJ127*BK127)+IF(TbTradesBinance[[#This Row],[Resultado]]&gt;0,0,TbTradesBinance[[#This Row],[Taxa]]),0),0))</f>
        <v>0</v>
      </c>
      <c r="BL128" s="145">
        <f t="shared" si="36"/>
        <v>0</v>
      </c>
      <c r="BM12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Row],[Tipo]]="DROP"),BM127+TbTradesBinance[[#This Row],[Qtt]],BM127-TbTradesBinance[[#This Row],[Qtt]]),IF(TbTradesBinance[[#This Row],[Tipo]]="BUY",BM127-TbTradesBinance[[#This Row],[Qtt]]*TbTradesBinance[[#This Row],[Preço]],BM127+TbTradesBinance[[#This Row],[Qtt]]*TbTradesBinance[[#This Row],[Preço]])),BM127)-IF(TbTradesBinance[[#This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Row],[Tipo]]="DROP"),BM127+TbTradesBinance[[#This Row],[Qtt]],BM127-TbTradesBinance[[#This Row],[Qtt]]),IF(TbTradesBinance[[#This Row],[Tipo]]="BUY",BM127-TbTradesBinance[[#This Row],[Qtt]]*TbTradesBinance[[#This Row],[Preço]],BM127+TbTradesBinance[[#This Row],[Qtt]]*TbTradesBinance[[#This Row],[Preço]])),BM127)-IF(TbTradesBinance[[#This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Row],[Tipo]]="DROP"),BM127+TbTradesBinance[[#This Row],[Qtt]],BM127-TbTradesBinance[[#This Row],[Qtt]]),IF(TbTradesBinance[[#This Row],[Tipo]]="BUY",BM127-TbTradesBinance[[#This Row],[Qtt]]*TbTradesBinance[[#This Row],[Preço]],BM127+TbTradesBinance[[#This Row],[Qtt]]*TbTradesBinance[[#This Row],[Preço]])),BM127)-IF(TbTradesBinance[[#This Row],[Moeda da Taxa]]=MID(BM$1,9,5),TbTradesBinance[[#This Row],[Taxa]],0),8)))</f>
        <v>0</v>
      </c>
      <c r="BN128" s="145" cm="1">
        <f t="array" ref="BN128">IF(TbTradesBinance[[#This Row],[Tipo]]="EMPTY",0,BN127+IF(TbTradesBinance[[#This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Row],[Par]]))),$1:$1,0)),-(BM127-BM128)/BM127*BN127),0),0)+IF(TbTradesBinance[[#This Row],[Tipo]]="SELL",IF(ISNUMBER(FIND(MID(BN$1,10,5),TbTradesBinance[[#This Row],[Par]])),IF(FIND(MID(BN$1,10,5),TbTradesBinance[[#This Row],[Par]])=1, -(BM127-BM128)/BM127*BN127,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Row],[Par]])),(-(BM127-BM128)/BM127*BN127)+IF(TbTradesBinance[[#This Row],[Resultado]]&gt;0,0,TbTradesBinance[[#This Row],[Taxa]]),0),0))</f>
        <v>0</v>
      </c>
      <c r="BO128" s="145">
        <f t="shared" si="37"/>
        <v>0</v>
      </c>
    </row>
    <row r="129" spans="2:67" x14ac:dyDescent="0.3">
      <c r="B129" s="51" t="s">
        <v>107</v>
      </c>
      <c r="C129" s="40">
        <f>TRUNC(IF(AND(TbTradesBinance[[#This Row],[Tipo]]="SEND",TbTradesBinance[[#This Row],[Par]]="BRL"),TbTradesBinance[[#This Row],[Qtt]]*(1-P127)-IF(TbTradesBinance[[#This Row],[Moeda da Taxa]]="BRL",TbTradesBinance[[#This Row],[Taxa]],0),0)+IF(AND(TbTradesBinance[[#This Row],[Tipo]]="BURN",TbTradesBinance[[#This Row],[Par]]="BRL"),-TbTradesBinance[[#This Row],[Qtt]]*P127,0),2)</f>
        <v>0</v>
      </c>
      <c r="D129" s="53">
        <v>44276.760358796295</v>
      </c>
      <c r="E129" s="37" t="s">
        <v>265</v>
      </c>
      <c r="F129" s="47" t="s">
        <v>140</v>
      </c>
      <c r="G129" s="38">
        <v>5.3133979999999997E-2</v>
      </c>
      <c r="H129" s="38">
        <v>4.0331999999999998E-4</v>
      </c>
      <c r="I129" s="38">
        <v>4.3000000000000001E-7</v>
      </c>
      <c r="J129" s="37" t="s">
        <v>45</v>
      </c>
      <c r="K129" s="52">
        <v>1492.73</v>
      </c>
      <c r="L129" s="40">
        <f t="shared" si="19"/>
        <v>79.31</v>
      </c>
      <c r="M129" s="40">
        <f>IF(OR(TbTradesBinance[[#This Row],[Tipo]]="BUY",TbTradesBinance[[#This Row],[Tipo]]="RECEIVE",TbTradesBinance[[#This Row],[Tipo]]="DROP"),L129*H129,-L129*H129)</f>
        <v>-3.1987309200000001E-2</v>
      </c>
      <c r="N12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Row],[Tipo]]="DROP"),N128+TbTradesBinance[[#This Row],[Qtt]],N128-TbTradesBinance[[#This Row],[Qtt]]),IF(TbTradesBinance[[#This Row],[Tipo]]="BUY",N128-TbTradesBinance[[#This Row],[Qtt]]*TbTradesBinance[[#This Row],[Preço]],N128+TbTradesBinance[[#This Row],[Qtt]]*TbTradesBinance[[#This Row],[Preço]])),N128)-IF(TbTradesBinance[[#This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Row],[Tipo]]="DROP"),N128+TbTradesBinance[[#This Row],[Qtt]],N128-TbTradesBinance[[#This Row],[Qtt]]),IF(TbTradesBinance[[#This Row],[Tipo]]="BUY",N128-TbTradesBinance[[#This Row],[Qtt]]*TbTradesBinance[[#This Row],[Preço]],N128+TbTradesBinance[[#This Row],[Qtt]]*TbTradesBinance[[#This Row],[Preço]])),N128)-IF(TbTradesBinance[[#This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Row],[Tipo]]="DROP"),N128+TbTradesBinance[[#This Row],[Qtt]],N128-TbTradesBinance[[#This Row],[Qtt]]),IF(TbTradesBinance[[#This Row],[Tipo]]="BUY",N128-TbTradesBinance[[#This Row],[Qtt]]*TbTradesBinance[[#This Row],[Preço]],N128+TbTradesBinance[[#This Row],[Qtt]]*TbTradesBinance[[#This Row],[Preço]])),N128)-IF(TbTradesBinance[[#This Row],[Moeda da Taxa]]=MID(N$1,9,5),TbTradesBinance[[#This Row],[Taxa]],0),8)))</f>
        <v>119850.11049418</v>
      </c>
      <c r="O129" s="145" cm="1">
        <f t="array" ref="O129">IF(TbTradesBinance[[#This Row],[Tipo]]="EMPTY",0,O128+IF(TbTradesBinance[[#This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Row],[Par]]))),$1:$1,0)),-(N128-N129)/N128*O128),0),0)+IF(TbTradesBinance[[#This Row],[Tipo]]="SELL",IF(ISNUMBER(FIND(MID(O$1,10,5),TbTradesBinance[[#This Row],[Par]])),IF(FIND(MID(O$1,10,5),TbTradesBinance[[#This Row],[Par]])=1, -(N128-N129)/N128*O128,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Row],[Par]])),(-(N128-N129)/N128*O128)+IF(TbTradesBinance[[#This Row],[Resultado]]&gt;0,0,TbTradesBinance[[#This Row],[Taxa]]),0),0))</f>
        <v>119842.46197104781</v>
      </c>
      <c r="P129" s="145">
        <f t="shared" si="20"/>
        <v>0.99993618259423667</v>
      </c>
      <c r="Q12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Row],[Tipo]]="DROP"),Q128+TbTradesBinance[[#This Row],[Qtt]],Q128-TbTradesBinance[[#This Row],[Qtt]]),IF(TbTradesBinance[[#This Row],[Tipo]]="BUY",Q128-TbTradesBinance[[#This Row],[Qtt]]*TbTradesBinance[[#This Row],[Preço]],Q128+TbTradesBinance[[#This Row],[Qtt]]*TbTradesBinance[[#This Row],[Preço]])),Q128)-IF(TbTradesBinance[[#This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Row],[Tipo]]="DROP"),Q128+TbTradesBinance[[#This Row],[Qtt]],Q128-TbTradesBinance[[#This Row],[Qtt]]),IF(TbTradesBinance[[#This Row],[Tipo]]="BUY",Q128-TbTradesBinance[[#This Row],[Qtt]]*TbTradesBinance[[#This Row],[Preço]],Q128+TbTradesBinance[[#This Row],[Qtt]]*TbTradesBinance[[#This Row],[Preço]])),Q128)-IF(TbTradesBinance[[#This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Row],[Tipo]]="DROP"),Q128+TbTradesBinance[[#This Row],[Qtt]],Q128-TbTradesBinance[[#This Row],[Qtt]]),IF(TbTradesBinance[[#This Row],[Tipo]]="BUY",Q128-TbTradesBinance[[#This Row],[Qtt]]*TbTradesBinance[[#This Row],[Preço]],Q128+TbTradesBinance[[#This Row],[Qtt]]*TbTradesBinance[[#This Row],[Preço]])),Q128)-IF(TbTradesBinance[[#This Row],[Moeda da Taxa]]=MID(Q$1,9,5),TbTradesBinance[[#This Row],[Taxa]],0),8)))</f>
        <v>0</v>
      </c>
      <c r="R129" s="145" cm="1">
        <f t="array" ref="R129">IF(TbTradesBinance[[#This Row],[Tipo]]="EMPTY",0,R128+IF(TbTradesBinance[[#This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Row],[Par]]))),$1:$1,0)),-(Q128-Q129)/Q128*R128),0),0)+IF(TbTradesBinance[[#This Row],[Tipo]]="SELL",IF(ISNUMBER(FIND(MID(R$1,10,5),TbTradesBinance[[#This Row],[Par]])),IF(FIND(MID(R$1,10,5),TbTradesBinance[[#This Row],[Par]])=1, -(Q128-Q129)/Q128*R128,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Row],[Par]])),(-(Q128-Q129)/Q128*R128)+IF(TbTradesBinance[[#This Row],[Resultado]]&gt;0,0,TbTradesBinance[[#This Row],[Taxa]]),0),0))</f>
        <v>0</v>
      </c>
      <c r="S129" s="145">
        <f t="shared" si="21"/>
        <v>0</v>
      </c>
      <c r="T12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Row],[Tipo]]="DROP"),T128+TbTradesBinance[[#This Row],[Qtt]],T128-TbTradesBinance[[#This Row],[Qtt]]),IF(TbTradesBinance[[#This Row],[Tipo]]="BUY",T128-TbTradesBinance[[#This Row],[Qtt]]*TbTradesBinance[[#This Row],[Preço]],T128+TbTradesBinance[[#This Row],[Qtt]]*TbTradesBinance[[#This Row],[Preço]])),T128)-IF(TbTradesBinance[[#This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Row],[Tipo]]="DROP"),T128+TbTradesBinance[[#This Row],[Qtt]],T128-TbTradesBinance[[#This Row],[Qtt]]),IF(TbTradesBinance[[#This Row],[Tipo]]="BUY",T128-TbTradesBinance[[#This Row],[Qtt]]*TbTradesBinance[[#This Row],[Preço]],T128+TbTradesBinance[[#This Row],[Qtt]]*TbTradesBinance[[#This Row],[Preço]])),T128)-IF(TbTradesBinance[[#This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Row],[Tipo]]="DROP"),T128+TbTradesBinance[[#This Row],[Qtt]],T128-TbTradesBinance[[#This Row],[Qtt]]),IF(TbTradesBinance[[#This Row],[Tipo]]="BUY",T128-TbTradesBinance[[#This Row],[Qtt]]*TbTradesBinance[[#This Row],[Preço]],T128+TbTradesBinance[[#This Row],[Qtt]]*TbTradesBinance[[#This Row],[Preço]])),T128)-IF(TbTradesBinance[[#This Row],[Moeda da Taxa]]=MID(T$1,9,5),TbTradesBinance[[#This Row],[Taxa]],0),8)))</f>
        <v>199735.32000169999</v>
      </c>
      <c r="U129" s="145" cm="1">
        <f t="array" ref="U129">IF(TbTradesBinance[[#This Row],[Tipo]]="EMPTY",0,U128+IF(TbTradesBinance[[#This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Row],[Par]]))),$1:$1,0)),-(T128-T129)/T128*U128),0),0)+IF(TbTradesBinance[[#This Row],[Tipo]]="SELL",IF(ISNUMBER(FIND(MID(U$1,10,5),TbTradesBinance[[#This Row],[Par]])),IF(FIND(MID(U$1,10,5),TbTradesBinance[[#This Row],[Par]])=1, -(T128-T129)/T128*U128,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Row],[Par]])),(-(T128-T129)/T128*U128)+IF(TbTradesBinance[[#This Row],[Resultado]]&gt;0,0,TbTradesBinance[[#This Row],[Taxa]]),0),0))</f>
        <v>1328239.8809817513</v>
      </c>
      <c r="V129" s="145">
        <f t="shared" si="22"/>
        <v>6.6500000148719129</v>
      </c>
      <c r="W12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Row],[Tipo]]="DROP"),W128+TbTradesBinance[[#This Row],[Qtt]],W128-TbTradesBinance[[#This Row],[Qtt]]),IF(TbTradesBinance[[#This Row],[Tipo]]="BUY",W128-TbTradesBinance[[#This Row],[Qtt]]*TbTradesBinance[[#This Row],[Preço]],W128+TbTradesBinance[[#This Row],[Qtt]]*TbTradesBinance[[#This Row],[Preço]])),W128)-IF(TbTradesBinance[[#This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Row],[Tipo]]="DROP"),W128+TbTradesBinance[[#This Row],[Qtt]],W128-TbTradesBinance[[#This Row],[Qtt]]),IF(TbTradesBinance[[#This Row],[Tipo]]="BUY",W128-TbTradesBinance[[#This Row],[Qtt]]*TbTradesBinance[[#This Row],[Preço]],W128+TbTradesBinance[[#This Row],[Qtt]]*TbTradesBinance[[#This Row],[Preço]])),W128)-IF(TbTradesBinance[[#This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Row],[Tipo]]="DROP"),W128+TbTradesBinance[[#This Row],[Qtt]],W128-TbTradesBinance[[#This Row],[Qtt]]),IF(TbTradesBinance[[#This Row],[Tipo]]="BUY",W128-TbTradesBinance[[#This Row],[Qtt]]*TbTradesBinance[[#This Row],[Preço]],W128+TbTradesBinance[[#This Row],[Qtt]]*TbTradesBinance[[#This Row],[Preço]])),W128)-IF(TbTradesBinance[[#This Row],[Moeda da Taxa]]=MID(W$1,9,5),TbTradesBinance[[#This Row],[Taxa]],0),8)))</f>
        <v>2.5393600000000001E-3</v>
      </c>
      <c r="X129" s="145" cm="1">
        <f t="array" ref="X129">IF(TbTradesBinance[[#This Row],[Tipo]]="EMPTY",0,X128+IF(TbTradesBinance[[#This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Row],[Par]]))),$1:$1,0)),-(W128-W129)/W128*X128),0),0)+IF(TbTradesBinance[[#This Row],[Tipo]]="SELL",IF(ISNUMBER(FIND(MID(X$1,10,5),TbTradesBinance[[#This Row],[Par]])),IF(FIND(MID(X$1,10,5),TbTradesBinance[[#This Row],[Par]])=1, -(W128-W129)/W128*X128,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Row],[Par]])),(-(W128-W129)/W128*X128)+IF(TbTradesBinance[[#This Row],[Resultado]]&gt;0,0,TbTradesBinance[[#This Row],[Taxa]]),0),0))</f>
        <v>847.47496668103008</v>
      </c>
      <c r="Y129" s="145">
        <f t="shared" si="23"/>
        <v>333735.65255853051</v>
      </c>
      <c r="Z12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Row],[Tipo]]="DROP"),Z128+TbTradesBinance[[#This Row],[Qtt]],Z128-TbTradesBinance[[#This Row],[Qtt]]),IF(TbTradesBinance[[#This Row],[Tipo]]="BUY",Z128-TbTradesBinance[[#This Row],[Qtt]]*TbTradesBinance[[#This Row],[Preço]],Z128+TbTradesBinance[[#This Row],[Qtt]]*TbTradesBinance[[#This Row],[Preço]])),Z128)-IF(TbTradesBinance[[#This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Row],[Tipo]]="DROP"),Z128+TbTradesBinance[[#This Row],[Qtt]],Z128-TbTradesBinance[[#This Row],[Qtt]]),IF(TbTradesBinance[[#This Row],[Tipo]]="BUY",Z128-TbTradesBinance[[#This Row],[Qtt]]*TbTradesBinance[[#This Row],[Preço]],Z128+TbTradesBinance[[#This Row],[Qtt]]*TbTradesBinance[[#This Row],[Preço]])),Z128)-IF(TbTradesBinance[[#This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Row],[Tipo]]="DROP"),Z128+TbTradesBinance[[#This Row],[Qtt]],Z128-TbTradesBinance[[#This Row],[Qtt]]),IF(TbTradesBinance[[#This Row],[Tipo]]="BUY",Z128-TbTradesBinance[[#This Row],[Qtt]]*TbTradesBinance[[#This Row],[Preço]],Z128+TbTradesBinance[[#This Row],[Qtt]]*TbTradesBinance[[#This Row],[Preço]])),Z128)-IF(TbTradesBinance[[#This Row],[Moeda da Taxa]]=MID(Z$1,9,5),TbTradesBinance[[#This Row],[Taxa]],0),8)))</f>
        <v>9.3300000000000005E-6</v>
      </c>
      <c r="AA129" s="145" cm="1">
        <f t="array" ref="AA129">IF(TbTradesBinance[[#This Row],[Tipo]]="EMPTY",0,AA128+IF(TbTradesBinance[[#This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Row],[Par]]))),$1:$1,0)),-(Z128-Z129)/Z128*AA128),0),0)+IF(TbTradesBinance[[#This Row],[Tipo]]="SELL",IF(ISNUMBER(FIND(MID(AA$1,10,5),TbTradesBinance[[#This Row],[Par]])),IF(FIND(MID(AA$1,10,5),TbTradesBinance[[#This Row],[Par]])=1, -(Z128-Z129)/Z128*AA128,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Row],[Par]])),(-(Z128-Z129)/Z128*AA128)+IF(TbTradesBinance[[#This Row],[Resultado]]&gt;0,0,TbTradesBinance[[#This Row],[Taxa]]),0),0))</f>
        <v>9.7066397187928644E-2</v>
      </c>
      <c r="AB129" s="145">
        <f t="shared" si="24"/>
        <v>10403.686729681525</v>
      </c>
      <c r="AC12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Row],[Tipo]]="DROP"),AC128+TbTradesBinance[[#This Row],[Qtt]],AC128-TbTradesBinance[[#This Row],[Qtt]]),IF(TbTradesBinance[[#This Row],[Tipo]]="BUY",AC128-TbTradesBinance[[#This Row],[Qtt]]*TbTradesBinance[[#This Row],[Preço]],AC128+TbTradesBinance[[#This Row],[Qtt]]*TbTradesBinance[[#This Row],[Preço]])),AC128)-IF(TbTradesBinance[[#This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Row],[Tipo]]="DROP"),AC128+TbTradesBinance[[#This Row],[Qtt]],AC128-TbTradesBinance[[#This Row],[Qtt]]),IF(TbTradesBinance[[#This Row],[Tipo]]="BUY",AC128-TbTradesBinance[[#This Row],[Qtt]]*TbTradesBinance[[#This Row],[Preço]],AC128+TbTradesBinance[[#This Row],[Qtt]]*TbTradesBinance[[#This Row],[Preço]])),AC128)-IF(TbTradesBinance[[#This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Row],[Tipo]]="DROP"),AC128+TbTradesBinance[[#This Row],[Qtt]],AC128-TbTradesBinance[[#This Row],[Qtt]]),IF(TbTradesBinance[[#This Row],[Tipo]]="BUY",AC128-TbTradesBinance[[#This Row],[Qtt]]*TbTradesBinance[[#This Row],[Preço]],AC128+TbTradesBinance[[#This Row],[Qtt]]*TbTradesBinance[[#This Row],[Preço]])),AC128)-IF(TbTradesBinance[[#This Row],[Moeda da Taxa]]=MID(AC$1,9,5),TbTradesBinance[[#This Row],[Taxa]],0),8)))</f>
        <v>0</v>
      </c>
      <c r="AD129" s="145" cm="1">
        <f t="array" ref="AD129">IF(TbTradesBinance[[#This Row],[Tipo]]="EMPTY",0,AD128+IF(TbTradesBinance[[#This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Row],[Par]]))),$1:$1,0)),-(AC128-AC129)/AC128*AD128),0),0)+IF(TbTradesBinance[[#This Row],[Tipo]]="SELL",IF(ISNUMBER(FIND(MID(AD$1,10,5),TbTradesBinance[[#This Row],[Par]])),IF(FIND(MID(AD$1,10,5),TbTradesBinance[[#This Row],[Par]])=1, -(AC128-AC129)/AC128*AD128,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Row],[Par]])),(-(AC128-AC129)/AC128*AD128)+IF(TbTradesBinance[[#This Row],[Resultado]]&gt;0,0,TbTradesBinance[[#This Row],[Taxa]]),0),0))</f>
        <v>0</v>
      </c>
      <c r="AE129" s="145">
        <f t="shared" si="25"/>
        <v>0</v>
      </c>
      <c r="AF12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Row],[Tipo]]="DROP"),AF128+TbTradesBinance[[#This Row],[Qtt]],AF128-TbTradesBinance[[#This Row],[Qtt]]),IF(TbTradesBinance[[#This Row],[Tipo]]="BUY",AF128-TbTradesBinance[[#This Row],[Qtt]]*TbTradesBinance[[#This Row],[Preço]],AF128+TbTradesBinance[[#This Row],[Qtt]]*TbTradesBinance[[#This Row],[Preço]])),AF128)-IF(TbTradesBinance[[#This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Row],[Tipo]]="DROP"),AF128+TbTradesBinance[[#This Row],[Qtt]],AF128-TbTradesBinance[[#This Row],[Qtt]]),IF(TbTradesBinance[[#This Row],[Tipo]]="BUY",AF128-TbTradesBinance[[#This Row],[Qtt]]*TbTradesBinance[[#This Row],[Preço]],AF128+TbTradesBinance[[#This Row],[Qtt]]*TbTradesBinance[[#This Row],[Preço]])),AF128)-IF(TbTradesBinance[[#This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Row],[Tipo]]="DROP"),AF128+TbTradesBinance[[#This Row],[Qtt]],AF128-TbTradesBinance[[#This Row],[Qtt]]),IF(TbTradesBinance[[#This Row],[Tipo]]="BUY",AF128-TbTradesBinance[[#This Row],[Qtt]]*TbTradesBinance[[#This Row],[Preço]],AF128+TbTradesBinance[[#This Row],[Qtt]]*TbTradesBinance[[#This Row],[Preço]])),AF128)-IF(TbTradesBinance[[#This Row],[Moeda da Taxa]]=MID(AF$1,9,5),TbTradesBinance[[#This Row],[Taxa]],0),8)))</f>
        <v>0</v>
      </c>
      <c r="AG129" s="145" cm="1">
        <f t="array" ref="AG129">IF(TbTradesBinance[[#This Row],[Tipo]]="EMPTY",0,AG128+IF(TbTradesBinance[[#This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Row],[Par]]))),$1:$1,0)),-(AF128-AF129)/AF128*AG128),0),0)+IF(TbTradesBinance[[#This Row],[Tipo]]="SELL",IF(ISNUMBER(FIND(MID(AG$1,10,5),TbTradesBinance[[#This Row],[Par]])),IF(FIND(MID(AG$1,10,5),TbTradesBinance[[#This Row],[Par]])=1, -(AF128-AF129)/AF128*AG128,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Row],[Par]])),(-(AF128-AF129)/AF128*AG128)+IF(TbTradesBinance[[#This Row],[Resultado]]&gt;0,0,TbTradesBinance[[#This Row],[Taxa]]),0),0))</f>
        <v>0</v>
      </c>
      <c r="AH129" s="145">
        <f t="shared" si="26"/>
        <v>0</v>
      </c>
      <c r="AI12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Row],[Tipo]]="DROP"),AI128+TbTradesBinance[[#This Row],[Qtt]],AI128-TbTradesBinance[[#This Row],[Qtt]]),IF(TbTradesBinance[[#This Row],[Tipo]]="BUY",AI128-TbTradesBinance[[#This Row],[Qtt]]*TbTradesBinance[[#This Row],[Preço]],AI128+TbTradesBinance[[#This Row],[Qtt]]*TbTradesBinance[[#This Row],[Preço]])),AI128)-IF(TbTradesBinance[[#This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Row],[Tipo]]="DROP"),AI128+TbTradesBinance[[#This Row],[Qtt]],AI128-TbTradesBinance[[#This Row],[Qtt]]),IF(TbTradesBinance[[#This Row],[Tipo]]="BUY",AI128-TbTradesBinance[[#This Row],[Qtt]]*TbTradesBinance[[#This Row],[Preço]],AI128+TbTradesBinance[[#This Row],[Qtt]]*TbTradesBinance[[#This Row],[Preço]])),AI128)-IF(TbTradesBinance[[#This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Row],[Tipo]]="DROP"),AI128+TbTradesBinance[[#This Row],[Qtt]],AI128-TbTradesBinance[[#This Row],[Qtt]]),IF(TbTradesBinance[[#This Row],[Tipo]]="BUY",AI128-TbTradesBinance[[#This Row],[Qtt]]*TbTradesBinance[[#This Row],[Preço]],AI128+TbTradesBinance[[#This Row],[Qtt]]*TbTradesBinance[[#This Row],[Preço]])),AI128)-IF(TbTradesBinance[[#This Row],[Moeda da Taxa]]=MID(AI$1,9,5),TbTradesBinance[[#This Row],[Taxa]],0),8)))</f>
        <v>0</v>
      </c>
      <c r="AJ129" s="145" cm="1">
        <f t="array" ref="AJ129">IF(TbTradesBinance[[#This Row],[Tipo]]="EMPTY",0,AJ128+IF(TbTradesBinance[[#This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Row],[Par]]))),$1:$1,0)),-(AI128-AI129)/AI128*AJ128),0),0)+IF(TbTradesBinance[[#This Row],[Tipo]]="SELL",IF(ISNUMBER(FIND(MID(AJ$1,10,5),TbTradesBinance[[#This Row],[Par]])),IF(FIND(MID(AJ$1,10,5),TbTradesBinance[[#This Row],[Par]])=1, -(AI128-AI129)/AI128*AJ128,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Row],[Par]])),(-(AI128-AI129)/AI128*AJ128)+IF(TbTradesBinance[[#This Row],[Resultado]]&gt;0,0,TbTradesBinance[[#This Row],[Taxa]]),0),0))</f>
        <v>0</v>
      </c>
      <c r="AK129" s="145">
        <f t="shared" si="27"/>
        <v>0</v>
      </c>
      <c r="AL12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Row],[Tipo]]="DROP"),AL128+TbTradesBinance[[#This Row],[Qtt]],AL128-TbTradesBinance[[#This Row],[Qtt]]),IF(TbTradesBinance[[#This Row],[Tipo]]="BUY",AL128-TbTradesBinance[[#This Row],[Qtt]]*TbTradesBinance[[#This Row],[Preço]],AL128+TbTradesBinance[[#This Row],[Qtt]]*TbTradesBinance[[#This Row],[Preço]])),AL128)-IF(TbTradesBinance[[#This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Row],[Tipo]]="DROP"),AL128+TbTradesBinance[[#This Row],[Qtt]],AL128-TbTradesBinance[[#This Row],[Qtt]]),IF(TbTradesBinance[[#This Row],[Tipo]]="BUY",AL128-TbTradesBinance[[#This Row],[Qtt]]*TbTradesBinance[[#This Row],[Preço]],AL128+TbTradesBinance[[#This Row],[Qtt]]*TbTradesBinance[[#This Row],[Preço]])),AL128)-IF(TbTradesBinance[[#This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Row],[Tipo]]="DROP"),AL128+TbTradesBinance[[#This Row],[Qtt]],AL128-TbTradesBinance[[#This Row],[Qtt]]),IF(TbTradesBinance[[#This Row],[Tipo]]="BUY",AL128-TbTradesBinance[[#This Row],[Qtt]]*TbTradesBinance[[#This Row],[Preço]],AL128+TbTradesBinance[[#This Row],[Qtt]]*TbTradesBinance[[#This Row],[Preço]])),AL128)-IF(TbTradesBinance[[#This Row],[Moeda da Taxa]]=MID(AL$1,9,5),TbTradesBinance[[#This Row],[Taxa]],0),8)))</f>
        <v>0</v>
      </c>
      <c r="AM129" s="145" cm="1">
        <f t="array" ref="AM129">IF(TbTradesBinance[[#This Row],[Tipo]]="EMPTY",0,AM128+IF(TbTradesBinance[[#This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Row],[Par]]))),$1:$1,0)),-(AL128-AL129)/AL128*AM128),0),0)+IF(TbTradesBinance[[#This Row],[Tipo]]="SELL",IF(ISNUMBER(FIND(MID(AM$1,10,5),TbTradesBinance[[#This Row],[Par]])),IF(FIND(MID(AM$1,10,5),TbTradesBinance[[#This Row],[Par]])=1, -(AL128-AL129)/AL128*AM128,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Row],[Par]])),(-(AL128-AL129)/AL128*AM128)+IF(TbTradesBinance[[#This Row],[Resultado]]&gt;0,0,TbTradesBinance[[#This Row],[Taxa]]),0),0))</f>
        <v>0</v>
      </c>
      <c r="AN129" s="145">
        <f t="shared" si="28"/>
        <v>0</v>
      </c>
      <c r="AO12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Row],[Tipo]]="DROP"),AO128+TbTradesBinance[[#This Row],[Qtt]],AO128-TbTradesBinance[[#This Row],[Qtt]]),IF(TbTradesBinance[[#This Row],[Tipo]]="BUY",AO128-TbTradesBinance[[#This Row],[Qtt]]*TbTradesBinance[[#This Row],[Preço]],AO128+TbTradesBinance[[#This Row],[Qtt]]*TbTradesBinance[[#This Row],[Preço]])),AO128)-IF(TbTradesBinance[[#This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Row],[Tipo]]="DROP"),AO128+TbTradesBinance[[#This Row],[Qtt]],AO128-TbTradesBinance[[#This Row],[Qtt]]),IF(TbTradesBinance[[#This Row],[Tipo]]="BUY",AO128-TbTradesBinance[[#This Row],[Qtt]]*TbTradesBinance[[#This Row],[Preço]],AO128+TbTradesBinance[[#This Row],[Qtt]]*TbTradesBinance[[#This Row],[Preço]])),AO128)-IF(TbTradesBinance[[#This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Row],[Tipo]]="DROP"),AO128+TbTradesBinance[[#This Row],[Qtt]],AO128-TbTradesBinance[[#This Row],[Qtt]]),IF(TbTradesBinance[[#This Row],[Tipo]]="BUY",AO128-TbTradesBinance[[#This Row],[Qtt]]*TbTradesBinance[[#This Row],[Preço]],AO128+TbTradesBinance[[#This Row],[Qtt]]*TbTradesBinance[[#This Row],[Preço]])),AO128)-IF(TbTradesBinance[[#This Row],[Moeda da Taxa]]=MID(AO$1,9,5),TbTradesBinance[[#This Row],[Taxa]],0),8)))</f>
        <v>7.7570760000000002E-2</v>
      </c>
      <c r="AP129" s="145" cm="1">
        <f t="array" ref="AP129">IF(TbTradesBinance[[#This Row],[Tipo]]="EMPTY",0,AP128+IF(TbTradesBinance[[#This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Row],[Par]]))),$1:$1,0)),-(AO128-AO129)/AO128*AP128),0),0)+IF(TbTradesBinance[[#This Row],[Tipo]]="SELL",IF(ISNUMBER(FIND(MID(AP$1,10,5),TbTradesBinance[[#This Row],[Par]])),IF(FIND(MID(AP$1,10,5),TbTradesBinance[[#This Row],[Par]])=1, -(AO128-AO129)/AO128*AP128,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Row],[Par]])),(-(AO128-AO129)/AO128*AP128)+IF(TbTradesBinance[[#This Row],[Resultado]]&gt;0,0,TbTradesBinance[[#This Row],[Taxa]]),0),0))</f>
        <v>118.68727301034991</v>
      </c>
      <c r="AQ129" s="145">
        <f t="shared" si="29"/>
        <v>1530.0516974482384</v>
      </c>
      <c r="AR12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Row],[Tipo]]="DROP"),AR128+TbTradesBinance[[#This Row],[Qtt]],AR128-TbTradesBinance[[#This Row],[Qtt]]),IF(TbTradesBinance[[#This Row],[Tipo]]="BUY",AR128-TbTradesBinance[[#This Row],[Qtt]]*TbTradesBinance[[#This Row],[Preço]],AR128+TbTradesBinance[[#This Row],[Qtt]]*TbTradesBinance[[#This Row],[Preço]])),AR128)-IF(TbTradesBinance[[#This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Row],[Tipo]]="DROP"),AR128+TbTradesBinance[[#This Row],[Qtt]],AR128-TbTradesBinance[[#This Row],[Qtt]]),IF(TbTradesBinance[[#This Row],[Tipo]]="BUY",AR128-TbTradesBinance[[#This Row],[Qtt]]*TbTradesBinance[[#This Row],[Preço]],AR128+TbTradesBinance[[#This Row],[Qtt]]*TbTradesBinance[[#This Row],[Preço]])),AR128)-IF(TbTradesBinance[[#This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Row],[Tipo]]="DROP"),AR128+TbTradesBinance[[#This Row],[Qtt]],AR128-TbTradesBinance[[#This Row],[Qtt]]),IF(TbTradesBinance[[#This Row],[Tipo]]="BUY",AR128-TbTradesBinance[[#This Row],[Qtt]]*TbTradesBinance[[#This Row],[Preço]],AR128+TbTradesBinance[[#This Row],[Qtt]]*TbTradesBinance[[#This Row],[Preço]])),AR128)-IF(TbTradesBinance[[#This Row],[Moeda da Taxa]]=MID(AR$1,9,5),TbTradesBinance[[#This Row],[Taxa]],0),8)))</f>
        <v>61.251199999999997</v>
      </c>
      <c r="AS129" s="145" cm="1">
        <f t="array" ref="AS129">IF(TbTradesBinance[[#This Row],[Tipo]]="EMPTY",0,AS128+IF(TbTradesBinance[[#This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Row],[Par]]))),$1:$1,0)),-(AR128-AR129)/AR128*AS128),0),0)+IF(TbTradesBinance[[#This Row],[Tipo]]="SELL",IF(ISNUMBER(FIND(MID(AS$1,10,5),TbTradesBinance[[#This Row],[Par]])),IF(FIND(MID(AS$1,10,5),TbTradesBinance[[#This Row],[Par]])=1, -(AR128-AR129)/AR128*AS128,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Row],[Par]])),(-(AR128-AR129)/AR128*AS128)+IF(TbTradesBinance[[#This Row],[Resultado]]&gt;0,0,TbTradesBinance[[#This Row],[Taxa]]),0),0))</f>
        <v>230.84001376053044</v>
      </c>
      <c r="AT129" s="145">
        <f t="shared" si="30"/>
        <v>3.7687427146003745</v>
      </c>
      <c r="AU12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Row],[Tipo]]="DROP"),AU128+TbTradesBinance[[#This Row],[Qtt]],AU128-TbTradesBinance[[#This Row],[Qtt]]),IF(TbTradesBinance[[#This Row],[Tipo]]="BUY",AU128-TbTradesBinance[[#This Row],[Qtt]]*TbTradesBinance[[#This Row],[Preço]],AU128+TbTradesBinance[[#This Row],[Qtt]]*TbTradesBinance[[#This Row],[Preço]])),AU128)-IF(TbTradesBinance[[#This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Row],[Tipo]]="DROP"),AU128+TbTradesBinance[[#This Row],[Qtt]],AU128-TbTradesBinance[[#This Row],[Qtt]]),IF(TbTradesBinance[[#This Row],[Tipo]]="BUY",AU128-TbTradesBinance[[#This Row],[Qtt]]*TbTradesBinance[[#This Row],[Preço]],AU128+TbTradesBinance[[#This Row],[Qtt]]*TbTradesBinance[[#This Row],[Preço]])),AU128)-IF(TbTradesBinance[[#This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Row],[Tipo]]="DROP"),AU128+TbTradesBinance[[#This Row],[Qtt]],AU128-TbTradesBinance[[#This Row],[Qtt]]),IF(TbTradesBinance[[#This Row],[Tipo]]="BUY",AU128-TbTradesBinance[[#This Row],[Qtt]]*TbTradesBinance[[#This Row],[Preço]],AU128+TbTradesBinance[[#This Row],[Qtt]]*TbTradesBinance[[#This Row],[Preço]])),AU128)-IF(TbTradesBinance[[#This Row],[Moeda da Taxa]]=MID(AU$1,9,5),TbTradesBinance[[#This Row],[Taxa]],0),8)))</f>
        <v>0</v>
      </c>
      <c r="AV129" s="145" cm="1">
        <f t="array" ref="AV129">IF(TbTradesBinance[[#This Row],[Tipo]]="EMPTY",0,AV128+IF(TbTradesBinance[[#This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Row],[Par]]))),$1:$1,0)),-(AU128-AU129)/AU128*AV128),0),0)+IF(TbTradesBinance[[#This Row],[Tipo]]="SELL",IF(ISNUMBER(FIND(MID(AV$1,10,5),TbTradesBinance[[#This Row],[Par]])),IF(FIND(MID(AV$1,10,5),TbTradesBinance[[#This Row],[Par]])=1, -(AU128-AU129)/AU128*AV128,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Row],[Par]])),(-(AU128-AU129)/AU128*AV128)+IF(TbTradesBinance[[#This Row],[Resultado]]&gt;0,0,TbTradesBinance[[#This Row],[Taxa]]),0),0))</f>
        <v>0</v>
      </c>
      <c r="AW129" s="145">
        <f t="shared" si="31"/>
        <v>0</v>
      </c>
      <c r="AX12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Row],[Tipo]]="DROP"),AX128+TbTradesBinance[[#This Row],[Qtt]],AX128-TbTradesBinance[[#This Row],[Qtt]]),IF(TbTradesBinance[[#This Row],[Tipo]]="BUY",AX128-TbTradesBinance[[#This Row],[Qtt]]*TbTradesBinance[[#This Row],[Preço]],AX128+TbTradesBinance[[#This Row],[Qtt]]*TbTradesBinance[[#This Row],[Preço]])),AX128)-IF(TbTradesBinance[[#This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Row],[Tipo]]="DROP"),AX128+TbTradesBinance[[#This Row],[Qtt]],AX128-TbTradesBinance[[#This Row],[Qtt]]),IF(TbTradesBinance[[#This Row],[Tipo]]="BUY",AX128-TbTradesBinance[[#This Row],[Qtt]]*TbTradesBinance[[#This Row],[Preço]],AX128+TbTradesBinance[[#This Row],[Qtt]]*TbTradesBinance[[#This Row],[Preço]])),AX128)-IF(TbTradesBinance[[#This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Row],[Tipo]]="DROP"),AX128+TbTradesBinance[[#This Row],[Qtt]],AX128-TbTradesBinance[[#This Row],[Qtt]]),IF(TbTradesBinance[[#This Row],[Tipo]]="BUY",AX128-TbTradesBinance[[#This Row],[Qtt]]*TbTradesBinance[[#This Row],[Preço]],AX128+TbTradesBinance[[#This Row],[Qtt]]*TbTradesBinance[[#This Row],[Preço]])),AX128)-IF(TbTradesBinance[[#This Row],[Moeda da Taxa]]=MID(AX$1,9,5),TbTradesBinance[[#This Row],[Taxa]],0),8)))</f>
        <v>0.85636999999999996</v>
      </c>
      <c r="AY129" s="145" cm="1">
        <f t="array" ref="AY129">IF(TbTradesBinance[[#This Row],[Tipo]]="EMPTY",0,AY128+IF(TbTradesBinance[[#This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Row],[Par]]))),$1:$1,0)),-(AX128-AX129)/AX128*AY128),0),0)+IF(TbTradesBinance[[#This Row],[Tipo]]="SELL",IF(ISNUMBER(FIND(MID(AY$1,10,5),TbTradesBinance[[#This Row],[Par]])),IF(FIND(MID(AY$1,10,5),TbTradesBinance[[#This Row],[Par]])=1, -(AX128-AX129)/AX128*AY128,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Row],[Par]])),(-(AX128-AX129)/AX128*AY128)+IF(TbTradesBinance[[#This Row],[Resultado]]&gt;0,0,TbTradesBinance[[#This Row],[Taxa]]),0),0))</f>
        <v>131.82971181780295</v>
      </c>
      <c r="AZ129" s="145">
        <f t="shared" si="32"/>
        <v>153.94013314081874</v>
      </c>
      <c r="BA12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Row],[Tipo]]="DROP"),BA128+TbTradesBinance[[#This Row],[Qtt]],BA128-TbTradesBinance[[#This Row],[Qtt]]),IF(TbTradesBinance[[#This Row],[Tipo]]="BUY",BA128-TbTradesBinance[[#This Row],[Qtt]]*TbTradesBinance[[#This Row],[Preço]],BA128+TbTradesBinance[[#This Row],[Qtt]]*TbTradesBinance[[#This Row],[Preço]])),BA128)-IF(TbTradesBinance[[#This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Row],[Tipo]]="DROP"),BA128+TbTradesBinance[[#This Row],[Qtt]],BA128-TbTradesBinance[[#This Row],[Qtt]]),IF(TbTradesBinance[[#This Row],[Tipo]]="BUY",BA128-TbTradesBinance[[#This Row],[Qtt]]*TbTradesBinance[[#This Row],[Preço]],BA128+TbTradesBinance[[#This Row],[Qtt]]*TbTradesBinance[[#This Row],[Preço]])),BA128)-IF(TbTradesBinance[[#This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Row],[Tipo]]="DROP"),BA128+TbTradesBinance[[#This Row],[Qtt]],BA128-TbTradesBinance[[#This Row],[Qtt]]),IF(TbTradesBinance[[#This Row],[Tipo]]="BUY",BA128-TbTradesBinance[[#This Row],[Qtt]]*TbTradesBinance[[#This Row],[Preço]],BA128+TbTradesBinance[[#This Row],[Qtt]]*TbTradesBinance[[#This Row],[Preço]])),BA128)-IF(TbTradesBinance[[#This Row],[Moeda da Taxa]]=MID(BA$1,9,5),TbTradesBinance[[#This Row],[Taxa]],0),8)))</f>
        <v>0.10571</v>
      </c>
      <c r="BB129" s="145" cm="1">
        <f t="array" ref="BB129">IF(TbTradesBinance[[#This Row],[Tipo]]="EMPTY",0,BB128+IF(TbTradesBinance[[#This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Row],[Par]]))),$1:$1,0)),-(BA128-BA129)/BA128*BB128),0),0)+IF(TbTradesBinance[[#This Row],[Tipo]]="SELL",IF(ISNUMBER(FIND(MID(BB$1,10,5),TbTradesBinance[[#This Row],[Par]])),IF(FIND(MID(BB$1,10,5),TbTradesBinance[[#This Row],[Par]])=1, -(BA128-BA129)/BA128*BB128,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Row],[Par]])),(-(BA128-BA129)/BA128*BB128)+IF(TbTradesBinance[[#This Row],[Resultado]]&gt;0,0,TbTradesBinance[[#This Row],[Taxa]]),0),0))</f>
        <v>120.8257969142021</v>
      </c>
      <c r="BC129" s="145">
        <f t="shared" si="33"/>
        <v>1142.9930651234708</v>
      </c>
      <c r="BD12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Row],[Tipo]]="DROP"),BD128+TbTradesBinance[[#This Row],[Qtt]],BD128-TbTradesBinance[[#This Row],[Qtt]]),IF(TbTradesBinance[[#This Row],[Tipo]]="BUY",BD128-TbTradesBinance[[#This Row],[Qtt]]*TbTradesBinance[[#This Row],[Preço]],BD128+TbTradesBinance[[#This Row],[Qtt]]*TbTradesBinance[[#This Row],[Preço]])),BD128)-IF(TbTradesBinance[[#This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Row],[Tipo]]="DROP"),BD128+TbTradesBinance[[#This Row],[Qtt]],BD128-TbTradesBinance[[#This Row],[Qtt]]),IF(TbTradesBinance[[#This Row],[Tipo]]="BUY",BD128-TbTradesBinance[[#This Row],[Qtt]]*TbTradesBinance[[#This Row],[Preço]],BD128+TbTradesBinance[[#This Row],[Qtt]]*TbTradesBinance[[#This Row],[Preço]])),BD128)-IF(TbTradesBinance[[#This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Row],[Tipo]]="DROP"),BD128+TbTradesBinance[[#This Row],[Qtt]],BD128-TbTradesBinance[[#This Row],[Qtt]]),IF(TbTradesBinance[[#This Row],[Tipo]]="BUY",BD128-TbTradesBinance[[#This Row],[Qtt]]*TbTradesBinance[[#This Row],[Preço]],BD128+TbTradesBinance[[#This Row],[Qtt]]*TbTradesBinance[[#This Row],[Preço]])),BD128)-IF(TbTradesBinance[[#This Row],[Moeda da Taxa]]=MID(BD$1,9,5),TbTradesBinance[[#This Row],[Taxa]],0),8)))</f>
        <v>0</v>
      </c>
      <c r="BE129" s="145" cm="1">
        <f t="array" ref="BE129">IF(TbTradesBinance[[#This Row],[Tipo]]="EMPTY",0,BE128+IF(TbTradesBinance[[#This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Row],[Par]]))),$1:$1,0)),-(BD128-BD129)/BD128*BE128),0),0)+IF(TbTradesBinance[[#This Row],[Tipo]]="SELL",IF(ISNUMBER(FIND(MID(BE$1,10,5),TbTradesBinance[[#This Row],[Par]])),IF(FIND(MID(BE$1,10,5),TbTradesBinance[[#This Row],[Par]])=1, -(BD128-BD129)/BD128*BE128,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Row],[Par]])),(-(BD128-BD129)/BD128*BE128)+IF(TbTradesBinance[[#This Row],[Resultado]]&gt;0,0,TbTradesBinance[[#This Row],[Taxa]]),0),0))</f>
        <v>0</v>
      </c>
      <c r="BF129" s="145">
        <f t="shared" si="34"/>
        <v>0</v>
      </c>
      <c r="BG12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Row],[Tipo]]="DROP"),BG128+TbTradesBinance[[#This Row],[Qtt]],BG128-TbTradesBinance[[#This Row],[Qtt]]),IF(TbTradesBinance[[#This Row],[Tipo]]="BUY",BG128-TbTradesBinance[[#This Row],[Qtt]]*TbTradesBinance[[#This Row],[Preço]],BG128+TbTradesBinance[[#This Row],[Qtt]]*TbTradesBinance[[#This Row],[Preço]])),BG128)-IF(TbTradesBinance[[#This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Row],[Tipo]]="DROP"),BG128+TbTradesBinance[[#This Row],[Qtt]],BG128-TbTradesBinance[[#This Row],[Qtt]]),IF(TbTradesBinance[[#This Row],[Tipo]]="BUY",BG128-TbTradesBinance[[#This Row],[Qtt]]*TbTradesBinance[[#This Row],[Preço]],BG128+TbTradesBinance[[#This Row],[Qtt]]*TbTradesBinance[[#This Row],[Preço]])),BG128)-IF(TbTradesBinance[[#This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Row],[Tipo]]="DROP"),BG128+TbTradesBinance[[#This Row],[Qtt]],BG128-TbTradesBinance[[#This Row],[Qtt]]),IF(TbTradesBinance[[#This Row],[Tipo]]="BUY",BG128-TbTradesBinance[[#This Row],[Qtt]]*TbTradesBinance[[#This Row],[Preço]],BG128+TbTradesBinance[[#This Row],[Qtt]]*TbTradesBinance[[#This Row],[Preço]])),BG128)-IF(TbTradesBinance[[#This Row],[Moeda da Taxa]]=MID(BG$1,9,5),TbTradesBinance[[#This Row],[Taxa]],0),8)))</f>
        <v>0</v>
      </c>
      <c r="BH129" s="145" cm="1">
        <f t="array" ref="BH129">IF(TbTradesBinance[[#This Row],[Tipo]]="EMPTY",0,BH128+IF(TbTradesBinance[[#This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Row],[Par]]))),$1:$1,0)),-(BG128-BG129)/BG128*BH128),0),0)+IF(TbTradesBinance[[#This Row],[Tipo]]="SELL",IF(ISNUMBER(FIND(MID(BH$1,10,5),TbTradesBinance[[#This Row],[Par]])),IF(FIND(MID(BH$1,10,5),TbTradesBinance[[#This Row],[Par]])=1, -(BG128-BG129)/BG128*BH128,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Row],[Par]])),(-(BG128-BG129)/BG128*BH128)+IF(TbTradesBinance[[#This Row],[Resultado]]&gt;0,0,TbTradesBinance[[#This Row],[Taxa]]),0),0))</f>
        <v>0</v>
      </c>
      <c r="BI129" s="145">
        <f t="shared" si="35"/>
        <v>0</v>
      </c>
      <c r="BJ12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Row],[Tipo]]="DROP"),BJ128+TbTradesBinance[[#This Row],[Qtt]],BJ128-TbTradesBinance[[#This Row],[Qtt]]),IF(TbTradesBinance[[#This Row],[Tipo]]="BUY",BJ128-TbTradesBinance[[#This Row],[Qtt]]*TbTradesBinance[[#This Row],[Preço]],BJ128+TbTradesBinance[[#This Row],[Qtt]]*TbTradesBinance[[#This Row],[Preço]])),BJ128)-IF(TbTradesBinance[[#This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Row],[Tipo]]="DROP"),BJ128+TbTradesBinance[[#This Row],[Qtt]],BJ128-TbTradesBinance[[#This Row],[Qtt]]),IF(TbTradesBinance[[#This Row],[Tipo]]="BUY",BJ128-TbTradesBinance[[#This Row],[Qtt]]*TbTradesBinance[[#This Row],[Preço]],BJ128+TbTradesBinance[[#This Row],[Qtt]]*TbTradesBinance[[#This Row],[Preço]])),BJ128)-IF(TbTradesBinance[[#This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Row],[Tipo]]="DROP"),BJ128+TbTradesBinance[[#This Row],[Qtt]],BJ128-TbTradesBinance[[#This Row],[Qtt]]),IF(TbTradesBinance[[#This Row],[Tipo]]="BUY",BJ128-TbTradesBinance[[#This Row],[Qtt]]*TbTradesBinance[[#This Row],[Preço]],BJ128+TbTradesBinance[[#This Row],[Qtt]]*TbTradesBinance[[#This Row],[Preço]])),BJ128)-IF(TbTradesBinance[[#This Row],[Moeda da Taxa]]=MID(BJ$1,9,5),TbTradesBinance[[#This Row],[Taxa]],0),8)))</f>
        <v>2.2480299999999998E-3</v>
      </c>
      <c r="BK129" s="145" cm="1">
        <f t="array" ref="BK129">IF(TbTradesBinance[[#This Row],[Tipo]]="EMPTY",0,BK128+IF(TbTradesBinance[[#This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Row],[Par]]))),$1:$1,0)),-(BJ128-BJ129)/BJ128*BK128),0),0)+IF(TbTradesBinance[[#This Row],[Tipo]]="SELL",IF(ISNUMBER(FIND(MID(BK$1,10,5),TbTradesBinance[[#This Row],[Par]])),IF(FIND(MID(BK$1,10,5),TbTradesBinance[[#This Row],[Par]])=1, -(BJ128-BJ129)/BJ128*BK128,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Row],[Par]])),(-(BJ128-BJ129)/BJ128*BK128)+IF(TbTradesBinance[[#This Row],[Resultado]]&gt;0,0,TbTradesBinance[[#This Row],[Taxa]]),0),0))</f>
        <v>0</v>
      </c>
      <c r="BL129" s="145">
        <f t="shared" si="36"/>
        <v>0</v>
      </c>
      <c r="BM12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Row],[Tipo]]="DROP"),BM128+TbTradesBinance[[#This Row],[Qtt]],BM128-TbTradesBinance[[#This Row],[Qtt]]),IF(TbTradesBinance[[#This Row],[Tipo]]="BUY",BM128-TbTradesBinance[[#This Row],[Qtt]]*TbTradesBinance[[#This Row],[Preço]],BM128+TbTradesBinance[[#This Row],[Qtt]]*TbTradesBinance[[#This Row],[Preço]])),BM128)-IF(TbTradesBinance[[#This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Row],[Tipo]]="DROP"),BM128+TbTradesBinance[[#This Row],[Qtt]],BM128-TbTradesBinance[[#This Row],[Qtt]]),IF(TbTradesBinance[[#This Row],[Tipo]]="BUY",BM128-TbTradesBinance[[#This Row],[Qtt]]*TbTradesBinance[[#This Row],[Preço]],BM128+TbTradesBinance[[#This Row],[Qtt]]*TbTradesBinance[[#This Row],[Preço]])),BM128)-IF(TbTradesBinance[[#This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Row],[Tipo]]="DROP"),BM128+TbTradesBinance[[#This Row],[Qtt]],BM128-TbTradesBinance[[#This Row],[Qtt]]),IF(TbTradesBinance[[#This Row],[Tipo]]="BUY",BM128-TbTradesBinance[[#This Row],[Qtt]]*TbTradesBinance[[#This Row],[Preço]],BM128+TbTradesBinance[[#This Row],[Qtt]]*TbTradesBinance[[#This Row],[Preço]])),BM128)-IF(TbTradesBinance[[#This Row],[Moeda da Taxa]]=MID(BM$1,9,5),TbTradesBinance[[#This Row],[Taxa]],0),8)))</f>
        <v>0</v>
      </c>
      <c r="BN129" s="145" cm="1">
        <f t="array" ref="BN129">IF(TbTradesBinance[[#This Row],[Tipo]]="EMPTY",0,BN128+IF(TbTradesBinance[[#This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Row],[Par]]))),$1:$1,0)),-(BM128-BM129)/BM128*BN128),0),0)+IF(TbTradesBinance[[#This Row],[Tipo]]="SELL",IF(ISNUMBER(FIND(MID(BN$1,10,5),TbTradesBinance[[#This Row],[Par]])),IF(FIND(MID(BN$1,10,5),TbTradesBinance[[#This Row],[Par]])=1, -(BM128-BM129)/BM128*BN128,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Row],[Par]])),(-(BM128-BM129)/BM128*BN128)+IF(TbTradesBinance[[#This Row],[Resultado]]&gt;0,0,TbTradesBinance[[#This Row],[Taxa]]),0),0))</f>
        <v>0</v>
      </c>
      <c r="BO129" s="145">
        <f t="shared" si="37"/>
        <v>0</v>
      </c>
    </row>
    <row r="130" spans="2:67" x14ac:dyDescent="0.3">
      <c r="B130" s="51"/>
      <c r="C130" s="40">
        <f>TRUNC(IF(AND(TbTradesBinance[[#This Row],[Tipo]]="SEND",TbTradesBinance[[#This Row],[Par]]="BRL"),TbTradesBinance[[#This Row],[Qtt]]*(1-P128)-IF(TbTradesBinance[[#This Row],[Moeda da Taxa]]="BRL",TbTradesBinance[[#This Row],[Taxa]],0),0)+IF(AND(TbTradesBinance[[#This Row],[Tipo]]="BURN",TbTradesBinance[[#This Row],[Par]]="BRL"),-TbTradesBinance[[#This Row],[Qtt]]*P128,0),2)</f>
        <v>0</v>
      </c>
      <c r="D130" s="53">
        <v>44277.477835648147</v>
      </c>
      <c r="E130" s="37" t="s">
        <v>248</v>
      </c>
      <c r="F130" s="47" t="s">
        <v>140</v>
      </c>
      <c r="G130" s="38">
        <v>1516</v>
      </c>
      <c r="H130" s="38">
        <v>4.0469999999999999E-2</v>
      </c>
      <c r="I130" s="38">
        <v>0</v>
      </c>
      <c r="J130" s="37" t="s">
        <v>45</v>
      </c>
      <c r="K130" s="52">
        <v>1</v>
      </c>
      <c r="L130" s="40">
        <f t="shared" ref="L130:L193" si="38">TRUNC(K130*G130,2)</f>
        <v>1516</v>
      </c>
      <c r="M130" s="40">
        <f>IF(OR(TbTradesBinance[[#This Row],[Tipo]]="BUY",TbTradesBinance[[#This Row],[Tipo]]="RECEIVE",TbTradesBinance[[#This Row],[Tipo]]="DROP"),L130*H130,-L130*H130)</f>
        <v>-61.352519999999998</v>
      </c>
      <c r="N13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Row],[Tipo]]="DROP"),N129+TbTradesBinance[[#This Row],[Qtt]],N129-TbTradesBinance[[#This Row],[Qtt]]),IF(TbTradesBinance[[#This Row],[Tipo]]="BUY",N129-TbTradesBinance[[#This Row],[Qtt]]*TbTradesBinance[[#This Row],[Preço]],N129+TbTradesBinance[[#This Row],[Qtt]]*TbTradesBinance[[#This Row],[Preço]])),N129)-IF(TbTradesBinance[[#This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Row],[Tipo]]="DROP"),N129+TbTradesBinance[[#This Row],[Qtt]],N129-TbTradesBinance[[#This Row],[Qtt]]),IF(TbTradesBinance[[#This Row],[Tipo]]="BUY",N129-TbTradesBinance[[#This Row],[Qtt]]*TbTradesBinance[[#This Row],[Preço]],N129+TbTradesBinance[[#This Row],[Qtt]]*TbTradesBinance[[#This Row],[Preço]])),N129)-IF(TbTradesBinance[[#This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Row],[Tipo]]="DROP"),N129+TbTradesBinance[[#This Row],[Qtt]],N129-TbTradesBinance[[#This Row],[Qtt]]),IF(TbTradesBinance[[#This Row],[Tipo]]="BUY",N129-TbTradesBinance[[#This Row],[Qtt]]*TbTradesBinance[[#This Row],[Preço]],N129+TbTradesBinance[[#This Row],[Qtt]]*TbTradesBinance[[#This Row],[Preço]])),N129)-IF(TbTradesBinance[[#This Row],[Moeda da Taxa]]=MID(N$1,9,5),TbTradesBinance[[#This Row],[Taxa]],0),8)))</f>
        <v>119911.46301418</v>
      </c>
      <c r="O130" s="145" cm="1">
        <f t="array" ref="O130">IF(TbTradesBinance[[#This Row],[Tipo]]="EMPTY",0,O129+IF(TbTradesBinance[[#This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Row],[Par]]))),$1:$1,0)),-(N129-N130)/N129*O129),0),0)+IF(TbTradesBinance[[#This Row],[Tipo]]="SELL",IF(ISNUMBER(FIND(MID(O$1,10,5),TbTradesBinance[[#This Row],[Par]])),IF(FIND(MID(O$1,10,5),TbTradesBinance[[#This Row],[Par]])=1, -(N129-N130)/N129*O129,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Row],[Par]])),(-(N129-N130)/N129*O129)+IF(TbTradesBinance[[#This Row],[Resultado]]&gt;0,0,TbTradesBinance[[#This Row],[Taxa]]),0),0))</f>
        <v>119904.38316324355</v>
      </c>
      <c r="P130" s="145">
        <f t="shared" ref="P130:P193" si="39">IF(N130=0,0,O130/N130)</f>
        <v>0.99994095768028768</v>
      </c>
      <c r="Q13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Row],[Tipo]]="DROP"),Q129+TbTradesBinance[[#This Row],[Qtt]],Q129-TbTradesBinance[[#This Row],[Qtt]]),IF(TbTradesBinance[[#This Row],[Tipo]]="BUY",Q129-TbTradesBinance[[#This Row],[Qtt]]*TbTradesBinance[[#This Row],[Preço]],Q129+TbTradesBinance[[#This Row],[Qtt]]*TbTradesBinance[[#This Row],[Preço]])),Q129)-IF(TbTradesBinance[[#This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Row],[Tipo]]="DROP"),Q129+TbTradesBinance[[#This Row],[Qtt]],Q129-TbTradesBinance[[#This Row],[Qtt]]),IF(TbTradesBinance[[#This Row],[Tipo]]="BUY",Q129-TbTradesBinance[[#This Row],[Qtt]]*TbTradesBinance[[#This Row],[Preço]],Q129+TbTradesBinance[[#This Row],[Qtt]]*TbTradesBinance[[#This Row],[Preço]])),Q129)-IF(TbTradesBinance[[#This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Row],[Tipo]]="DROP"),Q129+TbTradesBinance[[#This Row],[Qtt]],Q129-TbTradesBinance[[#This Row],[Qtt]]),IF(TbTradesBinance[[#This Row],[Tipo]]="BUY",Q129-TbTradesBinance[[#This Row],[Qtt]]*TbTradesBinance[[#This Row],[Preço]],Q129+TbTradesBinance[[#This Row],[Qtt]]*TbTradesBinance[[#This Row],[Preço]])),Q129)-IF(TbTradesBinance[[#This Row],[Moeda da Taxa]]=MID(Q$1,9,5),TbTradesBinance[[#This Row],[Taxa]],0),8)))</f>
        <v>0</v>
      </c>
      <c r="R130" s="145" cm="1">
        <f t="array" ref="R130">IF(TbTradesBinance[[#This Row],[Tipo]]="EMPTY",0,R129+IF(TbTradesBinance[[#This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Row],[Par]]))),$1:$1,0)),-(Q129-Q130)/Q129*R129),0),0)+IF(TbTradesBinance[[#This Row],[Tipo]]="SELL",IF(ISNUMBER(FIND(MID(R$1,10,5),TbTradesBinance[[#This Row],[Par]])),IF(FIND(MID(R$1,10,5),TbTradesBinance[[#This Row],[Par]])=1, -(Q129-Q130)/Q129*R129,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Row],[Par]])),(-(Q129-Q130)/Q129*R129)+IF(TbTradesBinance[[#This Row],[Resultado]]&gt;0,0,TbTradesBinance[[#This Row],[Taxa]]),0),0))</f>
        <v>0</v>
      </c>
      <c r="S130" s="145">
        <f t="shared" ref="S130:S193" si="40">IF(Q130=0,0,R130/Q130)</f>
        <v>0</v>
      </c>
      <c r="T13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Row],[Tipo]]="DROP"),T129+TbTradesBinance[[#This Row],[Qtt]],T129-TbTradesBinance[[#This Row],[Qtt]]),IF(TbTradesBinance[[#This Row],[Tipo]]="BUY",T129-TbTradesBinance[[#This Row],[Qtt]]*TbTradesBinance[[#This Row],[Preço]],T129+TbTradesBinance[[#This Row],[Qtt]]*TbTradesBinance[[#This Row],[Preço]])),T129)-IF(TbTradesBinance[[#This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Row],[Tipo]]="DROP"),T129+TbTradesBinance[[#This Row],[Qtt]],T129-TbTradesBinance[[#This Row],[Qtt]]),IF(TbTradesBinance[[#This Row],[Tipo]]="BUY",T129-TbTradesBinance[[#This Row],[Qtt]]*TbTradesBinance[[#This Row],[Preço]],T129+TbTradesBinance[[#This Row],[Qtt]]*TbTradesBinance[[#This Row],[Preço]])),T129)-IF(TbTradesBinance[[#This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Row],[Tipo]]="DROP"),T129+TbTradesBinance[[#This Row],[Qtt]],T129-TbTradesBinance[[#This Row],[Qtt]]),IF(TbTradesBinance[[#This Row],[Tipo]]="BUY",T129-TbTradesBinance[[#This Row],[Qtt]]*TbTradesBinance[[#This Row],[Preço]],T129+TbTradesBinance[[#This Row],[Qtt]]*TbTradesBinance[[#This Row],[Preço]])),T129)-IF(TbTradesBinance[[#This Row],[Moeda da Taxa]]=MID(T$1,9,5),TbTradesBinance[[#This Row],[Taxa]],0),8)))</f>
        <v>199735.32000169999</v>
      </c>
      <c r="U130" s="145" cm="1">
        <f t="array" ref="U130">IF(TbTradesBinance[[#This Row],[Tipo]]="EMPTY",0,U129+IF(TbTradesBinance[[#This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Row],[Par]]))),$1:$1,0)),-(T129-T130)/T129*U129),0),0)+IF(TbTradesBinance[[#This Row],[Tipo]]="SELL",IF(ISNUMBER(FIND(MID(U$1,10,5),TbTradesBinance[[#This Row],[Par]])),IF(FIND(MID(U$1,10,5),TbTradesBinance[[#This Row],[Par]])=1, -(T129-T130)/T129*U129,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Row],[Par]])),(-(T129-T130)/T129*U129)+IF(TbTradesBinance[[#This Row],[Resultado]]&gt;0,0,TbTradesBinance[[#This Row],[Taxa]]),0),0))</f>
        <v>1328239.8809817513</v>
      </c>
      <c r="V130" s="145">
        <f t="shared" ref="V130:V193" si="41">IF(T130=0,0,U130/T130)</f>
        <v>6.6500000148719129</v>
      </c>
      <c r="W13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Row],[Tipo]]="DROP"),W129+TbTradesBinance[[#This Row],[Qtt]],W129-TbTradesBinance[[#This Row],[Qtt]]),IF(TbTradesBinance[[#This Row],[Tipo]]="BUY",W129-TbTradesBinance[[#This Row],[Qtt]]*TbTradesBinance[[#This Row],[Preço]],W129+TbTradesBinance[[#This Row],[Qtt]]*TbTradesBinance[[#This Row],[Preço]])),W129)-IF(TbTradesBinance[[#This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Row],[Tipo]]="DROP"),W129+TbTradesBinance[[#This Row],[Qtt]],W129-TbTradesBinance[[#This Row],[Qtt]]),IF(TbTradesBinance[[#This Row],[Tipo]]="BUY",W129-TbTradesBinance[[#This Row],[Qtt]]*TbTradesBinance[[#This Row],[Preço]],W129+TbTradesBinance[[#This Row],[Qtt]]*TbTradesBinance[[#This Row],[Preço]])),W129)-IF(TbTradesBinance[[#This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Row],[Tipo]]="DROP"),W129+TbTradesBinance[[#This Row],[Qtt]],W129-TbTradesBinance[[#This Row],[Qtt]]),IF(TbTradesBinance[[#This Row],[Tipo]]="BUY",W129-TbTradesBinance[[#This Row],[Qtt]]*TbTradesBinance[[#This Row],[Preço]],W129+TbTradesBinance[[#This Row],[Qtt]]*TbTradesBinance[[#This Row],[Preço]])),W129)-IF(TbTradesBinance[[#This Row],[Moeda da Taxa]]=MID(W$1,9,5),TbTradesBinance[[#This Row],[Taxa]],0),8)))</f>
        <v>2.5393600000000001E-3</v>
      </c>
      <c r="X130" s="145" cm="1">
        <f t="array" ref="X130">IF(TbTradesBinance[[#This Row],[Tipo]]="EMPTY",0,X129+IF(TbTradesBinance[[#This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Row],[Par]]))),$1:$1,0)),-(W129-W130)/W129*X129),0),0)+IF(TbTradesBinance[[#This Row],[Tipo]]="SELL",IF(ISNUMBER(FIND(MID(X$1,10,5),TbTradesBinance[[#This Row],[Par]])),IF(FIND(MID(X$1,10,5),TbTradesBinance[[#This Row],[Par]])=1, -(W129-W130)/W129*X129,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Row],[Par]])),(-(W129-W130)/W129*X129)+IF(TbTradesBinance[[#This Row],[Resultado]]&gt;0,0,TbTradesBinance[[#This Row],[Taxa]]),0),0))</f>
        <v>847.47496668103008</v>
      </c>
      <c r="Y130" s="145">
        <f t="shared" ref="Y130:Y193" si="42">IF(W130=0,0,X130/W130)</f>
        <v>333735.65255853051</v>
      </c>
      <c r="Z13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Row],[Tipo]]="DROP"),Z129+TbTradesBinance[[#This Row],[Qtt]],Z129-TbTradesBinance[[#This Row],[Qtt]]),IF(TbTradesBinance[[#This Row],[Tipo]]="BUY",Z129-TbTradesBinance[[#This Row],[Qtt]]*TbTradesBinance[[#This Row],[Preço]],Z129+TbTradesBinance[[#This Row],[Qtt]]*TbTradesBinance[[#This Row],[Preço]])),Z129)-IF(TbTradesBinance[[#This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Row],[Tipo]]="DROP"),Z129+TbTradesBinance[[#This Row],[Qtt]],Z129-TbTradesBinance[[#This Row],[Qtt]]),IF(TbTradesBinance[[#This Row],[Tipo]]="BUY",Z129-TbTradesBinance[[#This Row],[Qtt]]*TbTradesBinance[[#This Row],[Preço]],Z129+TbTradesBinance[[#This Row],[Qtt]]*TbTradesBinance[[#This Row],[Preço]])),Z129)-IF(TbTradesBinance[[#This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Row],[Tipo]]="DROP"),Z129+TbTradesBinance[[#This Row],[Qtt]],Z129-TbTradesBinance[[#This Row],[Qtt]]),IF(TbTradesBinance[[#This Row],[Tipo]]="BUY",Z129-TbTradesBinance[[#This Row],[Qtt]]*TbTradesBinance[[#This Row],[Preço]],Z129+TbTradesBinance[[#This Row],[Qtt]]*TbTradesBinance[[#This Row],[Preço]])),Z129)-IF(TbTradesBinance[[#This Row],[Moeda da Taxa]]=MID(Z$1,9,5),TbTradesBinance[[#This Row],[Taxa]],0),8)))</f>
        <v>9.3300000000000005E-6</v>
      </c>
      <c r="AA130" s="145" cm="1">
        <f t="array" ref="AA130">IF(TbTradesBinance[[#This Row],[Tipo]]="EMPTY",0,AA129+IF(TbTradesBinance[[#This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Row],[Par]]))),$1:$1,0)),-(Z129-Z130)/Z129*AA129),0),0)+IF(TbTradesBinance[[#This Row],[Tipo]]="SELL",IF(ISNUMBER(FIND(MID(AA$1,10,5),TbTradesBinance[[#This Row],[Par]])),IF(FIND(MID(AA$1,10,5),TbTradesBinance[[#This Row],[Par]])=1, -(Z129-Z130)/Z129*AA129,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Row],[Par]])),(-(Z129-Z130)/Z129*AA129)+IF(TbTradesBinance[[#This Row],[Resultado]]&gt;0,0,TbTradesBinance[[#This Row],[Taxa]]),0),0))</f>
        <v>9.7066397187928644E-2</v>
      </c>
      <c r="AB130" s="145">
        <f t="shared" ref="AB130:AB193" si="43">IF(Z130=0,0,AA130/Z130)</f>
        <v>10403.686729681525</v>
      </c>
      <c r="AC13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Row],[Tipo]]="DROP"),AC129+TbTradesBinance[[#This Row],[Qtt]],AC129-TbTradesBinance[[#This Row],[Qtt]]),IF(TbTradesBinance[[#This Row],[Tipo]]="BUY",AC129-TbTradesBinance[[#This Row],[Qtt]]*TbTradesBinance[[#This Row],[Preço]],AC129+TbTradesBinance[[#This Row],[Qtt]]*TbTradesBinance[[#This Row],[Preço]])),AC129)-IF(TbTradesBinance[[#This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Row],[Tipo]]="DROP"),AC129+TbTradesBinance[[#This Row],[Qtt]],AC129-TbTradesBinance[[#This Row],[Qtt]]),IF(TbTradesBinance[[#This Row],[Tipo]]="BUY",AC129-TbTradesBinance[[#This Row],[Qtt]]*TbTradesBinance[[#This Row],[Preço]],AC129+TbTradesBinance[[#This Row],[Qtt]]*TbTradesBinance[[#This Row],[Preço]])),AC129)-IF(TbTradesBinance[[#This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Row],[Tipo]]="DROP"),AC129+TbTradesBinance[[#This Row],[Qtt]],AC129-TbTradesBinance[[#This Row],[Qtt]]),IF(TbTradesBinance[[#This Row],[Tipo]]="BUY",AC129-TbTradesBinance[[#This Row],[Qtt]]*TbTradesBinance[[#This Row],[Preço]],AC129+TbTradesBinance[[#This Row],[Qtt]]*TbTradesBinance[[#This Row],[Preço]])),AC129)-IF(TbTradesBinance[[#This Row],[Moeda da Taxa]]=MID(AC$1,9,5),TbTradesBinance[[#This Row],[Taxa]],0),8)))</f>
        <v>0</v>
      </c>
      <c r="AD130" s="145" cm="1">
        <f t="array" ref="AD130">IF(TbTradesBinance[[#This Row],[Tipo]]="EMPTY",0,AD129+IF(TbTradesBinance[[#This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Row],[Par]]))),$1:$1,0)),-(AC129-AC130)/AC129*AD129),0),0)+IF(TbTradesBinance[[#This Row],[Tipo]]="SELL",IF(ISNUMBER(FIND(MID(AD$1,10,5),TbTradesBinance[[#This Row],[Par]])),IF(FIND(MID(AD$1,10,5),TbTradesBinance[[#This Row],[Par]])=1, -(AC129-AC130)/AC129*AD129,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Row],[Par]])),(-(AC129-AC130)/AC129*AD129)+IF(TbTradesBinance[[#This Row],[Resultado]]&gt;0,0,TbTradesBinance[[#This Row],[Taxa]]),0),0))</f>
        <v>0</v>
      </c>
      <c r="AE130" s="145">
        <f t="shared" ref="AE130:AE193" si="44">IF(AC130=0,0,AD130/AC130)</f>
        <v>0</v>
      </c>
      <c r="AF13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Row],[Tipo]]="DROP"),AF129+TbTradesBinance[[#This Row],[Qtt]],AF129-TbTradesBinance[[#This Row],[Qtt]]),IF(TbTradesBinance[[#This Row],[Tipo]]="BUY",AF129-TbTradesBinance[[#This Row],[Qtt]]*TbTradesBinance[[#This Row],[Preço]],AF129+TbTradesBinance[[#This Row],[Qtt]]*TbTradesBinance[[#This Row],[Preço]])),AF129)-IF(TbTradesBinance[[#This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Row],[Tipo]]="DROP"),AF129+TbTradesBinance[[#This Row],[Qtt]],AF129-TbTradesBinance[[#This Row],[Qtt]]),IF(TbTradesBinance[[#This Row],[Tipo]]="BUY",AF129-TbTradesBinance[[#This Row],[Qtt]]*TbTradesBinance[[#This Row],[Preço]],AF129+TbTradesBinance[[#This Row],[Qtt]]*TbTradesBinance[[#This Row],[Preço]])),AF129)-IF(TbTradesBinance[[#This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Row],[Tipo]]="DROP"),AF129+TbTradesBinance[[#This Row],[Qtt]],AF129-TbTradesBinance[[#This Row],[Qtt]]),IF(TbTradesBinance[[#This Row],[Tipo]]="BUY",AF129-TbTradesBinance[[#This Row],[Qtt]]*TbTradesBinance[[#This Row],[Preço]],AF129+TbTradesBinance[[#This Row],[Qtt]]*TbTradesBinance[[#This Row],[Preço]])),AF129)-IF(TbTradesBinance[[#This Row],[Moeda da Taxa]]=MID(AF$1,9,5),TbTradesBinance[[#This Row],[Taxa]],0),8)))</f>
        <v>0</v>
      </c>
      <c r="AG130" s="145" cm="1">
        <f t="array" ref="AG130">IF(TbTradesBinance[[#This Row],[Tipo]]="EMPTY",0,AG129+IF(TbTradesBinance[[#This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Row],[Par]]))),$1:$1,0)),-(AF129-AF130)/AF129*AG129),0),0)+IF(TbTradesBinance[[#This Row],[Tipo]]="SELL",IF(ISNUMBER(FIND(MID(AG$1,10,5),TbTradesBinance[[#This Row],[Par]])),IF(FIND(MID(AG$1,10,5),TbTradesBinance[[#This Row],[Par]])=1, -(AF129-AF130)/AF129*AG129,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Row],[Par]])),(-(AF129-AF130)/AF129*AG129)+IF(TbTradesBinance[[#This Row],[Resultado]]&gt;0,0,TbTradesBinance[[#This Row],[Taxa]]),0),0))</f>
        <v>0</v>
      </c>
      <c r="AH130" s="145">
        <f t="shared" ref="AH130:AH193" si="45">IF(AF130=0,0,AG130/AF130)</f>
        <v>0</v>
      </c>
      <c r="AI13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Row],[Tipo]]="DROP"),AI129+TbTradesBinance[[#This Row],[Qtt]],AI129-TbTradesBinance[[#This Row],[Qtt]]),IF(TbTradesBinance[[#This Row],[Tipo]]="BUY",AI129-TbTradesBinance[[#This Row],[Qtt]]*TbTradesBinance[[#This Row],[Preço]],AI129+TbTradesBinance[[#This Row],[Qtt]]*TbTradesBinance[[#This Row],[Preço]])),AI129)-IF(TbTradesBinance[[#This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Row],[Tipo]]="DROP"),AI129+TbTradesBinance[[#This Row],[Qtt]],AI129-TbTradesBinance[[#This Row],[Qtt]]),IF(TbTradesBinance[[#This Row],[Tipo]]="BUY",AI129-TbTradesBinance[[#This Row],[Qtt]]*TbTradesBinance[[#This Row],[Preço]],AI129+TbTradesBinance[[#This Row],[Qtt]]*TbTradesBinance[[#This Row],[Preço]])),AI129)-IF(TbTradesBinance[[#This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Row],[Tipo]]="DROP"),AI129+TbTradesBinance[[#This Row],[Qtt]],AI129-TbTradesBinance[[#This Row],[Qtt]]),IF(TbTradesBinance[[#This Row],[Tipo]]="BUY",AI129-TbTradesBinance[[#This Row],[Qtt]]*TbTradesBinance[[#This Row],[Preço]],AI129+TbTradesBinance[[#This Row],[Qtt]]*TbTradesBinance[[#This Row],[Preço]])),AI129)-IF(TbTradesBinance[[#This Row],[Moeda da Taxa]]=MID(AI$1,9,5),TbTradesBinance[[#This Row],[Taxa]],0),8)))</f>
        <v>0</v>
      </c>
      <c r="AJ130" s="145" cm="1">
        <f t="array" ref="AJ130">IF(TbTradesBinance[[#This Row],[Tipo]]="EMPTY",0,AJ129+IF(TbTradesBinance[[#This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Row],[Par]]))),$1:$1,0)),-(AI129-AI130)/AI129*AJ129),0),0)+IF(TbTradesBinance[[#This Row],[Tipo]]="SELL",IF(ISNUMBER(FIND(MID(AJ$1,10,5),TbTradesBinance[[#This Row],[Par]])),IF(FIND(MID(AJ$1,10,5),TbTradesBinance[[#This Row],[Par]])=1, -(AI129-AI130)/AI129*AJ129,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Row],[Par]])),(-(AI129-AI130)/AI129*AJ129)+IF(TbTradesBinance[[#This Row],[Resultado]]&gt;0,0,TbTradesBinance[[#This Row],[Taxa]]),0),0))</f>
        <v>0</v>
      </c>
      <c r="AK130" s="145">
        <f t="shared" ref="AK130:AK193" si="46">IF(AI130=0,0,AJ130/AI130)</f>
        <v>0</v>
      </c>
      <c r="AL13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Row],[Tipo]]="DROP"),AL129+TbTradesBinance[[#This Row],[Qtt]],AL129-TbTradesBinance[[#This Row],[Qtt]]),IF(TbTradesBinance[[#This Row],[Tipo]]="BUY",AL129-TbTradesBinance[[#This Row],[Qtt]]*TbTradesBinance[[#This Row],[Preço]],AL129+TbTradesBinance[[#This Row],[Qtt]]*TbTradesBinance[[#This Row],[Preço]])),AL129)-IF(TbTradesBinance[[#This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Row],[Tipo]]="DROP"),AL129+TbTradesBinance[[#This Row],[Qtt]],AL129-TbTradesBinance[[#This Row],[Qtt]]),IF(TbTradesBinance[[#This Row],[Tipo]]="BUY",AL129-TbTradesBinance[[#This Row],[Qtt]]*TbTradesBinance[[#This Row],[Preço]],AL129+TbTradesBinance[[#This Row],[Qtt]]*TbTradesBinance[[#This Row],[Preço]])),AL129)-IF(TbTradesBinance[[#This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Row],[Tipo]]="DROP"),AL129+TbTradesBinance[[#This Row],[Qtt]],AL129-TbTradesBinance[[#This Row],[Qtt]]),IF(TbTradesBinance[[#This Row],[Tipo]]="BUY",AL129-TbTradesBinance[[#This Row],[Qtt]]*TbTradesBinance[[#This Row],[Preço]],AL129+TbTradesBinance[[#This Row],[Qtt]]*TbTradesBinance[[#This Row],[Preço]])),AL129)-IF(TbTradesBinance[[#This Row],[Moeda da Taxa]]=MID(AL$1,9,5),TbTradesBinance[[#This Row],[Taxa]],0),8)))</f>
        <v>0</v>
      </c>
      <c r="AM130" s="145" cm="1">
        <f t="array" ref="AM130">IF(TbTradesBinance[[#This Row],[Tipo]]="EMPTY",0,AM129+IF(TbTradesBinance[[#This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Row],[Par]]))),$1:$1,0)),-(AL129-AL130)/AL129*AM129),0),0)+IF(TbTradesBinance[[#This Row],[Tipo]]="SELL",IF(ISNUMBER(FIND(MID(AM$1,10,5),TbTradesBinance[[#This Row],[Par]])),IF(FIND(MID(AM$1,10,5),TbTradesBinance[[#This Row],[Par]])=1, -(AL129-AL130)/AL129*AM129,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Row],[Par]])),(-(AL129-AL130)/AL129*AM129)+IF(TbTradesBinance[[#This Row],[Resultado]]&gt;0,0,TbTradesBinance[[#This Row],[Taxa]]),0),0))</f>
        <v>0</v>
      </c>
      <c r="AN130" s="145">
        <f t="shared" ref="AN130:AN193" si="47">IF(AL130=0,0,AM130/AL130)</f>
        <v>0</v>
      </c>
      <c r="AO13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Row],[Tipo]]="DROP"),AO129+TbTradesBinance[[#This Row],[Qtt]],AO129-TbTradesBinance[[#This Row],[Qtt]]),IF(TbTradesBinance[[#This Row],[Tipo]]="BUY",AO129-TbTradesBinance[[#This Row],[Qtt]]*TbTradesBinance[[#This Row],[Preço]],AO129+TbTradesBinance[[#This Row],[Qtt]]*TbTradesBinance[[#This Row],[Preço]])),AO129)-IF(TbTradesBinance[[#This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Row],[Tipo]]="DROP"),AO129+TbTradesBinance[[#This Row],[Qtt]],AO129-TbTradesBinance[[#This Row],[Qtt]]),IF(TbTradesBinance[[#This Row],[Tipo]]="BUY",AO129-TbTradesBinance[[#This Row],[Qtt]]*TbTradesBinance[[#This Row],[Preço]],AO129+TbTradesBinance[[#This Row],[Qtt]]*TbTradesBinance[[#This Row],[Preço]])),AO129)-IF(TbTradesBinance[[#This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Row],[Tipo]]="DROP"),AO129+TbTradesBinance[[#This Row],[Qtt]],AO129-TbTradesBinance[[#This Row],[Qtt]]),IF(TbTradesBinance[[#This Row],[Tipo]]="BUY",AO129-TbTradesBinance[[#This Row],[Qtt]]*TbTradesBinance[[#This Row],[Preço]],AO129+TbTradesBinance[[#This Row],[Qtt]]*TbTradesBinance[[#This Row],[Preço]])),AO129)-IF(TbTradesBinance[[#This Row],[Moeda da Taxa]]=MID(AO$1,9,5),TbTradesBinance[[#This Row],[Taxa]],0),8)))</f>
        <v>3.7100760000000003E-2</v>
      </c>
      <c r="AP130" s="145" cm="1">
        <f t="array" ref="AP130">IF(TbTradesBinance[[#This Row],[Tipo]]="EMPTY",0,AP129+IF(TbTradesBinance[[#This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Row],[Par]]))),$1:$1,0)),-(AO129-AO130)/AO129*AP129),0),0)+IF(TbTradesBinance[[#This Row],[Tipo]]="SELL",IF(ISNUMBER(FIND(MID(AP$1,10,5),TbTradesBinance[[#This Row],[Par]])),IF(FIND(MID(AP$1,10,5),TbTradesBinance[[#This Row],[Par]])=1, -(AO129-AO130)/AO129*AP129,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Row],[Par]])),(-(AO129-AO130)/AO129*AP129)+IF(TbTradesBinance[[#This Row],[Resultado]]&gt;0,0,TbTradesBinance[[#This Row],[Taxa]]),0),0))</f>
        <v>56.766080814619706</v>
      </c>
      <c r="AQ130" s="145">
        <f t="shared" ref="AQ130:AQ193" si="48">IF(AO130=0,0,AP130/AO130)</f>
        <v>1530.0516974482382</v>
      </c>
      <c r="AR13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Row],[Tipo]]="DROP"),AR129+TbTradesBinance[[#This Row],[Qtt]],AR129-TbTradesBinance[[#This Row],[Qtt]]),IF(TbTradesBinance[[#This Row],[Tipo]]="BUY",AR129-TbTradesBinance[[#This Row],[Qtt]]*TbTradesBinance[[#This Row],[Preço]],AR129+TbTradesBinance[[#This Row],[Qtt]]*TbTradesBinance[[#This Row],[Preço]])),AR129)-IF(TbTradesBinance[[#This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Row],[Tipo]]="DROP"),AR129+TbTradesBinance[[#This Row],[Qtt]],AR129-TbTradesBinance[[#This Row],[Qtt]]),IF(TbTradesBinance[[#This Row],[Tipo]]="BUY",AR129-TbTradesBinance[[#This Row],[Qtt]]*TbTradesBinance[[#This Row],[Preço]],AR129+TbTradesBinance[[#This Row],[Qtt]]*TbTradesBinance[[#This Row],[Preço]])),AR129)-IF(TbTradesBinance[[#This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Row],[Tipo]]="DROP"),AR129+TbTradesBinance[[#This Row],[Qtt]],AR129-TbTradesBinance[[#This Row],[Qtt]]),IF(TbTradesBinance[[#This Row],[Tipo]]="BUY",AR129-TbTradesBinance[[#This Row],[Qtt]]*TbTradesBinance[[#This Row],[Preço]],AR129+TbTradesBinance[[#This Row],[Qtt]]*TbTradesBinance[[#This Row],[Preço]])),AR129)-IF(TbTradesBinance[[#This Row],[Moeda da Taxa]]=MID(AR$1,9,5),TbTradesBinance[[#This Row],[Taxa]],0),8)))</f>
        <v>61.251199999999997</v>
      </c>
      <c r="AS130" s="145" cm="1">
        <f t="array" ref="AS130">IF(TbTradesBinance[[#This Row],[Tipo]]="EMPTY",0,AS129+IF(TbTradesBinance[[#This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Row],[Par]]))),$1:$1,0)),-(AR129-AR130)/AR129*AS129),0),0)+IF(TbTradesBinance[[#This Row],[Tipo]]="SELL",IF(ISNUMBER(FIND(MID(AS$1,10,5),TbTradesBinance[[#This Row],[Par]])),IF(FIND(MID(AS$1,10,5),TbTradesBinance[[#This Row],[Par]])=1, -(AR129-AR130)/AR129*AS129,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Row],[Par]])),(-(AR129-AR130)/AR129*AS129)+IF(TbTradesBinance[[#This Row],[Resultado]]&gt;0,0,TbTradesBinance[[#This Row],[Taxa]]),0),0))</f>
        <v>230.84001376053044</v>
      </c>
      <c r="AT130" s="145">
        <f t="shared" ref="AT130:AT193" si="49">IF(AR130=0,0,AS130/AR130)</f>
        <v>3.7687427146003745</v>
      </c>
      <c r="AU13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Row],[Tipo]]="DROP"),AU129+TbTradesBinance[[#This Row],[Qtt]],AU129-TbTradesBinance[[#This Row],[Qtt]]),IF(TbTradesBinance[[#This Row],[Tipo]]="BUY",AU129-TbTradesBinance[[#This Row],[Qtt]]*TbTradesBinance[[#This Row],[Preço]],AU129+TbTradesBinance[[#This Row],[Qtt]]*TbTradesBinance[[#This Row],[Preço]])),AU129)-IF(TbTradesBinance[[#This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Row],[Tipo]]="DROP"),AU129+TbTradesBinance[[#This Row],[Qtt]],AU129-TbTradesBinance[[#This Row],[Qtt]]),IF(TbTradesBinance[[#This Row],[Tipo]]="BUY",AU129-TbTradesBinance[[#This Row],[Qtt]]*TbTradesBinance[[#This Row],[Preço]],AU129+TbTradesBinance[[#This Row],[Qtt]]*TbTradesBinance[[#This Row],[Preço]])),AU129)-IF(TbTradesBinance[[#This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Row],[Tipo]]="DROP"),AU129+TbTradesBinance[[#This Row],[Qtt]],AU129-TbTradesBinance[[#This Row],[Qtt]]),IF(TbTradesBinance[[#This Row],[Tipo]]="BUY",AU129-TbTradesBinance[[#This Row],[Qtt]]*TbTradesBinance[[#This Row],[Preço]],AU129+TbTradesBinance[[#This Row],[Qtt]]*TbTradesBinance[[#This Row],[Preço]])),AU129)-IF(TbTradesBinance[[#This Row],[Moeda da Taxa]]=MID(AU$1,9,5),TbTradesBinance[[#This Row],[Taxa]],0),8)))</f>
        <v>0</v>
      </c>
      <c r="AV130" s="145" cm="1">
        <f t="array" ref="AV130">IF(TbTradesBinance[[#This Row],[Tipo]]="EMPTY",0,AV129+IF(TbTradesBinance[[#This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Row],[Par]]))),$1:$1,0)),-(AU129-AU130)/AU129*AV129),0),0)+IF(TbTradesBinance[[#This Row],[Tipo]]="SELL",IF(ISNUMBER(FIND(MID(AV$1,10,5),TbTradesBinance[[#This Row],[Par]])),IF(FIND(MID(AV$1,10,5),TbTradesBinance[[#This Row],[Par]])=1, -(AU129-AU130)/AU129*AV129,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Row],[Par]])),(-(AU129-AU130)/AU129*AV129)+IF(TbTradesBinance[[#This Row],[Resultado]]&gt;0,0,TbTradesBinance[[#This Row],[Taxa]]),0),0))</f>
        <v>0</v>
      </c>
      <c r="AW130" s="145">
        <f t="shared" ref="AW130:AW193" si="50">IF(AU130=0,0,AV130/AU130)</f>
        <v>0</v>
      </c>
      <c r="AX13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Row],[Tipo]]="DROP"),AX129+TbTradesBinance[[#This Row],[Qtt]],AX129-TbTradesBinance[[#This Row],[Qtt]]),IF(TbTradesBinance[[#This Row],[Tipo]]="BUY",AX129-TbTradesBinance[[#This Row],[Qtt]]*TbTradesBinance[[#This Row],[Preço]],AX129+TbTradesBinance[[#This Row],[Qtt]]*TbTradesBinance[[#This Row],[Preço]])),AX129)-IF(TbTradesBinance[[#This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Row],[Tipo]]="DROP"),AX129+TbTradesBinance[[#This Row],[Qtt]],AX129-TbTradesBinance[[#This Row],[Qtt]]),IF(TbTradesBinance[[#This Row],[Tipo]]="BUY",AX129-TbTradesBinance[[#This Row],[Qtt]]*TbTradesBinance[[#This Row],[Preço]],AX129+TbTradesBinance[[#This Row],[Qtt]]*TbTradesBinance[[#This Row],[Preço]])),AX129)-IF(TbTradesBinance[[#This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Row],[Tipo]]="DROP"),AX129+TbTradesBinance[[#This Row],[Qtt]],AX129-TbTradesBinance[[#This Row],[Qtt]]),IF(TbTradesBinance[[#This Row],[Tipo]]="BUY",AX129-TbTradesBinance[[#This Row],[Qtt]]*TbTradesBinance[[#This Row],[Preço]],AX129+TbTradesBinance[[#This Row],[Qtt]]*TbTradesBinance[[#This Row],[Preço]])),AX129)-IF(TbTradesBinance[[#This Row],[Moeda da Taxa]]=MID(AX$1,9,5),TbTradesBinance[[#This Row],[Taxa]],0),8)))</f>
        <v>0.85636999999999996</v>
      </c>
      <c r="AY130" s="145" cm="1">
        <f t="array" ref="AY130">IF(TbTradesBinance[[#This Row],[Tipo]]="EMPTY",0,AY129+IF(TbTradesBinance[[#This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Row],[Par]]))),$1:$1,0)),-(AX129-AX130)/AX129*AY129),0),0)+IF(TbTradesBinance[[#This Row],[Tipo]]="SELL",IF(ISNUMBER(FIND(MID(AY$1,10,5),TbTradesBinance[[#This Row],[Par]])),IF(FIND(MID(AY$1,10,5),TbTradesBinance[[#This Row],[Par]])=1, -(AX129-AX130)/AX129*AY129,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Row],[Par]])),(-(AX129-AX130)/AX129*AY129)+IF(TbTradesBinance[[#This Row],[Resultado]]&gt;0,0,TbTradesBinance[[#This Row],[Taxa]]),0),0))</f>
        <v>131.82971181780295</v>
      </c>
      <c r="AZ130" s="145">
        <f t="shared" ref="AZ130:AZ193" si="51">IF(AX130=0,0,AY130/AX130)</f>
        <v>153.94013314081874</v>
      </c>
      <c r="BA13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Row],[Tipo]]="DROP"),BA129+TbTradesBinance[[#This Row],[Qtt]],BA129-TbTradesBinance[[#This Row],[Qtt]]),IF(TbTradesBinance[[#This Row],[Tipo]]="BUY",BA129-TbTradesBinance[[#This Row],[Qtt]]*TbTradesBinance[[#This Row],[Preço]],BA129+TbTradesBinance[[#This Row],[Qtt]]*TbTradesBinance[[#This Row],[Preço]])),BA129)-IF(TbTradesBinance[[#This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Row],[Tipo]]="DROP"),BA129+TbTradesBinance[[#This Row],[Qtt]],BA129-TbTradesBinance[[#This Row],[Qtt]]),IF(TbTradesBinance[[#This Row],[Tipo]]="BUY",BA129-TbTradesBinance[[#This Row],[Qtt]]*TbTradesBinance[[#This Row],[Preço]],BA129+TbTradesBinance[[#This Row],[Qtt]]*TbTradesBinance[[#This Row],[Preço]])),BA129)-IF(TbTradesBinance[[#This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Row],[Tipo]]="DROP"),BA129+TbTradesBinance[[#This Row],[Qtt]],BA129-TbTradesBinance[[#This Row],[Qtt]]),IF(TbTradesBinance[[#This Row],[Tipo]]="BUY",BA129-TbTradesBinance[[#This Row],[Qtt]]*TbTradesBinance[[#This Row],[Preço]],BA129+TbTradesBinance[[#This Row],[Qtt]]*TbTradesBinance[[#This Row],[Preço]])),BA129)-IF(TbTradesBinance[[#This Row],[Moeda da Taxa]]=MID(BA$1,9,5),TbTradesBinance[[#This Row],[Taxa]],0),8)))</f>
        <v>0.10571</v>
      </c>
      <c r="BB130" s="145" cm="1">
        <f t="array" ref="BB130">IF(TbTradesBinance[[#This Row],[Tipo]]="EMPTY",0,BB129+IF(TbTradesBinance[[#This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Row],[Par]]))),$1:$1,0)),-(BA129-BA130)/BA129*BB129),0),0)+IF(TbTradesBinance[[#This Row],[Tipo]]="SELL",IF(ISNUMBER(FIND(MID(BB$1,10,5),TbTradesBinance[[#This Row],[Par]])),IF(FIND(MID(BB$1,10,5),TbTradesBinance[[#This Row],[Par]])=1, -(BA129-BA130)/BA129*BB129,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Row],[Par]])),(-(BA129-BA130)/BA129*BB129)+IF(TbTradesBinance[[#This Row],[Resultado]]&gt;0,0,TbTradesBinance[[#This Row],[Taxa]]),0),0))</f>
        <v>120.8257969142021</v>
      </c>
      <c r="BC130" s="145">
        <f t="shared" ref="BC130:BC193" si="52">IF(BA130=0,0,BB130/BA130)</f>
        <v>1142.9930651234708</v>
      </c>
      <c r="BD13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Row],[Tipo]]="DROP"),BD129+TbTradesBinance[[#This Row],[Qtt]],BD129-TbTradesBinance[[#This Row],[Qtt]]),IF(TbTradesBinance[[#This Row],[Tipo]]="BUY",BD129-TbTradesBinance[[#This Row],[Qtt]]*TbTradesBinance[[#This Row],[Preço]],BD129+TbTradesBinance[[#This Row],[Qtt]]*TbTradesBinance[[#This Row],[Preço]])),BD129)-IF(TbTradesBinance[[#This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Row],[Tipo]]="DROP"),BD129+TbTradesBinance[[#This Row],[Qtt]],BD129-TbTradesBinance[[#This Row],[Qtt]]),IF(TbTradesBinance[[#This Row],[Tipo]]="BUY",BD129-TbTradesBinance[[#This Row],[Qtt]]*TbTradesBinance[[#This Row],[Preço]],BD129+TbTradesBinance[[#This Row],[Qtt]]*TbTradesBinance[[#This Row],[Preço]])),BD129)-IF(TbTradesBinance[[#This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Row],[Tipo]]="DROP"),BD129+TbTradesBinance[[#This Row],[Qtt]],BD129-TbTradesBinance[[#This Row],[Qtt]]),IF(TbTradesBinance[[#This Row],[Tipo]]="BUY",BD129-TbTradesBinance[[#This Row],[Qtt]]*TbTradesBinance[[#This Row],[Preço]],BD129+TbTradesBinance[[#This Row],[Qtt]]*TbTradesBinance[[#This Row],[Preço]])),BD129)-IF(TbTradesBinance[[#This Row],[Moeda da Taxa]]=MID(BD$1,9,5),TbTradesBinance[[#This Row],[Taxa]],0),8)))</f>
        <v>0</v>
      </c>
      <c r="BE130" s="145" cm="1">
        <f t="array" ref="BE130">IF(TbTradesBinance[[#This Row],[Tipo]]="EMPTY",0,BE129+IF(TbTradesBinance[[#This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Row],[Par]]))),$1:$1,0)),-(BD129-BD130)/BD129*BE129),0),0)+IF(TbTradesBinance[[#This Row],[Tipo]]="SELL",IF(ISNUMBER(FIND(MID(BE$1,10,5),TbTradesBinance[[#This Row],[Par]])),IF(FIND(MID(BE$1,10,5),TbTradesBinance[[#This Row],[Par]])=1, -(BD129-BD130)/BD129*BE129,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Row],[Par]])),(-(BD129-BD130)/BD129*BE129)+IF(TbTradesBinance[[#This Row],[Resultado]]&gt;0,0,TbTradesBinance[[#This Row],[Taxa]]),0),0))</f>
        <v>0</v>
      </c>
      <c r="BF130" s="145">
        <f t="shared" ref="BF130:BF193" si="53">IF(BD130=0,0,BE130/BD130)</f>
        <v>0</v>
      </c>
      <c r="BG13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Row],[Tipo]]="DROP"),BG129+TbTradesBinance[[#This Row],[Qtt]],BG129-TbTradesBinance[[#This Row],[Qtt]]),IF(TbTradesBinance[[#This Row],[Tipo]]="BUY",BG129-TbTradesBinance[[#This Row],[Qtt]]*TbTradesBinance[[#This Row],[Preço]],BG129+TbTradesBinance[[#This Row],[Qtt]]*TbTradesBinance[[#This Row],[Preço]])),BG129)-IF(TbTradesBinance[[#This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Row],[Tipo]]="DROP"),BG129+TbTradesBinance[[#This Row],[Qtt]],BG129-TbTradesBinance[[#This Row],[Qtt]]),IF(TbTradesBinance[[#This Row],[Tipo]]="BUY",BG129-TbTradesBinance[[#This Row],[Qtt]]*TbTradesBinance[[#This Row],[Preço]],BG129+TbTradesBinance[[#This Row],[Qtt]]*TbTradesBinance[[#This Row],[Preço]])),BG129)-IF(TbTradesBinance[[#This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Row],[Tipo]]="DROP"),BG129+TbTradesBinance[[#This Row],[Qtt]],BG129-TbTradesBinance[[#This Row],[Qtt]]),IF(TbTradesBinance[[#This Row],[Tipo]]="BUY",BG129-TbTradesBinance[[#This Row],[Qtt]]*TbTradesBinance[[#This Row],[Preço]],BG129+TbTradesBinance[[#This Row],[Qtt]]*TbTradesBinance[[#This Row],[Preço]])),BG129)-IF(TbTradesBinance[[#This Row],[Moeda da Taxa]]=MID(BG$1,9,5),TbTradesBinance[[#This Row],[Taxa]],0),8)))</f>
        <v>0</v>
      </c>
      <c r="BH130" s="145" cm="1">
        <f t="array" ref="BH130">IF(TbTradesBinance[[#This Row],[Tipo]]="EMPTY",0,BH129+IF(TbTradesBinance[[#This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Row],[Par]]))),$1:$1,0)),-(BG129-BG130)/BG129*BH129),0),0)+IF(TbTradesBinance[[#This Row],[Tipo]]="SELL",IF(ISNUMBER(FIND(MID(BH$1,10,5),TbTradesBinance[[#This Row],[Par]])),IF(FIND(MID(BH$1,10,5),TbTradesBinance[[#This Row],[Par]])=1, -(BG129-BG130)/BG129*BH129,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Row],[Par]])),(-(BG129-BG130)/BG129*BH129)+IF(TbTradesBinance[[#This Row],[Resultado]]&gt;0,0,TbTradesBinance[[#This Row],[Taxa]]),0),0))</f>
        <v>0</v>
      </c>
      <c r="BI130" s="145">
        <f t="shared" ref="BI130:BI193" si="54">IF(BG130=0,0,BH130/BG130)</f>
        <v>0</v>
      </c>
      <c r="BJ13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Row],[Tipo]]="DROP"),BJ129+TbTradesBinance[[#This Row],[Qtt]],BJ129-TbTradesBinance[[#This Row],[Qtt]]),IF(TbTradesBinance[[#This Row],[Tipo]]="BUY",BJ129-TbTradesBinance[[#This Row],[Qtt]]*TbTradesBinance[[#This Row],[Preço]],BJ129+TbTradesBinance[[#This Row],[Qtt]]*TbTradesBinance[[#This Row],[Preço]])),BJ129)-IF(TbTradesBinance[[#This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Row],[Tipo]]="DROP"),BJ129+TbTradesBinance[[#This Row],[Qtt]],BJ129-TbTradesBinance[[#This Row],[Qtt]]),IF(TbTradesBinance[[#This Row],[Tipo]]="BUY",BJ129-TbTradesBinance[[#This Row],[Qtt]]*TbTradesBinance[[#This Row],[Preço]],BJ129+TbTradesBinance[[#This Row],[Qtt]]*TbTradesBinance[[#This Row],[Preço]])),BJ129)-IF(TbTradesBinance[[#This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Row],[Tipo]]="DROP"),BJ129+TbTradesBinance[[#This Row],[Qtt]],BJ129-TbTradesBinance[[#This Row],[Qtt]]),IF(TbTradesBinance[[#This Row],[Tipo]]="BUY",BJ129-TbTradesBinance[[#This Row],[Qtt]]*TbTradesBinance[[#This Row],[Preço]],BJ129+TbTradesBinance[[#This Row],[Qtt]]*TbTradesBinance[[#This Row],[Preço]])),BJ129)-IF(TbTradesBinance[[#This Row],[Moeda da Taxa]]=MID(BJ$1,9,5),TbTradesBinance[[#This Row],[Taxa]],0),8)))</f>
        <v>2.2480299999999998E-3</v>
      </c>
      <c r="BK130" s="145" cm="1">
        <f t="array" ref="BK130">IF(TbTradesBinance[[#This Row],[Tipo]]="EMPTY",0,BK129+IF(TbTradesBinance[[#This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Row],[Par]]))),$1:$1,0)),-(BJ129-BJ130)/BJ129*BK129),0),0)+IF(TbTradesBinance[[#This Row],[Tipo]]="SELL",IF(ISNUMBER(FIND(MID(BK$1,10,5),TbTradesBinance[[#This Row],[Par]])),IF(FIND(MID(BK$1,10,5),TbTradesBinance[[#This Row],[Par]])=1, -(BJ129-BJ130)/BJ129*BK129,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Row],[Par]])),(-(BJ129-BJ130)/BJ129*BK129)+IF(TbTradesBinance[[#This Row],[Resultado]]&gt;0,0,TbTradesBinance[[#This Row],[Taxa]]),0),0))</f>
        <v>0</v>
      </c>
      <c r="BL130" s="145">
        <f t="shared" ref="BL130:BL193" si="55">IF(BJ130=0,0,BK130/BJ130)</f>
        <v>0</v>
      </c>
      <c r="BM13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Row],[Tipo]]="DROP"),BM129+TbTradesBinance[[#This Row],[Qtt]],BM129-TbTradesBinance[[#This Row],[Qtt]]),IF(TbTradesBinance[[#This Row],[Tipo]]="BUY",BM129-TbTradesBinance[[#This Row],[Qtt]]*TbTradesBinance[[#This Row],[Preço]],BM129+TbTradesBinance[[#This Row],[Qtt]]*TbTradesBinance[[#This Row],[Preço]])),BM129)-IF(TbTradesBinance[[#This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Row],[Tipo]]="DROP"),BM129+TbTradesBinance[[#This Row],[Qtt]],BM129-TbTradesBinance[[#This Row],[Qtt]]),IF(TbTradesBinance[[#This Row],[Tipo]]="BUY",BM129-TbTradesBinance[[#This Row],[Qtt]]*TbTradesBinance[[#This Row],[Preço]],BM129+TbTradesBinance[[#This Row],[Qtt]]*TbTradesBinance[[#This Row],[Preço]])),BM129)-IF(TbTradesBinance[[#This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Row],[Tipo]]="DROP"),BM129+TbTradesBinance[[#This Row],[Qtt]],BM129-TbTradesBinance[[#This Row],[Qtt]]),IF(TbTradesBinance[[#This Row],[Tipo]]="BUY",BM129-TbTradesBinance[[#This Row],[Qtt]]*TbTradesBinance[[#This Row],[Preço]],BM129+TbTradesBinance[[#This Row],[Qtt]]*TbTradesBinance[[#This Row],[Preço]])),BM129)-IF(TbTradesBinance[[#This Row],[Moeda da Taxa]]=MID(BM$1,9,5),TbTradesBinance[[#This Row],[Taxa]],0),8)))</f>
        <v>0</v>
      </c>
      <c r="BN130" s="145" cm="1">
        <f t="array" ref="BN130">IF(TbTradesBinance[[#This Row],[Tipo]]="EMPTY",0,BN129+IF(TbTradesBinance[[#This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Row],[Par]]))),$1:$1,0)),-(BM129-BM130)/BM129*BN129),0),0)+IF(TbTradesBinance[[#This Row],[Tipo]]="SELL",IF(ISNUMBER(FIND(MID(BN$1,10,5),TbTradesBinance[[#This Row],[Par]])),IF(FIND(MID(BN$1,10,5),TbTradesBinance[[#This Row],[Par]])=1, -(BM129-BM130)/BM129*BN129,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Row],[Par]])),(-(BM129-BM130)/BM129*BN129)+IF(TbTradesBinance[[#This Row],[Resultado]]&gt;0,0,TbTradesBinance[[#This Row],[Taxa]]),0),0))</f>
        <v>0</v>
      </c>
      <c r="BO130" s="145">
        <f t="shared" ref="BO130:BO193" si="56">IF(BM130=0,0,BN130/BM130)</f>
        <v>0</v>
      </c>
    </row>
    <row r="131" spans="2:67" x14ac:dyDescent="0.3">
      <c r="B131" s="51"/>
      <c r="C131" s="40">
        <f>TRUNC(IF(AND(TbTradesBinance[[#This Row],[Tipo]]="SEND",TbTradesBinance[[#This Row],[Par]]="BRL"),TbTradesBinance[[#This Row],[Qtt]]*(1-P129)-IF(TbTradesBinance[[#This Row],[Moeda da Taxa]]="BRL",TbTradesBinance[[#This Row],[Taxa]],0),0)+IF(AND(TbTradesBinance[[#This Row],[Tipo]]="BURN",TbTradesBinance[[#This Row],[Par]]="BRL"),-TbTradesBinance[[#This Row],[Qtt]]*P129,0),2)</f>
        <v>0</v>
      </c>
      <c r="D131" s="53">
        <v>44277.708148148151</v>
      </c>
      <c r="E131" s="37" t="s">
        <v>138</v>
      </c>
      <c r="F131" s="47" t="s">
        <v>140</v>
      </c>
      <c r="G131" s="38">
        <v>310000</v>
      </c>
      <c r="H131" s="38">
        <v>2.1549999999999998E-3</v>
      </c>
      <c r="I131" s="38">
        <v>0.66805000000000003</v>
      </c>
      <c r="J131" s="37" t="s">
        <v>50</v>
      </c>
      <c r="K131" s="52">
        <v>1</v>
      </c>
      <c r="L131" s="40">
        <f t="shared" si="38"/>
        <v>310000</v>
      </c>
      <c r="M131" s="40">
        <f>IF(OR(TbTradesBinance[[#This Row],[Tipo]]="BUY",TbTradesBinance[[#This Row],[Tipo]]="RECEIVE",TbTradesBinance[[#This Row],[Tipo]]="DROP"),L131*H131,-L131*H131)</f>
        <v>-668.05</v>
      </c>
      <c r="N13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Row],[Tipo]]="DROP"),N130+TbTradesBinance[[#This Row],[Qtt]],N130-TbTradesBinance[[#This Row],[Qtt]]),IF(TbTradesBinance[[#This Row],[Tipo]]="BUY",N130-TbTradesBinance[[#This Row],[Qtt]]*TbTradesBinance[[#This Row],[Preço]],N130+TbTradesBinance[[#This Row],[Qtt]]*TbTradesBinance[[#This Row],[Preço]])),N130)-IF(TbTradesBinance[[#This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Row],[Tipo]]="DROP"),N130+TbTradesBinance[[#This Row],[Qtt]],N130-TbTradesBinance[[#This Row],[Qtt]]),IF(TbTradesBinance[[#This Row],[Tipo]]="BUY",N130-TbTradesBinance[[#This Row],[Qtt]]*TbTradesBinance[[#This Row],[Preço]],N130+TbTradesBinance[[#This Row],[Qtt]]*TbTradesBinance[[#This Row],[Preço]])),N130)-IF(TbTradesBinance[[#This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Row],[Tipo]]="DROP"),N130+TbTradesBinance[[#This Row],[Qtt]],N130-TbTradesBinance[[#This Row],[Qtt]]),IF(TbTradesBinance[[#This Row],[Tipo]]="BUY",N130-TbTradesBinance[[#This Row],[Qtt]]*TbTradesBinance[[#This Row],[Preço]],N130+TbTradesBinance[[#This Row],[Qtt]]*TbTradesBinance[[#This Row],[Preço]])),N130)-IF(TbTradesBinance[[#This Row],[Moeda da Taxa]]=MID(N$1,9,5),TbTradesBinance[[#This Row],[Taxa]],0),8)))</f>
        <v>120578.84496418</v>
      </c>
      <c r="O131" s="145" cm="1">
        <f t="array" ref="O131">IF(TbTradesBinance[[#This Row],[Tipo]]="EMPTY",0,O130+IF(TbTradesBinance[[#This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Row],[Par]]))),$1:$1,0)),-(N130-N131)/N130*O130),0),0)+IF(TbTradesBinance[[#This Row],[Tipo]]="SELL",IF(ISNUMBER(FIND(MID(O$1,10,5),TbTradesBinance[[#This Row],[Par]])),IF(FIND(MID(O$1,10,5),TbTradesBinance[[#This Row],[Par]])=1, -(N130-N131)/N130*O130,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Row],[Par]])),(-(N130-N131)/N130*O130)+IF(TbTradesBinance[[#This Row],[Resultado]]&gt;0,0,TbTradesBinance[[#This Row],[Taxa]]),0),0))</f>
        <v>120623.58349450718</v>
      </c>
      <c r="P131" s="145">
        <f t="shared" si="39"/>
        <v>1.0003710313392078</v>
      </c>
      <c r="Q13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Row],[Tipo]]="DROP"),Q130+TbTradesBinance[[#This Row],[Qtt]],Q130-TbTradesBinance[[#This Row],[Qtt]]),IF(TbTradesBinance[[#This Row],[Tipo]]="BUY",Q130-TbTradesBinance[[#This Row],[Qtt]]*TbTradesBinance[[#This Row],[Preço]],Q130+TbTradesBinance[[#This Row],[Qtt]]*TbTradesBinance[[#This Row],[Preço]])),Q130)-IF(TbTradesBinance[[#This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Row],[Tipo]]="DROP"),Q130+TbTradesBinance[[#This Row],[Qtt]],Q130-TbTradesBinance[[#This Row],[Qtt]]),IF(TbTradesBinance[[#This Row],[Tipo]]="BUY",Q130-TbTradesBinance[[#This Row],[Qtt]]*TbTradesBinance[[#This Row],[Preço]],Q130+TbTradesBinance[[#This Row],[Qtt]]*TbTradesBinance[[#This Row],[Preço]])),Q130)-IF(TbTradesBinance[[#This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Row],[Tipo]]="DROP"),Q130+TbTradesBinance[[#This Row],[Qtt]],Q130-TbTradesBinance[[#This Row],[Qtt]]),IF(TbTradesBinance[[#This Row],[Tipo]]="BUY",Q130-TbTradesBinance[[#This Row],[Qtt]]*TbTradesBinance[[#This Row],[Preço]],Q130+TbTradesBinance[[#This Row],[Qtt]]*TbTradesBinance[[#This Row],[Preço]])),Q130)-IF(TbTradesBinance[[#This Row],[Moeda da Taxa]]=MID(Q$1,9,5),TbTradesBinance[[#This Row],[Taxa]],0),8)))</f>
        <v>0</v>
      </c>
      <c r="R131" s="145" cm="1">
        <f t="array" ref="R131">IF(TbTradesBinance[[#This Row],[Tipo]]="EMPTY",0,R130+IF(TbTradesBinance[[#This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Row],[Par]]))),$1:$1,0)),-(Q130-Q131)/Q130*R130),0),0)+IF(TbTradesBinance[[#This Row],[Tipo]]="SELL",IF(ISNUMBER(FIND(MID(R$1,10,5),TbTradesBinance[[#This Row],[Par]])),IF(FIND(MID(R$1,10,5),TbTradesBinance[[#This Row],[Par]])=1, -(Q130-Q131)/Q130*R130,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Row],[Par]])),(-(Q130-Q131)/Q130*R130)+IF(TbTradesBinance[[#This Row],[Resultado]]&gt;0,0,TbTradesBinance[[#This Row],[Taxa]]),0),0))</f>
        <v>0</v>
      </c>
      <c r="S131" s="145">
        <f t="shared" si="40"/>
        <v>0</v>
      </c>
      <c r="T13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Row],[Tipo]]="DROP"),T130+TbTradesBinance[[#This Row],[Qtt]],T130-TbTradesBinance[[#This Row],[Qtt]]),IF(TbTradesBinance[[#This Row],[Tipo]]="BUY",T130-TbTradesBinance[[#This Row],[Qtt]]*TbTradesBinance[[#This Row],[Preço]],T130+TbTradesBinance[[#This Row],[Qtt]]*TbTradesBinance[[#This Row],[Preço]])),T130)-IF(TbTradesBinance[[#This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Row],[Tipo]]="DROP"),T130+TbTradesBinance[[#This Row],[Qtt]],T130-TbTradesBinance[[#This Row],[Qtt]]),IF(TbTradesBinance[[#This Row],[Tipo]]="BUY",T130-TbTradesBinance[[#This Row],[Qtt]]*TbTradesBinance[[#This Row],[Preço]],T130+TbTradesBinance[[#This Row],[Qtt]]*TbTradesBinance[[#This Row],[Preço]])),T130)-IF(TbTradesBinance[[#This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Row],[Tipo]]="DROP"),T130+TbTradesBinance[[#This Row],[Qtt]],T130-TbTradesBinance[[#This Row],[Qtt]]),IF(TbTradesBinance[[#This Row],[Tipo]]="BUY",T130-TbTradesBinance[[#This Row],[Qtt]]*TbTradesBinance[[#This Row],[Preço]],T130+TbTradesBinance[[#This Row],[Qtt]]*TbTradesBinance[[#This Row],[Preço]])),T130)-IF(TbTradesBinance[[#This Row],[Moeda da Taxa]]=MID(T$1,9,5),TbTradesBinance[[#This Row],[Taxa]],0),8)))</f>
        <v>199735.32000169999</v>
      </c>
      <c r="U131" s="145" cm="1">
        <f t="array" ref="U131">IF(TbTradesBinance[[#This Row],[Tipo]]="EMPTY",0,U130+IF(TbTradesBinance[[#This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Row],[Par]]))),$1:$1,0)),-(T130-T131)/T130*U130),0),0)+IF(TbTradesBinance[[#This Row],[Tipo]]="SELL",IF(ISNUMBER(FIND(MID(U$1,10,5),TbTradesBinance[[#This Row],[Par]])),IF(FIND(MID(U$1,10,5),TbTradesBinance[[#This Row],[Par]])=1, -(T130-T131)/T130*U130,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Row],[Par]])),(-(T130-T131)/T130*U130)+IF(TbTradesBinance[[#This Row],[Resultado]]&gt;0,0,TbTradesBinance[[#This Row],[Taxa]]),0),0))</f>
        <v>1328239.8809817513</v>
      </c>
      <c r="V131" s="145">
        <f t="shared" si="41"/>
        <v>6.6500000148719129</v>
      </c>
      <c r="W13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Row],[Tipo]]="DROP"),W130+TbTradesBinance[[#This Row],[Qtt]],W130-TbTradesBinance[[#This Row],[Qtt]]),IF(TbTradesBinance[[#This Row],[Tipo]]="BUY",W130-TbTradesBinance[[#This Row],[Qtt]]*TbTradesBinance[[#This Row],[Preço]],W130+TbTradesBinance[[#This Row],[Qtt]]*TbTradesBinance[[#This Row],[Preço]])),W130)-IF(TbTradesBinance[[#This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Row],[Tipo]]="DROP"),W130+TbTradesBinance[[#This Row],[Qtt]],W130-TbTradesBinance[[#This Row],[Qtt]]),IF(TbTradesBinance[[#This Row],[Tipo]]="BUY",W130-TbTradesBinance[[#This Row],[Qtt]]*TbTradesBinance[[#This Row],[Preço]],W130+TbTradesBinance[[#This Row],[Qtt]]*TbTradesBinance[[#This Row],[Preço]])),W130)-IF(TbTradesBinance[[#This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Row],[Tipo]]="DROP"),W130+TbTradesBinance[[#This Row],[Qtt]],W130-TbTradesBinance[[#This Row],[Qtt]]),IF(TbTradesBinance[[#This Row],[Tipo]]="BUY",W130-TbTradesBinance[[#This Row],[Qtt]]*TbTradesBinance[[#This Row],[Preço]],W130+TbTradesBinance[[#This Row],[Qtt]]*TbTradesBinance[[#This Row],[Preço]])),W130)-IF(TbTradesBinance[[#This Row],[Moeda da Taxa]]=MID(W$1,9,5),TbTradesBinance[[#This Row],[Taxa]],0),8)))</f>
        <v>3.8435999999999999E-4</v>
      </c>
      <c r="X131" s="145" cm="1">
        <f t="array" ref="X131">IF(TbTradesBinance[[#This Row],[Tipo]]="EMPTY",0,X130+IF(TbTradesBinance[[#This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Row],[Par]]))),$1:$1,0)),-(W130-W131)/W130*X130),0),0)+IF(TbTradesBinance[[#This Row],[Tipo]]="SELL",IF(ISNUMBER(FIND(MID(X$1,10,5),TbTradesBinance[[#This Row],[Par]])),IF(FIND(MID(X$1,10,5),TbTradesBinance[[#This Row],[Par]])=1, -(W130-W131)/W130*X130,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Row],[Par]])),(-(W130-W131)/W130*X130)+IF(TbTradesBinance[[#This Row],[Resultado]]&gt;0,0,TbTradesBinance[[#This Row],[Taxa]]),0),0))</f>
        <v>128.27463541739678</v>
      </c>
      <c r="Y131" s="145">
        <f t="shared" si="42"/>
        <v>333735.65255853051</v>
      </c>
      <c r="Z13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Row],[Tipo]]="DROP"),Z130+TbTradesBinance[[#This Row],[Qtt]],Z130-TbTradesBinance[[#This Row],[Qtt]]),IF(TbTradesBinance[[#This Row],[Tipo]]="BUY",Z130-TbTradesBinance[[#This Row],[Qtt]]*TbTradesBinance[[#This Row],[Preço]],Z130+TbTradesBinance[[#This Row],[Qtt]]*TbTradesBinance[[#This Row],[Preço]])),Z130)-IF(TbTradesBinance[[#This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Row],[Tipo]]="DROP"),Z130+TbTradesBinance[[#This Row],[Qtt]],Z130-TbTradesBinance[[#This Row],[Qtt]]),IF(TbTradesBinance[[#This Row],[Tipo]]="BUY",Z130-TbTradesBinance[[#This Row],[Qtt]]*TbTradesBinance[[#This Row],[Preço]],Z130+TbTradesBinance[[#This Row],[Qtt]]*TbTradesBinance[[#This Row],[Preço]])),Z130)-IF(TbTradesBinance[[#This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Row],[Tipo]]="DROP"),Z130+TbTradesBinance[[#This Row],[Qtt]],Z130-TbTradesBinance[[#This Row],[Qtt]]),IF(TbTradesBinance[[#This Row],[Tipo]]="BUY",Z130-TbTradesBinance[[#This Row],[Qtt]]*TbTradesBinance[[#This Row],[Preço]],Z130+TbTradesBinance[[#This Row],[Qtt]]*TbTradesBinance[[#This Row],[Preço]])),Z130)-IF(TbTradesBinance[[#This Row],[Moeda da Taxa]]=MID(Z$1,9,5),TbTradesBinance[[#This Row],[Taxa]],0),8)))</f>
        <v>9.3300000000000005E-6</v>
      </c>
      <c r="AA131" s="145" cm="1">
        <f t="array" ref="AA131">IF(TbTradesBinance[[#This Row],[Tipo]]="EMPTY",0,AA130+IF(TbTradesBinance[[#This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Row],[Par]]))),$1:$1,0)),-(Z130-Z131)/Z130*AA130),0),0)+IF(TbTradesBinance[[#This Row],[Tipo]]="SELL",IF(ISNUMBER(FIND(MID(AA$1,10,5),TbTradesBinance[[#This Row],[Par]])),IF(FIND(MID(AA$1,10,5),TbTradesBinance[[#This Row],[Par]])=1, -(Z130-Z131)/Z130*AA130,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Row],[Par]])),(-(Z130-Z131)/Z130*AA130)+IF(TbTradesBinance[[#This Row],[Resultado]]&gt;0,0,TbTradesBinance[[#This Row],[Taxa]]),0),0))</f>
        <v>9.7066397187928644E-2</v>
      </c>
      <c r="AB131" s="145">
        <f t="shared" si="43"/>
        <v>10403.686729681525</v>
      </c>
      <c r="AC13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Row],[Tipo]]="DROP"),AC130+TbTradesBinance[[#This Row],[Qtt]],AC130-TbTradesBinance[[#This Row],[Qtt]]),IF(TbTradesBinance[[#This Row],[Tipo]]="BUY",AC130-TbTradesBinance[[#This Row],[Qtt]]*TbTradesBinance[[#This Row],[Preço]],AC130+TbTradesBinance[[#This Row],[Qtt]]*TbTradesBinance[[#This Row],[Preço]])),AC130)-IF(TbTradesBinance[[#This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Row],[Tipo]]="DROP"),AC130+TbTradesBinance[[#This Row],[Qtt]],AC130-TbTradesBinance[[#This Row],[Qtt]]),IF(TbTradesBinance[[#This Row],[Tipo]]="BUY",AC130-TbTradesBinance[[#This Row],[Qtt]]*TbTradesBinance[[#This Row],[Preço]],AC130+TbTradesBinance[[#This Row],[Qtt]]*TbTradesBinance[[#This Row],[Preço]])),AC130)-IF(TbTradesBinance[[#This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Row],[Tipo]]="DROP"),AC130+TbTradesBinance[[#This Row],[Qtt]],AC130-TbTradesBinance[[#This Row],[Qtt]]),IF(TbTradesBinance[[#This Row],[Tipo]]="BUY",AC130-TbTradesBinance[[#This Row],[Qtt]]*TbTradesBinance[[#This Row],[Preço]],AC130+TbTradesBinance[[#This Row],[Qtt]]*TbTradesBinance[[#This Row],[Preço]])),AC130)-IF(TbTradesBinance[[#This Row],[Moeda da Taxa]]=MID(AC$1,9,5),TbTradesBinance[[#This Row],[Taxa]],0),8)))</f>
        <v>0</v>
      </c>
      <c r="AD131" s="145" cm="1">
        <f t="array" ref="AD131">IF(TbTradesBinance[[#This Row],[Tipo]]="EMPTY",0,AD130+IF(TbTradesBinance[[#This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Row],[Par]]))),$1:$1,0)),-(AC130-AC131)/AC130*AD130),0),0)+IF(TbTradesBinance[[#This Row],[Tipo]]="SELL",IF(ISNUMBER(FIND(MID(AD$1,10,5),TbTradesBinance[[#This Row],[Par]])),IF(FIND(MID(AD$1,10,5),TbTradesBinance[[#This Row],[Par]])=1, -(AC130-AC131)/AC130*AD130,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Row],[Par]])),(-(AC130-AC131)/AC130*AD130)+IF(TbTradesBinance[[#This Row],[Resultado]]&gt;0,0,TbTradesBinance[[#This Row],[Taxa]]),0),0))</f>
        <v>0</v>
      </c>
      <c r="AE131" s="145">
        <f t="shared" si="44"/>
        <v>0</v>
      </c>
      <c r="AF13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Row],[Tipo]]="DROP"),AF130+TbTradesBinance[[#This Row],[Qtt]],AF130-TbTradesBinance[[#This Row],[Qtt]]),IF(TbTradesBinance[[#This Row],[Tipo]]="BUY",AF130-TbTradesBinance[[#This Row],[Qtt]]*TbTradesBinance[[#This Row],[Preço]],AF130+TbTradesBinance[[#This Row],[Qtt]]*TbTradesBinance[[#This Row],[Preço]])),AF130)-IF(TbTradesBinance[[#This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Row],[Tipo]]="DROP"),AF130+TbTradesBinance[[#This Row],[Qtt]],AF130-TbTradesBinance[[#This Row],[Qtt]]),IF(TbTradesBinance[[#This Row],[Tipo]]="BUY",AF130-TbTradesBinance[[#This Row],[Qtt]]*TbTradesBinance[[#This Row],[Preço]],AF130+TbTradesBinance[[#This Row],[Qtt]]*TbTradesBinance[[#This Row],[Preço]])),AF130)-IF(TbTradesBinance[[#This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Row],[Tipo]]="DROP"),AF130+TbTradesBinance[[#This Row],[Qtt]],AF130-TbTradesBinance[[#This Row],[Qtt]]),IF(TbTradesBinance[[#This Row],[Tipo]]="BUY",AF130-TbTradesBinance[[#This Row],[Qtt]]*TbTradesBinance[[#This Row],[Preço]],AF130+TbTradesBinance[[#This Row],[Qtt]]*TbTradesBinance[[#This Row],[Preço]])),AF130)-IF(TbTradesBinance[[#This Row],[Moeda da Taxa]]=MID(AF$1,9,5),TbTradesBinance[[#This Row],[Taxa]],0),8)))</f>
        <v>0</v>
      </c>
      <c r="AG131" s="145" cm="1">
        <f t="array" ref="AG131">IF(TbTradesBinance[[#This Row],[Tipo]]="EMPTY",0,AG130+IF(TbTradesBinance[[#This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Row],[Par]]))),$1:$1,0)),-(AF130-AF131)/AF130*AG130),0),0)+IF(TbTradesBinance[[#This Row],[Tipo]]="SELL",IF(ISNUMBER(FIND(MID(AG$1,10,5),TbTradesBinance[[#This Row],[Par]])),IF(FIND(MID(AG$1,10,5),TbTradesBinance[[#This Row],[Par]])=1, -(AF130-AF131)/AF130*AG130,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Row],[Par]])),(-(AF130-AF131)/AF130*AG130)+IF(TbTradesBinance[[#This Row],[Resultado]]&gt;0,0,TbTradesBinance[[#This Row],[Taxa]]),0),0))</f>
        <v>0</v>
      </c>
      <c r="AH131" s="145">
        <f t="shared" si="45"/>
        <v>0</v>
      </c>
      <c r="AI13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Row],[Tipo]]="DROP"),AI130+TbTradesBinance[[#This Row],[Qtt]],AI130-TbTradesBinance[[#This Row],[Qtt]]),IF(TbTradesBinance[[#This Row],[Tipo]]="BUY",AI130-TbTradesBinance[[#This Row],[Qtt]]*TbTradesBinance[[#This Row],[Preço]],AI130+TbTradesBinance[[#This Row],[Qtt]]*TbTradesBinance[[#This Row],[Preço]])),AI130)-IF(TbTradesBinance[[#This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Row],[Tipo]]="DROP"),AI130+TbTradesBinance[[#This Row],[Qtt]],AI130-TbTradesBinance[[#This Row],[Qtt]]),IF(TbTradesBinance[[#This Row],[Tipo]]="BUY",AI130-TbTradesBinance[[#This Row],[Qtt]]*TbTradesBinance[[#This Row],[Preço]],AI130+TbTradesBinance[[#This Row],[Qtt]]*TbTradesBinance[[#This Row],[Preço]])),AI130)-IF(TbTradesBinance[[#This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Row],[Tipo]]="DROP"),AI130+TbTradesBinance[[#This Row],[Qtt]],AI130-TbTradesBinance[[#This Row],[Qtt]]),IF(TbTradesBinance[[#This Row],[Tipo]]="BUY",AI130-TbTradesBinance[[#This Row],[Qtt]]*TbTradesBinance[[#This Row],[Preço]],AI130+TbTradesBinance[[#This Row],[Qtt]]*TbTradesBinance[[#This Row],[Preço]])),AI130)-IF(TbTradesBinance[[#This Row],[Moeda da Taxa]]=MID(AI$1,9,5),TbTradesBinance[[#This Row],[Taxa]],0),8)))</f>
        <v>0</v>
      </c>
      <c r="AJ131" s="145" cm="1">
        <f t="array" ref="AJ131">IF(TbTradesBinance[[#This Row],[Tipo]]="EMPTY",0,AJ130+IF(TbTradesBinance[[#This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Row],[Par]]))),$1:$1,0)),-(AI130-AI131)/AI130*AJ130),0),0)+IF(TbTradesBinance[[#This Row],[Tipo]]="SELL",IF(ISNUMBER(FIND(MID(AJ$1,10,5),TbTradesBinance[[#This Row],[Par]])),IF(FIND(MID(AJ$1,10,5),TbTradesBinance[[#This Row],[Par]])=1, -(AI130-AI131)/AI130*AJ130,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Row],[Par]])),(-(AI130-AI131)/AI130*AJ130)+IF(TbTradesBinance[[#This Row],[Resultado]]&gt;0,0,TbTradesBinance[[#This Row],[Taxa]]),0),0))</f>
        <v>0</v>
      </c>
      <c r="AK131" s="145">
        <f t="shared" si="46"/>
        <v>0</v>
      </c>
      <c r="AL13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Row],[Tipo]]="DROP"),AL130+TbTradesBinance[[#This Row],[Qtt]],AL130-TbTradesBinance[[#This Row],[Qtt]]),IF(TbTradesBinance[[#This Row],[Tipo]]="BUY",AL130-TbTradesBinance[[#This Row],[Qtt]]*TbTradesBinance[[#This Row],[Preço]],AL130+TbTradesBinance[[#This Row],[Qtt]]*TbTradesBinance[[#This Row],[Preço]])),AL130)-IF(TbTradesBinance[[#This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Row],[Tipo]]="DROP"),AL130+TbTradesBinance[[#This Row],[Qtt]],AL130-TbTradesBinance[[#This Row],[Qtt]]),IF(TbTradesBinance[[#This Row],[Tipo]]="BUY",AL130-TbTradesBinance[[#This Row],[Qtt]]*TbTradesBinance[[#This Row],[Preço]],AL130+TbTradesBinance[[#This Row],[Qtt]]*TbTradesBinance[[#This Row],[Preço]])),AL130)-IF(TbTradesBinance[[#This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Row],[Tipo]]="DROP"),AL130+TbTradesBinance[[#This Row],[Qtt]],AL130-TbTradesBinance[[#This Row],[Qtt]]),IF(TbTradesBinance[[#This Row],[Tipo]]="BUY",AL130-TbTradesBinance[[#This Row],[Qtt]]*TbTradesBinance[[#This Row],[Preço]],AL130+TbTradesBinance[[#This Row],[Qtt]]*TbTradesBinance[[#This Row],[Preço]])),AL130)-IF(TbTradesBinance[[#This Row],[Moeda da Taxa]]=MID(AL$1,9,5),TbTradesBinance[[#This Row],[Taxa]],0),8)))</f>
        <v>0</v>
      </c>
      <c r="AM131" s="145" cm="1">
        <f t="array" ref="AM131">IF(TbTradesBinance[[#This Row],[Tipo]]="EMPTY",0,AM130+IF(TbTradesBinance[[#This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Row],[Par]]))),$1:$1,0)),-(AL130-AL131)/AL130*AM130),0),0)+IF(TbTradesBinance[[#This Row],[Tipo]]="SELL",IF(ISNUMBER(FIND(MID(AM$1,10,5),TbTradesBinance[[#This Row],[Par]])),IF(FIND(MID(AM$1,10,5),TbTradesBinance[[#This Row],[Par]])=1, -(AL130-AL131)/AL130*AM130,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Row],[Par]])),(-(AL130-AL131)/AL130*AM130)+IF(TbTradesBinance[[#This Row],[Resultado]]&gt;0,0,TbTradesBinance[[#This Row],[Taxa]]),0),0))</f>
        <v>0</v>
      </c>
      <c r="AN131" s="145">
        <f t="shared" si="47"/>
        <v>0</v>
      </c>
      <c r="AO13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Row],[Tipo]]="DROP"),AO130+TbTradesBinance[[#This Row],[Qtt]],AO130-TbTradesBinance[[#This Row],[Qtt]]),IF(TbTradesBinance[[#This Row],[Tipo]]="BUY",AO130-TbTradesBinance[[#This Row],[Qtt]]*TbTradesBinance[[#This Row],[Preço]],AO130+TbTradesBinance[[#This Row],[Qtt]]*TbTradesBinance[[#This Row],[Preço]])),AO130)-IF(TbTradesBinance[[#This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Row],[Tipo]]="DROP"),AO130+TbTradesBinance[[#This Row],[Qtt]],AO130-TbTradesBinance[[#This Row],[Qtt]]),IF(TbTradesBinance[[#This Row],[Tipo]]="BUY",AO130-TbTradesBinance[[#This Row],[Qtt]]*TbTradesBinance[[#This Row],[Preço]],AO130+TbTradesBinance[[#This Row],[Qtt]]*TbTradesBinance[[#This Row],[Preço]])),AO130)-IF(TbTradesBinance[[#This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Row],[Tipo]]="DROP"),AO130+TbTradesBinance[[#This Row],[Qtt]],AO130-TbTradesBinance[[#This Row],[Qtt]]),IF(TbTradesBinance[[#This Row],[Tipo]]="BUY",AO130-TbTradesBinance[[#This Row],[Qtt]]*TbTradesBinance[[#This Row],[Preço]],AO130+TbTradesBinance[[#This Row],[Qtt]]*TbTradesBinance[[#This Row],[Preço]])),AO130)-IF(TbTradesBinance[[#This Row],[Moeda da Taxa]]=MID(AO$1,9,5),TbTradesBinance[[#This Row],[Taxa]],0),8)))</f>
        <v>3.7100760000000003E-2</v>
      </c>
      <c r="AP131" s="145" cm="1">
        <f t="array" ref="AP131">IF(TbTradesBinance[[#This Row],[Tipo]]="EMPTY",0,AP130+IF(TbTradesBinance[[#This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Row],[Par]]))),$1:$1,0)),-(AO130-AO131)/AO130*AP130),0),0)+IF(TbTradesBinance[[#This Row],[Tipo]]="SELL",IF(ISNUMBER(FIND(MID(AP$1,10,5),TbTradesBinance[[#This Row],[Par]])),IF(FIND(MID(AP$1,10,5),TbTradesBinance[[#This Row],[Par]])=1, -(AO130-AO131)/AO130*AP130,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Row],[Par]])),(-(AO130-AO131)/AO130*AP130)+IF(TbTradesBinance[[#This Row],[Resultado]]&gt;0,0,TbTradesBinance[[#This Row],[Taxa]]),0),0))</f>
        <v>56.766080814619706</v>
      </c>
      <c r="AQ131" s="145">
        <f t="shared" si="48"/>
        <v>1530.0516974482382</v>
      </c>
      <c r="AR13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Row],[Tipo]]="DROP"),AR130+TbTradesBinance[[#This Row],[Qtt]],AR130-TbTradesBinance[[#This Row],[Qtt]]),IF(TbTradesBinance[[#This Row],[Tipo]]="BUY",AR130-TbTradesBinance[[#This Row],[Qtt]]*TbTradesBinance[[#This Row],[Preço]],AR130+TbTradesBinance[[#This Row],[Qtt]]*TbTradesBinance[[#This Row],[Preço]])),AR130)-IF(TbTradesBinance[[#This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Row],[Tipo]]="DROP"),AR130+TbTradesBinance[[#This Row],[Qtt]],AR130-TbTradesBinance[[#This Row],[Qtt]]),IF(TbTradesBinance[[#This Row],[Tipo]]="BUY",AR130-TbTradesBinance[[#This Row],[Qtt]]*TbTradesBinance[[#This Row],[Preço]],AR130+TbTradesBinance[[#This Row],[Qtt]]*TbTradesBinance[[#This Row],[Preço]])),AR130)-IF(TbTradesBinance[[#This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Row],[Tipo]]="DROP"),AR130+TbTradesBinance[[#This Row],[Qtt]],AR130-TbTradesBinance[[#This Row],[Qtt]]),IF(TbTradesBinance[[#This Row],[Tipo]]="BUY",AR130-TbTradesBinance[[#This Row],[Qtt]]*TbTradesBinance[[#This Row],[Preço]],AR130+TbTradesBinance[[#This Row],[Qtt]]*TbTradesBinance[[#This Row],[Preço]])),AR130)-IF(TbTradesBinance[[#This Row],[Moeda da Taxa]]=MID(AR$1,9,5),TbTradesBinance[[#This Row],[Taxa]],0),8)))</f>
        <v>61.251199999999997</v>
      </c>
      <c r="AS131" s="145" cm="1">
        <f t="array" ref="AS131">IF(TbTradesBinance[[#This Row],[Tipo]]="EMPTY",0,AS130+IF(TbTradesBinance[[#This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Row],[Par]]))),$1:$1,0)),-(AR130-AR131)/AR130*AS130),0),0)+IF(TbTradesBinance[[#This Row],[Tipo]]="SELL",IF(ISNUMBER(FIND(MID(AS$1,10,5),TbTradesBinance[[#This Row],[Par]])),IF(FIND(MID(AS$1,10,5),TbTradesBinance[[#This Row],[Par]])=1, -(AR130-AR131)/AR130*AS130,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Row],[Par]])),(-(AR130-AR131)/AR130*AS130)+IF(TbTradesBinance[[#This Row],[Resultado]]&gt;0,0,TbTradesBinance[[#This Row],[Taxa]]),0),0))</f>
        <v>230.84001376053044</v>
      </c>
      <c r="AT131" s="145">
        <f t="shared" si="49"/>
        <v>3.7687427146003745</v>
      </c>
      <c r="AU13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Row],[Tipo]]="DROP"),AU130+TbTradesBinance[[#This Row],[Qtt]],AU130-TbTradesBinance[[#This Row],[Qtt]]),IF(TbTradesBinance[[#This Row],[Tipo]]="BUY",AU130-TbTradesBinance[[#This Row],[Qtt]]*TbTradesBinance[[#This Row],[Preço]],AU130+TbTradesBinance[[#This Row],[Qtt]]*TbTradesBinance[[#This Row],[Preço]])),AU130)-IF(TbTradesBinance[[#This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Row],[Tipo]]="DROP"),AU130+TbTradesBinance[[#This Row],[Qtt]],AU130-TbTradesBinance[[#This Row],[Qtt]]),IF(TbTradesBinance[[#This Row],[Tipo]]="BUY",AU130-TbTradesBinance[[#This Row],[Qtt]]*TbTradesBinance[[#This Row],[Preço]],AU130+TbTradesBinance[[#This Row],[Qtt]]*TbTradesBinance[[#This Row],[Preço]])),AU130)-IF(TbTradesBinance[[#This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Row],[Tipo]]="DROP"),AU130+TbTradesBinance[[#This Row],[Qtt]],AU130-TbTradesBinance[[#This Row],[Qtt]]),IF(TbTradesBinance[[#This Row],[Tipo]]="BUY",AU130-TbTradesBinance[[#This Row],[Qtt]]*TbTradesBinance[[#This Row],[Preço]],AU130+TbTradesBinance[[#This Row],[Qtt]]*TbTradesBinance[[#This Row],[Preço]])),AU130)-IF(TbTradesBinance[[#This Row],[Moeda da Taxa]]=MID(AU$1,9,5),TbTradesBinance[[#This Row],[Taxa]],0),8)))</f>
        <v>0</v>
      </c>
      <c r="AV131" s="145" cm="1">
        <f t="array" ref="AV131">IF(TbTradesBinance[[#This Row],[Tipo]]="EMPTY",0,AV130+IF(TbTradesBinance[[#This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Row],[Par]]))),$1:$1,0)),-(AU130-AU131)/AU130*AV130),0),0)+IF(TbTradesBinance[[#This Row],[Tipo]]="SELL",IF(ISNUMBER(FIND(MID(AV$1,10,5),TbTradesBinance[[#This Row],[Par]])),IF(FIND(MID(AV$1,10,5),TbTradesBinance[[#This Row],[Par]])=1, -(AU130-AU131)/AU130*AV130,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Row],[Par]])),(-(AU130-AU131)/AU130*AV130)+IF(TbTradesBinance[[#This Row],[Resultado]]&gt;0,0,TbTradesBinance[[#This Row],[Taxa]]),0),0))</f>
        <v>0</v>
      </c>
      <c r="AW131" s="145">
        <f t="shared" si="50"/>
        <v>0</v>
      </c>
      <c r="AX13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Row],[Tipo]]="DROP"),AX130+TbTradesBinance[[#This Row],[Qtt]],AX130-TbTradesBinance[[#This Row],[Qtt]]),IF(TbTradesBinance[[#This Row],[Tipo]]="BUY",AX130-TbTradesBinance[[#This Row],[Qtt]]*TbTradesBinance[[#This Row],[Preço]],AX130+TbTradesBinance[[#This Row],[Qtt]]*TbTradesBinance[[#This Row],[Preço]])),AX130)-IF(TbTradesBinance[[#This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Row],[Tipo]]="DROP"),AX130+TbTradesBinance[[#This Row],[Qtt]],AX130-TbTradesBinance[[#This Row],[Qtt]]),IF(TbTradesBinance[[#This Row],[Tipo]]="BUY",AX130-TbTradesBinance[[#This Row],[Qtt]]*TbTradesBinance[[#This Row],[Preço]],AX130+TbTradesBinance[[#This Row],[Qtt]]*TbTradesBinance[[#This Row],[Preço]])),AX130)-IF(TbTradesBinance[[#This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Row],[Tipo]]="DROP"),AX130+TbTradesBinance[[#This Row],[Qtt]],AX130-TbTradesBinance[[#This Row],[Qtt]]),IF(TbTradesBinance[[#This Row],[Tipo]]="BUY",AX130-TbTradesBinance[[#This Row],[Qtt]]*TbTradesBinance[[#This Row],[Preço]],AX130+TbTradesBinance[[#This Row],[Qtt]]*TbTradesBinance[[#This Row],[Preço]])),AX130)-IF(TbTradesBinance[[#This Row],[Moeda da Taxa]]=MID(AX$1,9,5),TbTradesBinance[[#This Row],[Taxa]],0),8)))</f>
        <v>0.85636999999999996</v>
      </c>
      <c r="AY131" s="145" cm="1">
        <f t="array" ref="AY131">IF(TbTradesBinance[[#This Row],[Tipo]]="EMPTY",0,AY130+IF(TbTradesBinance[[#This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Row],[Par]]))),$1:$1,0)),-(AX130-AX131)/AX130*AY130),0),0)+IF(TbTradesBinance[[#This Row],[Tipo]]="SELL",IF(ISNUMBER(FIND(MID(AY$1,10,5),TbTradesBinance[[#This Row],[Par]])),IF(FIND(MID(AY$1,10,5),TbTradesBinance[[#This Row],[Par]])=1, -(AX130-AX131)/AX130*AY130,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Row],[Par]])),(-(AX130-AX131)/AX130*AY130)+IF(TbTradesBinance[[#This Row],[Resultado]]&gt;0,0,TbTradesBinance[[#This Row],[Taxa]]),0),0))</f>
        <v>131.82971181780295</v>
      </c>
      <c r="AZ131" s="145">
        <f t="shared" si="51"/>
        <v>153.94013314081874</v>
      </c>
      <c r="BA13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Row],[Tipo]]="DROP"),BA130+TbTradesBinance[[#This Row],[Qtt]],BA130-TbTradesBinance[[#This Row],[Qtt]]),IF(TbTradesBinance[[#This Row],[Tipo]]="BUY",BA130-TbTradesBinance[[#This Row],[Qtt]]*TbTradesBinance[[#This Row],[Preço]],BA130+TbTradesBinance[[#This Row],[Qtt]]*TbTradesBinance[[#This Row],[Preço]])),BA130)-IF(TbTradesBinance[[#This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Row],[Tipo]]="DROP"),BA130+TbTradesBinance[[#This Row],[Qtt]],BA130-TbTradesBinance[[#This Row],[Qtt]]),IF(TbTradesBinance[[#This Row],[Tipo]]="BUY",BA130-TbTradesBinance[[#This Row],[Qtt]]*TbTradesBinance[[#This Row],[Preço]],BA130+TbTradesBinance[[#This Row],[Qtt]]*TbTradesBinance[[#This Row],[Preço]])),BA130)-IF(TbTradesBinance[[#This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Row],[Tipo]]="DROP"),BA130+TbTradesBinance[[#This Row],[Qtt]],BA130-TbTradesBinance[[#This Row],[Qtt]]),IF(TbTradesBinance[[#This Row],[Tipo]]="BUY",BA130-TbTradesBinance[[#This Row],[Qtt]]*TbTradesBinance[[#This Row],[Preço]],BA130+TbTradesBinance[[#This Row],[Qtt]]*TbTradesBinance[[#This Row],[Preço]])),BA130)-IF(TbTradesBinance[[#This Row],[Moeda da Taxa]]=MID(BA$1,9,5),TbTradesBinance[[#This Row],[Taxa]],0),8)))</f>
        <v>0.10571</v>
      </c>
      <c r="BB131" s="145" cm="1">
        <f t="array" ref="BB131">IF(TbTradesBinance[[#This Row],[Tipo]]="EMPTY",0,BB130+IF(TbTradesBinance[[#This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Row],[Par]]))),$1:$1,0)),-(BA130-BA131)/BA130*BB130),0),0)+IF(TbTradesBinance[[#This Row],[Tipo]]="SELL",IF(ISNUMBER(FIND(MID(BB$1,10,5),TbTradesBinance[[#This Row],[Par]])),IF(FIND(MID(BB$1,10,5),TbTradesBinance[[#This Row],[Par]])=1, -(BA130-BA131)/BA130*BB130,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Row],[Par]])),(-(BA130-BA131)/BA130*BB130)+IF(TbTradesBinance[[#This Row],[Resultado]]&gt;0,0,TbTradesBinance[[#This Row],[Taxa]]),0),0))</f>
        <v>120.8257969142021</v>
      </c>
      <c r="BC131" s="145">
        <f t="shared" si="52"/>
        <v>1142.9930651234708</v>
      </c>
      <c r="BD13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Row],[Tipo]]="DROP"),BD130+TbTradesBinance[[#This Row],[Qtt]],BD130-TbTradesBinance[[#This Row],[Qtt]]),IF(TbTradesBinance[[#This Row],[Tipo]]="BUY",BD130-TbTradesBinance[[#This Row],[Qtt]]*TbTradesBinance[[#This Row],[Preço]],BD130+TbTradesBinance[[#This Row],[Qtt]]*TbTradesBinance[[#This Row],[Preço]])),BD130)-IF(TbTradesBinance[[#This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Row],[Tipo]]="DROP"),BD130+TbTradesBinance[[#This Row],[Qtt]],BD130-TbTradesBinance[[#This Row],[Qtt]]),IF(TbTradesBinance[[#This Row],[Tipo]]="BUY",BD130-TbTradesBinance[[#This Row],[Qtt]]*TbTradesBinance[[#This Row],[Preço]],BD130+TbTradesBinance[[#This Row],[Qtt]]*TbTradesBinance[[#This Row],[Preço]])),BD130)-IF(TbTradesBinance[[#This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Row],[Tipo]]="DROP"),BD130+TbTradesBinance[[#This Row],[Qtt]],BD130-TbTradesBinance[[#This Row],[Qtt]]),IF(TbTradesBinance[[#This Row],[Tipo]]="BUY",BD130-TbTradesBinance[[#This Row],[Qtt]]*TbTradesBinance[[#This Row],[Preço]],BD130+TbTradesBinance[[#This Row],[Qtt]]*TbTradesBinance[[#This Row],[Preço]])),BD130)-IF(TbTradesBinance[[#This Row],[Moeda da Taxa]]=MID(BD$1,9,5),TbTradesBinance[[#This Row],[Taxa]],0),8)))</f>
        <v>0</v>
      </c>
      <c r="BE131" s="145" cm="1">
        <f t="array" ref="BE131">IF(TbTradesBinance[[#This Row],[Tipo]]="EMPTY",0,BE130+IF(TbTradesBinance[[#This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Row],[Par]]))),$1:$1,0)),-(BD130-BD131)/BD130*BE130),0),0)+IF(TbTradesBinance[[#This Row],[Tipo]]="SELL",IF(ISNUMBER(FIND(MID(BE$1,10,5),TbTradesBinance[[#This Row],[Par]])),IF(FIND(MID(BE$1,10,5),TbTradesBinance[[#This Row],[Par]])=1, -(BD130-BD131)/BD130*BE130,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Row],[Par]])),(-(BD130-BD131)/BD130*BE130)+IF(TbTradesBinance[[#This Row],[Resultado]]&gt;0,0,TbTradesBinance[[#This Row],[Taxa]]),0),0))</f>
        <v>0</v>
      </c>
      <c r="BF131" s="145">
        <f t="shared" si="53"/>
        <v>0</v>
      </c>
      <c r="BG13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Row],[Tipo]]="DROP"),BG130+TbTradesBinance[[#This Row],[Qtt]],BG130-TbTradesBinance[[#This Row],[Qtt]]),IF(TbTradesBinance[[#This Row],[Tipo]]="BUY",BG130-TbTradesBinance[[#This Row],[Qtt]]*TbTradesBinance[[#This Row],[Preço]],BG130+TbTradesBinance[[#This Row],[Qtt]]*TbTradesBinance[[#This Row],[Preço]])),BG130)-IF(TbTradesBinance[[#This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Row],[Tipo]]="DROP"),BG130+TbTradesBinance[[#This Row],[Qtt]],BG130-TbTradesBinance[[#This Row],[Qtt]]),IF(TbTradesBinance[[#This Row],[Tipo]]="BUY",BG130-TbTradesBinance[[#This Row],[Qtt]]*TbTradesBinance[[#This Row],[Preço]],BG130+TbTradesBinance[[#This Row],[Qtt]]*TbTradesBinance[[#This Row],[Preço]])),BG130)-IF(TbTradesBinance[[#This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Row],[Tipo]]="DROP"),BG130+TbTradesBinance[[#This Row],[Qtt]],BG130-TbTradesBinance[[#This Row],[Qtt]]),IF(TbTradesBinance[[#This Row],[Tipo]]="BUY",BG130-TbTradesBinance[[#This Row],[Qtt]]*TbTradesBinance[[#This Row],[Preço]],BG130+TbTradesBinance[[#This Row],[Qtt]]*TbTradesBinance[[#This Row],[Preço]])),BG130)-IF(TbTradesBinance[[#This Row],[Moeda da Taxa]]=MID(BG$1,9,5),TbTradesBinance[[#This Row],[Taxa]],0),8)))</f>
        <v>0</v>
      </c>
      <c r="BH131" s="145" cm="1">
        <f t="array" ref="BH131">IF(TbTradesBinance[[#This Row],[Tipo]]="EMPTY",0,BH130+IF(TbTradesBinance[[#This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Row],[Par]]))),$1:$1,0)),-(BG130-BG131)/BG130*BH130),0),0)+IF(TbTradesBinance[[#This Row],[Tipo]]="SELL",IF(ISNUMBER(FIND(MID(BH$1,10,5),TbTradesBinance[[#This Row],[Par]])),IF(FIND(MID(BH$1,10,5),TbTradesBinance[[#This Row],[Par]])=1, -(BG130-BG131)/BG130*BH130,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Row],[Par]])),(-(BG130-BG131)/BG130*BH130)+IF(TbTradesBinance[[#This Row],[Resultado]]&gt;0,0,TbTradesBinance[[#This Row],[Taxa]]),0),0))</f>
        <v>0</v>
      </c>
      <c r="BI131" s="145">
        <f t="shared" si="54"/>
        <v>0</v>
      </c>
      <c r="BJ13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Row],[Tipo]]="DROP"),BJ130+TbTradesBinance[[#This Row],[Qtt]],BJ130-TbTradesBinance[[#This Row],[Qtt]]),IF(TbTradesBinance[[#This Row],[Tipo]]="BUY",BJ130-TbTradesBinance[[#This Row],[Qtt]]*TbTradesBinance[[#This Row],[Preço]],BJ130+TbTradesBinance[[#This Row],[Qtt]]*TbTradesBinance[[#This Row],[Preço]])),BJ130)-IF(TbTradesBinance[[#This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Row],[Tipo]]="DROP"),BJ130+TbTradesBinance[[#This Row],[Qtt]],BJ130-TbTradesBinance[[#This Row],[Qtt]]),IF(TbTradesBinance[[#This Row],[Tipo]]="BUY",BJ130-TbTradesBinance[[#This Row],[Qtt]]*TbTradesBinance[[#This Row],[Preço]],BJ130+TbTradesBinance[[#This Row],[Qtt]]*TbTradesBinance[[#This Row],[Preço]])),BJ130)-IF(TbTradesBinance[[#This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Row],[Tipo]]="DROP"),BJ130+TbTradesBinance[[#This Row],[Qtt]],BJ130-TbTradesBinance[[#This Row],[Qtt]]),IF(TbTradesBinance[[#This Row],[Tipo]]="BUY",BJ130-TbTradesBinance[[#This Row],[Qtt]]*TbTradesBinance[[#This Row],[Preço]],BJ130+TbTradesBinance[[#This Row],[Qtt]]*TbTradesBinance[[#This Row],[Preço]])),BJ130)-IF(TbTradesBinance[[#This Row],[Moeda da Taxa]]=MID(BJ$1,9,5),TbTradesBinance[[#This Row],[Taxa]],0),8)))</f>
        <v>2.2480299999999998E-3</v>
      </c>
      <c r="BK131" s="145" cm="1">
        <f t="array" ref="BK131">IF(TbTradesBinance[[#This Row],[Tipo]]="EMPTY",0,BK130+IF(TbTradesBinance[[#This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Row],[Par]]))),$1:$1,0)),-(BJ130-BJ131)/BJ130*BK130),0),0)+IF(TbTradesBinance[[#This Row],[Tipo]]="SELL",IF(ISNUMBER(FIND(MID(BK$1,10,5),TbTradesBinance[[#This Row],[Par]])),IF(FIND(MID(BK$1,10,5),TbTradesBinance[[#This Row],[Par]])=1, -(BJ130-BJ131)/BJ130*BK130,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Row],[Par]])),(-(BJ130-BJ131)/BJ130*BK130)+IF(TbTradesBinance[[#This Row],[Resultado]]&gt;0,0,TbTradesBinance[[#This Row],[Taxa]]),0),0))</f>
        <v>0</v>
      </c>
      <c r="BL131" s="145">
        <f t="shared" si="55"/>
        <v>0</v>
      </c>
      <c r="BM13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Row],[Tipo]]="DROP"),BM130+TbTradesBinance[[#This Row],[Qtt]],BM130-TbTradesBinance[[#This Row],[Qtt]]),IF(TbTradesBinance[[#This Row],[Tipo]]="BUY",BM130-TbTradesBinance[[#This Row],[Qtt]]*TbTradesBinance[[#This Row],[Preço]],BM130+TbTradesBinance[[#This Row],[Qtt]]*TbTradesBinance[[#This Row],[Preço]])),BM130)-IF(TbTradesBinance[[#This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Row],[Tipo]]="DROP"),BM130+TbTradesBinance[[#This Row],[Qtt]],BM130-TbTradesBinance[[#This Row],[Qtt]]),IF(TbTradesBinance[[#This Row],[Tipo]]="BUY",BM130-TbTradesBinance[[#This Row],[Qtt]]*TbTradesBinance[[#This Row],[Preço]],BM130+TbTradesBinance[[#This Row],[Qtt]]*TbTradesBinance[[#This Row],[Preço]])),BM130)-IF(TbTradesBinance[[#This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Row],[Tipo]]="DROP"),BM130+TbTradesBinance[[#This Row],[Qtt]],BM130-TbTradesBinance[[#This Row],[Qtt]]),IF(TbTradesBinance[[#This Row],[Tipo]]="BUY",BM130-TbTradesBinance[[#This Row],[Qtt]]*TbTradesBinance[[#This Row],[Preço]],BM130+TbTradesBinance[[#This Row],[Qtt]]*TbTradesBinance[[#This Row],[Preço]])),BM130)-IF(TbTradesBinance[[#This Row],[Moeda da Taxa]]=MID(BM$1,9,5),TbTradesBinance[[#This Row],[Taxa]],0),8)))</f>
        <v>0</v>
      </c>
      <c r="BN131" s="145" cm="1">
        <f t="array" ref="BN131">IF(TbTradesBinance[[#This Row],[Tipo]]="EMPTY",0,BN130+IF(TbTradesBinance[[#This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Row],[Par]]))),$1:$1,0)),-(BM130-BM131)/BM130*BN130),0),0)+IF(TbTradesBinance[[#This Row],[Tipo]]="SELL",IF(ISNUMBER(FIND(MID(BN$1,10,5),TbTradesBinance[[#This Row],[Par]])),IF(FIND(MID(BN$1,10,5),TbTradesBinance[[#This Row],[Par]])=1, -(BM130-BM131)/BM130*BN130,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Row],[Par]])),(-(BM130-BM131)/BM130*BN130)+IF(TbTradesBinance[[#This Row],[Resultado]]&gt;0,0,TbTradesBinance[[#This Row],[Taxa]]),0),0))</f>
        <v>0</v>
      </c>
      <c r="BO131" s="145">
        <f t="shared" si="56"/>
        <v>0</v>
      </c>
    </row>
    <row r="132" spans="2:67" x14ac:dyDescent="0.3">
      <c r="B132" s="51" t="s">
        <v>107</v>
      </c>
      <c r="C132" s="40">
        <f>TRUNC(IF(AND(TbTradesBinance[[#This Row],[Tipo]]="SEND",TbTradesBinance[[#This Row],[Par]]="BRL"),TbTradesBinance[[#This Row],[Qtt]]*(1-P130)-IF(TbTradesBinance[[#This Row],[Moeda da Taxa]]="BRL",TbTradesBinance[[#This Row],[Taxa]],0),0)+IF(AND(TbTradesBinance[[#This Row],[Tipo]]="BURN",TbTradesBinance[[#This Row],[Par]]="BRL"),-TbTradesBinance[[#This Row],[Qtt]]*P130,0),2)</f>
        <v>0</v>
      </c>
      <c r="D132" s="53">
        <v>44277.982499999998</v>
      </c>
      <c r="E132" s="37" t="s">
        <v>265</v>
      </c>
      <c r="F132" s="47" t="s">
        <v>140</v>
      </c>
      <c r="G132" s="38">
        <v>4.7070599999999997E-2</v>
      </c>
      <c r="H132" s="38">
        <v>7.9880000000000001E-5</v>
      </c>
      <c r="I132" s="38">
        <v>8.0000000000000002E-8</v>
      </c>
      <c r="J132" s="37" t="s">
        <v>45</v>
      </c>
      <c r="K132" s="52">
        <v>1450</v>
      </c>
      <c r="L132" s="40">
        <f t="shared" si="38"/>
        <v>68.25</v>
      </c>
      <c r="M132" s="40">
        <f>IF(OR(TbTradesBinance[[#This Row],[Tipo]]="BUY",TbTradesBinance[[#This Row],[Tipo]]="RECEIVE",TbTradesBinance[[#This Row],[Tipo]]="DROP"),L132*H132,-L132*H132)</f>
        <v>-5.4518099999999996E-3</v>
      </c>
      <c r="N13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Row],[Tipo]]="DROP"),N131+TbTradesBinance[[#This Row],[Qtt]],N131-TbTradesBinance[[#This Row],[Qtt]]),IF(TbTradesBinance[[#This Row],[Tipo]]="BUY",N131-TbTradesBinance[[#This Row],[Qtt]]*TbTradesBinance[[#This Row],[Preço]],N131+TbTradesBinance[[#This Row],[Qtt]]*TbTradesBinance[[#This Row],[Preço]])),N131)-IF(TbTradesBinance[[#This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Row],[Tipo]]="DROP"),N131+TbTradesBinance[[#This Row],[Qtt]],N131-TbTradesBinance[[#This Row],[Qtt]]),IF(TbTradesBinance[[#This Row],[Tipo]]="BUY",N131-TbTradesBinance[[#This Row],[Qtt]]*TbTradesBinance[[#This Row],[Preço]],N131+TbTradesBinance[[#This Row],[Qtt]]*TbTradesBinance[[#This Row],[Preço]])),N131)-IF(TbTradesBinance[[#This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Row],[Tipo]]="DROP"),N131+TbTradesBinance[[#This Row],[Qtt]],N131-TbTradesBinance[[#This Row],[Qtt]]),IF(TbTradesBinance[[#This Row],[Tipo]]="BUY",N131-TbTradesBinance[[#This Row],[Qtt]]*TbTradesBinance[[#This Row],[Preço]],N131+TbTradesBinance[[#This Row],[Qtt]]*TbTradesBinance[[#This Row],[Preço]])),N131)-IF(TbTradesBinance[[#This Row],[Moeda da Taxa]]=MID(N$1,9,5),TbTradesBinance[[#This Row],[Taxa]],0),8)))</f>
        <v>120578.84496418</v>
      </c>
      <c r="O132" s="145" cm="1">
        <f t="array" ref="O132">IF(TbTradesBinance[[#This Row],[Tipo]]="EMPTY",0,O131+IF(TbTradesBinance[[#This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Row],[Par]]))),$1:$1,0)),-(N131-N132)/N131*O131),0),0)+IF(TbTradesBinance[[#This Row],[Tipo]]="SELL",IF(ISNUMBER(FIND(MID(O$1,10,5),TbTradesBinance[[#This Row],[Par]])),IF(FIND(MID(O$1,10,5),TbTradesBinance[[#This Row],[Par]])=1, -(N131-N132)/N131*O131,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Row],[Par]])),(-(N131-N132)/N131*O131)+IF(TbTradesBinance[[#This Row],[Resultado]]&gt;0,0,TbTradesBinance[[#This Row],[Taxa]]),0),0))</f>
        <v>120623.58349450718</v>
      </c>
      <c r="P132" s="145">
        <f t="shared" si="39"/>
        <v>1.0003710313392078</v>
      </c>
      <c r="Q13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Row],[Tipo]]="DROP"),Q131+TbTradesBinance[[#This Row],[Qtt]],Q131-TbTradesBinance[[#This Row],[Qtt]]),IF(TbTradesBinance[[#This Row],[Tipo]]="BUY",Q131-TbTradesBinance[[#This Row],[Qtt]]*TbTradesBinance[[#This Row],[Preço]],Q131+TbTradesBinance[[#This Row],[Qtt]]*TbTradesBinance[[#This Row],[Preço]])),Q131)-IF(TbTradesBinance[[#This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Row],[Tipo]]="DROP"),Q131+TbTradesBinance[[#This Row],[Qtt]],Q131-TbTradesBinance[[#This Row],[Qtt]]),IF(TbTradesBinance[[#This Row],[Tipo]]="BUY",Q131-TbTradesBinance[[#This Row],[Qtt]]*TbTradesBinance[[#This Row],[Preço]],Q131+TbTradesBinance[[#This Row],[Qtt]]*TbTradesBinance[[#This Row],[Preço]])),Q131)-IF(TbTradesBinance[[#This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Row],[Tipo]]="DROP"),Q131+TbTradesBinance[[#This Row],[Qtt]],Q131-TbTradesBinance[[#This Row],[Qtt]]),IF(TbTradesBinance[[#This Row],[Tipo]]="BUY",Q131-TbTradesBinance[[#This Row],[Qtt]]*TbTradesBinance[[#This Row],[Preço]],Q131+TbTradesBinance[[#This Row],[Qtt]]*TbTradesBinance[[#This Row],[Preço]])),Q131)-IF(TbTradesBinance[[#This Row],[Moeda da Taxa]]=MID(Q$1,9,5),TbTradesBinance[[#This Row],[Taxa]],0),8)))</f>
        <v>0</v>
      </c>
      <c r="R132" s="145" cm="1">
        <f t="array" ref="R132">IF(TbTradesBinance[[#This Row],[Tipo]]="EMPTY",0,R131+IF(TbTradesBinance[[#This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Row],[Par]]))),$1:$1,0)),-(Q131-Q132)/Q131*R131),0),0)+IF(TbTradesBinance[[#This Row],[Tipo]]="SELL",IF(ISNUMBER(FIND(MID(R$1,10,5),TbTradesBinance[[#This Row],[Par]])),IF(FIND(MID(R$1,10,5),TbTradesBinance[[#This Row],[Par]])=1, -(Q131-Q132)/Q131*R131,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Row],[Par]])),(-(Q131-Q132)/Q131*R131)+IF(TbTradesBinance[[#This Row],[Resultado]]&gt;0,0,TbTradesBinance[[#This Row],[Taxa]]),0),0))</f>
        <v>0</v>
      </c>
      <c r="S132" s="145">
        <f t="shared" si="40"/>
        <v>0</v>
      </c>
      <c r="T13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Row],[Tipo]]="DROP"),T131+TbTradesBinance[[#This Row],[Qtt]],T131-TbTradesBinance[[#This Row],[Qtt]]),IF(TbTradesBinance[[#This Row],[Tipo]]="BUY",T131-TbTradesBinance[[#This Row],[Qtt]]*TbTradesBinance[[#This Row],[Preço]],T131+TbTradesBinance[[#This Row],[Qtt]]*TbTradesBinance[[#This Row],[Preço]])),T131)-IF(TbTradesBinance[[#This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Row],[Tipo]]="DROP"),T131+TbTradesBinance[[#This Row],[Qtt]],T131-TbTradesBinance[[#This Row],[Qtt]]),IF(TbTradesBinance[[#This Row],[Tipo]]="BUY",T131-TbTradesBinance[[#This Row],[Qtt]]*TbTradesBinance[[#This Row],[Preço]],T131+TbTradesBinance[[#This Row],[Qtt]]*TbTradesBinance[[#This Row],[Preço]])),T131)-IF(TbTradesBinance[[#This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Row],[Tipo]]="DROP"),T131+TbTradesBinance[[#This Row],[Qtt]],T131-TbTradesBinance[[#This Row],[Qtt]]),IF(TbTradesBinance[[#This Row],[Tipo]]="BUY",T131-TbTradesBinance[[#This Row],[Qtt]]*TbTradesBinance[[#This Row],[Preço]],T131+TbTradesBinance[[#This Row],[Qtt]]*TbTradesBinance[[#This Row],[Preço]])),T131)-IF(TbTradesBinance[[#This Row],[Moeda da Taxa]]=MID(T$1,9,5),TbTradesBinance[[#This Row],[Taxa]],0),8)))</f>
        <v>199735.32000169999</v>
      </c>
      <c r="U132" s="145" cm="1">
        <f t="array" ref="U132">IF(TbTradesBinance[[#This Row],[Tipo]]="EMPTY",0,U131+IF(TbTradesBinance[[#This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Row],[Par]]))),$1:$1,0)),-(T131-T132)/T131*U131),0),0)+IF(TbTradesBinance[[#This Row],[Tipo]]="SELL",IF(ISNUMBER(FIND(MID(U$1,10,5),TbTradesBinance[[#This Row],[Par]])),IF(FIND(MID(U$1,10,5),TbTradesBinance[[#This Row],[Par]])=1, -(T131-T132)/T131*U131,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Row],[Par]])),(-(T131-T132)/T131*U131)+IF(TbTradesBinance[[#This Row],[Resultado]]&gt;0,0,TbTradesBinance[[#This Row],[Taxa]]),0),0))</f>
        <v>1328239.8809817513</v>
      </c>
      <c r="V132" s="145">
        <f t="shared" si="41"/>
        <v>6.6500000148719129</v>
      </c>
      <c r="W13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Row],[Tipo]]="DROP"),W131+TbTradesBinance[[#This Row],[Qtt]],W131-TbTradesBinance[[#This Row],[Qtt]]),IF(TbTradesBinance[[#This Row],[Tipo]]="BUY",W131-TbTradesBinance[[#This Row],[Qtt]]*TbTradesBinance[[#This Row],[Preço]],W131+TbTradesBinance[[#This Row],[Qtt]]*TbTradesBinance[[#This Row],[Preço]])),W131)-IF(TbTradesBinance[[#This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Row],[Tipo]]="DROP"),W131+TbTradesBinance[[#This Row],[Qtt]],W131-TbTradesBinance[[#This Row],[Qtt]]),IF(TbTradesBinance[[#This Row],[Tipo]]="BUY",W131-TbTradesBinance[[#This Row],[Qtt]]*TbTradesBinance[[#This Row],[Preço]],W131+TbTradesBinance[[#This Row],[Qtt]]*TbTradesBinance[[#This Row],[Preço]])),W131)-IF(TbTradesBinance[[#This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Row],[Tipo]]="DROP"),W131+TbTradesBinance[[#This Row],[Qtt]],W131-TbTradesBinance[[#This Row],[Qtt]]),IF(TbTradesBinance[[#This Row],[Tipo]]="BUY",W131-TbTradesBinance[[#This Row],[Qtt]]*TbTradesBinance[[#This Row],[Preço]],W131+TbTradesBinance[[#This Row],[Qtt]]*TbTradesBinance[[#This Row],[Preço]])),W131)-IF(TbTradesBinance[[#This Row],[Moeda da Taxa]]=MID(W$1,9,5),TbTradesBinance[[#This Row],[Taxa]],0),8)))</f>
        <v>3.8435999999999999E-4</v>
      </c>
      <c r="X132" s="145" cm="1">
        <f t="array" ref="X132">IF(TbTradesBinance[[#This Row],[Tipo]]="EMPTY",0,X131+IF(TbTradesBinance[[#This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Row],[Par]]))),$1:$1,0)),-(W131-W132)/W131*X131),0),0)+IF(TbTradesBinance[[#This Row],[Tipo]]="SELL",IF(ISNUMBER(FIND(MID(X$1,10,5),TbTradesBinance[[#This Row],[Par]])),IF(FIND(MID(X$1,10,5),TbTradesBinance[[#This Row],[Par]])=1, -(W131-W132)/W131*X131,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Row],[Par]])),(-(W131-W132)/W131*X131)+IF(TbTradesBinance[[#This Row],[Resultado]]&gt;0,0,TbTradesBinance[[#This Row],[Taxa]]),0),0))</f>
        <v>128.27463541739678</v>
      </c>
      <c r="Y132" s="145">
        <f t="shared" si="42"/>
        <v>333735.65255853051</v>
      </c>
      <c r="Z13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Row],[Tipo]]="DROP"),Z131+TbTradesBinance[[#This Row],[Qtt]],Z131-TbTradesBinance[[#This Row],[Qtt]]),IF(TbTradesBinance[[#This Row],[Tipo]]="BUY",Z131-TbTradesBinance[[#This Row],[Qtt]]*TbTradesBinance[[#This Row],[Preço]],Z131+TbTradesBinance[[#This Row],[Qtt]]*TbTradesBinance[[#This Row],[Preço]])),Z131)-IF(TbTradesBinance[[#This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Row],[Tipo]]="DROP"),Z131+TbTradesBinance[[#This Row],[Qtt]],Z131-TbTradesBinance[[#This Row],[Qtt]]),IF(TbTradesBinance[[#This Row],[Tipo]]="BUY",Z131-TbTradesBinance[[#This Row],[Qtt]]*TbTradesBinance[[#This Row],[Preço]],Z131+TbTradesBinance[[#This Row],[Qtt]]*TbTradesBinance[[#This Row],[Preço]])),Z131)-IF(TbTradesBinance[[#This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Row],[Tipo]]="DROP"),Z131+TbTradesBinance[[#This Row],[Qtt]],Z131-TbTradesBinance[[#This Row],[Qtt]]),IF(TbTradesBinance[[#This Row],[Tipo]]="BUY",Z131-TbTradesBinance[[#This Row],[Qtt]]*TbTradesBinance[[#This Row],[Preço]],Z131+TbTradesBinance[[#This Row],[Qtt]]*TbTradesBinance[[#This Row],[Preço]])),Z131)-IF(TbTradesBinance[[#This Row],[Moeda da Taxa]]=MID(Z$1,9,5),TbTradesBinance[[#This Row],[Taxa]],0),8)))</f>
        <v>9.3300000000000005E-6</v>
      </c>
      <c r="AA132" s="145" cm="1">
        <f t="array" ref="AA132">IF(TbTradesBinance[[#This Row],[Tipo]]="EMPTY",0,AA131+IF(TbTradesBinance[[#This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Row],[Par]]))),$1:$1,0)),-(Z131-Z132)/Z131*AA131),0),0)+IF(TbTradesBinance[[#This Row],[Tipo]]="SELL",IF(ISNUMBER(FIND(MID(AA$1,10,5),TbTradesBinance[[#This Row],[Par]])),IF(FIND(MID(AA$1,10,5),TbTradesBinance[[#This Row],[Par]])=1, -(Z131-Z132)/Z131*AA131,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Row],[Par]])),(-(Z131-Z132)/Z131*AA131)+IF(TbTradesBinance[[#This Row],[Resultado]]&gt;0,0,TbTradesBinance[[#This Row],[Taxa]]),0),0))</f>
        <v>9.7066397187928644E-2</v>
      </c>
      <c r="AB132" s="145">
        <f t="shared" si="43"/>
        <v>10403.686729681525</v>
      </c>
      <c r="AC13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Row],[Tipo]]="DROP"),AC131+TbTradesBinance[[#This Row],[Qtt]],AC131-TbTradesBinance[[#This Row],[Qtt]]),IF(TbTradesBinance[[#This Row],[Tipo]]="BUY",AC131-TbTradesBinance[[#This Row],[Qtt]]*TbTradesBinance[[#This Row],[Preço]],AC131+TbTradesBinance[[#This Row],[Qtt]]*TbTradesBinance[[#This Row],[Preço]])),AC131)-IF(TbTradesBinance[[#This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Row],[Tipo]]="DROP"),AC131+TbTradesBinance[[#This Row],[Qtt]],AC131-TbTradesBinance[[#This Row],[Qtt]]),IF(TbTradesBinance[[#This Row],[Tipo]]="BUY",AC131-TbTradesBinance[[#This Row],[Qtt]]*TbTradesBinance[[#This Row],[Preço]],AC131+TbTradesBinance[[#This Row],[Qtt]]*TbTradesBinance[[#This Row],[Preço]])),AC131)-IF(TbTradesBinance[[#This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Row],[Tipo]]="DROP"),AC131+TbTradesBinance[[#This Row],[Qtt]],AC131-TbTradesBinance[[#This Row],[Qtt]]),IF(TbTradesBinance[[#This Row],[Tipo]]="BUY",AC131-TbTradesBinance[[#This Row],[Qtt]]*TbTradesBinance[[#This Row],[Preço]],AC131+TbTradesBinance[[#This Row],[Qtt]]*TbTradesBinance[[#This Row],[Preço]])),AC131)-IF(TbTradesBinance[[#This Row],[Moeda da Taxa]]=MID(AC$1,9,5),TbTradesBinance[[#This Row],[Taxa]],0),8)))</f>
        <v>0</v>
      </c>
      <c r="AD132" s="145" cm="1">
        <f t="array" ref="AD132">IF(TbTradesBinance[[#This Row],[Tipo]]="EMPTY",0,AD131+IF(TbTradesBinance[[#This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Row],[Par]]))),$1:$1,0)),-(AC131-AC132)/AC131*AD131),0),0)+IF(TbTradesBinance[[#This Row],[Tipo]]="SELL",IF(ISNUMBER(FIND(MID(AD$1,10,5),TbTradesBinance[[#This Row],[Par]])),IF(FIND(MID(AD$1,10,5),TbTradesBinance[[#This Row],[Par]])=1, -(AC131-AC132)/AC131*AD131,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Row],[Par]])),(-(AC131-AC132)/AC131*AD131)+IF(TbTradesBinance[[#This Row],[Resultado]]&gt;0,0,TbTradesBinance[[#This Row],[Taxa]]),0),0))</f>
        <v>0</v>
      </c>
      <c r="AE132" s="145">
        <f t="shared" si="44"/>
        <v>0</v>
      </c>
      <c r="AF13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Row],[Tipo]]="DROP"),AF131+TbTradesBinance[[#This Row],[Qtt]],AF131-TbTradesBinance[[#This Row],[Qtt]]),IF(TbTradesBinance[[#This Row],[Tipo]]="BUY",AF131-TbTradesBinance[[#This Row],[Qtt]]*TbTradesBinance[[#This Row],[Preço]],AF131+TbTradesBinance[[#This Row],[Qtt]]*TbTradesBinance[[#This Row],[Preço]])),AF131)-IF(TbTradesBinance[[#This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Row],[Tipo]]="DROP"),AF131+TbTradesBinance[[#This Row],[Qtt]],AF131-TbTradesBinance[[#This Row],[Qtt]]),IF(TbTradesBinance[[#This Row],[Tipo]]="BUY",AF131-TbTradesBinance[[#This Row],[Qtt]]*TbTradesBinance[[#This Row],[Preço]],AF131+TbTradesBinance[[#This Row],[Qtt]]*TbTradesBinance[[#This Row],[Preço]])),AF131)-IF(TbTradesBinance[[#This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Row],[Tipo]]="DROP"),AF131+TbTradesBinance[[#This Row],[Qtt]],AF131-TbTradesBinance[[#This Row],[Qtt]]),IF(TbTradesBinance[[#This Row],[Tipo]]="BUY",AF131-TbTradesBinance[[#This Row],[Qtt]]*TbTradesBinance[[#This Row],[Preço]],AF131+TbTradesBinance[[#This Row],[Qtt]]*TbTradesBinance[[#This Row],[Preço]])),AF131)-IF(TbTradesBinance[[#This Row],[Moeda da Taxa]]=MID(AF$1,9,5),TbTradesBinance[[#This Row],[Taxa]],0),8)))</f>
        <v>0</v>
      </c>
      <c r="AG132" s="145" cm="1">
        <f t="array" ref="AG132">IF(TbTradesBinance[[#This Row],[Tipo]]="EMPTY",0,AG131+IF(TbTradesBinance[[#This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Row],[Par]]))),$1:$1,0)),-(AF131-AF132)/AF131*AG131),0),0)+IF(TbTradesBinance[[#This Row],[Tipo]]="SELL",IF(ISNUMBER(FIND(MID(AG$1,10,5),TbTradesBinance[[#This Row],[Par]])),IF(FIND(MID(AG$1,10,5),TbTradesBinance[[#This Row],[Par]])=1, -(AF131-AF132)/AF131*AG131,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Row],[Par]])),(-(AF131-AF132)/AF131*AG131)+IF(TbTradesBinance[[#This Row],[Resultado]]&gt;0,0,TbTradesBinance[[#This Row],[Taxa]]),0),0))</f>
        <v>0</v>
      </c>
      <c r="AH132" s="145">
        <f t="shared" si="45"/>
        <v>0</v>
      </c>
      <c r="AI13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Row],[Tipo]]="DROP"),AI131+TbTradesBinance[[#This Row],[Qtt]],AI131-TbTradesBinance[[#This Row],[Qtt]]),IF(TbTradesBinance[[#This Row],[Tipo]]="BUY",AI131-TbTradesBinance[[#This Row],[Qtt]]*TbTradesBinance[[#This Row],[Preço]],AI131+TbTradesBinance[[#This Row],[Qtt]]*TbTradesBinance[[#This Row],[Preço]])),AI131)-IF(TbTradesBinance[[#This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Row],[Tipo]]="DROP"),AI131+TbTradesBinance[[#This Row],[Qtt]],AI131-TbTradesBinance[[#This Row],[Qtt]]),IF(TbTradesBinance[[#This Row],[Tipo]]="BUY",AI131-TbTradesBinance[[#This Row],[Qtt]]*TbTradesBinance[[#This Row],[Preço]],AI131+TbTradesBinance[[#This Row],[Qtt]]*TbTradesBinance[[#This Row],[Preço]])),AI131)-IF(TbTradesBinance[[#This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Row],[Tipo]]="DROP"),AI131+TbTradesBinance[[#This Row],[Qtt]],AI131-TbTradesBinance[[#This Row],[Qtt]]),IF(TbTradesBinance[[#This Row],[Tipo]]="BUY",AI131-TbTradesBinance[[#This Row],[Qtt]]*TbTradesBinance[[#This Row],[Preço]],AI131+TbTradesBinance[[#This Row],[Qtt]]*TbTradesBinance[[#This Row],[Preço]])),AI131)-IF(TbTradesBinance[[#This Row],[Moeda da Taxa]]=MID(AI$1,9,5),TbTradesBinance[[#This Row],[Taxa]],0),8)))</f>
        <v>0</v>
      </c>
      <c r="AJ132" s="145" cm="1">
        <f t="array" ref="AJ132">IF(TbTradesBinance[[#This Row],[Tipo]]="EMPTY",0,AJ131+IF(TbTradesBinance[[#This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Row],[Par]]))),$1:$1,0)),-(AI131-AI132)/AI131*AJ131),0),0)+IF(TbTradesBinance[[#This Row],[Tipo]]="SELL",IF(ISNUMBER(FIND(MID(AJ$1,10,5),TbTradesBinance[[#This Row],[Par]])),IF(FIND(MID(AJ$1,10,5),TbTradesBinance[[#This Row],[Par]])=1, -(AI131-AI132)/AI131*AJ131,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Row],[Par]])),(-(AI131-AI132)/AI131*AJ131)+IF(TbTradesBinance[[#This Row],[Resultado]]&gt;0,0,TbTradesBinance[[#This Row],[Taxa]]),0),0))</f>
        <v>0</v>
      </c>
      <c r="AK132" s="145">
        <f t="shared" si="46"/>
        <v>0</v>
      </c>
      <c r="AL13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Row],[Tipo]]="DROP"),AL131+TbTradesBinance[[#This Row],[Qtt]],AL131-TbTradesBinance[[#This Row],[Qtt]]),IF(TbTradesBinance[[#This Row],[Tipo]]="BUY",AL131-TbTradesBinance[[#This Row],[Qtt]]*TbTradesBinance[[#This Row],[Preço]],AL131+TbTradesBinance[[#This Row],[Qtt]]*TbTradesBinance[[#This Row],[Preço]])),AL131)-IF(TbTradesBinance[[#This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Row],[Tipo]]="DROP"),AL131+TbTradesBinance[[#This Row],[Qtt]],AL131-TbTradesBinance[[#This Row],[Qtt]]),IF(TbTradesBinance[[#This Row],[Tipo]]="BUY",AL131-TbTradesBinance[[#This Row],[Qtt]]*TbTradesBinance[[#This Row],[Preço]],AL131+TbTradesBinance[[#This Row],[Qtt]]*TbTradesBinance[[#This Row],[Preço]])),AL131)-IF(TbTradesBinance[[#This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Row],[Tipo]]="DROP"),AL131+TbTradesBinance[[#This Row],[Qtt]],AL131-TbTradesBinance[[#This Row],[Qtt]]),IF(TbTradesBinance[[#This Row],[Tipo]]="BUY",AL131-TbTradesBinance[[#This Row],[Qtt]]*TbTradesBinance[[#This Row],[Preço]],AL131+TbTradesBinance[[#This Row],[Qtt]]*TbTradesBinance[[#This Row],[Preço]])),AL131)-IF(TbTradesBinance[[#This Row],[Moeda da Taxa]]=MID(AL$1,9,5),TbTradesBinance[[#This Row],[Taxa]],0),8)))</f>
        <v>0</v>
      </c>
      <c r="AM132" s="145" cm="1">
        <f t="array" ref="AM132">IF(TbTradesBinance[[#This Row],[Tipo]]="EMPTY",0,AM131+IF(TbTradesBinance[[#This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Row],[Par]]))),$1:$1,0)),-(AL131-AL132)/AL131*AM131),0),0)+IF(TbTradesBinance[[#This Row],[Tipo]]="SELL",IF(ISNUMBER(FIND(MID(AM$1,10,5),TbTradesBinance[[#This Row],[Par]])),IF(FIND(MID(AM$1,10,5),TbTradesBinance[[#This Row],[Par]])=1, -(AL131-AL132)/AL131*AM131,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Row],[Par]])),(-(AL131-AL132)/AL131*AM131)+IF(TbTradesBinance[[#This Row],[Resultado]]&gt;0,0,TbTradesBinance[[#This Row],[Taxa]]),0),0))</f>
        <v>0</v>
      </c>
      <c r="AN132" s="145">
        <f t="shared" si="47"/>
        <v>0</v>
      </c>
      <c r="AO13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Row],[Tipo]]="DROP"),AO131+TbTradesBinance[[#This Row],[Qtt]],AO131-TbTradesBinance[[#This Row],[Qtt]]),IF(TbTradesBinance[[#This Row],[Tipo]]="BUY",AO131-TbTradesBinance[[#This Row],[Qtt]]*TbTradesBinance[[#This Row],[Preço]],AO131+TbTradesBinance[[#This Row],[Qtt]]*TbTradesBinance[[#This Row],[Preço]])),AO131)-IF(TbTradesBinance[[#This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Row],[Tipo]]="DROP"),AO131+TbTradesBinance[[#This Row],[Qtt]],AO131-TbTradesBinance[[#This Row],[Qtt]]),IF(TbTradesBinance[[#This Row],[Tipo]]="BUY",AO131-TbTradesBinance[[#This Row],[Qtt]]*TbTradesBinance[[#This Row],[Preço]],AO131+TbTradesBinance[[#This Row],[Qtt]]*TbTradesBinance[[#This Row],[Preço]])),AO131)-IF(TbTradesBinance[[#This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Row],[Tipo]]="DROP"),AO131+TbTradesBinance[[#This Row],[Qtt]],AO131-TbTradesBinance[[#This Row],[Qtt]]),IF(TbTradesBinance[[#This Row],[Tipo]]="BUY",AO131-TbTradesBinance[[#This Row],[Qtt]]*TbTradesBinance[[#This Row],[Preço]],AO131+TbTradesBinance[[#This Row],[Qtt]]*TbTradesBinance[[#This Row],[Preço]])),AO131)-IF(TbTradesBinance[[#This Row],[Moeda da Taxa]]=MID(AO$1,9,5),TbTradesBinance[[#This Row],[Taxa]],0),8)))</f>
        <v>3.7104430000000001E-2</v>
      </c>
      <c r="AP132" s="145" cm="1">
        <f t="array" ref="AP132">IF(TbTradesBinance[[#This Row],[Tipo]]="EMPTY",0,AP131+IF(TbTradesBinance[[#This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Row],[Par]]))),$1:$1,0)),-(AO131-AO132)/AO131*AP131),0),0)+IF(TbTradesBinance[[#This Row],[Tipo]]="SELL",IF(ISNUMBER(FIND(MID(AP$1,10,5),TbTradesBinance[[#This Row],[Par]])),IF(FIND(MID(AP$1,10,5),TbTradesBinance[[#This Row],[Par]])=1, -(AO131-AO132)/AO131*AP131,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Row],[Par]])),(-(AO131-AO132)/AO131*AP131)+IF(TbTradesBinance[[#This Row],[Resultado]]&gt;0,0,TbTradesBinance[[#This Row],[Taxa]]),0),0))</f>
        <v>56.766080814619706</v>
      </c>
      <c r="AQ132" s="145">
        <f t="shared" si="48"/>
        <v>1529.9003600006713</v>
      </c>
      <c r="AR13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Row],[Tipo]]="DROP"),AR131+TbTradesBinance[[#This Row],[Qtt]],AR131-TbTradesBinance[[#This Row],[Qtt]]),IF(TbTradesBinance[[#This Row],[Tipo]]="BUY",AR131-TbTradesBinance[[#This Row],[Qtt]]*TbTradesBinance[[#This Row],[Preço]],AR131+TbTradesBinance[[#This Row],[Qtt]]*TbTradesBinance[[#This Row],[Preço]])),AR131)-IF(TbTradesBinance[[#This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Row],[Tipo]]="DROP"),AR131+TbTradesBinance[[#This Row],[Qtt]],AR131-TbTradesBinance[[#This Row],[Qtt]]),IF(TbTradesBinance[[#This Row],[Tipo]]="BUY",AR131-TbTradesBinance[[#This Row],[Qtt]]*TbTradesBinance[[#This Row],[Preço]],AR131+TbTradesBinance[[#This Row],[Qtt]]*TbTradesBinance[[#This Row],[Preço]])),AR131)-IF(TbTradesBinance[[#This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Row],[Tipo]]="DROP"),AR131+TbTradesBinance[[#This Row],[Qtt]],AR131-TbTradesBinance[[#This Row],[Qtt]]),IF(TbTradesBinance[[#This Row],[Tipo]]="BUY",AR131-TbTradesBinance[[#This Row],[Qtt]]*TbTradesBinance[[#This Row],[Preço]],AR131+TbTradesBinance[[#This Row],[Qtt]]*TbTradesBinance[[#This Row],[Preço]])),AR131)-IF(TbTradesBinance[[#This Row],[Moeda da Taxa]]=MID(AR$1,9,5),TbTradesBinance[[#This Row],[Taxa]],0),8)))</f>
        <v>61.251199999999997</v>
      </c>
      <c r="AS132" s="145" cm="1">
        <f t="array" ref="AS132">IF(TbTradesBinance[[#This Row],[Tipo]]="EMPTY",0,AS131+IF(TbTradesBinance[[#This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Row],[Par]]))),$1:$1,0)),-(AR131-AR132)/AR131*AS131),0),0)+IF(TbTradesBinance[[#This Row],[Tipo]]="SELL",IF(ISNUMBER(FIND(MID(AS$1,10,5),TbTradesBinance[[#This Row],[Par]])),IF(FIND(MID(AS$1,10,5),TbTradesBinance[[#This Row],[Par]])=1, -(AR131-AR132)/AR131*AS131,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Row],[Par]])),(-(AR131-AR132)/AR131*AS131)+IF(TbTradesBinance[[#This Row],[Resultado]]&gt;0,0,TbTradesBinance[[#This Row],[Taxa]]),0),0))</f>
        <v>230.84001376053044</v>
      </c>
      <c r="AT132" s="145">
        <f t="shared" si="49"/>
        <v>3.7687427146003745</v>
      </c>
      <c r="AU13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Row],[Tipo]]="DROP"),AU131+TbTradesBinance[[#This Row],[Qtt]],AU131-TbTradesBinance[[#This Row],[Qtt]]),IF(TbTradesBinance[[#This Row],[Tipo]]="BUY",AU131-TbTradesBinance[[#This Row],[Qtt]]*TbTradesBinance[[#This Row],[Preço]],AU131+TbTradesBinance[[#This Row],[Qtt]]*TbTradesBinance[[#This Row],[Preço]])),AU131)-IF(TbTradesBinance[[#This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Row],[Tipo]]="DROP"),AU131+TbTradesBinance[[#This Row],[Qtt]],AU131-TbTradesBinance[[#This Row],[Qtt]]),IF(TbTradesBinance[[#This Row],[Tipo]]="BUY",AU131-TbTradesBinance[[#This Row],[Qtt]]*TbTradesBinance[[#This Row],[Preço]],AU131+TbTradesBinance[[#This Row],[Qtt]]*TbTradesBinance[[#This Row],[Preço]])),AU131)-IF(TbTradesBinance[[#This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Row],[Tipo]]="DROP"),AU131+TbTradesBinance[[#This Row],[Qtt]],AU131-TbTradesBinance[[#This Row],[Qtt]]),IF(TbTradesBinance[[#This Row],[Tipo]]="BUY",AU131-TbTradesBinance[[#This Row],[Qtt]]*TbTradesBinance[[#This Row],[Preço]],AU131+TbTradesBinance[[#This Row],[Qtt]]*TbTradesBinance[[#This Row],[Preço]])),AU131)-IF(TbTradesBinance[[#This Row],[Moeda da Taxa]]=MID(AU$1,9,5),TbTradesBinance[[#This Row],[Taxa]],0),8)))</f>
        <v>0</v>
      </c>
      <c r="AV132" s="145" cm="1">
        <f t="array" ref="AV132">IF(TbTradesBinance[[#This Row],[Tipo]]="EMPTY",0,AV131+IF(TbTradesBinance[[#This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Row],[Par]]))),$1:$1,0)),-(AU131-AU132)/AU131*AV131),0),0)+IF(TbTradesBinance[[#This Row],[Tipo]]="SELL",IF(ISNUMBER(FIND(MID(AV$1,10,5),TbTradesBinance[[#This Row],[Par]])),IF(FIND(MID(AV$1,10,5),TbTradesBinance[[#This Row],[Par]])=1, -(AU131-AU132)/AU131*AV131,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Row],[Par]])),(-(AU131-AU132)/AU131*AV131)+IF(TbTradesBinance[[#This Row],[Resultado]]&gt;0,0,TbTradesBinance[[#This Row],[Taxa]]),0),0))</f>
        <v>0</v>
      </c>
      <c r="AW132" s="145">
        <f t="shared" si="50"/>
        <v>0</v>
      </c>
      <c r="AX13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Row],[Tipo]]="DROP"),AX131+TbTradesBinance[[#This Row],[Qtt]],AX131-TbTradesBinance[[#This Row],[Qtt]]),IF(TbTradesBinance[[#This Row],[Tipo]]="BUY",AX131-TbTradesBinance[[#This Row],[Qtt]]*TbTradesBinance[[#This Row],[Preço]],AX131+TbTradesBinance[[#This Row],[Qtt]]*TbTradesBinance[[#This Row],[Preço]])),AX131)-IF(TbTradesBinance[[#This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Row],[Tipo]]="DROP"),AX131+TbTradesBinance[[#This Row],[Qtt]],AX131-TbTradesBinance[[#This Row],[Qtt]]),IF(TbTradesBinance[[#This Row],[Tipo]]="BUY",AX131-TbTradesBinance[[#This Row],[Qtt]]*TbTradesBinance[[#This Row],[Preço]],AX131+TbTradesBinance[[#This Row],[Qtt]]*TbTradesBinance[[#This Row],[Preço]])),AX131)-IF(TbTradesBinance[[#This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Row],[Tipo]]="DROP"),AX131+TbTradesBinance[[#This Row],[Qtt]],AX131-TbTradesBinance[[#This Row],[Qtt]]),IF(TbTradesBinance[[#This Row],[Tipo]]="BUY",AX131-TbTradesBinance[[#This Row],[Qtt]]*TbTradesBinance[[#This Row],[Preço]],AX131+TbTradesBinance[[#This Row],[Qtt]]*TbTradesBinance[[#This Row],[Preço]])),AX131)-IF(TbTradesBinance[[#This Row],[Moeda da Taxa]]=MID(AX$1,9,5),TbTradesBinance[[#This Row],[Taxa]],0),8)))</f>
        <v>0.85636999999999996</v>
      </c>
      <c r="AY132" s="145" cm="1">
        <f t="array" ref="AY132">IF(TbTradesBinance[[#This Row],[Tipo]]="EMPTY",0,AY131+IF(TbTradesBinance[[#This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Row],[Par]]))),$1:$1,0)),-(AX131-AX132)/AX131*AY131),0),0)+IF(TbTradesBinance[[#This Row],[Tipo]]="SELL",IF(ISNUMBER(FIND(MID(AY$1,10,5),TbTradesBinance[[#This Row],[Par]])),IF(FIND(MID(AY$1,10,5),TbTradesBinance[[#This Row],[Par]])=1, -(AX131-AX132)/AX131*AY131,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Row],[Par]])),(-(AX131-AX132)/AX131*AY131)+IF(TbTradesBinance[[#This Row],[Resultado]]&gt;0,0,TbTradesBinance[[#This Row],[Taxa]]),0),0))</f>
        <v>131.82971181780295</v>
      </c>
      <c r="AZ132" s="145">
        <f t="shared" si="51"/>
        <v>153.94013314081874</v>
      </c>
      <c r="BA13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Row],[Tipo]]="DROP"),BA131+TbTradesBinance[[#This Row],[Qtt]],BA131-TbTradesBinance[[#This Row],[Qtt]]),IF(TbTradesBinance[[#This Row],[Tipo]]="BUY",BA131-TbTradesBinance[[#This Row],[Qtt]]*TbTradesBinance[[#This Row],[Preço]],BA131+TbTradesBinance[[#This Row],[Qtt]]*TbTradesBinance[[#This Row],[Preço]])),BA131)-IF(TbTradesBinance[[#This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Row],[Tipo]]="DROP"),BA131+TbTradesBinance[[#This Row],[Qtt]],BA131-TbTradesBinance[[#This Row],[Qtt]]),IF(TbTradesBinance[[#This Row],[Tipo]]="BUY",BA131-TbTradesBinance[[#This Row],[Qtt]]*TbTradesBinance[[#This Row],[Preço]],BA131+TbTradesBinance[[#This Row],[Qtt]]*TbTradesBinance[[#This Row],[Preço]])),BA131)-IF(TbTradesBinance[[#This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Row],[Tipo]]="DROP"),BA131+TbTradesBinance[[#This Row],[Qtt]],BA131-TbTradesBinance[[#This Row],[Qtt]]),IF(TbTradesBinance[[#This Row],[Tipo]]="BUY",BA131-TbTradesBinance[[#This Row],[Qtt]]*TbTradesBinance[[#This Row],[Preço]],BA131+TbTradesBinance[[#This Row],[Qtt]]*TbTradesBinance[[#This Row],[Preço]])),BA131)-IF(TbTradesBinance[[#This Row],[Moeda da Taxa]]=MID(BA$1,9,5),TbTradesBinance[[#This Row],[Taxa]],0),8)))</f>
        <v>0.10571</v>
      </c>
      <c r="BB132" s="145" cm="1">
        <f t="array" ref="BB132">IF(TbTradesBinance[[#This Row],[Tipo]]="EMPTY",0,BB131+IF(TbTradesBinance[[#This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Row],[Par]]))),$1:$1,0)),-(BA131-BA132)/BA131*BB131),0),0)+IF(TbTradesBinance[[#This Row],[Tipo]]="SELL",IF(ISNUMBER(FIND(MID(BB$1,10,5),TbTradesBinance[[#This Row],[Par]])),IF(FIND(MID(BB$1,10,5),TbTradesBinance[[#This Row],[Par]])=1, -(BA131-BA132)/BA131*BB131,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Row],[Par]])),(-(BA131-BA132)/BA131*BB131)+IF(TbTradesBinance[[#This Row],[Resultado]]&gt;0,0,TbTradesBinance[[#This Row],[Taxa]]),0),0))</f>
        <v>120.8257969142021</v>
      </c>
      <c r="BC132" s="145">
        <f t="shared" si="52"/>
        <v>1142.9930651234708</v>
      </c>
      <c r="BD13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Row],[Tipo]]="DROP"),BD131+TbTradesBinance[[#This Row],[Qtt]],BD131-TbTradesBinance[[#This Row],[Qtt]]),IF(TbTradesBinance[[#This Row],[Tipo]]="BUY",BD131-TbTradesBinance[[#This Row],[Qtt]]*TbTradesBinance[[#This Row],[Preço]],BD131+TbTradesBinance[[#This Row],[Qtt]]*TbTradesBinance[[#This Row],[Preço]])),BD131)-IF(TbTradesBinance[[#This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Row],[Tipo]]="DROP"),BD131+TbTradesBinance[[#This Row],[Qtt]],BD131-TbTradesBinance[[#This Row],[Qtt]]),IF(TbTradesBinance[[#This Row],[Tipo]]="BUY",BD131-TbTradesBinance[[#This Row],[Qtt]]*TbTradesBinance[[#This Row],[Preço]],BD131+TbTradesBinance[[#This Row],[Qtt]]*TbTradesBinance[[#This Row],[Preço]])),BD131)-IF(TbTradesBinance[[#This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Row],[Tipo]]="DROP"),BD131+TbTradesBinance[[#This Row],[Qtt]],BD131-TbTradesBinance[[#This Row],[Qtt]]),IF(TbTradesBinance[[#This Row],[Tipo]]="BUY",BD131-TbTradesBinance[[#This Row],[Qtt]]*TbTradesBinance[[#This Row],[Preço]],BD131+TbTradesBinance[[#This Row],[Qtt]]*TbTradesBinance[[#This Row],[Preço]])),BD131)-IF(TbTradesBinance[[#This Row],[Moeda da Taxa]]=MID(BD$1,9,5),TbTradesBinance[[#This Row],[Taxa]],0),8)))</f>
        <v>0</v>
      </c>
      <c r="BE132" s="145" cm="1">
        <f t="array" ref="BE132">IF(TbTradesBinance[[#This Row],[Tipo]]="EMPTY",0,BE131+IF(TbTradesBinance[[#This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Row],[Par]]))),$1:$1,0)),-(BD131-BD132)/BD131*BE131),0),0)+IF(TbTradesBinance[[#This Row],[Tipo]]="SELL",IF(ISNUMBER(FIND(MID(BE$1,10,5),TbTradesBinance[[#This Row],[Par]])),IF(FIND(MID(BE$1,10,5),TbTradesBinance[[#This Row],[Par]])=1, -(BD131-BD132)/BD131*BE131,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Row],[Par]])),(-(BD131-BD132)/BD131*BE131)+IF(TbTradesBinance[[#This Row],[Resultado]]&gt;0,0,TbTradesBinance[[#This Row],[Taxa]]),0),0))</f>
        <v>0</v>
      </c>
      <c r="BF132" s="145">
        <f t="shared" si="53"/>
        <v>0</v>
      </c>
      <c r="BG13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Row],[Tipo]]="DROP"),BG131+TbTradesBinance[[#This Row],[Qtt]],BG131-TbTradesBinance[[#This Row],[Qtt]]),IF(TbTradesBinance[[#This Row],[Tipo]]="BUY",BG131-TbTradesBinance[[#This Row],[Qtt]]*TbTradesBinance[[#This Row],[Preço]],BG131+TbTradesBinance[[#This Row],[Qtt]]*TbTradesBinance[[#This Row],[Preço]])),BG131)-IF(TbTradesBinance[[#This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Row],[Tipo]]="DROP"),BG131+TbTradesBinance[[#This Row],[Qtt]],BG131-TbTradesBinance[[#This Row],[Qtt]]),IF(TbTradesBinance[[#This Row],[Tipo]]="BUY",BG131-TbTradesBinance[[#This Row],[Qtt]]*TbTradesBinance[[#This Row],[Preço]],BG131+TbTradesBinance[[#This Row],[Qtt]]*TbTradesBinance[[#This Row],[Preço]])),BG131)-IF(TbTradesBinance[[#This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Row],[Tipo]]="DROP"),BG131+TbTradesBinance[[#This Row],[Qtt]],BG131-TbTradesBinance[[#This Row],[Qtt]]),IF(TbTradesBinance[[#This Row],[Tipo]]="BUY",BG131-TbTradesBinance[[#This Row],[Qtt]]*TbTradesBinance[[#This Row],[Preço]],BG131+TbTradesBinance[[#This Row],[Qtt]]*TbTradesBinance[[#This Row],[Preço]])),BG131)-IF(TbTradesBinance[[#This Row],[Moeda da Taxa]]=MID(BG$1,9,5),TbTradesBinance[[#This Row],[Taxa]],0),8)))</f>
        <v>0</v>
      </c>
      <c r="BH132" s="145" cm="1">
        <f t="array" ref="BH132">IF(TbTradesBinance[[#This Row],[Tipo]]="EMPTY",0,BH131+IF(TbTradesBinance[[#This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Row],[Par]]))),$1:$1,0)),-(BG131-BG132)/BG131*BH131),0),0)+IF(TbTradesBinance[[#This Row],[Tipo]]="SELL",IF(ISNUMBER(FIND(MID(BH$1,10,5),TbTradesBinance[[#This Row],[Par]])),IF(FIND(MID(BH$1,10,5),TbTradesBinance[[#This Row],[Par]])=1, -(BG131-BG132)/BG131*BH131,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Row],[Par]])),(-(BG131-BG132)/BG131*BH131)+IF(TbTradesBinance[[#This Row],[Resultado]]&gt;0,0,TbTradesBinance[[#This Row],[Taxa]]),0),0))</f>
        <v>0</v>
      </c>
      <c r="BI132" s="145">
        <f t="shared" si="54"/>
        <v>0</v>
      </c>
      <c r="BJ13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Row],[Tipo]]="DROP"),BJ131+TbTradesBinance[[#This Row],[Qtt]],BJ131-TbTradesBinance[[#This Row],[Qtt]]),IF(TbTradesBinance[[#This Row],[Tipo]]="BUY",BJ131-TbTradesBinance[[#This Row],[Qtt]]*TbTradesBinance[[#This Row],[Preço]],BJ131+TbTradesBinance[[#This Row],[Qtt]]*TbTradesBinance[[#This Row],[Preço]])),BJ131)-IF(TbTradesBinance[[#This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Row],[Tipo]]="DROP"),BJ131+TbTradesBinance[[#This Row],[Qtt]],BJ131-TbTradesBinance[[#This Row],[Qtt]]),IF(TbTradesBinance[[#This Row],[Tipo]]="BUY",BJ131-TbTradesBinance[[#This Row],[Qtt]]*TbTradesBinance[[#This Row],[Preço]],BJ131+TbTradesBinance[[#This Row],[Qtt]]*TbTradesBinance[[#This Row],[Preço]])),BJ131)-IF(TbTradesBinance[[#This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Row],[Tipo]]="DROP"),BJ131+TbTradesBinance[[#This Row],[Qtt]],BJ131-TbTradesBinance[[#This Row],[Qtt]]),IF(TbTradesBinance[[#This Row],[Tipo]]="BUY",BJ131-TbTradesBinance[[#This Row],[Qtt]]*TbTradesBinance[[#This Row],[Preço]],BJ131+TbTradesBinance[[#This Row],[Qtt]]*TbTradesBinance[[#This Row],[Preço]])),BJ131)-IF(TbTradesBinance[[#This Row],[Moeda da Taxa]]=MID(BJ$1,9,5),TbTradesBinance[[#This Row],[Taxa]],0),8)))</f>
        <v>2.1681500000000002E-3</v>
      </c>
      <c r="BK132" s="145" cm="1">
        <f t="array" ref="BK132">IF(TbTradesBinance[[#This Row],[Tipo]]="EMPTY",0,BK131+IF(TbTradesBinance[[#This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Row],[Par]]))),$1:$1,0)),-(BJ131-BJ132)/BJ131*BK131),0),0)+IF(TbTradesBinance[[#This Row],[Tipo]]="SELL",IF(ISNUMBER(FIND(MID(BK$1,10,5),TbTradesBinance[[#This Row],[Par]])),IF(FIND(MID(BK$1,10,5),TbTradesBinance[[#This Row],[Par]])=1, -(BJ131-BJ132)/BJ131*BK131,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Row],[Par]])),(-(BJ131-BJ132)/BJ131*BK131)+IF(TbTradesBinance[[#This Row],[Resultado]]&gt;0,0,TbTradesBinance[[#This Row],[Taxa]]),0),0))</f>
        <v>0</v>
      </c>
      <c r="BL132" s="145">
        <f t="shared" si="55"/>
        <v>0</v>
      </c>
      <c r="BM13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Row],[Tipo]]="DROP"),BM131+TbTradesBinance[[#This Row],[Qtt]],BM131-TbTradesBinance[[#This Row],[Qtt]]),IF(TbTradesBinance[[#This Row],[Tipo]]="BUY",BM131-TbTradesBinance[[#This Row],[Qtt]]*TbTradesBinance[[#This Row],[Preço]],BM131+TbTradesBinance[[#This Row],[Qtt]]*TbTradesBinance[[#This Row],[Preço]])),BM131)-IF(TbTradesBinance[[#This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Row],[Tipo]]="DROP"),BM131+TbTradesBinance[[#This Row],[Qtt]],BM131-TbTradesBinance[[#This Row],[Qtt]]),IF(TbTradesBinance[[#This Row],[Tipo]]="BUY",BM131-TbTradesBinance[[#This Row],[Qtt]]*TbTradesBinance[[#This Row],[Preço]],BM131+TbTradesBinance[[#This Row],[Qtt]]*TbTradesBinance[[#This Row],[Preço]])),BM131)-IF(TbTradesBinance[[#This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Row],[Tipo]]="DROP"),BM131+TbTradesBinance[[#This Row],[Qtt]],BM131-TbTradesBinance[[#This Row],[Qtt]]),IF(TbTradesBinance[[#This Row],[Tipo]]="BUY",BM131-TbTradesBinance[[#This Row],[Qtt]]*TbTradesBinance[[#This Row],[Preço]],BM131+TbTradesBinance[[#This Row],[Qtt]]*TbTradesBinance[[#This Row],[Preço]])),BM131)-IF(TbTradesBinance[[#This Row],[Moeda da Taxa]]=MID(BM$1,9,5),TbTradesBinance[[#This Row],[Taxa]],0),8)))</f>
        <v>0</v>
      </c>
      <c r="BN132" s="145" cm="1">
        <f t="array" ref="BN132">IF(TbTradesBinance[[#This Row],[Tipo]]="EMPTY",0,BN131+IF(TbTradesBinance[[#This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Row],[Par]]))),$1:$1,0)),-(BM131-BM132)/BM131*BN131),0),0)+IF(TbTradesBinance[[#This Row],[Tipo]]="SELL",IF(ISNUMBER(FIND(MID(BN$1,10,5),TbTradesBinance[[#This Row],[Par]])),IF(FIND(MID(BN$1,10,5),TbTradesBinance[[#This Row],[Par]])=1, -(BM131-BM132)/BM131*BN131,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Row],[Par]])),(-(BM131-BM132)/BM131*BN131)+IF(TbTradesBinance[[#This Row],[Resultado]]&gt;0,0,TbTradesBinance[[#This Row],[Taxa]]),0),0))</f>
        <v>0</v>
      </c>
      <c r="BO132" s="145">
        <f t="shared" si="56"/>
        <v>0</v>
      </c>
    </row>
    <row r="133" spans="2:67" x14ac:dyDescent="0.3">
      <c r="B133" s="51" t="s">
        <v>107</v>
      </c>
      <c r="C133" s="40">
        <f>TRUNC(IF(AND(TbTradesBinance[[#This Row],[Tipo]]="SEND",TbTradesBinance[[#This Row],[Par]]="BRL"),TbTradesBinance[[#This Row],[Qtt]]*(1-P131)-IF(TbTradesBinance[[#This Row],[Moeda da Taxa]]="BRL",TbTradesBinance[[#This Row],[Taxa]],0),0)+IF(AND(TbTradesBinance[[#This Row],[Tipo]]="BURN",TbTradesBinance[[#This Row],[Par]]="BRL"),-TbTradesBinance[[#This Row],[Qtt]]*P131,0),2)</f>
        <v>0</v>
      </c>
      <c r="D133" s="53">
        <v>44277.982499999998</v>
      </c>
      <c r="E133" s="37" t="s">
        <v>266</v>
      </c>
      <c r="F133" s="47" t="s">
        <v>140</v>
      </c>
      <c r="G133" s="38">
        <v>6.5604278000000003</v>
      </c>
      <c r="H133" s="38">
        <v>9.3500000000000003E-6</v>
      </c>
      <c r="I133" s="38">
        <v>1.2300000000000001E-6</v>
      </c>
      <c r="J133" s="37" t="s">
        <v>45</v>
      </c>
      <c r="K133" s="52">
        <v>1450</v>
      </c>
      <c r="L133" s="40">
        <f t="shared" si="38"/>
        <v>9512.6200000000008</v>
      </c>
      <c r="M133" s="40">
        <f>IF(OR(TbTradesBinance[[#This Row],[Tipo]]="BUY",TbTradesBinance[[#This Row],[Tipo]]="RECEIVE",TbTradesBinance[[#This Row],[Tipo]]="DROP"),L133*H133,-L133*H133)</f>
        <v>-8.894299700000001E-2</v>
      </c>
      <c r="N13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Row],[Tipo]]="DROP"),N132+TbTradesBinance[[#This Row],[Qtt]],N132-TbTradesBinance[[#This Row],[Qtt]]),IF(TbTradesBinance[[#This Row],[Tipo]]="BUY",N132-TbTradesBinance[[#This Row],[Qtt]]*TbTradesBinance[[#This Row],[Preço]],N132+TbTradesBinance[[#This Row],[Qtt]]*TbTradesBinance[[#This Row],[Preço]])),N132)-IF(TbTradesBinance[[#This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Row],[Tipo]]="DROP"),N132+TbTradesBinance[[#This Row],[Qtt]],N132-TbTradesBinance[[#This Row],[Qtt]]),IF(TbTradesBinance[[#This Row],[Tipo]]="BUY",N132-TbTradesBinance[[#This Row],[Qtt]]*TbTradesBinance[[#This Row],[Preço]],N132+TbTradesBinance[[#This Row],[Qtt]]*TbTradesBinance[[#This Row],[Preço]])),N132)-IF(TbTradesBinance[[#This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Row],[Tipo]]="DROP"),N132+TbTradesBinance[[#This Row],[Qtt]],N132-TbTradesBinance[[#This Row],[Qtt]]),IF(TbTradesBinance[[#This Row],[Tipo]]="BUY",N132-TbTradesBinance[[#This Row],[Qtt]]*TbTradesBinance[[#This Row],[Preço]],N132+TbTradesBinance[[#This Row],[Qtt]]*TbTradesBinance[[#This Row],[Preço]])),N132)-IF(TbTradesBinance[[#This Row],[Moeda da Taxa]]=MID(N$1,9,5),TbTradesBinance[[#This Row],[Taxa]],0),8)))</f>
        <v>120578.84496418</v>
      </c>
      <c r="O133" s="145" cm="1">
        <f t="array" ref="O133">IF(TbTradesBinance[[#This Row],[Tipo]]="EMPTY",0,O132+IF(TbTradesBinance[[#This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Row],[Par]]))),$1:$1,0)),-(N132-N133)/N132*O132),0),0)+IF(TbTradesBinance[[#This Row],[Tipo]]="SELL",IF(ISNUMBER(FIND(MID(O$1,10,5),TbTradesBinance[[#This Row],[Par]])),IF(FIND(MID(O$1,10,5),TbTradesBinance[[#This Row],[Par]])=1, -(N132-N133)/N132*O132,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Row],[Par]])),(-(N132-N133)/N132*O132)+IF(TbTradesBinance[[#This Row],[Resultado]]&gt;0,0,TbTradesBinance[[#This Row],[Taxa]]),0),0))</f>
        <v>120623.58349450718</v>
      </c>
      <c r="P133" s="145">
        <f t="shared" si="39"/>
        <v>1.0003710313392078</v>
      </c>
      <c r="Q13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Row],[Tipo]]="DROP"),Q132+TbTradesBinance[[#This Row],[Qtt]],Q132-TbTradesBinance[[#This Row],[Qtt]]),IF(TbTradesBinance[[#This Row],[Tipo]]="BUY",Q132-TbTradesBinance[[#This Row],[Qtt]]*TbTradesBinance[[#This Row],[Preço]],Q132+TbTradesBinance[[#This Row],[Qtt]]*TbTradesBinance[[#This Row],[Preço]])),Q132)-IF(TbTradesBinance[[#This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Row],[Tipo]]="DROP"),Q132+TbTradesBinance[[#This Row],[Qtt]],Q132-TbTradesBinance[[#This Row],[Qtt]]),IF(TbTradesBinance[[#This Row],[Tipo]]="BUY",Q132-TbTradesBinance[[#This Row],[Qtt]]*TbTradesBinance[[#This Row],[Preço]],Q132+TbTradesBinance[[#This Row],[Qtt]]*TbTradesBinance[[#This Row],[Preço]])),Q132)-IF(TbTradesBinance[[#This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Row],[Tipo]]="DROP"),Q132+TbTradesBinance[[#This Row],[Qtt]],Q132-TbTradesBinance[[#This Row],[Qtt]]),IF(TbTradesBinance[[#This Row],[Tipo]]="BUY",Q132-TbTradesBinance[[#This Row],[Qtt]]*TbTradesBinance[[#This Row],[Preço]],Q132+TbTradesBinance[[#This Row],[Qtt]]*TbTradesBinance[[#This Row],[Preço]])),Q132)-IF(TbTradesBinance[[#This Row],[Moeda da Taxa]]=MID(Q$1,9,5),TbTradesBinance[[#This Row],[Taxa]],0),8)))</f>
        <v>0</v>
      </c>
      <c r="R133" s="145" cm="1">
        <f t="array" ref="R133">IF(TbTradesBinance[[#This Row],[Tipo]]="EMPTY",0,R132+IF(TbTradesBinance[[#This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Row],[Par]]))),$1:$1,0)),-(Q132-Q133)/Q132*R132),0),0)+IF(TbTradesBinance[[#This Row],[Tipo]]="SELL",IF(ISNUMBER(FIND(MID(R$1,10,5),TbTradesBinance[[#This Row],[Par]])),IF(FIND(MID(R$1,10,5),TbTradesBinance[[#This Row],[Par]])=1, -(Q132-Q133)/Q132*R132,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Row],[Par]])),(-(Q132-Q133)/Q132*R132)+IF(TbTradesBinance[[#This Row],[Resultado]]&gt;0,0,TbTradesBinance[[#This Row],[Taxa]]),0),0))</f>
        <v>0</v>
      </c>
      <c r="S133" s="145">
        <f t="shared" si="40"/>
        <v>0</v>
      </c>
      <c r="T13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Row],[Tipo]]="DROP"),T132+TbTradesBinance[[#This Row],[Qtt]],T132-TbTradesBinance[[#This Row],[Qtt]]),IF(TbTradesBinance[[#This Row],[Tipo]]="BUY",T132-TbTradesBinance[[#This Row],[Qtt]]*TbTradesBinance[[#This Row],[Preço]],T132+TbTradesBinance[[#This Row],[Qtt]]*TbTradesBinance[[#This Row],[Preço]])),T132)-IF(TbTradesBinance[[#This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Row],[Tipo]]="DROP"),T132+TbTradesBinance[[#This Row],[Qtt]],T132-TbTradesBinance[[#This Row],[Qtt]]),IF(TbTradesBinance[[#This Row],[Tipo]]="BUY",T132-TbTradesBinance[[#This Row],[Qtt]]*TbTradesBinance[[#This Row],[Preço]],T132+TbTradesBinance[[#This Row],[Qtt]]*TbTradesBinance[[#This Row],[Preço]])),T132)-IF(TbTradesBinance[[#This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Row],[Tipo]]="DROP"),T132+TbTradesBinance[[#This Row],[Qtt]],T132-TbTradesBinance[[#This Row],[Qtt]]),IF(TbTradesBinance[[#This Row],[Tipo]]="BUY",T132-TbTradesBinance[[#This Row],[Qtt]]*TbTradesBinance[[#This Row],[Preço]],T132+TbTradesBinance[[#This Row],[Qtt]]*TbTradesBinance[[#This Row],[Preço]])),T132)-IF(TbTradesBinance[[#This Row],[Moeda da Taxa]]=MID(T$1,9,5),TbTradesBinance[[#This Row],[Taxa]],0),8)))</f>
        <v>199735.32000169999</v>
      </c>
      <c r="U133" s="145" cm="1">
        <f t="array" ref="U133">IF(TbTradesBinance[[#This Row],[Tipo]]="EMPTY",0,U132+IF(TbTradesBinance[[#This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Row],[Par]]))),$1:$1,0)),-(T132-T133)/T132*U132),0),0)+IF(TbTradesBinance[[#This Row],[Tipo]]="SELL",IF(ISNUMBER(FIND(MID(U$1,10,5),TbTradesBinance[[#This Row],[Par]])),IF(FIND(MID(U$1,10,5),TbTradesBinance[[#This Row],[Par]])=1, -(T132-T133)/T132*U132,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Row],[Par]])),(-(T132-T133)/T132*U132)+IF(TbTradesBinance[[#This Row],[Resultado]]&gt;0,0,TbTradesBinance[[#This Row],[Taxa]]),0),0))</f>
        <v>1328239.8809817513</v>
      </c>
      <c r="V133" s="145">
        <f t="shared" si="41"/>
        <v>6.6500000148719129</v>
      </c>
      <c r="W13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Row],[Tipo]]="DROP"),W132+TbTradesBinance[[#This Row],[Qtt]],W132-TbTradesBinance[[#This Row],[Qtt]]),IF(TbTradesBinance[[#This Row],[Tipo]]="BUY",W132-TbTradesBinance[[#This Row],[Qtt]]*TbTradesBinance[[#This Row],[Preço]],W132+TbTradesBinance[[#This Row],[Qtt]]*TbTradesBinance[[#This Row],[Preço]])),W132)-IF(TbTradesBinance[[#This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Row],[Tipo]]="DROP"),W132+TbTradesBinance[[#This Row],[Qtt]],W132-TbTradesBinance[[#This Row],[Qtt]]),IF(TbTradesBinance[[#This Row],[Tipo]]="BUY",W132-TbTradesBinance[[#This Row],[Qtt]]*TbTradesBinance[[#This Row],[Preço]],W132+TbTradesBinance[[#This Row],[Qtt]]*TbTradesBinance[[#This Row],[Preço]])),W132)-IF(TbTradesBinance[[#This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Row],[Tipo]]="DROP"),W132+TbTradesBinance[[#This Row],[Qtt]],W132-TbTradesBinance[[#This Row],[Qtt]]),IF(TbTradesBinance[[#This Row],[Tipo]]="BUY",W132-TbTradesBinance[[#This Row],[Qtt]]*TbTradesBinance[[#This Row],[Preço]],W132+TbTradesBinance[[#This Row],[Qtt]]*TbTradesBinance[[#This Row],[Preço]])),W132)-IF(TbTradesBinance[[#This Row],[Moeda da Taxa]]=MID(W$1,9,5),TbTradesBinance[[#This Row],[Taxa]],0),8)))</f>
        <v>3.8435999999999999E-4</v>
      </c>
      <c r="X133" s="145" cm="1">
        <f t="array" ref="X133">IF(TbTradesBinance[[#This Row],[Tipo]]="EMPTY",0,X132+IF(TbTradesBinance[[#This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Row],[Par]]))),$1:$1,0)),-(W132-W133)/W132*X132),0),0)+IF(TbTradesBinance[[#This Row],[Tipo]]="SELL",IF(ISNUMBER(FIND(MID(X$1,10,5),TbTradesBinance[[#This Row],[Par]])),IF(FIND(MID(X$1,10,5),TbTradesBinance[[#This Row],[Par]])=1, -(W132-W133)/W132*X132,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Row],[Par]])),(-(W132-W133)/W132*X132)+IF(TbTradesBinance[[#This Row],[Resultado]]&gt;0,0,TbTradesBinance[[#This Row],[Taxa]]),0),0))</f>
        <v>128.27463541739678</v>
      </c>
      <c r="Y133" s="145">
        <f t="shared" si="42"/>
        <v>333735.65255853051</v>
      </c>
      <c r="Z13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Row],[Tipo]]="DROP"),Z132+TbTradesBinance[[#This Row],[Qtt]],Z132-TbTradesBinance[[#This Row],[Qtt]]),IF(TbTradesBinance[[#This Row],[Tipo]]="BUY",Z132-TbTradesBinance[[#This Row],[Qtt]]*TbTradesBinance[[#This Row],[Preço]],Z132+TbTradesBinance[[#This Row],[Qtt]]*TbTradesBinance[[#This Row],[Preço]])),Z132)-IF(TbTradesBinance[[#This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Row],[Tipo]]="DROP"),Z132+TbTradesBinance[[#This Row],[Qtt]],Z132-TbTradesBinance[[#This Row],[Qtt]]),IF(TbTradesBinance[[#This Row],[Tipo]]="BUY",Z132-TbTradesBinance[[#This Row],[Qtt]]*TbTradesBinance[[#This Row],[Preço]],Z132+TbTradesBinance[[#This Row],[Qtt]]*TbTradesBinance[[#This Row],[Preço]])),Z132)-IF(TbTradesBinance[[#This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Row],[Tipo]]="DROP"),Z132+TbTradesBinance[[#This Row],[Qtt]],Z132-TbTradesBinance[[#This Row],[Qtt]]),IF(TbTradesBinance[[#This Row],[Tipo]]="BUY",Z132-TbTradesBinance[[#This Row],[Qtt]]*TbTradesBinance[[#This Row],[Preço]],Z132+TbTradesBinance[[#This Row],[Qtt]]*TbTradesBinance[[#This Row],[Preço]])),Z132)-IF(TbTradesBinance[[#This Row],[Moeda da Taxa]]=MID(Z$1,9,5),TbTradesBinance[[#This Row],[Taxa]],0),8)))</f>
        <v>0</v>
      </c>
      <c r="AA133" s="145" cm="1">
        <f t="array" ref="AA133">IF(TbTradesBinance[[#This Row],[Tipo]]="EMPTY",0,AA132+IF(TbTradesBinance[[#This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Row],[Par]]))),$1:$1,0)),-(Z132-Z133)/Z132*AA132),0),0)+IF(TbTradesBinance[[#This Row],[Tipo]]="SELL",IF(ISNUMBER(FIND(MID(AA$1,10,5),TbTradesBinance[[#This Row],[Par]])),IF(FIND(MID(AA$1,10,5),TbTradesBinance[[#This Row],[Par]])=1, -(Z132-Z133)/Z132*AA132,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Row],[Par]])),(-(Z132-Z133)/Z132*AA132)+IF(TbTradesBinance[[#This Row],[Resultado]]&gt;0,0,TbTradesBinance[[#This Row],[Taxa]]),0),0))</f>
        <v>0</v>
      </c>
      <c r="AB133" s="145">
        <f t="shared" si="43"/>
        <v>0</v>
      </c>
      <c r="AC13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Row],[Tipo]]="DROP"),AC132+TbTradesBinance[[#This Row],[Qtt]],AC132-TbTradesBinance[[#This Row],[Qtt]]),IF(TbTradesBinance[[#This Row],[Tipo]]="BUY",AC132-TbTradesBinance[[#This Row],[Qtt]]*TbTradesBinance[[#This Row],[Preço]],AC132+TbTradesBinance[[#This Row],[Qtt]]*TbTradesBinance[[#This Row],[Preço]])),AC132)-IF(TbTradesBinance[[#This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Row],[Tipo]]="DROP"),AC132+TbTradesBinance[[#This Row],[Qtt]],AC132-TbTradesBinance[[#This Row],[Qtt]]),IF(TbTradesBinance[[#This Row],[Tipo]]="BUY",AC132-TbTradesBinance[[#This Row],[Qtt]]*TbTradesBinance[[#This Row],[Preço]],AC132+TbTradesBinance[[#This Row],[Qtt]]*TbTradesBinance[[#This Row],[Preço]])),AC132)-IF(TbTradesBinance[[#This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Row],[Tipo]]="DROP"),AC132+TbTradesBinance[[#This Row],[Qtt]],AC132-TbTradesBinance[[#This Row],[Qtt]]),IF(TbTradesBinance[[#This Row],[Tipo]]="BUY",AC132-TbTradesBinance[[#This Row],[Qtt]]*TbTradesBinance[[#This Row],[Preço]],AC132+TbTradesBinance[[#This Row],[Qtt]]*TbTradesBinance[[#This Row],[Preço]])),AC132)-IF(TbTradesBinance[[#This Row],[Moeda da Taxa]]=MID(AC$1,9,5),TbTradesBinance[[#This Row],[Taxa]],0),8)))</f>
        <v>0</v>
      </c>
      <c r="AD133" s="145" cm="1">
        <f t="array" ref="AD133">IF(TbTradesBinance[[#This Row],[Tipo]]="EMPTY",0,AD132+IF(TbTradesBinance[[#This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Row],[Par]]))),$1:$1,0)),-(AC132-AC133)/AC132*AD132),0),0)+IF(TbTradesBinance[[#This Row],[Tipo]]="SELL",IF(ISNUMBER(FIND(MID(AD$1,10,5),TbTradesBinance[[#This Row],[Par]])),IF(FIND(MID(AD$1,10,5),TbTradesBinance[[#This Row],[Par]])=1, -(AC132-AC133)/AC132*AD132,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Row],[Par]])),(-(AC132-AC133)/AC132*AD132)+IF(TbTradesBinance[[#This Row],[Resultado]]&gt;0,0,TbTradesBinance[[#This Row],[Taxa]]),0),0))</f>
        <v>0</v>
      </c>
      <c r="AE133" s="145">
        <f t="shared" si="44"/>
        <v>0</v>
      </c>
      <c r="AF13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Row],[Tipo]]="DROP"),AF132+TbTradesBinance[[#This Row],[Qtt]],AF132-TbTradesBinance[[#This Row],[Qtt]]),IF(TbTradesBinance[[#This Row],[Tipo]]="BUY",AF132-TbTradesBinance[[#This Row],[Qtt]]*TbTradesBinance[[#This Row],[Preço]],AF132+TbTradesBinance[[#This Row],[Qtt]]*TbTradesBinance[[#This Row],[Preço]])),AF132)-IF(TbTradesBinance[[#This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Row],[Tipo]]="DROP"),AF132+TbTradesBinance[[#This Row],[Qtt]],AF132-TbTradesBinance[[#This Row],[Qtt]]),IF(TbTradesBinance[[#This Row],[Tipo]]="BUY",AF132-TbTradesBinance[[#This Row],[Qtt]]*TbTradesBinance[[#This Row],[Preço]],AF132+TbTradesBinance[[#This Row],[Qtt]]*TbTradesBinance[[#This Row],[Preço]])),AF132)-IF(TbTradesBinance[[#This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Row],[Tipo]]="DROP"),AF132+TbTradesBinance[[#This Row],[Qtt]],AF132-TbTradesBinance[[#This Row],[Qtt]]),IF(TbTradesBinance[[#This Row],[Tipo]]="BUY",AF132-TbTradesBinance[[#This Row],[Qtt]]*TbTradesBinance[[#This Row],[Preço]],AF132+TbTradesBinance[[#This Row],[Qtt]]*TbTradesBinance[[#This Row],[Preço]])),AF132)-IF(TbTradesBinance[[#This Row],[Moeda da Taxa]]=MID(AF$1,9,5),TbTradesBinance[[#This Row],[Taxa]],0),8)))</f>
        <v>0</v>
      </c>
      <c r="AG133" s="145" cm="1">
        <f t="array" ref="AG133">IF(TbTradesBinance[[#This Row],[Tipo]]="EMPTY",0,AG132+IF(TbTradesBinance[[#This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Row],[Par]]))),$1:$1,0)),-(AF132-AF133)/AF132*AG132),0),0)+IF(TbTradesBinance[[#This Row],[Tipo]]="SELL",IF(ISNUMBER(FIND(MID(AG$1,10,5),TbTradesBinance[[#This Row],[Par]])),IF(FIND(MID(AG$1,10,5),TbTradesBinance[[#This Row],[Par]])=1, -(AF132-AF133)/AF132*AG132,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Row],[Par]])),(-(AF132-AF133)/AF132*AG132)+IF(TbTradesBinance[[#This Row],[Resultado]]&gt;0,0,TbTradesBinance[[#This Row],[Taxa]]),0),0))</f>
        <v>0</v>
      </c>
      <c r="AH133" s="145">
        <f t="shared" si="45"/>
        <v>0</v>
      </c>
      <c r="AI13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Row],[Tipo]]="DROP"),AI132+TbTradesBinance[[#This Row],[Qtt]],AI132-TbTradesBinance[[#This Row],[Qtt]]),IF(TbTradesBinance[[#This Row],[Tipo]]="BUY",AI132-TbTradesBinance[[#This Row],[Qtt]]*TbTradesBinance[[#This Row],[Preço]],AI132+TbTradesBinance[[#This Row],[Qtt]]*TbTradesBinance[[#This Row],[Preço]])),AI132)-IF(TbTradesBinance[[#This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Row],[Tipo]]="DROP"),AI132+TbTradesBinance[[#This Row],[Qtt]],AI132-TbTradesBinance[[#This Row],[Qtt]]),IF(TbTradesBinance[[#This Row],[Tipo]]="BUY",AI132-TbTradesBinance[[#This Row],[Qtt]]*TbTradesBinance[[#This Row],[Preço]],AI132+TbTradesBinance[[#This Row],[Qtt]]*TbTradesBinance[[#This Row],[Preço]])),AI132)-IF(TbTradesBinance[[#This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Row],[Tipo]]="DROP"),AI132+TbTradesBinance[[#This Row],[Qtt]],AI132-TbTradesBinance[[#This Row],[Qtt]]),IF(TbTradesBinance[[#This Row],[Tipo]]="BUY",AI132-TbTradesBinance[[#This Row],[Qtt]]*TbTradesBinance[[#This Row],[Preço]],AI132+TbTradesBinance[[#This Row],[Qtt]]*TbTradesBinance[[#This Row],[Preço]])),AI132)-IF(TbTradesBinance[[#This Row],[Moeda da Taxa]]=MID(AI$1,9,5),TbTradesBinance[[#This Row],[Taxa]],0),8)))</f>
        <v>0</v>
      </c>
      <c r="AJ133" s="145" cm="1">
        <f t="array" ref="AJ133">IF(TbTradesBinance[[#This Row],[Tipo]]="EMPTY",0,AJ132+IF(TbTradesBinance[[#This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Row],[Par]]))),$1:$1,0)),-(AI132-AI133)/AI132*AJ132),0),0)+IF(TbTradesBinance[[#This Row],[Tipo]]="SELL",IF(ISNUMBER(FIND(MID(AJ$1,10,5),TbTradesBinance[[#This Row],[Par]])),IF(FIND(MID(AJ$1,10,5),TbTradesBinance[[#This Row],[Par]])=1, -(AI132-AI133)/AI132*AJ132,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Row],[Par]])),(-(AI132-AI133)/AI132*AJ132)+IF(TbTradesBinance[[#This Row],[Resultado]]&gt;0,0,TbTradesBinance[[#This Row],[Taxa]]),0),0))</f>
        <v>0</v>
      </c>
      <c r="AK133" s="145">
        <f t="shared" si="46"/>
        <v>0</v>
      </c>
      <c r="AL13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Row],[Tipo]]="DROP"),AL132+TbTradesBinance[[#This Row],[Qtt]],AL132-TbTradesBinance[[#This Row],[Qtt]]),IF(TbTradesBinance[[#This Row],[Tipo]]="BUY",AL132-TbTradesBinance[[#This Row],[Qtt]]*TbTradesBinance[[#This Row],[Preço]],AL132+TbTradesBinance[[#This Row],[Qtt]]*TbTradesBinance[[#This Row],[Preço]])),AL132)-IF(TbTradesBinance[[#This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Row],[Tipo]]="DROP"),AL132+TbTradesBinance[[#This Row],[Qtt]],AL132-TbTradesBinance[[#This Row],[Qtt]]),IF(TbTradesBinance[[#This Row],[Tipo]]="BUY",AL132-TbTradesBinance[[#This Row],[Qtt]]*TbTradesBinance[[#This Row],[Preço]],AL132+TbTradesBinance[[#This Row],[Qtt]]*TbTradesBinance[[#This Row],[Preço]])),AL132)-IF(TbTradesBinance[[#This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Row],[Tipo]]="DROP"),AL132+TbTradesBinance[[#This Row],[Qtt]],AL132-TbTradesBinance[[#This Row],[Qtt]]),IF(TbTradesBinance[[#This Row],[Tipo]]="BUY",AL132-TbTradesBinance[[#This Row],[Qtt]]*TbTradesBinance[[#This Row],[Preço]],AL132+TbTradesBinance[[#This Row],[Qtt]]*TbTradesBinance[[#This Row],[Preço]])),AL132)-IF(TbTradesBinance[[#This Row],[Moeda da Taxa]]=MID(AL$1,9,5),TbTradesBinance[[#This Row],[Taxa]],0),8)))</f>
        <v>0</v>
      </c>
      <c r="AM133" s="145" cm="1">
        <f t="array" ref="AM133">IF(TbTradesBinance[[#This Row],[Tipo]]="EMPTY",0,AM132+IF(TbTradesBinance[[#This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Row],[Par]]))),$1:$1,0)),-(AL132-AL133)/AL132*AM132),0),0)+IF(TbTradesBinance[[#This Row],[Tipo]]="SELL",IF(ISNUMBER(FIND(MID(AM$1,10,5),TbTradesBinance[[#This Row],[Par]])),IF(FIND(MID(AM$1,10,5),TbTradesBinance[[#This Row],[Par]])=1, -(AL132-AL133)/AL132*AM132,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Row],[Par]])),(-(AL132-AL133)/AL132*AM132)+IF(TbTradesBinance[[#This Row],[Resultado]]&gt;0,0,TbTradesBinance[[#This Row],[Taxa]]),0),0))</f>
        <v>0</v>
      </c>
      <c r="AN133" s="145">
        <f t="shared" si="47"/>
        <v>0</v>
      </c>
      <c r="AO13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Row],[Tipo]]="DROP"),AO132+TbTradesBinance[[#This Row],[Qtt]],AO132-TbTradesBinance[[#This Row],[Qtt]]),IF(TbTradesBinance[[#This Row],[Tipo]]="BUY",AO132-TbTradesBinance[[#This Row],[Qtt]]*TbTradesBinance[[#This Row],[Preço]],AO132+TbTradesBinance[[#This Row],[Qtt]]*TbTradesBinance[[#This Row],[Preço]])),AO132)-IF(TbTradesBinance[[#This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Row],[Tipo]]="DROP"),AO132+TbTradesBinance[[#This Row],[Qtt]],AO132-TbTradesBinance[[#This Row],[Qtt]]),IF(TbTradesBinance[[#This Row],[Tipo]]="BUY",AO132-TbTradesBinance[[#This Row],[Qtt]]*TbTradesBinance[[#This Row],[Preço]],AO132+TbTradesBinance[[#This Row],[Qtt]]*TbTradesBinance[[#This Row],[Preço]])),AO132)-IF(TbTradesBinance[[#This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Row],[Tipo]]="DROP"),AO132+TbTradesBinance[[#This Row],[Qtt]],AO132-TbTradesBinance[[#This Row],[Qtt]]),IF(TbTradesBinance[[#This Row],[Tipo]]="BUY",AO132-TbTradesBinance[[#This Row],[Qtt]]*TbTradesBinance[[#This Row],[Preço]],AO132+TbTradesBinance[[#This Row],[Qtt]]*TbTradesBinance[[#This Row],[Preço]])),AO132)-IF(TbTradesBinance[[#This Row],[Moeda da Taxa]]=MID(AO$1,9,5),TbTradesBinance[[#This Row],[Taxa]],0),8)))</f>
        <v>3.7164530000000001E-2</v>
      </c>
      <c r="AP133" s="145" cm="1">
        <f t="array" ref="AP133">IF(TbTradesBinance[[#This Row],[Tipo]]="EMPTY",0,AP132+IF(TbTradesBinance[[#This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Row],[Par]]))),$1:$1,0)),-(AO132-AO133)/AO132*AP132),0),0)+IF(TbTradesBinance[[#This Row],[Tipo]]="SELL",IF(ISNUMBER(FIND(MID(AP$1,10,5),TbTradesBinance[[#This Row],[Par]])),IF(FIND(MID(AP$1,10,5),TbTradesBinance[[#This Row],[Par]])=1, -(AO132-AO133)/AO132*AP132,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Row],[Par]])),(-(AO132-AO133)/AO132*AP132)+IF(TbTradesBinance[[#This Row],[Resultado]]&gt;0,0,TbTradesBinance[[#This Row],[Taxa]]),0),0))</f>
        <v>56.863147211807636</v>
      </c>
      <c r="AQ133" s="145">
        <f t="shared" si="48"/>
        <v>1530.0381092350053</v>
      </c>
      <c r="AR13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Row],[Tipo]]="DROP"),AR132+TbTradesBinance[[#This Row],[Qtt]],AR132-TbTradesBinance[[#This Row],[Qtt]]),IF(TbTradesBinance[[#This Row],[Tipo]]="BUY",AR132-TbTradesBinance[[#This Row],[Qtt]]*TbTradesBinance[[#This Row],[Preço]],AR132+TbTradesBinance[[#This Row],[Qtt]]*TbTradesBinance[[#This Row],[Preço]])),AR132)-IF(TbTradesBinance[[#This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Row],[Tipo]]="DROP"),AR132+TbTradesBinance[[#This Row],[Qtt]],AR132-TbTradesBinance[[#This Row],[Qtt]]),IF(TbTradesBinance[[#This Row],[Tipo]]="BUY",AR132-TbTradesBinance[[#This Row],[Qtt]]*TbTradesBinance[[#This Row],[Preço]],AR132+TbTradesBinance[[#This Row],[Qtt]]*TbTradesBinance[[#This Row],[Preço]])),AR132)-IF(TbTradesBinance[[#This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Row],[Tipo]]="DROP"),AR132+TbTradesBinance[[#This Row],[Qtt]],AR132-TbTradesBinance[[#This Row],[Qtt]]),IF(TbTradesBinance[[#This Row],[Tipo]]="BUY",AR132-TbTradesBinance[[#This Row],[Qtt]]*TbTradesBinance[[#This Row],[Preço]],AR132+TbTradesBinance[[#This Row],[Qtt]]*TbTradesBinance[[#This Row],[Preço]])),AR132)-IF(TbTradesBinance[[#This Row],[Moeda da Taxa]]=MID(AR$1,9,5),TbTradesBinance[[#This Row],[Taxa]],0),8)))</f>
        <v>61.251199999999997</v>
      </c>
      <c r="AS133" s="145" cm="1">
        <f t="array" ref="AS133">IF(TbTradesBinance[[#This Row],[Tipo]]="EMPTY",0,AS132+IF(TbTradesBinance[[#This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Row],[Par]]))),$1:$1,0)),-(AR132-AR133)/AR132*AS132),0),0)+IF(TbTradesBinance[[#This Row],[Tipo]]="SELL",IF(ISNUMBER(FIND(MID(AS$1,10,5),TbTradesBinance[[#This Row],[Par]])),IF(FIND(MID(AS$1,10,5),TbTradesBinance[[#This Row],[Par]])=1, -(AR132-AR133)/AR132*AS132,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Row],[Par]])),(-(AR132-AR133)/AR132*AS132)+IF(TbTradesBinance[[#This Row],[Resultado]]&gt;0,0,TbTradesBinance[[#This Row],[Taxa]]),0),0))</f>
        <v>230.84001376053044</v>
      </c>
      <c r="AT133" s="145">
        <f t="shared" si="49"/>
        <v>3.7687427146003745</v>
      </c>
      <c r="AU13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Row],[Tipo]]="DROP"),AU132+TbTradesBinance[[#This Row],[Qtt]],AU132-TbTradesBinance[[#This Row],[Qtt]]),IF(TbTradesBinance[[#This Row],[Tipo]]="BUY",AU132-TbTradesBinance[[#This Row],[Qtt]]*TbTradesBinance[[#This Row],[Preço]],AU132+TbTradesBinance[[#This Row],[Qtt]]*TbTradesBinance[[#This Row],[Preço]])),AU132)-IF(TbTradesBinance[[#This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Row],[Tipo]]="DROP"),AU132+TbTradesBinance[[#This Row],[Qtt]],AU132-TbTradesBinance[[#This Row],[Qtt]]),IF(TbTradesBinance[[#This Row],[Tipo]]="BUY",AU132-TbTradesBinance[[#This Row],[Qtt]]*TbTradesBinance[[#This Row],[Preço]],AU132+TbTradesBinance[[#This Row],[Qtt]]*TbTradesBinance[[#This Row],[Preço]])),AU132)-IF(TbTradesBinance[[#This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Row],[Tipo]]="DROP"),AU132+TbTradesBinance[[#This Row],[Qtt]],AU132-TbTradesBinance[[#This Row],[Qtt]]),IF(TbTradesBinance[[#This Row],[Tipo]]="BUY",AU132-TbTradesBinance[[#This Row],[Qtt]]*TbTradesBinance[[#This Row],[Preço]],AU132+TbTradesBinance[[#This Row],[Qtt]]*TbTradesBinance[[#This Row],[Preço]])),AU132)-IF(TbTradesBinance[[#This Row],[Moeda da Taxa]]=MID(AU$1,9,5),TbTradesBinance[[#This Row],[Taxa]],0),8)))</f>
        <v>0</v>
      </c>
      <c r="AV133" s="145" cm="1">
        <f t="array" ref="AV133">IF(TbTradesBinance[[#This Row],[Tipo]]="EMPTY",0,AV132+IF(TbTradesBinance[[#This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Row],[Par]]))),$1:$1,0)),-(AU132-AU133)/AU132*AV132),0),0)+IF(TbTradesBinance[[#This Row],[Tipo]]="SELL",IF(ISNUMBER(FIND(MID(AV$1,10,5),TbTradesBinance[[#This Row],[Par]])),IF(FIND(MID(AV$1,10,5),TbTradesBinance[[#This Row],[Par]])=1, -(AU132-AU133)/AU132*AV132,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Row],[Par]])),(-(AU132-AU133)/AU132*AV132)+IF(TbTradesBinance[[#This Row],[Resultado]]&gt;0,0,TbTradesBinance[[#This Row],[Taxa]]),0),0))</f>
        <v>0</v>
      </c>
      <c r="AW133" s="145">
        <f t="shared" si="50"/>
        <v>0</v>
      </c>
      <c r="AX13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Row],[Tipo]]="DROP"),AX132+TbTradesBinance[[#This Row],[Qtt]],AX132-TbTradesBinance[[#This Row],[Qtt]]),IF(TbTradesBinance[[#This Row],[Tipo]]="BUY",AX132-TbTradesBinance[[#This Row],[Qtt]]*TbTradesBinance[[#This Row],[Preço]],AX132+TbTradesBinance[[#This Row],[Qtt]]*TbTradesBinance[[#This Row],[Preço]])),AX132)-IF(TbTradesBinance[[#This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Row],[Tipo]]="DROP"),AX132+TbTradesBinance[[#This Row],[Qtt]],AX132-TbTradesBinance[[#This Row],[Qtt]]),IF(TbTradesBinance[[#This Row],[Tipo]]="BUY",AX132-TbTradesBinance[[#This Row],[Qtt]]*TbTradesBinance[[#This Row],[Preço]],AX132+TbTradesBinance[[#This Row],[Qtt]]*TbTradesBinance[[#This Row],[Preço]])),AX132)-IF(TbTradesBinance[[#This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Row],[Tipo]]="DROP"),AX132+TbTradesBinance[[#This Row],[Qtt]],AX132-TbTradesBinance[[#This Row],[Qtt]]),IF(TbTradesBinance[[#This Row],[Tipo]]="BUY",AX132-TbTradesBinance[[#This Row],[Qtt]]*TbTradesBinance[[#This Row],[Preço]],AX132+TbTradesBinance[[#This Row],[Qtt]]*TbTradesBinance[[#This Row],[Preço]])),AX132)-IF(TbTradesBinance[[#This Row],[Moeda da Taxa]]=MID(AX$1,9,5),TbTradesBinance[[#This Row],[Taxa]],0),8)))</f>
        <v>0.85636999999999996</v>
      </c>
      <c r="AY133" s="145" cm="1">
        <f t="array" ref="AY133">IF(TbTradesBinance[[#This Row],[Tipo]]="EMPTY",0,AY132+IF(TbTradesBinance[[#This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Row],[Par]]))),$1:$1,0)),-(AX132-AX133)/AX132*AY132),0),0)+IF(TbTradesBinance[[#This Row],[Tipo]]="SELL",IF(ISNUMBER(FIND(MID(AY$1,10,5),TbTradesBinance[[#This Row],[Par]])),IF(FIND(MID(AY$1,10,5),TbTradesBinance[[#This Row],[Par]])=1, -(AX132-AX133)/AX132*AY132,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Row],[Par]])),(-(AX132-AX133)/AX132*AY132)+IF(TbTradesBinance[[#This Row],[Resultado]]&gt;0,0,TbTradesBinance[[#This Row],[Taxa]]),0),0))</f>
        <v>131.82971181780295</v>
      </c>
      <c r="AZ133" s="145">
        <f t="shared" si="51"/>
        <v>153.94013314081874</v>
      </c>
      <c r="BA13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Row],[Tipo]]="DROP"),BA132+TbTradesBinance[[#This Row],[Qtt]],BA132-TbTradesBinance[[#This Row],[Qtt]]),IF(TbTradesBinance[[#This Row],[Tipo]]="BUY",BA132-TbTradesBinance[[#This Row],[Qtt]]*TbTradesBinance[[#This Row],[Preço]],BA132+TbTradesBinance[[#This Row],[Qtt]]*TbTradesBinance[[#This Row],[Preço]])),BA132)-IF(TbTradesBinance[[#This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Row],[Tipo]]="DROP"),BA132+TbTradesBinance[[#This Row],[Qtt]],BA132-TbTradesBinance[[#This Row],[Qtt]]),IF(TbTradesBinance[[#This Row],[Tipo]]="BUY",BA132-TbTradesBinance[[#This Row],[Qtt]]*TbTradesBinance[[#This Row],[Preço]],BA132+TbTradesBinance[[#This Row],[Qtt]]*TbTradesBinance[[#This Row],[Preço]])),BA132)-IF(TbTradesBinance[[#This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Row],[Tipo]]="DROP"),BA132+TbTradesBinance[[#This Row],[Qtt]],BA132-TbTradesBinance[[#This Row],[Qtt]]),IF(TbTradesBinance[[#This Row],[Tipo]]="BUY",BA132-TbTradesBinance[[#This Row],[Qtt]]*TbTradesBinance[[#This Row],[Preço]],BA132+TbTradesBinance[[#This Row],[Qtt]]*TbTradesBinance[[#This Row],[Preço]])),BA132)-IF(TbTradesBinance[[#This Row],[Moeda da Taxa]]=MID(BA$1,9,5),TbTradesBinance[[#This Row],[Taxa]],0),8)))</f>
        <v>0.10571</v>
      </c>
      <c r="BB133" s="145" cm="1">
        <f t="array" ref="BB133">IF(TbTradesBinance[[#This Row],[Tipo]]="EMPTY",0,BB132+IF(TbTradesBinance[[#This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Row],[Par]]))),$1:$1,0)),-(BA132-BA133)/BA132*BB132),0),0)+IF(TbTradesBinance[[#This Row],[Tipo]]="SELL",IF(ISNUMBER(FIND(MID(BB$1,10,5),TbTradesBinance[[#This Row],[Par]])),IF(FIND(MID(BB$1,10,5),TbTradesBinance[[#This Row],[Par]])=1, -(BA132-BA133)/BA132*BB132,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Row],[Par]])),(-(BA132-BA133)/BA132*BB132)+IF(TbTradesBinance[[#This Row],[Resultado]]&gt;0,0,TbTradesBinance[[#This Row],[Taxa]]),0),0))</f>
        <v>120.8257969142021</v>
      </c>
      <c r="BC133" s="145">
        <f t="shared" si="52"/>
        <v>1142.9930651234708</v>
      </c>
      <c r="BD13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Row],[Tipo]]="DROP"),BD132+TbTradesBinance[[#This Row],[Qtt]],BD132-TbTradesBinance[[#This Row],[Qtt]]),IF(TbTradesBinance[[#This Row],[Tipo]]="BUY",BD132-TbTradesBinance[[#This Row],[Qtt]]*TbTradesBinance[[#This Row],[Preço]],BD132+TbTradesBinance[[#This Row],[Qtt]]*TbTradesBinance[[#This Row],[Preço]])),BD132)-IF(TbTradesBinance[[#This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Row],[Tipo]]="DROP"),BD132+TbTradesBinance[[#This Row],[Qtt]],BD132-TbTradesBinance[[#This Row],[Qtt]]),IF(TbTradesBinance[[#This Row],[Tipo]]="BUY",BD132-TbTradesBinance[[#This Row],[Qtt]]*TbTradesBinance[[#This Row],[Preço]],BD132+TbTradesBinance[[#This Row],[Qtt]]*TbTradesBinance[[#This Row],[Preço]])),BD132)-IF(TbTradesBinance[[#This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Row],[Tipo]]="DROP"),BD132+TbTradesBinance[[#This Row],[Qtt]],BD132-TbTradesBinance[[#This Row],[Qtt]]),IF(TbTradesBinance[[#This Row],[Tipo]]="BUY",BD132-TbTradesBinance[[#This Row],[Qtt]]*TbTradesBinance[[#This Row],[Preço]],BD132+TbTradesBinance[[#This Row],[Qtt]]*TbTradesBinance[[#This Row],[Preço]])),BD132)-IF(TbTradesBinance[[#This Row],[Moeda da Taxa]]=MID(BD$1,9,5),TbTradesBinance[[#This Row],[Taxa]],0),8)))</f>
        <v>0</v>
      </c>
      <c r="BE133" s="145" cm="1">
        <f t="array" ref="BE133">IF(TbTradesBinance[[#This Row],[Tipo]]="EMPTY",0,BE132+IF(TbTradesBinance[[#This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Row],[Par]]))),$1:$1,0)),-(BD132-BD133)/BD132*BE132),0),0)+IF(TbTradesBinance[[#This Row],[Tipo]]="SELL",IF(ISNUMBER(FIND(MID(BE$1,10,5),TbTradesBinance[[#This Row],[Par]])),IF(FIND(MID(BE$1,10,5),TbTradesBinance[[#This Row],[Par]])=1, -(BD132-BD133)/BD132*BE132,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Row],[Par]])),(-(BD132-BD133)/BD132*BE132)+IF(TbTradesBinance[[#This Row],[Resultado]]&gt;0,0,TbTradesBinance[[#This Row],[Taxa]]),0),0))</f>
        <v>0</v>
      </c>
      <c r="BF133" s="145">
        <f t="shared" si="53"/>
        <v>0</v>
      </c>
      <c r="BG13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Row],[Tipo]]="DROP"),BG132+TbTradesBinance[[#This Row],[Qtt]],BG132-TbTradesBinance[[#This Row],[Qtt]]),IF(TbTradesBinance[[#This Row],[Tipo]]="BUY",BG132-TbTradesBinance[[#This Row],[Qtt]]*TbTradesBinance[[#This Row],[Preço]],BG132+TbTradesBinance[[#This Row],[Qtt]]*TbTradesBinance[[#This Row],[Preço]])),BG132)-IF(TbTradesBinance[[#This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Row],[Tipo]]="DROP"),BG132+TbTradesBinance[[#This Row],[Qtt]],BG132-TbTradesBinance[[#This Row],[Qtt]]),IF(TbTradesBinance[[#This Row],[Tipo]]="BUY",BG132-TbTradesBinance[[#This Row],[Qtt]]*TbTradesBinance[[#This Row],[Preço]],BG132+TbTradesBinance[[#This Row],[Qtt]]*TbTradesBinance[[#This Row],[Preço]])),BG132)-IF(TbTradesBinance[[#This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Row],[Tipo]]="DROP"),BG132+TbTradesBinance[[#This Row],[Qtt]],BG132-TbTradesBinance[[#This Row],[Qtt]]),IF(TbTradesBinance[[#This Row],[Tipo]]="BUY",BG132-TbTradesBinance[[#This Row],[Qtt]]*TbTradesBinance[[#This Row],[Preço]],BG132+TbTradesBinance[[#This Row],[Qtt]]*TbTradesBinance[[#This Row],[Preço]])),BG132)-IF(TbTradesBinance[[#This Row],[Moeda da Taxa]]=MID(BG$1,9,5),TbTradesBinance[[#This Row],[Taxa]],0),8)))</f>
        <v>0</v>
      </c>
      <c r="BH133" s="145" cm="1">
        <f t="array" ref="BH133">IF(TbTradesBinance[[#This Row],[Tipo]]="EMPTY",0,BH132+IF(TbTradesBinance[[#This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Row],[Par]]))),$1:$1,0)),-(BG132-BG133)/BG132*BH132),0),0)+IF(TbTradesBinance[[#This Row],[Tipo]]="SELL",IF(ISNUMBER(FIND(MID(BH$1,10,5),TbTradesBinance[[#This Row],[Par]])),IF(FIND(MID(BH$1,10,5),TbTradesBinance[[#This Row],[Par]])=1, -(BG132-BG133)/BG132*BH132,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Row],[Par]])),(-(BG132-BG133)/BG132*BH132)+IF(TbTradesBinance[[#This Row],[Resultado]]&gt;0,0,TbTradesBinance[[#This Row],[Taxa]]),0),0))</f>
        <v>0</v>
      </c>
      <c r="BI133" s="145">
        <f t="shared" si="54"/>
        <v>0</v>
      </c>
      <c r="BJ13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Row],[Tipo]]="DROP"),BJ132+TbTradesBinance[[#This Row],[Qtt]],BJ132-TbTradesBinance[[#This Row],[Qtt]]),IF(TbTradesBinance[[#This Row],[Tipo]]="BUY",BJ132-TbTradesBinance[[#This Row],[Qtt]]*TbTradesBinance[[#This Row],[Preço]],BJ132+TbTradesBinance[[#This Row],[Qtt]]*TbTradesBinance[[#This Row],[Preço]])),BJ132)-IF(TbTradesBinance[[#This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Row],[Tipo]]="DROP"),BJ132+TbTradesBinance[[#This Row],[Qtt]],BJ132-TbTradesBinance[[#This Row],[Qtt]]),IF(TbTradesBinance[[#This Row],[Tipo]]="BUY",BJ132-TbTradesBinance[[#This Row],[Qtt]]*TbTradesBinance[[#This Row],[Preço]],BJ132+TbTradesBinance[[#This Row],[Qtt]]*TbTradesBinance[[#This Row],[Preço]])),BJ132)-IF(TbTradesBinance[[#This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Row],[Tipo]]="DROP"),BJ132+TbTradesBinance[[#This Row],[Qtt]],BJ132-TbTradesBinance[[#This Row],[Qtt]]),IF(TbTradesBinance[[#This Row],[Tipo]]="BUY",BJ132-TbTradesBinance[[#This Row],[Qtt]]*TbTradesBinance[[#This Row],[Preço]],BJ132+TbTradesBinance[[#This Row],[Qtt]]*TbTradesBinance[[#This Row],[Preço]])),BJ132)-IF(TbTradesBinance[[#This Row],[Moeda da Taxa]]=MID(BJ$1,9,5),TbTradesBinance[[#This Row],[Taxa]],0),8)))</f>
        <v>2.1681500000000002E-3</v>
      </c>
      <c r="BK133" s="145" cm="1">
        <f t="array" ref="BK133">IF(TbTradesBinance[[#This Row],[Tipo]]="EMPTY",0,BK132+IF(TbTradesBinance[[#This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Row],[Par]]))),$1:$1,0)),-(BJ132-BJ133)/BJ132*BK132),0),0)+IF(TbTradesBinance[[#This Row],[Tipo]]="SELL",IF(ISNUMBER(FIND(MID(BK$1,10,5),TbTradesBinance[[#This Row],[Par]])),IF(FIND(MID(BK$1,10,5),TbTradesBinance[[#This Row],[Par]])=1, -(BJ132-BJ133)/BJ132*BK132,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Row],[Par]])),(-(BJ132-BJ133)/BJ132*BK132)+IF(TbTradesBinance[[#This Row],[Resultado]]&gt;0,0,TbTradesBinance[[#This Row],[Taxa]]),0),0))</f>
        <v>0</v>
      </c>
      <c r="BL133" s="145">
        <f t="shared" si="55"/>
        <v>0</v>
      </c>
      <c r="BM13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Row],[Tipo]]="DROP"),BM132+TbTradesBinance[[#This Row],[Qtt]],BM132-TbTradesBinance[[#This Row],[Qtt]]),IF(TbTradesBinance[[#This Row],[Tipo]]="BUY",BM132-TbTradesBinance[[#This Row],[Qtt]]*TbTradesBinance[[#This Row],[Preço]],BM132+TbTradesBinance[[#This Row],[Qtt]]*TbTradesBinance[[#This Row],[Preço]])),BM132)-IF(TbTradesBinance[[#This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Row],[Tipo]]="DROP"),BM132+TbTradesBinance[[#This Row],[Qtt]],BM132-TbTradesBinance[[#This Row],[Qtt]]),IF(TbTradesBinance[[#This Row],[Tipo]]="BUY",BM132-TbTradesBinance[[#This Row],[Qtt]]*TbTradesBinance[[#This Row],[Preço]],BM132+TbTradesBinance[[#This Row],[Qtt]]*TbTradesBinance[[#This Row],[Preço]])),BM132)-IF(TbTradesBinance[[#This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Row],[Tipo]]="DROP"),BM132+TbTradesBinance[[#This Row],[Qtt]],BM132-TbTradesBinance[[#This Row],[Qtt]]),IF(TbTradesBinance[[#This Row],[Tipo]]="BUY",BM132-TbTradesBinance[[#This Row],[Qtt]]*TbTradesBinance[[#This Row],[Preço]],BM132+TbTradesBinance[[#This Row],[Qtt]]*TbTradesBinance[[#This Row],[Preço]])),BM132)-IF(TbTradesBinance[[#This Row],[Moeda da Taxa]]=MID(BM$1,9,5),TbTradesBinance[[#This Row],[Taxa]],0),8)))</f>
        <v>0</v>
      </c>
      <c r="BN133" s="145" cm="1">
        <f t="array" ref="BN133">IF(TbTradesBinance[[#This Row],[Tipo]]="EMPTY",0,BN132+IF(TbTradesBinance[[#This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Row],[Par]]))),$1:$1,0)),-(BM132-BM133)/BM132*BN132),0),0)+IF(TbTradesBinance[[#This Row],[Tipo]]="SELL",IF(ISNUMBER(FIND(MID(BN$1,10,5),TbTradesBinance[[#This Row],[Par]])),IF(FIND(MID(BN$1,10,5),TbTradesBinance[[#This Row],[Par]])=1, -(BM132-BM133)/BM132*BN132,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Row],[Par]])),(-(BM132-BM133)/BM132*BN132)+IF(TbTradesBinance[[#This Row],[Resultado]]&gt;0,0,TbTradesBinance[[#This Row],[Taxa]]),0),0))</f>
        <v>0</v>
      </c>
      <c r="BO133" s="145">
        <f t="shared" si="56"/>
        <v>0</v>
      </c>
    </row>
    <row r="134" spans="2:67" x14ac:dyDescent="0.3">
      <c r="B134" s="51"/>
      <c r="C134" s="40">
        <f>TRUNC(IF(AND(TbTradesBinance[[#This Row],[Tipo]]="SEND",TbTradesBinance[[#This Row],[Par]]="BRL"),TbTradesBinance[[#This Row],[Qtt]]*(1-P132)-IF(TbTradesBinance[[#This Row],[Moeda da Taxa]]="BRL",TbTradesBinance[[#This Row],[Taxa]],0),0)+IF(AND(TbTradesBinance[[#This Row],[Tipo]]="BURN",TbTradesBinance[[#This Row],[Par]]="BRL"),-TbTradesBinance[[#This Row],[Qtt]]*P132,0),2)</f>
        <v>0</v>
      </c>
      <c r="D134" s="53">
        <v>44278.451550925929</v>
      </c>
      <c r="E134" s="37" t="s">
        <v>138</v>
      </c>
      <c r="F134" s="47" t="s">
        <v>140</v>
      </c>
      <c r="G134" s="38">
        <v>308300</v>
      </c>
      <c r="H134" s="38">
        <v>1.6200000000000001E-4</v>
      </c>
      <c r="I134" s="38">
        <v>0</v>
      </c>
      <c r="J134" s="37" t="s">
        <v>45</v>
      </c>
      <c r="K134" s="52">
        <v>1</v>
      </c>
      <c r="L134" s="40">
        <f t="shared" si="38"/>
        <v>308300</v>
      </c>
      <c r="M134" s="40">
        <f>IF(OR(TbTradesBinance[[#This Row],[Tipo]]="BUY",TbTradesBinance[[#This Row],[Tipo]]="RECEIVE",TbTradesBinance[[#This Row],[Tipo]]="DROP"),L134*H134,-L134*H134)</f>
        <v>-49.944600000000001</v>
      </c>
      <c r="N13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Row],[Tipo]]="DROP"),N133+TbTradesBinance[[#This Row],[Qtt]],N133-TbTradesBinance[[#This Row],[Qtt]]),IF(TbTradesBinance[[#This Row],[Tipo]]="BUY",N133-TbTradesBinance[[#This Row],[Qtt]]*TbTradesBinance[[#This Row],[Preço]],N133+TbTradesBinance[[#This Row],[Qtt]]*TbTradesBinance[[#This Row],[Preço]])),N133)-IF(TbTradesBinance[[#This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Row],[Tipo]]="DROP"),N133+TbTradesBinance[[#This Row],[Qtt]],N133-TbTradesBinance[[#This Row],[Qtt]]),IF(TbTradesBinance[[#This Row],[Tipo]]="BUY",N133-TbTradesBinance[[#This Row],[Qtt]]*TbTradesBinance[[#This Row],[Preço]],N133+TbTradesBinance[[#This Row],[Qtt]]*TbTradesBinance[[#This Row],[Preço]])),N133)-IF(TbTradesBinance[[#This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Row],[Tipo]]="DROP"),N133+TbTradesBinance[[#This Row],[Qtt]],N133-TbTradesBinance[[#This Row],[Qtt]]),IF(TbTradesBinance[[#This Row],[Tipo]]="BUY",N133-TbTradesBinance[[#This Row],[Qtt]]*TbTradesBinance[[#This Row],[Preço]],N133+TbTradesBinance[[#This Row],[Qtt]]*TbTradesBinance[[#This Row],[Preço]])),N133)-IF(TbTradesBinance[[#This Row],[Moeda da Taxa]]=MID(N$1,9,5),TbTradesBinance[[#This Row],[Taxa]],0),8)))</f>
        <v>120628.78956418</v>
      </c>
      <c r="O134" s="145" cm="1">
        <f t="array" ref="O134">IF(TbTradesBinance[[#This Row],[Tipo]]="EMPTY",0,O133+IF(TbTradesBinance[[#This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Row],[Par]]))),$1:$1,0)),-(N133-N134)/N133*O133),0),0)+IF(TbTradesBinance[[#This Row],[Tipo]]="SELL",IF(ISNUMBER(FIND(MID(O$1,10,5),TbTradesBinance[[#This Row],[Par]])),IF(FIND(MID(O$1,10,5),TbTradesBinance[[#This Row],[Par]])=1, -(N133-N134)/N133*O133,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Row],[Par]])),(-(N133-N134)/N133*O133)+IF(TbTradesBinance[[#This Row],[Resultado]]&gt;0,0,TbTradesBinance[[#This Row],[Taxa]]),0),0))</f>
        <v>120677.64867022166</v>
      </c>
      <c r="P134" s="145">
        <f t="shared" si="39"/>
        <v>1.0004050368590962</v>
      </c>
      <c r="Q13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Row],[Tipo]]="DROP"),Q133+TbTradesBinance[[#This Row],[Qtt]],Q133-TbTradesBinance[[#This Row],[Qtt]]),IF(TbTradesBinance[[#This Row],[Tipo]]="BUY",Q133-TbTradesBinance[[#This Row],[Qtt]]*TbTradesBinance[[#This Row],[Preço]],Q133+TbTradesBinance[[#This Row],[Qtt]]*TbTradesBinance[[#This Row],[Preço]])),Q133)-IF(TbTradesBinance[[#This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Row],[Tipo]]="DROP"),Q133+TbTradesBinance[[#This Row],[Qtt]],Q133-TbTradesBinance[[#This Row],[Qtt]]),IF(TbTradesBinance[[#This Row],[Tipo]]="BUY",Q133-TbTradesBinance[[#This Row],[Qtt]]*TbTradesBinance[[#This Row],[Preço]],Q133+TbTradesBinance[[#This Row],[Qtt]]*TbTradesBinance[[#This Row],[Preço]])),Q133)-IF(TbTradesBinance[[#This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Row],[Tipo]]="DROP"),Q133+TbTradesBinance[[#This Row],[Qtt]],Q133-TbTradesBinance[[#This Row],[Qtt]]),IF(TbTradesBinance[[#This Row],[Tipo]]="BUY",Q133-TbTradesBinance[[#This Row],[Qtt]]*TbTradesBinance[[#This Row],[Preço]],Q133+TbTradesBinance[[#This Row],[Qtt]]*TbTradesBinance[[#This Row],[Preço]])),Q133)-IF(TbTradesBinance[[#This Row],[Moeda da Taxa]]=MID(Q$1,9,5),TbTradesBinance[[#This Row],[Taxa]],0),8)))</f>
        <v>0</v>
      </c>
      <c r="R134" s="145" cm="1">
        <f t="array" ref="R134">IF(TbTradesBinance[[#This Row],[Tipo]]="EMPTY",0,R133+IF(TbTradesBinance[[#This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Row],[Par]]))),$1:$1,0)),-(Q133-Q134)/Q133*R133),0),0)+IF(TbTradesBinance[[#This Row],[Tipo]]="SELL",IF(ISNUMBER(FIND(MID(R$1,10,5),TbTradesBinance[[#This Row],[Par]])),IF(FIND(MID(R$1,10,5),TbTradesBinance[[#This Row],[Par]])=1, -(Q133-Q134)/Q133*R133,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Row],[Par]])),(-(Q133-Q134)/Q133*R133)+IF(TbTradesBinance[[#This Row],[Resultado]]&gt;0,0,TbTradesBinance[[#This Row],[Taxa]]),0),0))</f>
        <v>0</v>
      </c>
      <c r="S134" s="145">
        <f t="shared" si="40"/>
        <v>0</v>
      </c>
      <c r="T13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Row],[Tipo]]="DROP"),T133+TbTradesBinance[[#This Row],[Qtt]],T133-TbTradesBinance[[#This Row],[Qtt]]),IF(TbTradesBinance[[#This Row],[Tipo]]="BUY",T133-TbTradesBinance[[#This Row],[Qtt]]*TbTradesBinance[[#This Row],[Preço]],T133+TbTradesBinance[[#This Row],[Qtt]]*TbTradesBinance[[#This Row],[Preço]])),T133)-IF(TbTradesBinance[[#This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Row],[Tipo]]="DROP"),T133+TbTradesBinance[[#This Row],[Qtt]],T133-TbTradesBinance[[#This Row],[Qtt]]),IF(TbTradesBinance[[#This Row],[Tipo]]="BUY",T133-TbTradesBinance[[#This Row],[Qtt]]*TbTradesBinance[[#This Row],[Preço]],T133+TbTradesBinance[[#This Row],[Qtt]]*TbTradesBinance[[#This Row],[Preço]])),T133)-IF(TbTradesBinance[[#This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Row],[Tipo]]="DROP"),T133+TbTradesBinance[[#This Row],[Qtt]],T133-TbTradesBinance[[#This Row],[Qtt]]),IF(TbTradesBinance[[#This Row],[Tipo]]="BUY",T133-TbTradesBinance[[#This Row],[Qtt]]*TbTradesBinance[[#This Row],[Preço]],T133+TbTradesBinance[[#This Row],[Qtt]]*TbTradesBinance[[#This Row],[Preço]])),T133)-IF(TbTradesBinance[[#This Row],[Moeda da Taxa]]=MID(T$1,9,5),TbTradesBinance[[#This Row],[Taxa]],0),8)))</f>
        <v>199735.32000169999</v>
      </c>
      <c r="U134" s="145" cm="1">
        <f t="array" ref="U134">IF(TbTradesBinance[[#This Row],[Tipo]]="EMPTY",0,U133+IF(TbTradesBinance[[#This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Row],[Par]]))),$1:$1,0)),-(T133-T134)/T133*U133),0),0)+IF(TbTradesBinance[[#This Row],[Tipo]]="SELL",IF(ISNUMBER(FIND(MID(U$1,10,5),TbTradesBinance[[#This Row],[Par]])),IF(FIND(MID(U$1,10,5),TbTradesBinance[[#This Row],[Par]])=1, -(T133-T134)/T133*U133,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Row],[Par]])),(-(T133-T134)/T133*U133)+IF(TbTradesBinance[[#This Row],[Resultado]]&gt;0,0,TbTradesBinance[[#This Row],[Taxa]]),0),0))</f>
        <v>1328239.8809817513</v>
      </c>
      <c r="V134" s="145">
        <f t="shared" si="41"/>
        <v>6.6500000148719129</v>
      </c>
      <c r="W13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Row],[Tipo]]="DROP"),W133+TbTradesBinance[[#This Row],[Qtt]],W133-TbTradesBinance[[#This Row],[Qtt]]),IF(TbTradesBinance[[#This Row],[Tipo]]="BUY",W133-TbTradesBinance[[#This Row],[Qtt]]*TbTradesBinance[[#This Row],[Preço]],W133+TbTradesBinance[[#This Row],[Qtt]]*TbTradesBinance[[#This Row],[Preço]])),W133)-IF(TbTradesBinance[[#This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Row],[Tipo]]="DROP"),W133+TbTradesBinance[[#This Row],[Qtt]],W133-TbTradesBinance[[#This Row],[Qtt]]),IF(TbTradesBinance[[#This Row],[Tipo]]="BUY",W133-TbTradesBinance[[#This Row],[Qtt]]*TbTradesBinance[[#This Row],[Preço]],W133+TbTradesBinance[[#This Row],[Qtt]]*TbTradesBinance[[#This Row],[Preço]])),W133)-IF(TbTradesBinance[[#This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Row],[Tipo]]="DROP"),W133+TbTradesBinance[[#This Row],[Qtt]],W133-TbTradesBinance[[#This Row],[Qtt]]),IF(TbTradesBinance[[#This Row],[Tipo]]="BUY",W133-TbTradesBinance[[#This Row],[Qtt]]*TbTradesBinance[[#This Row],[Preço]],W133+TbTradesBinance[[#This Row],[Qtt]]*TbTradesBinance[[#This Row],[Preço]])),W133)-IF(TbTradesBinance[[#This Row],[Moeda da Taxa]]=MID(W$1,9,5),TbTradesBinance[[#This Row],[Taxa]],0),8)))</f>
        <v>2.2236000000000001E-4</v>
      </c>
      <c r="X134" s="145" cm="1">
        <f t="array" ref="X134">IF(TbTradesBinance[[#This Row],[Tipo]]="EMPTY",0,X133+IF(TbTradesBinance[[#This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Row],[Par]]))),$1:$1,0)),-(W133-W134)/W133*X133),0),0)+IF(TbTradesBinance[[#This Row],[Tipo]]="SELL",IF(ISNUMBER(FIND(MID(X$1,10,5),TbTradesBinance[[#This Row],[Par]])),IF(FIND(MID(X$1,10,5),TbTradesBinance[[#This Row],[Par]])=1, -(W133-W134)/W133*X133,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Row],[Par]])),(-(W133-W134)/W133*X133)+IF(TbTradesBinance[[#This Row],[Resultado]]&gt;0,0,TbTradesBinance[[#This Row],[Taxa]]),0),0))</f>
        <v>74.209459702914842</v>
      </c>
      <c r="Y134" s="145">
        <f t="shared" si="42"/>
        <v>333735.65255853051</v>
      </c>
      <c r="Z13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Row],[Tipo]]="DROP"),Z133+TbTradesBinance[[#This Row],[Qtt]],Z133-TbTradesBinance[[#This Row],[Qtt]]),IF(TbTradesBinance[[#This Row],[Tipo]]="BUY",Z133-TbTradesBinance[[#This Row],[Qtt]]*TbTradesBinance[[#This Row],[Preço]],Z133+TbTradesBinance[[#This Row],[Qtt]]*TbTradesBinance[[#This Row],[Preço]])),Z133)-IF(TbTradesBinance[[#This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Row],[Tipo]]="DROP"),Z133+TbTradesBinance[[#This Row],[Qtt]],Z133-TbTradesBinance[[#This Row],[Qtt]]),IF(TbTradesBinance[[#This Row],[Tipo]]="BUY",Z133-TbTradesBinance[[#This Row],[Qtt]]*TbTradesBinance[[#This Row],[Preço]],Z133+TbTradesBinance[[#This Row],[Qtt]]*TbTradesBinance[[#This Row],[Preço]])),Z133)-IF(TbTradesBinance[[#This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Row],[Tipo]]="DROP"),Z133+TbTradesBinance[[#This Row],[Qtt]],Z133-TbTradesBinance[[#This Row],[Qtt]]),IF(TbTradesBinance[[#This Row],[Tipo]]="BUY",Z133-TbTradesBinance[[#This Row],[Qtt]]*TbTradesBinance[[#This Row],[Preço]],Z133+TbTradesBinance[[#This Row],[Qtt]]*TbTradesBinance[[#This Row],[Preço]])),Z133)-IF(TbTradesBinance[[#This Row],[Moeda da Taxa]]=MID(Z$1,9,5),TbTradesBinance[[#This Row],[Taxa]],0),8)))</f>
        <v>0</v>
      </c>
      <c r="AA134" s="145" cm="1">
        <f t="array" ref="AA134">IF(TbTradesBinance[[#This Row],[Tipo]]="EMPTY",0,AA133+IF(TbTradesBinance[[#This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Row],[Par]]))),$1:$1,0)),-(Z133-Z134)/Z133*AA133),0),0)+IF(TbTradesBinance[[#This Row],[Tipo]]="SELL",IF(ISNUMBER(FIND(MID(AA$1,10,5),TbTradesBinance[[#This Row],[Par]])),IF(FIND(MID(AA$1,10,5),TbTradesBinance[[#This Row],[Par]])=1, -(Z133-Z134)/Z133*AA133,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Row],[Par]])),(-(Z133-Z134)/Z133*AA133)+IF(TbTradesBinance[[#This Row],[Resultado]]&gt;0,0,TbTradesBinance[[#This Row],[Taxa]]),0),0))</f>
        <v>0</v>
      </c>
      <c r="AB134" s="145">
        <f t="shared" si="43"/>
        <v>0</v>
      </c>
      <c r="AC13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Row],[Tipo]]="DROP"),AC133+TbTradesBinance[[#This Row],[Qtt]],AC133-TbTradesBinance[[#This Row],[Qtt]]),IF(TbTradesBinance[[#This Row],[Tipo]]="BUY",AC133-TbTradesBinance[[#This Row],[Qtt]]*TbTradesBinance[[#This Row],[Preço]],AC133+TbTradesBinance[[#This Row],[Qtt]]*TbTradesBinance[[#This Row],[Preço]])),AC133)-IF(TbTradesBinance[[#This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Row],[Tipo]]="DROP"),AC133+TbTradesBinance[[#This Row],[Qtt]],AC133-TbTradesBinance[[#This Row],[Qtt]]),IF(TbTradesBinance[[#This Row],[Tipo]]="BUY",AC133-TbTradesBinance[[#This Row],[Qtt]]*TbTradesBinance[[#This Row],[Preço]],AC133+TbTradesBinance[[#This Row],[Qtt]]*TbTradesBinance[[#This Row],[Preço]])),AC133)-IF(TbTradesBinance[[#This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Row],[Tipo]]="DROP"),AC133+TbTradesBinance[[#This Row],[Qtt]],AC133-TbTradesBinance[[#This Row],[Qtt]]),IF(TbTradesBinance[[#This Row],[Tipo]]="BUY",AC133-TbTradesBinance[[#This Row],[Qtt]]*TbTradesBinance[[#This Row],[Preço]],AC133+TbTradesBinance[[#This Row],[Qtt]]*TbTradesBinance[[#This Row],[Preço]])),AC133)-IF(TbTradesBinance[[#This Row],[Moeda da Taxa]]=MID(AC$1,9,5),TbTradesBinance[[#This Row],[Taxa]],0),8)))</f>
        <v>0</v>
      </c>
      <c r="AD134" s="145" cm="1">
        <f t="array" ref="AD134">IF(TbTradesBinance[[#This Row],[Tipo]]="EMPTY",0,AD133+IF(TbTradesBinance[[#This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Row],[Par]]))),$1:$1,0)),-(AC133-AC134)/AC133*AD133),0),0)+IF(TbTradesBinance[[#This Row],[Tipo]]="SELL",IF(ISNUMBER(FIND(MID(AD$1,10,5),TbTradesBinance[[#This Row],[Par]])),IF(FIND(MID(AD$1,10,5),TbTradesBinance[[#This Row],[Par]])=1, -(AC133-AC134)/AC133*AD133,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Row],[Par]])),(-(AC133-AC134)/AC133*AD133)+IF(TbTradesBinance[[#This Row],[Resultado]]&gt;0,0,TbTradesBinance[[#This Row],[Taxa]]),0),0))</f>
        <v>0</v>
      </c>
      <c r="AE134" s="145">
        <f t="shared" si="44"/>
        <v>0</v>
      </c>
      <c r="AF13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Row],[Tipo]]="DROP"),AF133+TbTradesBinance[[#This Row],[Qtt]],AF133-TbTradesBinance[[#This Row],[Qtt]]),IF(TbTradesBinance[[#This Row],[Tipo]]="BUY",AF133-TbTradesBinance[[#This Row],[Qtt]]*TbTradesBinance[[#This Row],[Preço]],AF133+TbTradesBinance[[#This Row],[Qtt]]*TbTradesBinance[[#This Row],[Preço]])),AF133)-IF(TbTradesBinance[[#This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Row],[Tipo]]="DROP"),AF133+TbTradesBinance[[#This Row],[Qtt]],AF133-TbTradesBinance[[#This Row],[Qtt]]),IF(TbTradesBinance[[#This Row],[Tipo]]="BUY",AF133-TbTradesBinance[[#This Row],[Qtt]]*TbTradesBinance[[#This Row],[Preço]],AF133+TbTradesBinance[[#This Row],[Qtt]]*TbTradesBinance[[#This Row],[Preço]])),AF133)-IF(TbTradesBinance[[#This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Row],[Tipo]]="DROP"),AF133+TbTradesBinance[[#This Row],[Qtt]],AF133-TbTradesBinance[[#This Row],[Qtt]]),IF(TbTradesBinance[[#This Row],[Tipo]]="BUY",AF133-TbTradesBinance[[#This Row],[Qtt]]*TbTradesBinance[[#This Row],[Preço]],AF133+TbTradesBinance[[#This Row],[Qtt]]*TbTradesBinance[[#This Row],[Preço]])),AF133)-IF(TbTradesBinance[[#This Row],[Moeda da Taxa]]=MID(AF$1,9,5),TbTradesBinance[[#This Row],[Taxa]],0),8)))</f>
        <v>0</v>
      </c>
      <c r="AG134" s="145" cm="1">
        <f t="array" ref="AG134">IF(TbTradesBinance[[#This Row],[Tipo]]="EMPTY",0,AG133+IF(TbTradesBinance[[#This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Row],[Par]]))),$1:$1,0)),-(AF133-AF134)/AF133*AG133),0),0)+IF(TbTradesBinance[[#This Row],[Tipo]]="SELL",IF(ISNUMBER(FIND(MID(AG$1,10,5),TbTradesBinance[[#This Row],[Par]])),IF(FIND(MID(AG$1,10,5),TbTradesBinance[[#This Row],[Par]])=1, -(AF133-AF134)/AF133*AG133,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Row],[Par]])),(-(AF133-AF134)/AF133*AG133)+IF(TbTradesBinance[[#This Row],[Resultado]]&gt;0,0,TbTradesBinance[[#This Row],[Taxa]]),0),0))</f>
        <v>0</v>
      </c>
      <c r="AH134" s="145">
        <f t="shared" si="45"/>
        <v>0</v>
      </c>
      <c r="AI13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Row],[Tipo]]="DROP"),AI133+TbTradesBinance[[#This Row],[Qtt]],AI133-TbTradesBinance[[#This Row],[Qtt]]),IF(TbTradesBinance[[#This Row],[Tipo]]="BUY",AI133-TbTradesBinance[[#This Row],[Qtt]]*TbTradesBinance[[#This Row],[Preço]],AI133+TbTradesBinance[[#This Row],[Qtt]]*TbTradesBinance[[#This Row],[Preço]])),AI133)-IF(TbTradesBinance[[#This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Row],[Tipo]]="DROP"),AI133+TbTradesBinance[[#This Row],[Qtt]],AI133-TbTradesBinance[[#This Row],[Qtt]]),IF(TbTradesBinance[[#This Row],[Tipo]]="BUY",AI133-TbTradesBinance[[#This Row],[Qtt]]*TbTradesBinance[[#This Row],[Preço]],AI133+TbTradesBinance[[#This Row],[Qtt]]*TbTradesBinance[[#This Row],[Preço]])),AI133)-IF(TbTradesBinance[[#This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Row],[Tipo]]="DROP"),AI133+TbTradesBinance[[#This Row],[Qtt]],AI133-TbTradesBinance[[#This Row],[Qtt]]),IF(TbTradesBinance[[#This Row],[Tipo]]="BUY",AI133-TbTradesBinance[[#This Row],[Qtt]]*TbTradesBinance[[#This Row],[Preço]],AI133+TbTradesBinance[[#This Row],[Qtt]]*TbTradesBinance[[#This Row],[Preço]])),AI133)-IF(TbTradesBinance[[#This Row],[Moeda da Taxa]]=MID(AI$1,9,5),TbTradesBinance[[#This Row],[Taxa]],0),8)))</f>
        <v>0</v>
      </c>
      <c r="AJ134" s="145" cm="1">
        <f t="array" ref="AJ134">IF(TbTradesBinance[[#This Row],[Tipo]]="EMPTY",0,AJ133+IF(TbTradesBinance[[#This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Row],[Par]]))),$1:$1,0)),-(AI133-AI134)/AI133*AJ133),0),0)+IF(TbTradesBinance[[#This Row],[Tipo]]="SELL",IF(ISNUMBER(FIND(MID(AJ$1,10,5),TbTradesBinance[[#This Row],[Par]])),IF(FIND(MID(AJ$1,10,5),TbTradesBinance[[#This Row],[Par]])=1, -(AI133-AI134)/AI133*AJ133,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Row],[Par]])),(-(AI133-AI134)/AI133*AJ133)+IF(TbTradesBinance[[#This Row],[Resultado]]&gt;0,0,TbTradesBinance[[#This Row],[Taxa]]),0),0))</f>
        <v>0</v>
      </c>
      <c r="AK134" s="145">
        <f t="shared" si="46"/>
        <v>0</v>
      </c>
      <c r="AL13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Row],[Tipo]]="DROP"),AL133+TbTradesBinance[[#This Row],[Qtt]],AL133-TbTradesBinance[[#This Row],[Qtt]]),IF(TbTradesBinance[[#This Row],[Tipo]]="BUY",AL133-TbTradesBinance[[#This Row],[Qtt]]*TbTradesBinance[[#This Row],[Preço]],AL133+TbTradesBinance[[#This Row],[Qtt]]*TbTradesBinance[[#This Row],[Preço]])),AL133)-IF(TbTradesBinance[[#This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Row],[Tipo]]="DROP"),AL133+TbTradesBinance[[#This Row],[Qtt]],AL133-TbTradesBinance[[#This Row],[Qtt]]),IF(TbTradesBinance[[#This Row],[Tipo]]="BUY",AL133-TbTradesBinance[[#This Row],[Qtt]]*TbTradesBinance[[#This Row],[Preço]],AL133+TbTradesBinance[[#This Row],[Qtt]]*TbTradesBinance[[#This Row],[Preço]])),AL133)-IF(TbTradesBinance[[#This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Row],[Tipo]]="DROP"),AL133+TbTradesBinance[[#This Row],[Qtt]],AL133-TbTradesBinance[[#This Row],[Qtt]]),IF(TbTradesBinance[[#This Row],[Tipo]]="BUY",AL133-TbTradesBinance[[#This Row],[Qtt]]*TbTradesBinance[[#This Row],[Preço]],AL133+TbTradesBinance[[#This Row],[Qtt]]*TbTradesBinance[[#This Row],[Preço]])),AL133)-IF(TbTradesBinance[[#This Row],[Moeda da Taxa]]=MID(AL$1,9,5),TbTradesBinance[[#This Row],[Taxa]],0),8)))</f>
        <v>0</v>
      </c>
      <c r="AM134" s="145" cm="1">
        <f t="array" ref="AM134">IF(TbTradesBinance[[#This Row],[Tipo]]="EMPTY",0,AM133+IF(TbTradesBinance[[#This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Row],[Par]]))),$1:$1,0)),-(AL133-AL134)/AL133*AM133),0),0)+IF(TbTradesBinance[[#This Row],[Tipo]]="SELL",IF(ISNUMBER(FIND(MID(AM$1,10,5),TbTradesBinance[[#This Row],[Par]])),IF(FIND(MID(AM$1,10,5),TbTradesBinance[[#This Row],[Par]])=1, -(AL133-AL134)/AL133*AM133,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Row],[Par]])),(-(AL133-AL134)/AL133*AM133)+IF(TbTradesBinance[[#This Row],[Resultado]]&gt;0,0,TbTradesBinance[[#This Row],[Taxa]]),0),0))</f>
        <v>0</v>
      </c>
      <c r="AN134" s="145">
        <f t="shared" si="47"/>
        <v>0</v>
      </c>
      <c r="AO13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Row],[Tipo]]="DROP"),AO133+TbTradesBinance[[#This Row],[Qtt]],AO133-TbTradesBinance[[#This Row],[Qtt]]),IF(TbTradesBinance[[#This Row],[Tipo]]="BUY",AO133-TbTradesBinance[[#This Row],[Qtt]]*TbTradesBinance[[#This Row],[Preço]],AO133+TbTradesBinance[[#This Row],[Qtt]]*TbTradesBinance[[#This Row],[Preço]])),AO133)-IF(TbTradesBinance[[#This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Row],[Tipo]]="DROP"),AO133+TbTradesBinance[[#This Row],[Qtt]],AO133-TbTradesBinance[[#This Row],[Qtt]]),IF(TbTradesBinance[[#This Row],[Tipo]]="BUY",AO133-TbTradesBinance[[#This Row],[Qtt]]*TbTradesBinance[[#This Row],[Preço]],AO133+TbTradesBinance[[#This Row],[Qtt]]*TbTradesBinance[[#This Row],[Preço]])),AO133)-IF(TbTradesBinance[[#This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Row],[Tipo]]="DROP"),AO133+TbTradesBinance[[#This Row],[Qtt]],AO133-TbTradesBinance[[#This Row],[Qtt]]),IF(TbTradesBinance[[#This Row],[Tipo]]="BUY",AO133-TbTradesBinance[[#This Row],[Qtt]]*TbTradesBinance[[#This Row],[Preço]],AO133+TbTradesBinance[[#This Row],[Qtt]]*TbTradesBinance[[#This Row],[Preço]])),AO133)-IF(TbTradesBinance[[#This Row],[Moeda da Taxa]]=MID(AO$1,9,5),TbTradesBinance[[#This Row],[Taxa]],0),8)))</f>
        <v>3.7164530000000001E-2</v>
      </c>
      <c r="AP134" s="145" cm="1">
        <f t="array" ref="AP134">IF(TbTradesBinance[[#This Row],[Tipo]]="EMPTY",0,AP133+IF(TbTradesBinance[[#This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Row],[Par]]))),$1:$1,0)),-(AO133-AO134)/AO133*AP133),0),0)+IF(TbTradesBinance[[#This Row],[Tipo]]="SELL",IF(ISNUMBER(FIND(MID(AP$1,10,5),TbTradesBinance[[#This Row],[Par]])),IF(FIND(MID(AP$1,10,5),TbTradesBinance[[#This Row],[Par]])=1, -(AO133-AO134)/AO133*AP133,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Row],[Par]])),(-(AO133-AO134)/AO133*AP133)+IF(TbTradesBinance[[#This Row],[Resultado]]&gt;0,0,TbTradesBinance[[#This Row],[Taxa]]),0),0))</f>
        <v>56.863147211807636</v>
      </c>
      <c r="AQ134" s="145">
        <f t="shared" si="48"/>
        <v>1530.0381092350053</v>
      </c>
      <c r="AR13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Row],[Tipo]]="DROP"),AR133+TbTradesBinance[[#This Row],[Qtt]],AR133-TbTradesBinance[[#This Row],[Qtt]]),IF(TbTradesBinance[[#This Row],[Tipo]]="BUY",AR133-TbTradesBinance[[#This Row],[Qtt]]*TbTradesBinance[[#This Row],[Preço]],AR133+TbTradesBinance[[#This Row],[Qtt]]*TbTradesBinance[[#This Row],[Preço]])),AR133)-IF(TbTradesBinance[[#This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Row],[Tipo]]="DROP"),AR133+TbTradesBinance[[#This Row],[Qtt]],AR133-TbTradesBinance[[#This Row],[Qtt]]),IF(TbTradesBinance[[#This Row],[Tipo]]="BUY",AR133-TbTradesBinance[[#This Row],[Qtt]]*TbTradesBinance[[#This Row],[Preço]],AR133+TbTradesBinance[[#This Row],[Qtt]]*TbTradesBinance[[#This Row],[Preço]])),AR133)-IF(TbTradesBinance[[#This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Row],[Tipo]]="DROP"),AR133+TbTradesBinance[[#This Row],[Qtt]],AR133-TbTradesBinance[[#This Row],[Qtt]]),IF(TbTradesBinance[[#This Row],[Tipo]]="BUY",AR133-TbTradesBinance[[#This Row],[Qtt]]*TbTradesBinance[[#This Row],[Preço]],AR133+TbTradesBinance[[#This Row],[Qtt]]*TbTradesBinance[[#This Row],[Preço]])),AR133)-IF(TbTradesBinance[[#This Row],[Moeda da Taxa]]=MID(AR$1,9,5),TbTradesBinance[[#This Row],[Taxa]],0),8)))</f>
        <v>61.251199999999997</v>
      </c>
      <c r="AS134" s="145" cm="1">
        <f t="array" ref="AS134">IF(TbTradesBinance[[#This Row],[Tipo]]="EMPTY",0,AS133+IF(TbTradesBinance[[#This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Row],[Par]]))),$1:$1,0)),-(AR133-AR134)/AR133*AS133),0),0)+IF(TbTradesBinance[[#This Row],[Tipo]]="SELL",IF(ISNUMBER(FIND(MID(AS$1,10,5),TbTradesBinance[[#This Row],[Par]])),IF(FIND(MID(AS$1,10,5),TbTradesBinance[[#This Row],[Par]])=1, -(AR133-AR134)/AR133*AS133,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Row],[Par]])),(-(AR133-AR134)/AR133*AS133)+IF(TbTradesBinance[[#This Row],[Resultado]]&gt;0,0,TbTradesBinance[[#This Row],[Taxa]]),0),0))</f>
        <v>230.84001376053044</v>
      </c>
      <c r="AT134" s="145">
        <f t="shared" si="49"/>
        <v>3.7687427146003745</v>
      </c>
      <c r="AU13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Row],[Tipo]]="DROP"),AU133+TbTradesBinance[[#This Row],[Qtt]],AU133-TbTradesBinance[[#This Row],[Qtt]]),IF(TbTradesBinance[[#This Row],[Tipo]]="BUY",AU133-TbTradesBinance[[#This Row],[Qtt]]*TbTradesBinance[[#This Row],[Preço]],AU133+TbTradesBinance[[#This Row],[Qtt]]*TbTradesBinance[[#This Row],[Preço]])),AU133)-IF(TbTradesBinance[[#This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Row],[Tipo]]="DROP"),AU133+TbTradesBinance[[#This Row],[Qtt]],AU133-TbTradesBinance[[#This Row],[Qtt]]),IF(TbTradesBinance[[#This Row],[Tipo]]="BUY",AU133-TbTradesBinance[[#This Row],[Qtt]]*TbTradesBinance[[#This Row],[Preço]],AU133+TbTradesBinance[[#This Row],[Qtt]]*TbTradesBinance[[#This Row],[Preço]])),AU133)-IF(TbTradesBinance[[#This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Row],[Tipo]]="DROP"),AU133+TbTradesBinance[[#This Row],[Qtt]],AU133-TbTradesBinance[[#This Row],[Qtt]]),IF(TbTradesBinance[[#This Row],[Tipo]]="BUY",AU133-TbTradesBinance[[#This Row],[Qtt]]*TbTradesBinance[[#This Row],[Preço]],AU133+TbTradesBinance[[#This Row],[Qtt]]*TbTradesBinance[[#This Row],[Preço]])),AU133)-IF(TbTradesBinance[[#This Row],[Moeda da Taxa]]=MID(AU$1,9,5),TbTradesBinance[[#This Row],[Taxa]],0),8)))</f>
        <v>0</v>
      </c>
      <c r="AV134" s="145" cm="1">
        <f t="array" ref="AV134">IF(TbTradesBinance[[#This Row],[Tipo]]="EMPTY",0,AV133+IF(TbTradesBinance[[#This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Row],[Par]]))),$1:$1,0)),-(AU133-AU134)/AU133*AV133),0),0)+IF(TbTradesBinance[[#This Row],[Tipo]]="SELL",IF(ISNUMBER(FIND(MID(AV$1,10,5),TbTradesBinance[[#This Row],[Par]])),IF(FIND(MID(AV$1,10,5),TbTradesBinance[[#This Row],[Par]])=1, -(AU133-AU134)/AU133*AV133,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Row],[Par]])),(-(AU133-AU134)/AU133*AV133)+IF(TbTradesBinance[[#This Row],[Resultado]]&gt;0,0,TbTradesBinance[[#This Row],[Taxa]]),0),0))</f>
        <v>0</v>
      </c>
      <c r="AW134" s="145">
        <f t="shared" si="50"/>
        <v>0</v>
      </c>
      <c r="AX13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Row],[Tipo]]="DROP"),AX133+TbTradesBinance[[#This Row],[Qtt]],AX133-TbTradesBinance[[#This Row],[Qtt]]),IF(TbTradesBinance[[#This Row],[Tipo]]="BUY",AX133-TbTradesBinance[[#This Row],[Qtt]]*TbTradesBinance[[#This Row],[Preço]],AX133+TbTradesBinance[[#This Row],[Qtt]]*TbTradesBinance[[#This Row],[Preço]])),AX133)-IF(TbTradesBinance[[#This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Row],[Tipo]]="DROP"),AX133+TbTradesBinance[[#This Row],[Qtt]],AX133-TbTradesBinance[[#This Row],[Qtt]]),IF(TbTradesBinance[[#This Row],[Tipo]]="BUY",AX133-TbTradesBinance[[#This Row],[Qtt]]*TbTradesBinance[[#This Row],[Preço]],AX133+TbTradesBinance[[#This Row],[Qtt]]*TbTradesBinance[[#This Row],[Preço]])),AX133)-IF(TbTradesBinance[[#This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Row],[Tipo]]="DROP"),AX133+TbTradesBinance[[#This Row],[Qtt]],AX133-TbTradesBinance[[#This Row],[Qtt]]),IF(TbTradesBinance[[#This Row],[Tipo]]="BUY",AX133-TbTradesBinance[[#This Row],[Qtt]]*TbTradesBinance[[#This Row],[Preço]],AX133+TbTradesBinance[[#This Row],[Qtt]]*TbTradesBinance[[#This Row],[Preço]])),AX133)-IF(TbTradesBinance[[#This Row],[Moeda da Taxa]]=MID(AX$1,9,5),TbTradesBinance[[#This Row],[Taxa]],0),8)))</f>
        <v>0.85636999999999996</v>
      </c>
      <c r="AY134" s="145" cm="1">
        <f t="array" ref="AY134">IF(TbTradesBinance[[#This Row],[Tipo]]="EMPTY",0,AY133+IF(TbTradesBinance[[#This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Row],[Par]]))),$1:$1,0)),-(AX133-AX134)/AX133*AY133),0),0)+IF(TbTradesBinance[[#This Row],[Tipo]]="SELL",IF(ISNUMBER(FIND(MID(AY$1,10,5),TbTradesBinance[[#This Row],[Par]])),IF(FIND(MID(AY$1,10,5),TbTradesBinance[[#This Row],[Par]])=1, -(AX133-AX134)/AX133*AY133,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Row],[Par]])),(-(AX133-AX134)/AX133*AY133)+IF(TbTradesBinance[[#This Row],[Resultado]]&gt;0,0,TbTradesBinance[[#This Row],[Taxa]]),0),0))</f>
        <v>131.82971181780295</v>
      </c>
      <c r="AZ134" s="145">
        <f t="shared" si="51"/>
        <v>153.94013314081874</v>
      </c>
      <c r="BA13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Row],[Tipo]]="DROP"),BA133+TbTradesBinance[[#This Row],[Qtt]],BA133-TbTradesBinance[[#This Row],[Qtt]]),IF(TbTradesBinance[[#This Row],[Tipo]]="BUY",BA133-TbTradesBinance[[#This Row],[Qtt]]*TbTradesBinance[[#This Row],[Preço]],BA133+TbTradesBinance[[#This Row],[Qtt]]*TbTradesBinance[[#This Row],[Preço]])),BA133)-IF(TbTradesBinance[[#This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Row],[Tipo]]="DROP"),BA133+TbTradesBinance[[#This Row],[Qtt]],BA133-TbTradesBinance[[#This Row],[Qtt]]),IF(TbTradesBinance[[#This Row],[Tipo]]="BUY",BA133-TbTradesBinance[[#This Row],[Qtt]]*TbTradesBinance[[#This Row],[Preço]],BA133+TbTradesBinance[[#This Row],[Qtt]]*TbTradesBinance[[#This Row],[Preço]])),BA133)-IF(TbTradesBinance[[#This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Row],[Tipo]]="DROP"),BA133+TbTradesBinance[[#This Row],[Qtt]],BA133-TbTradesBinance[[#This Row],[Qtt]]),IF(TbTradesBinance[[#This Row],[Tipo]]="BUY",BA133-TbTradesBinance[[#This Row],[Qtt]]*TbTradesBinance[[#This Row],[Preço]],BA133+TbTradesBinance[[#This Row],[Qtt]]*TbTradesBinance[[#This Row],[Preço]])),BA133)-IF(TbTradesBinance[[#This Row],[Moeda da Taxa]]=MID(BA$1,9,5),TbTradesBinance[[#This Row],[Taxa]],0),8)))</f>
        <v>0.10571</v>
      </c>
      <c r="BB134" s="145" cm="1">
        <f t="array" ref="BB134">IF(TbTradesBinance[[#This Row],[Tipo]]="EMPTY",0,BB133+IF(TbTradesBinance[[#This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Row],[Par]]))),$1:$1,0)),-(BA133-BA134)/BA133*BB133),0),0)+IF(TbTradesBinance[[#This Row],[Tipo]]="SELL",IF(ISNUMBER(FIND(MID(BB$1,10,5),TbTradesBinance[[#This Row],[Par]])),IF(FIND(MID(BB$1,10,5),TbTradesBinance[[#This Row],[Par]])=1, -(BA133-BA134)/BA133*BB133,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Row],[Par]])),(-(BA133-BA134)/BA133*BB133)+IF(TbTradesBinance[[#This Row],[Resultado]]&gt;0,0,TbTradesBinance[[#This Row],[Taxa]]),0),0))</f>
        <v>120.8257969142021</v>
      </c>
      <c r="BC134" s="145">
        <f t="shared" si="52"/>
        <v>1142.9930651234708</v>
      </c>
      <c r="BD13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Row],[Tipo]]="DROP"),BD133+TbTradesBinance[[#This Row],[Qtt]],BD133-TbTradesBinance[[#This Row],[Qtt]]),IF(TbTradesBinance[[#This Row],[Tipo]]="BUY",BD133-TbTradesBinance[[#This Row],[Qtt]]*TbTradesBinance[[#This Row],[Preço]],BD133+TbTradesBinance[[#This Row],[Qtt]]*TbTradesBinance[[#This Row],[Preço]])),BD133)-IF(TbTradesBinance[[#This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Row],[Tipo]]="DROP"),BD133+TbTradesBinance[[#This Row],[Qtt]],BD133-TbTradesBinance[[#This Row],[Qtt]]),IF(TbTradesBinance[[#This Row],[Tipo]]="BUY",BD133-TbTradesBinance[[#This Row],[Qtt]]*TbTradesBinance[[#This Row],[Preço]],BD133+TbTradesBinance[[#This Row],[Qtt]]*TbTradesBinance[[#This Row],[Preço]])),BD133)-IF(TbTradesBinance[[#This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Row],[Tipo]]="DROP"),BD133+TbTradesBinance[[#This Row],[Qtt]],BD133-TbTradesBinance[[#This Row],[Qtt]]),IF(TbTradesBinance[[#This Row],[Tipo]]="BUY",BD133-TbTradesBinance[[#This Row],[Qtt]]*TbTradesBinance[[#This Row],[Preço]],BD133+TbTradesBinance[[#This Row],[Qtt]]*TbTradesBinance[[#This Row],[Preço]])),BD133)-IF(TbTradesBinance[[#This Row],[Moeda da Taxa]]=MID(BD$1,9,5),TbTradesBinance[[#This Row],[Taxa]],0),8)))</f>
        <v>0</v>
      </c>
      <c r="BE134" s="145" cm="1">
        <f t="array" ref="BE134">IF(TbTradesBinance[[#This Row],[Tipo]]="EMPTY",0,BE133+IF(TbTradesBinance[[#This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Row],[Par]]))),$1:$1,0)),-(BD133-BD134)/BD133*BE133),0),0)+IF(TbTradesBinance[[#This Row],[Tipo]]="SELL",IF(ISNUMBER(FIND(MID(BE$1,10,5),TbTradesBinance[[#This Row],[Par]])),IF(FIND(MID(BE$1,10,5),TbTradesBinance[[#This Row],[Par]])=1, -(BD133-BD134)/BD133*BE133,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Row],[Par]])),(-(BD133-BD134)/BD133*BE133)+IF(TbTradesBinance[[#This Row],[Resultado]]&gt;0,0,TbTradesBinance[[#This Row],[Taxa]]),0),0))</f>
        <v>0</v>
      </c>
      <c r="BF134" s="145">
        <f t="shared" si="53"/>
        <v>0</v>
      </c>
      <c r="BG13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Row],[Tipo]]="DROP"),BG133+TbTradesBinance[[#This Row],[Qtt]],BG133-TbTradesBinance[[#This Row],[Qtt]]),IF(TbTradesBinance[[#This Row],[Tipo]]="BUY",BG133-TbTradesBinance[[#This Row],[Qtt]]*TbTradesBinance[[#This Row],[Preço]],BG133+TbTradesBinance[[#This Row],[Qtt]]*TbTradesBinance[[#This Row],[Preço]])),BG133)-IF(TbTradesBinance[[#This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Row],[Tipo]]="DROP"),BG133+TbTradesBinance[[#This Row],[Qtt]],BG133-TbTradesBinance[[#This Row],[Qtt]]),IF(TbTradesBinance[[#This Row],[Tipo]]="BUY",BG133-TbTradesBinance[[#This Row],[Qtt]]*TbTradesBinance[[#This Row],[Preço]],BG133+TbTradesBinance[[#This Row],[Qtt]]*TbTradesBinance[[#This Row],[Preço]])),BG133)-IF(TbTradesBinance[[#This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Row],[Tipo]]="DROP"),BG133+TbTradesBinance[[#This Row],[Qtt]],BG133-TbTradesBinance[[#This Row],[Qtt]]),IF(TbTradesBinance[[#This Row],[Tipo]]="BUY",BG133-TbTradesBinance[[#This Row],[Qtt]]*TbTradesBinance[[#This Row],[Preço]],BG133+TbTradesBinance[[#This Row],[Qtt]]*TbTradesBinance[[#This Row],[Preço]])),BG133)-IF(TbTradesBinance[[#This Row],[Moeda da Taxa]]=MID(BG$1,9,5),TbTradesBinance[[#This Row],[Taxa]],0),8)))</f>
        <v>0</v>
      </c>
      <c r="BH134" s="145" cm="1">
        <f t="array" ref="BH134">IF(TbTradesBinance[[#This Row],[Tipo]]="EMPTY",0,BH133+IF(TbTradesBinance[[#This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Row],[Par]]))),$1:$1,0)),-(BG133-BG134)/BG133*BH133),0),0)+IF(TbTradesBinance[[#This Row],[Tipo]]="SELL",IF(ISNUMBER(FIND(MID(BH$1,10,5),TbTradesBinance[[#This Row],[Par]])),IF(FIND(MID(BH$1,10,5),TbTradesBinance[[#This Row],[Par]])=1, -(BG133-BG134)/BG133*BH133,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Row],[Par]])),(-(BG133-BG134)/BG133*BH133)+IF(TbTradesBinance[[#This Row],[Resultado]]&gt;0,0,TbTradesBinance[[#This Row],[Taxa]]),0),0))</f>
        <v>0</v>
      </c>
      <c r="BI134" s="145">
        <f t="shared" si="54"/>
        <v>0</v>
      </c>
      <c r="BJ13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Row],[Tipo]]="DROP"),BJ133+TbTradesBinance[[#This Row],[Qtt]],BJ133-TbTradesBinance[[#This Row],[Qtt]]),IF(TbTradesBinance[[#This Row],[Tipo]]="BUY",BJ133-TbTradesBinance[[#This Row],[Qtt]]*TbTradesBinance[[#This Row],[Preço]],BJ133+TbTradesBinance[[#This Row],[Qtt]]*TbTradesBinance[[#This Row],[Preço]])),BJ133)-IF(TbTradesBinance[[#This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Row],[Tipo]]="DROP"),BJ133+TbTradesBinance[[#This Row],[Qtt]],BJ133-TbTradesBinance[[#This Row],[Qtt]]),IF(TbTradesBinance[[#This Row],[Tipo]]="BUY",BJ133-TbTradesBinance[[#This Row],[Qtt]]*TbTradesBinance[[#This Row],[Preço]],BJ133+TbTradesBinance[[#This Row],[Qtt]]*TbTradesBinance[[#This Row],[Preço]])),BJ133)-IF(TbTradesBinance[[#This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Row],[Tipo]]="DROP"),BJ133+TbTradesBinance[[#This Row],[Qtt]],BJ133-TbTradesBinance[[#This Row],[Qtt]]),IF(TbTradesBinance[[#This Row],[Tipo]]="BUY",BJ133-TbTradesBinance[[#This Row],[Qtt]]*TbTradesBinance[[#This Row],[Preço]],BJ133+TbTradesBinance[[#This Row],[Qtt]]*TbTradesBinance[[#This Row],[Preço]])),BJ133)-IF(TbTradesBinance[[#This Row],[Moeda da Taxa]]=MID(BJ$1,9,5),TbTradesBinance[[#This Row],[Taxa]],0),8)))</f>
        <v>2.1681500000000002E-3</v>
      </c>
      <c r="BK134" s="145" cm="1">
        <f t="array" ref="BK134">IF(TbTradesBinance[[#This Row],[Tipo]]="EMPTY",0,BK133+IF(TbTradesBinance[[#This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Row],[Par]]))),$1:$1,0)),-(BJ133-BJ134)/BJ133*BK133),0),0)+IF(TbTradesBinance[[#This Row],[Tipo]]="SELL",IF(ISNUMBER(FIND(MID(BK$1,10,5),TbTradesBinance[[#This Row],[Par]])),IF(FIND(MID(BK$1,10,5),TbTradesBinance[[#This Row],[Par]])=1, -(BJ133-BJ134)/BJ133*BK133,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Row],[Par]])),(-(BJ133-BJ134)/BJ133*BK133)+IF(TbTradesBinance[[#This Row],[Resultado]]&gt;0,0,TbTradesBinance[[#This Row],[Taxa]]),0),0))</f>
        <v>0</v>
      </c>
      <c r="BL134" s="145">
        <f t="shared" si="55"/>
        <v>0</v>
      </c>
      <c r="BM13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Row],[Tipo]]="DROP"),BM133+TbTradesBinance[[#This Row],[Qtt]],BM133-TbTradesBinance[[#This Row],[Qtt]]),IF(TbTradesBinance[[#This Row],[Tipo]]="BUY",BM133-TbTradesBinance[[#This Row],[Qtt]]*TbTradesBinance[[#This Row],[Preço]],BM133+TbTradesBinance[[#This Row],[Qtt]]*TbTradesBinance[[#This Row],[Preço]])),BM133)-IF(TbTradesBinance[[#This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Row],[Tipo]]="DROP"),BM133+TbTradesBinance[[#This Row],[Qtt]],BM133-TbTradesBinance[[#This Row],[Qtt]]),IF(TbTradesBinance[[#This Row],[Tipo]]="BUY",BM133-TbTradesBinance[[#This Row],[Qtt]]*TbTradesBinance[[#This Row],[Preço]],BM133+TbTradesBinance[[#This Row],[Qtt]]*TbTradesBinance[[#This Row],[Preço]])),BM133)-IF(TbTradesBinance[[#This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Row],[Tipo]]="DROP"),BM133+TbTradesBinance[[#This Row],[Qtt]],BM133-TbTradesBinance[[#This Row],[Qtt]]),IF(TbTradesBinance[[#This Row],[Tipo]]="BUY",BM133-TbTradesBinance[[#This Row],[Qtt]]*TbTradesBinance[[#This Row],[Preço]],BM133+TbTradesBinance[[#This Row],[Qtt]]*TbTradesBinance[[#This Row],[Preço]])),BM133)-IF(TbTradesBinance[[#This Row],[Moeda da Taxa]]=MID(BM$1,9,5),TbTradesBinance[[#This Row],[Taxa]],0),8)))</f>
        <v>0</v>
      </c>
      <c r="BN134" s="145" cm="1">
        <f t="array" ref="BN134">IF(TbTradesBinance[[#This Row],[Tipo]]="EMPTY",0,BN133+IF(TbTradesBinance[[#This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Row],[Par]]))),$1:$1,0)),-(BM133-BM134)/BM133*BN133),0),0)+IF(TbTradesBinance[[#This Row],[Tipo]]="SELL",IF(ISNUMBER(FIND(MID(BN$1,10,5),TbTradesBinance[[#This Row],[Par]])),IF(FIND(MID(BN$1,10,5),TbTradesBinance[[#This Row],[Par]])=1, -(BM133-BM134)/BM133*BN133,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Row],[Par]])),(-(BM133-BM134)/BM133*BN133)+IF(TbTradesBinance[[#This Row],[Resultado]]&gt;0,0,TbTradesBinance[[#This Row],[Taxa]]),0),0))</f>
        <v>0</v>
      </c>
      <c r="BO134" s="145">
        <f t="shared" si="56"/>
        <v>0</v>
      </c>
    </row>
    <row r="135" spans="2:67" x14ac:dyDescent="0.3">
      <c r="B135" s="51" t="s">
        <v>240</v>
      </c>
      <c r="C135" s="40">
        <f>TRUNC(IF(AND(TbTradesBinance[[#This Row],[Tipo]]="SEND",TbTradesBinance[[#This Row],[Par]]="BRL"),TbTradesBinance[[#This Row],[Qtt]]*(1-P133)-IF(TbTradesBinance[[#This Row],[Moeda da Taxa]]="BRL",TbTradesBinance[[#This Row],[Taxa]],0),0)+IF(AND(TbTradesBinance[[#This Row],[Tipo]]="BURN",TbTradesBinance[[#This Row],[Par]]="BRL"),-TbTradesBinance[[#This Row],[Qtt]]*P133,0),2)</f>
        <v>0</v>
      </c>
      <c r="D135" s="53">
        <v>44282.496782407405</v>
      </c>
      <c r="E135" s="37" t="s">
        <v>60</v>
      </c>
      <c r="F135" s="47" t="s">
        <v>137</v>
      </c>
      <c r="G135" s="38">
        <v>1</v>
      </c>
      <c r="H135" s="38">
        <v>20000</v>
      </c>
      <c r="I135" s="38">
        <v>0</v>
      </c>
      <c r="J135" s="37" t="s">
        <v>60</v>
      </c>
      <c r="K135" s="52">
        <v>6.65</v>
      </c>
      <c r="L135" s="40">
        <f t="shared" si="38"/>
        <v>6.65</v>
      </c>
      <c r="M135" s="40">
        <f>IF(OR(TbTradesBinance[[#This Row],[Tipo]]="BUY",TbTradesBinance[[#This Row],[Tipo]]="RECEIVE",TbTradesBinance[[#This Row],[Tipo]]="DROP"),L135*H135,-L135*H135)</f>
        <v>133000</v>
      </c>
      <c r="N13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Row],[Tipo]]="DROP"),N134+TbTradesBinance[[#This Row],[Qtt]],N134-TbTradesBinance[[#This Row],[Qtt]]),IF(TbTradesBinance[[#This Row],[Tipo]]="BUY",N134-TbTradesBinance[[#This Row],[Qtt]]*TbTradesBinance[[#This Row],[Preço]],N134+TbTradesBinance[[#This Row],[Qtt]]*TbTradesBinance[[#This Row],[Preço]])),N134)-IF(TbTradesBinance[[#This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Row],[Tipo]]="DROP"),N134+TbTradesBinance[[#This Row],[Qtt]],N134-TbTradesBinance[[#This Row],[Qtt]]),IF(TbTradesBinance[[#This Row],[Tipo]]="BUY",N134-TbTradesBinance[[#This Row],[Qtt]]*TbTradesBinance[[#This Row],[Preço]],N134+TbTradesBinance[[#This Row],[Qtt]]*TbTradesBinance[[#This Row],[Preço]])),N134)-IF(TbTradesBinance[[#This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Row],[Tipo]]="DROP"),N134+TbTradesBinance[[#This Row],[Qtt]],N134-TbTradesBinance[[#This Row],[Qtt]]),IF(TbTradesBinance[[#This Row],[Tipo]]="BUY",N134-TbTradesBinance[[#This Row],[Qtt]]*TbTradesBinance[[#This Row],[Preço]],N134+TbTradesBinance[[#This Row],[Qtt]]*TbTradesBinance[[#This Row],[Preço]])),N134)-IF(TbTradesBinance[[#This Row],[Moeda da Taxa]]=MID(N$1,9,5),TbTradesBinance[[#This Row],[Taxa]],0),8)))</f>
        <v>120628.78956418</v>
      </c>
      <c r="O135" s="145" cm="1">
        <f t="array" ref="O135">IF(TbTradesBinance[[#This Row],[Tipo]]="EMPTY",0,O134+IF(TbTradesBinance[[#This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Row],[Par]]))),$1:$1,0)),-(N134-N135)/N134*O134),0),0)+IF(TbTradesBinance[[#This Row],[Tipo]]="SELL",IF(ISNUMBER(FIND(MID(O$1,10,5),TbTradesBinance[[#This Row],[Par]])),IF(FIND(MID(O$1,10,5),TbTradesBinance[[#This Row],[Par]])=1, -(N134-N135)/N134*O134,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Row],[Par]])),(-(N134-N135)/N134*O134)+IF(TbTradesBinance[[#This Row],[Resultado]]&gt;0,0,TbTradesBinance[[#This Row],[Taxa]]),0),0))</f>
        <v>120677.64867022166</v>
      </c>
      <c r="P135" s="145">
        <f t="shared" si="39"/>
        <v>1.0004050368590962</v>
      </c>
      <c r="Q13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Row],[Tipo]]="DROP"),Q134+TbTradesBinance[[#This Row],[Qtt]],Q134-TbTradesBinance[[#This Row],[Qtt]]),IF(TbTradesBinance[[#This Row],[Tipo]]="BUY",Q134-TbTradesBinance[[#This Row],[Qtt]]*TbTradesBinance[[#This Row],[Preço]],Q134+TbTradesBinance[[#This Row],[Qtt]]*TbTradesBinance[[#This Row],[Preço]])),Q134)-IF(TbTradesBinance[[#This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Row],[Tipo]]="DROP"),Q134+TbTradesBinance[[#This Row],[Qtt]],Q134-TbTradesBinance[[#This Row],[Qtt]]),IF(TbTradesBinance[[#This Row],[Tipo]]="BUY",Q134-TbTradesBinance[[#This Row],[Qtt]]*TbTradesBinance[[#This Row],[Preço]],Q134+TbTradesBinance[[#This Row],[Qtt]]*TbTradesBinance[[#This Row],[Preço]])),Q134)-IF(TbTradesBinance[[#This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Row],[Tipo]]="DROP"),Q134+TbTradesBinance[[#This Row],[Qtt]],Q134-TbTradesBinance[[#This Row],[Qtt]]),IF(TbTradesBinance[[#This Row],[Tipo]]="BUY",Q134-TbTradesBinance[[#This Row],[Qtt]]*TbTradesBinance[[#This Row],[Preço]],Q134+TbTradesBinance[[#This Row],[Qtt]]*TbTradesBinance[[#This Row],[Preço]])),Q134)-IF(TbTradesBinance[[#This Row],[Moeda da Taxa]]=MID(Q$1,9,5),TbTradesBinance[[#This Row],[Taxa]],0),8)))</f>
        <v>0</v>
      </c>
      <c r="R135" s="145" cm="1">
        <f t="array" ref="R135">IF(TbTradesBinance[[#This Row],[Tipo]]="EMPTY",0,R134+IF(TbTradesBinance[[#This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Row],[Par]]))),$1:$1,0)),-(Q134-Q135)/Q134*R134),0),0)+IF(TbTradesBinance[[#This Row],[Tipo]]="SELL",IF(ISNUMBER(FIND(MID(R$1,10,5),TbTradesBinance[[#This Row],[Par]])),IF(FIND(MID(R$1,10,5),TbTradesBinance[[#This Row],[Par]])=1, -(Q134-Q135)/Q134*R134,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Row],[Par]])),(-(Q134-Q135)/Q134*R134)+IF(TbTradesBinance[[#This Row],[Resultado]]&gt;0,0,TbTradesBinance[[#This Row],[Taxa]]),0),0))</f>
        <v>0</v>
      </c>
      <c r="S135" s="145">
        <f t="shared" si="40"/>
        <v>0</v>
      </c>
      <c r="T13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Row],[Tipo]]="DROP"),T134+TbTradesBinance[[#This Row],[Qtt]],T134-TbTradesBinance[[#This Row],[Qtt]]),IF(TbTradesBinance[[#This Row],[Tipo]]="BUY",T134-TbTradesBinance[[#This Row],[Qtt]]*TbTradesBinance[[#This Row],[Preço]],T134+TbTradesBinance[[#This Row],[Qtt]]*TbTradesBinance[[#This Row],[Preço]])),T134)-IF(TbTradesBinance[[#This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Row],[Tipo]]="DROP"),T134+TbTradesBinance[[#This Row],[Qtt]],T134-TbTradesBinance[[#This Row],[Qtt]]),IF(TbTradesBinance[[#This Row],[Tipo]]="BUY",T134-TbTradesBinance[[#This Row],[Qtt]]*TbTradesBinance[[#This Row],[Preço]],T134+TbTradesBinance[[#This Row],[Qtt]]*TbTradesBinance[[#This Row],[Preço]])),T134)-IF(TbTradesBinance[[#This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Row],[Tipo]]="DROP"),T134+TbTradesBinance[[#This Row],[Qtt]],T134-TbTradesBinance[[#This Row],[Qtt]]),IF(TbTradesBinance[[#This Row],[Tipo]]="BUY",T134-TbTradesBinance[[#This Row],[Qtt]]*TbTradesBinance[[#This Row],[Preço]],T134+TbTradesBinance[[#This Row],[Qtt]]*TbTradesBinance[[#This Row],[Preço]])),T134)-IF(TbTradesBinance[[#This Row],[Moeda da Taxa]]=MID(T$1,9,5),TbTradesBinance[[#This Row],[Taxa]],0),8)))</f>
        <v>219735.32000169999</v>
      </c>
      <c r="U135" s="145" cm="1">
        <f t="array" ref="U135">IF(TbTradesBinance[[#This Row],[Tipo]]="EMPTY",0,U134+IF(TbTradesBinance[[#This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Row],[Par]]))),$1:$1,0)),-(T134-T135)/T134*U134),0),0)+IF(TbTradesBinance[[#This Row],[Tipo]]="SELL",IF(ISNUMBER(FIND(MID(U$1,10,5),TbTradesBinance[[#This Row],[Par]])),IF(FIND(MID(U$1,10,5),TbTradesBinance[[#This Row],[Par]])=1, -(T134-T135)/T134*U134,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Row],[Par]])),(-(T134-T135)/T134*U134)+IF(TbTradesBinance[[#This Row],[Resultado]]&gt;0,0,TbTradesBinance[[#This Row],[Taxa]]),0),0))</f>
        <v>1461239.8809817513</v>
      </c>
      <c r="V135" s="145">
        <f t="shared" si="41"/>
        <v>6.6500000135182926</v>
      </c>
      <c r="W13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Row],[Tipo]]="DROP"),W134+TbTradesBinance[[#This Row],[Qtt]],W134-TbTradesBinance[[#This Row],[Qtt]]),IF(TbTradesBinance[[#This Row],[Tipo]]="BUY",W134-TbTradesBinance[[#This Row],[Qtt]]*TbTradesBinance[[#This Row],[Preço]],W134+TbTradesBinance[[#This Row],[Qtt]]*TbTradesBinance[[#This Row],[Preço]])),W134)-IF(TbTradesBinance[[#This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Row],[Tipo]]="DROP"),W134+TbTradesBinance[[#This Row],[Qtt]],W134-TbTradesBinance[[#This Row],[Qtt]]),IF(TbTradesBinance[[#This Row],[Tipo]]="BUY",W134-TbTradesBinance[[#This Row],[Qtt]]*TbTradesBinance[[#This Row],[Preço]],W134+TbTradesBinance[[#This Row],[Qtt]]*TbTradesBinance[[#This Row],[Preço]])),W134)-IF(TbTradesBinance[[#This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Row],[Tipo]]="DROP"),W134+TbTradesBinance[[#This Row],[Qtt]],W134-TbTradesBinance[[#This Row],[Qtt]]),IF(TbTradesBinance[[#This Row],[Tipo]]="BUY",W134-TbTradesBinance[[#This Row],[Qtt]]*TbTradesBinance[[#This Row],[Preço]],W134+TbTradesBinance[[#This Row],[Qtt]]*TbTradesBinance[[#This Row],[Preço]])),W134)-IF(TbTradesBinance[[#This Row],[Moeda da Taxa]]=MID(W$1,9,5),TbTradesBinance[[#This Row],[Taxa]],0),8)))</f>
        <v>2.2236000000000001E-4</v>
      </c>
      <c r="X135" s="145" cm="1">
        <f t="array" ref="X135">IF(TbTradesBinance[[#This Row],[Tipo]]="EMPTY",0,X134+IF(TbTradesBinance[[#This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Row],[Par]]))),$1:$1,0)),-(W134-W135)/W134*X134),0),0)+IF(TbTradesBinance[[#This Row],[Tipo]]="SELL",IF(ISNUMBER(FIND(MID(X$1,10,5),TbTradesBinance[[#This Row],[Par]])),IF(FIND(MID(X$1,10,5),TbTradesBinance[[#This Row],[Par]])=1, -(W134-W135)/W134*X134,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Row],[Par]])),(-(W134-W135)/W134*X134)+IF(TbTradesBinance[[#This Row],[Resultado]]&gt;0,0,TbTradesBinance[[#This Row],[Taxa]]),0),0))</f>
        <v>74.209459702914842</v>
      </c>
      <c r="Y135" s="145">
        <f t="shared" si="42"/>
        <v>333735.65255853051</v>
      </c>
      <c r="Z13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Row],[Tipo]]="DROP"),Z134+TbTradesBinance[[#This Row],[Qtt]],Z134-TbTradesBinance[[#This Row],[Qtt]]),IF(TbTradesBinance[[#This Row],[Tipo]]="BUY",Z134-TbTradesBinance[[#This Row],[Qtt]]*TbTradesBinance[[#This Row],[Preço]],Z134+TbTradesBinance[[#This Row],[Qtt]]*TbTradesBinance[[#This Row],[Preço]])),Z134)-IF(TbTradesBinance[[#This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Row],[Tipo]]="DROP"),Z134+TbTradesBinance[[#This Row],[Qtt]],Z134-TbTradesBinance[[#This Row],[Qtt]]),IF(TbTradesBinance[[#This Row],[Tipo]]="BUY",Z134-TbTradesBinance[[#This Row],[Qtt]]*TbTradesBinance[[#This Row],[Preço]],Z134+TbTradesBinance[[#This Row],[Qtt]]*TbTradesBinance[[#This Row],[Preço]])),Z134)-IF(TbTradesBinance[[#This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Row],[Tipo]]="DROP"),Z134+TbTradesBinance[[#This Row],[Qtt]],Z134-TbTradesBinance[[#This Row],[Qtt]]),IF(TbTradesBinance[[#This Row],[Tipo]]="BUY",Z134-TbTradesBinance[[#This Row],[Qtt]]*TbTradesBinance[[#This Row],[Preço]],Z134+TbTradesBinance[[#This Row],[Qtt]]*TbTradesBinance[[#This Row],[Preço]])),Z134)-IF(TbTradesBinance[[#This Row],[Moeda da Taxa]]=MID(Z$1,9,5),TbTradesBinance[[#This Row],[Taxa]],0),8)))</f>
        <v>0</v>
      </c>
      <c r="AA135" s="145" cm="1">
        <f t="array" ref="AA135">IF(TbTradesBinance[[#This Row],[Tipo]]="EMPTY",0,AA134+IF(TbTradesBinance[[#This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Row],[Par]]))),$1:$1,0)),-(Z134-Z135)/Z134*AA134),0),0)+IF(TbTradesBinance[[#This Row],[Tipo]]="SELL",IF(ISNUMBER(FIND(MID(AA$1,10,5),TbTradesBinance[[#This Row],[Par]])),IF(FIND(MID(AA$1,10,5),TbTradesBinance[[#This Row],[Par]])=1, -(Z134-Z135)/Z134*AA134,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Row],[Par]])),(-(Z134-Z135)/Z134*AA134)+IF(TbTradesBinance[[#This Row],[Resultado]]&gt;0,0,TbTradesBinance[[#This Row],[Taxa]]),0),0))</f>
        <v>0</v>
      </c>
      <c r="AB135" s="145">
        <f t="shared" si="43"/>
        <v>0</v>
      </c>
      <c r="AC13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Row],[Tipo]]="DROP"),AC134+TbTradesBinance[[#This Row],[Qtt]],AC134-TbTradesBinance[[#This Row],[Qtt]]),IF(TbTradesBinance[[#This Row],[Tipo]]="BUY",AC134-TbTradesBinance[[#This Row],[Qtt]]*TbTradesBinance[[#This Row],[Preço]],AC134+TbTradesBinance[[#This Row],[Qtt]]*TbTradesBinance[[#This Row],[Preço]])),AC134)-IF(TbTradesBinance[[#This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Row],[Tipo]]="DROP"),AC134+TbTradesBinance[[#This Row],[Qtt]],AC134-TbTradesBinance[[#This Row],[Qtt]]),IF(TbTradesBinance[[#This Row],[Tipo]]="BUY",AC134-TbTradesBinance[[#This Row],[Qtt]]*TbTradesBinance[[#This Row],[Preço]],AC134+TbTradesBinance[[#This Row],[Qtt]]*TbTradesBinance[[#This Row],[Preço]])),AC134)-IF(TbTradesBinance[[#This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Row],[Tipo]]="DROP"),AC134+TbTradesBinance[[#This Row],[Qtt]],AC134-TbTradesBinance[[#This Row],[Qtt]]),IF(TbTradesBinance[[#This Row],[Tipo]]="BUY",AC134-TbTradesBinance[[#This Row],[Qtt]]*TbTradesBinance[[#This Row],[Preço]],AC134+TbTradesBinance[[#This Row],[Qtt]]*TbTradesBinance[[#This Row],[Preço]])),AC134)-IF(TbTradesBinance[[#This Row],[Moeda da Taxa]]=MID(AC$1,9,5),TbTradesBinance[[#This Row],[Taxa]],0),8)))</f>
        <v>0</v>
      </c>
      <c r="AD135" s="145" cm="1">
        <f t="array" ref="AD135">IF(TbTradesBinance[[#This Row],[Tipo]]="EMPTY",0,AD134+IF(TbTradesBinance[[#This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Row],[Par]]))),$1:$1,0)),-(AC134-AC135)/AC134*AD134),0),0)+IF(TbTradesBinance[[#This Row],[Tipo]]="SELL",IF(ISNUMBER(FIND(MID(AD$1,10,5),TbTradesBinance[[#This Row],[Par]])),IF(FIND(MID(AD$1,10,5),TbTradesBinance[[#This Row],[Par]])=1, -(AC134-AC135)/AC134*AD134,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Row],[Par]])),(-(AC134-AC135)/AC134*AD134)+IF(TbTradesBinance[[#This Row],[Resultado]]&gt;0,0,TbTradesBinance[[#This Row],[Taxa]]),0),0))</f>
        <v>0</v>
      </c>
      <c r="AE135" s="145">
        <f t="shared" si="44"/>
        <v>0</v>
      </c>
      <c r="AF13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Row],[Tipo]]="DROP"),AF134+TbTradesBinance[[#This Row],[Qtt]],AF134-TbTradesBinance[[#This Row],[Qtt]]),IF(TbTradesBinance[[#This Row],[Tipo]]="BUY",AF134-TbTradesBinance[[#This Row],[Qtt]]*TbTradesBinance[[#This Row],[Preço]],AF134+TbTradesBinance[[#This Row],[Qtt]]*TbTradesBinance[[#This Row],[Preço]])),AF134)-IF(TbTradesBinance[[#This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Row],[Tipo]]="DROP"),AF134+TbTradesBinance[[#This Row],[Qtt]],AF134-TbTradesBinance[[#This Row],[Qtt]]),IF(TbTradesBinance[[#This Row],[Tipo]]="BUY",AF134-TbTradesBinance[[#This Row],[Qtt]]*TbTradesBinance[[#This Row],[Preço]],AF134+TbTradesBinance[[#This Row],[Qtt]]*TbTradesBinance[[#This Row],[Preço]])),AF134)-IF(TbTradesBinance[[#This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Row],[Tipo]]="DROP"),AF134+TbTradesBinance[[#This Row],[Qtt]],AF134-TbTradesBinance[[#This Row],[Qtt]]),IF(TbTradesBinance[[#This Row],[Tipo]]="BUY",AF134-TbTradesBinance[[#This Row],[Qtt]]*TbTradesBinance[[#This Row],[Preço]],AF134+TbTradesBinance[[#This Row],[Qtt]]*TbTradesBinance[[#This Row],[Preço]])),AF134)-IF(TbTradesBinance[[#This Row],[Moeda da Taxa]]=MID(AF$1,9,5),TbTradesBinance[[#This Row],[Taxa]],0),8)))</f>
        <v>0</v>
      </c>
      <c r="AG135" s="145" cm="1">
        <f t="array" ref="AG135">IF(TbTradesBinance[[#This Row],[Tipo]]="EMPTY",0,AG134+IF(TbTradesBinance[[#This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Row],[Par]]))),$1:$1,0)),-(AF134-AF135)/AF134*AG134),0),0)+IF(TbTradesBinance[[#This Row],[Tipo]]="SELL",IF(ISNUMBER(FIND(MID(AG$1,10,5),TbTradesBinance[[#This Row],[Par]])),IF(FIND(MID(AG$1,10,5),TbTradesBinance[[#This Row],[Par]])=1, -(AF134-AF135)/AF134*AG134,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Row],[Par]])),(-(AF134-AF135)/AF134*AG134)+IF(TbTradesBinance[[#This Row],[Resultado]]&gt;0,0,TbTradesBinance[[#This Row],[Taxa]]),0),0))</f>
        <v>0</v>
      </c>
      <c r="AH135" s="145">
        <f t="shared" si="45"/>
        <v>0</v>
      </c>
      <c r="AI13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Row],[Tipo]]="DROP"),AI134+TbTradesBinance[[#This Row],[Qtt]],AI134-TbTradesBinance[[#This Row],[Qtt]]),IF(TbTradesBinance[[#This Row],[Tipo]]="BUY",AI134-TbTradesBinance[[#This Row],[Qtt]]*TbTradesBinance[[#This Row],[Preço]],AI134+TbTradesBinance[[#This Row],[Qtt]]*TbTradesBinance[[#This Row],[Preço]])),AI134)-IF(TbTradesBinance[[#This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Row],[Tipo]]="DROP"),AI134+TbTradesBinance[[#This Row],[Qtt]],AI134-TbTradesBinance[[#This Row],[Qtt]]),IF(TbTradesBinance[[#This Row],[Tipo]]="BUY",AI134-TbTradesBinance[[#This Row],[Qtt]]*TbTradesBinance[[#This Row],[Preço]],AI134+TbTradesBinance[[#This Row],[Qtt]]*TbTradesBinance[[#This Row],[Preço]])),AI134)-IF(TbTradesBinance[[#This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Row],[Tipo]]="DROP"),AI134+TbTradesBinance[[#This Row],[Qtt]],AI134-TbTradesBinance[[#This Row],[Qtt]]),IF(TbTradesBinance[[#This Row],[Tipo]]="BUY",AI134-TbTradesBinance[[#This Row],[Qtt]]*TbTradesBinance[[#This Row],[Preço]],AI134+TbTradesBinance[[#This Row],[Qtt]]*TbTradesBinance[[#This Row],[Preço]])),AI134)-IF(TbTradesBinance[[#This Row],[Moeda da Taxa]]=MID(AI$1,9,5),TbTradesBinance[[#This Row],[Taxa]],0),8)))</f>
        <v>0</v>
      </c>
      <c r="AJ135" s="145" cm="1">
        <f t="array" ref="AJ135">IF(TbTradesBinance[[#This Row],[Tipo]]="EMPTY",0,AJ134+IF(TbTradesBinance[[#This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Row],[Par]]))),$1:$1,0)),-(AI134-AI135)/AI134*AJ134),0),0)+IF(TbTradesBinance[[#This Row],[Tipo]]="SELL",IF(ISNUMBER(FIND(MID(AJ$1,10,5),TbTradesBinance[[#This Row],[Par]])),IF(FIND(MID(AJ$1,10,5),TbTradesBinance[[#This Row],[Par]])=1, -(AI134-AI135)/AI134*AJ134,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Row],[Par]])),(-(AI134-AI135)/AI134*AJ134)+IF(TbTradesBinance[[#This Row],[Resultado]]&gt;0,0,TbTradesBinance[[#This Row],[Taxa]]),0),0))</f>
        <v>0</v>
      </c>
      <c r="AK135" s="145">
        <f t="shared" si="46"/>
        <v>0</v>
      </c>
      <c r="AL13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Row],[Tipo]]="DROP"),AL134+TbTradesBinance[[#This Row],[Qtt]],AL134-TbTradesBinance[[#This Row],[Qtt]]),IF(TbTradesBinance[[#This Row],[Tipo]]="BUY",AL134-TbTradesBinance[[#This Row],[Qtt]]*TbTradesBinance[[#This Row],[Preço]],AL134+TbTradesBinance[[#This Row],[Qtt]]*TbTradesBinance[[#This Row],[Preço]])),AL134)-IF(TbTradesBinance[[#This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Row],[Tipo]]="DROP"),AL134+TbTradesBinance[[#This Row],[Qtt]],AL134-TbTradesBinance[[#This Row],[Qtt]]),IF(TbTradesBinance[[#This Row],[Tipo]]="BUY",AL134-TbTradesBinance[[#This Row],[Qtt]]*TbTradesBinance[[#This Row],[Preço]],AL134+TbTradesBinance[[#This Row],[Qtt]]*TbTradesBinance[[#This Row],[Preço]])),AL134)-IF(TbTradesBinance[[#This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Row],[Tipo]]="DROP"),AL134+TbTradesBinance[[#This Row],[Qtt]],AL134-TbTradesBinance[[#This Row],[Qtt]]),IF(TbTradesBinance[[#This Row],[Tipo]]="BUY",AL134-TbTradesBinance[[#This Row],[Qtt]]*TbTradesBinance[[#This Row],[Preço]],AL134+TbTradesBinance[[#This Row],[Qtt]]*TbTradesBinance[[#This Row],[Preço]])),AL134)-IF(TbTradesBinance[[#This Row],[Moeda da Taxa]]=MID(AL$1,9,5),TbTradesBinance[[#This Row],[Taxa]],0),8)))</f>
        <v>0</v>
      </c>
      <c r="AM135" s="145" cm="1">
        <f t="array" ref="AM135">IF(TbTradesBinance[[#This Row],[Tipo]]="EMPTY",0,AM134+IF(TbTradesBinance[[#This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Row],[Par]]))),$1:$1,0)),-(AL134-AL135)/AL134*AM134),0),0)+IF(TbTradesBinance[[#This Row],[Tipo]]="SELL",IF(ISNUMBER(FIND(MID(AM$1,10,5),TbTradesBinance[[#This Row],[Par]])),IF(FIND(MID(AM$1,10,5),TbTradesBinance[[#This Row],[Par]])=1, -(AL134-AL135)/AL134*AM134,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Row],[Par]])),(-(AL134-AL135)/AL134*AM134)+IF(TbTradesBinance[[#This Row],[Resultado]]&gt;0,0,TbTradesBinance[[#This Row],[Taxa]]),0),0))</f>
        <v>0</v>
      </c>
      <c r="AN135" s="145">
        <f t="shared" si="47"/>
        <v>0</v>
      </c>
      <c r="AO13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Row],[Tipo]]="DROP"),AO134+TbTradesBinance[[#This Row],[Qtt]],AO134-TbTradesBinance[[#This Row],[Qtt]]),IF(TbTradesBinance[[#This Row],[Tipo]]="BUY",AO134-TbTradesBinance[[#This Row],[Qtt]]*TbTradesBinance[[#This Row],[Preço]],AO134+TbTradesBinance[[#This Row],[Qtt]]*TbTradesBinance[[#This Row],[Preço]])),AO134)-IF(TbTradesBinance[[#This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Row],[Tipo]]="DROP"),AO134+TbTradesBinance[[#This Row],[Qtt]],AO134-TbTradesBinance[[#This Row],[Qtt]]),IF(TbTradesBinance[[#This Row],[Tipo]]="BUY",AO134-TbTradesBinance[[#This Row],[Qtt]]*TbTradesBinance[[#This Row],[Preço]],AO134+TbTradesBinance[[#This Row],[Qtt]]*TbTradesBinance[[#This Row],[Preço]])),AO134)-IF(TbTradesBinance[[#This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Row],[Tipo]]="DROP"),AO134+TbTradesBinance[[#This Row],[Qtt]],AO134-TbTradesBinance[[#This Row],[Qtt]]),IF(TbTradesBinance[[#This Row],[Tipo]]="BUY",AO134-TbTradesBinance[[#This Row],[Qtt]]*TbTradesBinance[[#This Row],[Preço]],AO134+TbTradesBinance[[#This Row],[Qtt]]*TbTradesBinance[[#This Row],[Preço]])),AO134)-IF(TbTradesBinance[[#This Row],[Moeda da Taxa]]=MID(AO$1,9,5),TbTradesBinance[[#This Row],[Taxa]],0),8)))</f>
        <v>3.7164530000000001E-2</v>
      </c>
      <c r="AP135" s="145" cm="1">
        <f t="array" ref="AP135">IF(TbTradesBinance[[#This Row],[Tipo]]="EMPTY",0,AP134+IF(TbTradesBinance[[#This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Row],[Par]]))),$1:$1,0)),-(AO134-AO135)/AO134*AP134),0),0)+IF(TbTradesBinance[[#This Row],[Tipo]]="SELL",IF(ISNUMBER(FIND(MID(AP$1,10,5),TbTradesBinance[[#This Row],[Par]])),IF(FIND(MID(AP$1,10,5),TbTradesBinance[[#This Row],[Par]])=1, -(AO134-AO135)/AO134*AP134,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Row],[Par]])),(-(AO134-AO135)/AO134*AP134)+IF(TbTradesBinance[[#This Row],[Resultado]]&gt;0,0,TbTradesBinance[[#This Row],[Taxa]]),0),0))</f>
        <v>56.863147211807636</v>
      </c>
      <c r="AQ135" s="145">
        <f t="shared" si="48"/>
        <v>1530.0381092350053</v>
      </c>
      <c r="AR13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Row],[Tipo]]="DROP"),AR134+TbTradesBinance[[#This Row],[Qtt]],AR134-TbTradesBinance[[#This Row],[Qtt]]),IF(TbTradesBinance[[#This Row],[Tipo]]="BUY",AR134-TbTradesBinance[[#This Row],[Qtt]]*TbTradesBinance[[#This Row],[Preço]],AR134+TbTradesBinance[[#This Row],[Qtt]]*TbTradesBinance[[#This Row],[Preço]])),AR134)-IF(TbTradesBinance[[#This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Row],[Tipo]]="DROP"),AR134+TbTradesBinance[[#This Row],[Qtt]],AR134-TbTradesBinance[[#This Row],[Qtt]]),IF(TbTradesBinance[[#This Row],[Tipo]]="BUY",AR134-TbTradesBinance[[#This Row],[Qtt]]*TbTradesBinance[[#This Row],[Preço]],AR134+TbTradesBinance[[#This Row],[Qtt]]*TbTradesBinance[[#This Row],[Preço]])),AR134)-IF(TbTradesBinance[[#This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Row],[Tipo]]="DROP"),AR134+TbTradesBinance[[#This Row],[Qtt]],AR134-TbTradesBinance[[#This Row],[Qtt]]),IF(TbTradesBinance[[#This Row],[Tipo]]="BUY",AR134-TbTradesBinance[[#This Row],[Qtt]]*TbTradesBinance[[#This Row],[Preço]],AR134+TbTradesBinance[[#This Row],[Qtt]]*TbTradesBinance[[#This Row],[Preço]])),AR134)-IF(TbTradesBinance[[#This Row],[Moeda da Taxa]]=MID(AR$1,9,5),TbTradesBinance[[#This Row],[Taxa]],0),8)))</f>
        <v>61.251199999999997</v>
      </c>
      <c r="AS135" s="145" cm="1">
        <f t="array" ref="AS135">IF(TbTradesBinance[[#This Row],[Tipo]]="EMPTY",0,AS134+IF(TbTradesBinance[[#This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Row],[Par]]))),$1:$1,0)),-(AR134-AR135)/AR134*AS134),0),0)+IF(TbTradesBinance[[#This Row],[Tipo]]="SELL",IF(ISNUMBER(FIND(MID(AS$1,10,5),TbTradesBinance[[#This Row],[Par]])),IF(FIND(MID(AS$1,10,5),TbTradesBinance[[#This Row],[Par]])=1, -(AR134-AR135)/AR134*AS134,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Row],[Par]])),(-(AR134-AR135)/AR134*AS134)+IF(TbTradesBinance[[#This Row],[Resultado]]&gt;0,0,TbTradesBinance[[#This Row],[Taxa]]),0),0))</f>
        <v>230.84001376053044</v>
      </c>
      <c r="AT135" s="145">
        <f t="shared" si="49"/>
        <v>3.7687427146003745</v>
      </c>
      <c r="AU13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Row],[Tipo]]="DROP"),AU134+TbTradesBinance[[#This Row],[Qtt]],AU134-TbTradesBinance[[#This Row],[Qtt]]),IF(TbTradesBinance[[#This Row],[Tipo]]="BUY",AU134-TbTradesBinance[[#This Row],[Qtt]]*TbTradesBinance[[#This Row],[Preço]],AU134+TbTradesBinance[[#This Row],[Qtt]]*TbTradesBinance[[#This Row],[Preço]])),AU134)-IF(TbTradesBinance[[#This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Row],[Tipo]]="DROP"),AU134+TbTradesBinance[[#This Row],[Qtt]],AU134-TbTradesBinance[[#This Row],[Qtt]]),IF(TbTradesBinance[[#This Row],[Tipo]]="BUY",AU134-TbTradesBinance[[#This Row],[Qtt]]*TbTradesBinance[[#This Row],[Preço]],AU134+TbTradesBinance[[#This Row],[Qtt]]*TbTradesBinance[[#This Row],[Preço]])),AU134)-IF(TbTradesBinance[[#This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Row],[Tipo]]="DROP"),AU134+TbTradesBinance[[#This Row],[Qtt]],AU134-TbTradesBinance[[#This Row],[Qtt]]),IF(TbTradesBinance[[#This Row],[Tipo]]="BUY",AU134-TbTradesBinance[[#This Row],[Qtt]]*TbTradesBinance[[#This Row],[Preço]],AU134+TbTradesBinance[[#This Row],[Qtt]]*TbTradesBinance[[#This Row],[Preço]])),AU134)-IF(TbTradesBinance[[#This Row],[Moeda da Taxa]]=MID(AU$1,9,5),TbTradesBinance[[#This Row],[Taxa]],0),8)))</f>
        <v>0</v>
      </c>
      <c r="AV135" s="145" cm="1">
        <f t="array" ref="AV135">IF(TbTradesBinance[[#This Row],[Tipo]]="EMPTY",0,AV134+IF(TbTradesBinance[[#This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Row],[Par]]))),$1:$1,0)),-(AU134-AU135)/AU134*AV134),0),0)+IF(TbTradesBinance[[#This Row],[Tipo]]="SELL",IF(ISNUMBER(FIND(MID(AV$1,10,5),TbTradesBinance[[#This Row],[Par]])),IF(FIND(MID(AV$1,10,5),TbTradesBinance[[#This Row],[Par]])=1, -(AU134-AU135)/AU134*AV134,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Row],[Par]])),(-(AU134-AU135)/AU134*AV134)+IF(TbTradesBinance[[#This Row],[Resultado]]&gt;0,0,TbTradesBinance[[#This Row],[Taxa]]),0),0))</f>
        <v>0</v>
      </c>
      <c r="AW135" s="145">
        <f t="shared" si="50"/>
        <v>0</v>
      </c>
      <c r="AX13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Row],[Tipo]]="DROP"),AX134+TbTradesBinance[[#This Row],[Qtt]],AX134-TbTradesBinance[[#This Row],[Qtt]]),IF(TbTradesBinance[[#This Row],[Tipo]]="BUY",AX134-TbTradesBinance[[#This Row],[Qtt]]*TbTradesBinance[[#This Row],[Preço]],AX134+TbTradesBinance[[#This Row],[Qtt]]*TbTradesBinance[[#This Row],[Preço]])),AX134)-IF(TbTradesBinance[[#This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Row],[Tipo]]="DROP"),AX134+TbTradesBinance[[#This Row],[Qtt]],AX134-TbTradesBinance[[#This Row],[Qtt]]),IF(TbTradesBinance[[#This Row],[Tipo]]="BUY",AX134-TbTradesBinance[[#This Row],[Qtt]]*TbTradesBinance[[#This Row],[Preço]],AX134+TbTradesBinance[[#This Row],[Qtt]]*TbTradesBinance[[#This Row],[Preço]])),AX134)-IF(TbTradesBinance[[#This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Row],[Tipo]]="DROP"),AX134+TbTradesBinance[[#This Row],[Qtt]],AX134-TbTradesBinance[[#This Row],[Qtt]]),IF(TbTradesBinance[[#This Row],[Tipo]]="BUY",AX134-TbTradesBinance[[#This Row],[Qtt]]*TbTradesBinance[[#This Row],[Preço]],AX134+TbTradesBinance[[#This Row],[Qtt]]*TbTradesBinance[[#This Row],[Preço]])),AX134)-IF(TbTradesBinance[[#This Row],[Moeda da Taxa]]=MID(AX$1,9,5),TbTradesBinance[[#This Row],[Taxa]],0),8)))</f>
        <v>0.85636999999999996</v>
      </c>
      <c r="AY135" s="145" cm="1">
        <f t="array" ref="AY135">IF(TbTradesBinance[[#This Row],[Tipo]]="EMPTY",0,AY134+IF(TbTradesBinance[[#This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Row],[Par]]))),$1:$1,0)),-(AX134-AX135)/AX134*AY134),0),0)+IF(TbTradesBinance[[#This Row],[Tipo]]="SELL",IF(ISNUMBER(FIND(MID(AY$1,10,5),TbTradesBinance[[#This Row],[Par]])),IF(FIND(MID(AY$1,10,5),TbTradesBinance[[#This Row],[Par]])=1, -(AX134-AX135)/AX134*AY134,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Row],[Par]])),(-(AX134-AX135)/AX134*AY134)+IF(TbTradesBinance[[#This Row],[Resultado]]&gt;0,0,TbTradesBinance[[#This Row],[Taxa]]),0),0))</f>
        <v>131.82971181780295</v>
      </c>
      <c r="AZ135" s="145">
        <f t="shared" si="51"/>
        <v>153.94013314081874</v>
      </c>
      <c r="BA13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Row],[Tipo]]="DROP"),BA134+TbTradesBinance[[#This Row],[Qtt]],BA134-TbTradesBinance[[#This Row],[Qtt]]),IF(TbTradesBinance[[#This Row],[Tipo]]="BUY",BA134-TbTradesBinance[[#This Row],[Qtt]]*TbTradesBinance[[#This Row],[Preço]],BA134+TbTradesBinance[[#This Row],[Qtt]]*TbTradesBinance[[#This Row],[Preço]])),BA134)-IF(TbTradesBinance[[#This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Row],[Tipo]]="DROP"),BA134+TbTradesBinance[[#This Row],[Qtt]],BA134-TbTradesBinance[[#This Row],[Qtt]]),IF(TbTradesBinance[[#This Row],[Tipo]]="BUY",BA134-TbTradesBinance[[#This Row],[Qtt]]*TbTradesBinance[[#This Row],[Preço]],BA134+TbTradesBinance[[#This Row],[Qtt]]*TbTradesBinance[[#This Row],[Preço]])),BA134)-IF(TbTradesBinance[[#This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Row],[Tipo]]="DROP"),BA134+TbTradesBinance[[#This Row],[Qtt]],BA134-TbTradesBinance[[#This Row],[Qtt]]),IF(TbTradesBinance[[#This Row],[Tipo]]="BUY",BA134-TbTradesBinance[[#This Row],[Qtt]]*TbTradesBinance[[#This Row],[Preço]],BA134+TbTradesBinance[[#This Row],[Qtt]]*TbTradesBinance[[#This Row],[Preço]])),BA134)-IF(TbTradesBinance[[#This Row],[Moeda da Taxa]]=MID(BA$1,9,5),TbTradesBinance[[#This Row],[Taxa]],0),8)))</f>
        <v>0.10571</v>
      </c>
      <c r="BB135" s="145" cm="1">
        <f t="array" ref="BB135">IF(TbTradesBinance[[#This Row],[Tipo]]="EMPTY",0,BB134+IF(TbTradesBinance[[#This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Row],[Par]]))),$1:$1,0)),-(BA134-BA135)/BA134*BB134),0),0)+IF(TbTradesBinance[[#This Row],[Tipo]]="SELL",IF(ISNUMBER(FIND(MID(BB$1,10,5),TbTradesBinance[[#This Row],[Par]])),IF(FIND(MID(BB$1,10,5),TbTradesBinance[[#This Row],[Par]])=1, -(BA134-BA135)/BA134*BB134,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Row],[Par]])),(-(BA134-BA135)/BA134*BB134)+IF(TbTradesBinance[[#This Row],[Resultado]]&gt;0,0,TbTradesBinance[[#This Row],[Taxa]]),0),0))</f>
        <v>120.8257969142021</v>
      </c>
      <c r="BC135" s="145">
        <f t="shared" si="52"/>
        <v>1142.9930651234708</v>
      </c>
      <c r="BD13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Row],[Tipo]]="DROP"),BD134+TbTradesBinance[[#This Row],[Qtt]],BD134-TbTradesBinance[[#This Row],[Qtt]]),IF(TbTradesBinance[[#This Row],[Tipo]]="BUY",BD134-TbTradesBinance[[#This Row],[Qtt]]*TbTradesBinance[[#This Row],[Preço]],BD134+TbTradesBinance[[#This Row],[Qtt]]*TbTradesBinance[[#This Row],[Preço]])),BD134)-IF(TbTradesBinance[[#This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Row],[Tipo]]="DROP"),BD134+TbTradesBinance[[#This Row],[Qtt]],BD134-TbTradesBinance[[#This Row],[Qtt]]),IF(TbTradesBinance[[#This Row],[Tipo]]="BUY",BD134-TbTradesBinance[[#This Row],[Qtt]]*TbTradesBinance[[#This Row],[Preço]],BD134+TbTradesBinance[[#This Row],[Qtt]]*TbTradesBinance[[#This Row],[Preço]])),BD134)-IF(TbTradesBinance[[#This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Row],[Tipo]]="DROP"),BD134+TbTradesBinance[[#This Row],[Qtt]],BD134-TbTradesBinance[[#This Row],[Qtt]]),IF(TbTradesBinance[[#This Row],[Tipo]]="BUY",BD134-TbTradesBinance[[#This Row],[Qtt]]*TbTradesBinance[[#This Row],[Preço]],BD134+TbTradesBinance[[#This Row],[Qtt]]*TbTradesBinance[[#This Row],[Preço]])),BD134)-IF(TbTradesBinance[[#This Row],[Moeda da Taxa]]=MID(BD$1,9,5),TbTradesBinance[[#This Row],[Taxa]],0),8)))</f>
        <v>0</v>
      </c>
      <c r="BE135" s="145" cm="1">
        <f t="array" ref="BE135">IF(TbTradesBinance[[#This Row],[Tipo]]="EMPTY",0,BE134+IF(TbTradesBinance[[#This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Row],[Par]]))),$1:$1,0)),-(BD134-BD135)/BD134*BE134),0),0)+IF(TbTradesBinance[[#This Row],[Tipo]]="SELL",IF(ISNUMBER(FIND(MID(BE$1,10,5),TbTradesBinance[[#This Row],[Par]])),IF(FIND(MID(BE$1,10,5),TbTradesBinance[[#This Row],[Par]])=1, -(BD134-BD135)/BD134*BE134,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Row],[Par]])),(-(BD134-BD135)/BD134*BE134)+IF(TbTradesBinance[[#This Row],[Resultado]]&gt;0,0,TbTradesBinance[[#This Row],[Taxa]]),0),0))</f>
        <v>0</v>
      </c>
      <c r="BF135" s="145">
        <f t="shared" si="53"/>
        <v>0</v>
      </c>
      <c r="BG13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Row],[Tipo]]="DROP"),BG134+TbTradesBinance[[#This Row],[Qtt]],BG134-TbTradesBinance[[#This Row],[Qtt]]),IF(TbTradesBinance[[#This Row],[Tipo]]="BUY",BG134-TbTradesBinance[[#This Row],[Qtt]]*TbTradesBinance[[#This Row],[Preço]],BG134+TbTradesBinance[[#This Row],[Qtt]]*TbTradesBinance[[#This Row],[Preço]])),BG134)-IF(TbTradesBinance[[#This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Row],[Tipo]]="DROP"),BG134+TbTradesBinance[[#This Row],[Qtt]],BG134-TbTradesBinance[[#This Row],[Qtt]]),IF(TbTradesBinance[[#This Row],[Tipo]]="BUY",BG134-TbTradesBinance[[#This Row],[Qtt]]*TbTradesBinance[[#This Row],[Preço]],BG134+TbTradesBinance[[#This Row],[Qtt]]*TbTradesBinance[[#This Row],[Preço]])),BG134)-IF(TbTradesBinance[[#This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Row],[Tipo]]="DROP"),BG134+TbTradesBinance[[#This Row],[Qtt]],BG134-TbTradesBinance[[#This Row],[Qtt]]),IF(TbTradesBinance[[#This Row],[Tipo]]="BUY",BG134-TbTradesBinance[[#This Row],[Qtt]]*TbTradesBinance[[#This Row],[Preço]],BG134+TbTradesBinance[[#This Row],[Qtt]]*TbTradesBinance[[#This Row],[Preço]])),BG134)-IF(TbTradesBinance[[#This Row],[Moeda da Taxa]]=MID(BG$1,9,5),TbTradesBinance[[#This Row],[Taxa]],0),8)))</f>
        <v>0</v>
      </c>
      <c r="BH135" s="145" cm="1">
        <f t="array" ref="BH135">IF(TbTradesBinance[[#This Row],[Tipo]]="EMPTY",0,BH134+IF(TbTradesBinance[[#This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Row],[Par]]))),$1:$1,0)),-(BG134-BG135)/BG134*BH134),0),0)+IF(TbTradesBinance[[#This Row],[Tipo]]="SELL",IF(ISNUMBER(FIND(MID(BH$1,10,5),TbTradesBinance[[#This Row],[Par]])),IF(FIND(MID(BH$1,10,5),TbTradesBinance[[#This Row],[Par]])=1, -(BG134-BG135)/BG134*BH134,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Row],[Par]])),(-(BG134-BG135)/BG134*BH134)+IF(TbTradesBinance[[#This Row],[Resultado]]&gt;0,0,TbTradesBinance[[#This Row],[Taxa]]),0),0))</f>
        <v>0</v>
      </c>
      <c r="BI135" s="145">
        <f t="shared" si="54"/>
        <v>0</v>
      </c>
      <c r="BJ13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Row],[Tipo]]="DROP"),BJ134+TbTradesBinance[[#This Row],[Qtt]],BJ134-TbTradesBinance[[#This Row],[Qtt]]),IF(TbTradesBinance[[#This Row],[Tipo]]="BUY",BJ134-TbTradesBinance[[#This Row],[Qtt]]*TbTradesBinance[[#This Row],[Preço]],BJ134+TbTradesBinance[[#This Row],[Qtt]]*TbTradesBinance[[#This Row],[Preço]])),BJ134)-IF(TbTradesBinance[[#This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Row],[Tipo]]="DROP"),BJ134+TbTradesBinance[[#This Row],[Qtt]],BJ134-TbTradesBinance[[#This Row],[Qtt]]),IF(TbTradesBinance[[#This Row],[Tipo]]="BUY",BJ134-TbTradesBinance[[#This Row],[Qtt]]*TbTradesBinance[[#This Row],[Preço]],BJ134+TbTradesBinance[[#This Row],[Qtt]]*TbTradesBinance[[#This Row],[Preço]])),BJ134)-IF(TbTradesBinance[[#This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Row],[Tipo]]="DROP"),BJ134+TbTradesBinance[[#This Row],[Qtt]],BJ134-TbTradesBinance[[#This Row],[Qtt]]),IF(TbTradesBinance[[#This Row],[Tipo]]="BUY",BJ134-TbTradesBinance[[#This Row],[Qtt]]*TbTradesBinance[[#This Row],[Preço]],BJ134+TbTradesBinance[[#This Row],[Qtt]]*TbTradesBinance[[#This Row],[Preço]])),BJ134)-IF(TbTradesBinance[[#This Row],[Moeda da Taxa]]=MID(BJ$1,9,5),TbTradesBinance[[#This Row],[Taxa]],0),8)))</f>
        <v>2.1681500000000002E-3</v>
      </c>
      <c r="BK135" s="145" cm="1">
        <f t="array" ref="BK135">IF(TbTradesBinance[[#This Row],[Tipo]]="EMPTY",0,BK134+IF(TbTradesBinance[[#This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Row],[Par]]))),$1:$1,0)),-(BJ134-BJ135)/BJ134*BK134),0),0)+IF(TbTradesBinance[[#This Row],[Tipo]]="SELL",IF(ISNUMBER(FIND(MID(BK$1,10,5),TbTradesBinance[[#This Row],[Par]])),IF(FIND(MID(BK$1,10,5),TbTradesBinance[[#This Row],[Par]])=1, -(BJ134-BJ135)/BJ134*BK134,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Row],[Par]])),(-(BJ134-BJ135)/BJ134*BK134)+IF(TbTradesBinance[[#This Row],[Resultado]]&gt;0,0,TbTradesBinance[[#This Row],[Taxa]]),0),0))</f>
        <v>0</v>
      </c>
      <c r="BL135" s="145">
        <f t="shared" si="55"/>
        <v>0</v>
      </c>
      <c r="BM13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Row],[Tipo]]="DROP"),BM134+TbTradesBinance[[#This Row],[Qtt]],BM134-TbTradesBinance[[#This Row],[Qtt]]),IF(TbTradesBinance[[#This Row],[Tipo]]="BUY",BM134-TbTradesBinance[[#This Row],[Qtt]]*TbTradesBinance[[#This Row],[Preço]],BM134+TbTradesBinance[[#This Row],[Qtt]]*TbTradesBinance[[#This Row],[Preço]])),BM134)-IF(TbTradesBinance[[#This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Row],[Tipo]]="DROP"),BM134+TbTradesBinance[[#This Row],[Qtt]],BM134-TbTradesBinance[[#This Row],[Qtt]]),IF(TbTradesBinance[[#This Row],[Tipo]]="BUY",BM134-TbTradesBinance[[#This Row],[Qtt]]*TbTradesBinance[[#This Row],[Preço]],BM134+TbTradesBinance[[#This Row],[Qtt]]*TbTradesBinance[[#This Row],[Preço]])),BM134)-IF(TbTradesBinance[[#This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Row],[Tipo]]="DROP"),BM134+TbTradesBinance[[#This Row],[Qtt]],BM134-TbTradesBinance[[#This Row],[Qtt]]),IF(TbTradesBinance[[#This Row],[Tipo]]="BUY",BM134-TbTradesBinance[[#This Row],[Qtt]]*TbTradesBinance[[#This Row],[Preço]],BM134+TbTradesBinance[[#This Row],[Qtt]]*TbTradesBinance[[#This Row],[Preço]])),BM134)-IF(TbTradesBinance[[#This Row],[Moeda da Taxa]]=MID(BM$1,9,5),TbTradesBinance[[#This Row],[Taxa]],0),8)))</f>
        <v>0</v>
      </c>
      <c r="BN135" s="145" cm="1">
        <f t="array" ref="BN135">IF(TbTradesBinance[[#This Row],[Tipo]]="EMPTY",0,BN134+IF(TbTradesBinance[[#This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Row],[Par]]))),$1:$1,0)),-(BM134-BM135)/BM134*BN134),0),0)+IF(TbTradesBinance[[#This Row],[Tipo]]="SELL",IF(ISNUMBER(FIND(MID(BN$1,10,5),TbTradesBinance[[#This Row],[Par]])),IF(FIND(MID(BN$1,10,5),TbTradesBinance[[#This Row],[Par]])=1, -(BM134-BM135)/BM134*BN134,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Row],[Par]])),(-(BM134-BM135)/BM134*BN134)+IF(TbTradesBinance[[#This Row],[Resultado]]&gt;0,0,TbTradesBinance[[#This Row],[Taxa]]),0),0))</f>
        <v>0</v>
      </c>
      <c r="BO135" s="145">
        <f t="shared" si="56"/>
        <v>0</v>
      </c>
    </row>
    <row r="136" spans="2:67" x14ac:dyDescent="0.3">
      <c r="B136" s="51" t="s">
        <v>241</v>
      </c>
      <c r="C136" s="40">
        <f>TRUNC(IF(AND(TbTradesBinance[[#This Row],[Tipo]]="SEND",TbTradesBinance[[#This Row],[Par]]="BRL"),TbTradesBinance[[#This Row],[Qtt]]*(1-P134)-IF(TbTradesBinance[[#This Row],[Moeda da Taxa]]="BRL",TbTradesBinance[[#This Row],[Taxa]],0),0)+IF(AND(TbTradesBinance[[#This Row],[Tipo]]="BURN",TbTradesBinance[[#This Row],[Par]]="BRL"),-TbTradesBinance[[#This Row],[Qtt]]*P134,0),2)</f>
        <v>0</v>
      </c>
      <c r="D136" s="53">
        <v>44282.496782407405</v>
      </c>
      <c r="E136" s="37" t="s">
        <v>236</v>
      </c>
      <c r="F136" s="47" t="s">
        <v>139</v>
      </c>
      <c r="G136" s="38">
        <v>46555.819000000003</v>
      </c>
      <c r="H136" s="38">
        <v>4.2099999999999999E-4</v>
      </c>
      <c r="I136" s="38">
        <v>2</v>
      </c>
      <c r="J136" s="37" t="s">
        <v>60</v>
      </c>
      <c r="K136" s="52">
        <v>6.7750000000000004</v>
      </c>
      <c r="L136" s="40">
        <f t="shared" si="38"/>
        <v>315415.67</v>
      </c>
      <c r="M136" s="40">
        <f>IF(OR(TbTradesBinance[[#This Row],[Tipo]]="BUY",TbTradesBinance[[#This Row],[Tipo]]="RECEIVE",TbTradesBinance[[#This Row],[Tipo]]="DROP"),L136*H136,-L136*H136)</f>
        <v>132.78999707</v>
      </c>
      <c r="N13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Row],[Tipo]]="DROP"),N135+TbTradesBinance[[#This Row],[Qtt]],N135-TbTradesBinance[[#This Row],[Qtt]]),IF(TbTradesBinance[[#This Row],[Tipo]]="BUY",N135-TbTradesBinance[[#This Row],[Qtt]]*TbTradesBinance[[#This Row],[Preço]],N135+TbTradesBinance[[#This Row],[Qtt]]*TbTradesBinance[[#This Row],[Preço]])),N135)-IF(TbTradesBinance[[#This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Row],[Tipo]]="DROP"),N135+TbTradesBinance[[#This Row],[Qtt]],N135-TbTradesBinance[[#This Row],[Qtt]]),IF(TbTradesBinance[[#This Row],[Tipo]]="BUY",N135-TbTradesBinance[[#This Row],[Qtt]]*TbTradesBinance[[#This Row],[Preço]],N135+TbTradesBinance[[#This Row],[Qtt]]*TbTradesBinance[[#This Row],[Preço]])),N135)-IF(TbTradesBinance[[#This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Row],[Tipo]]="DROP"),N135+TbTradesBinance[[#This Row],[Qtt]],N135-TbTradesBinance[[#This Row],[Qtt]]),IF(TbTradesBinance[[#This Row],[Tipo]]="BUY",N135-TbTradesBinance[[#This Row],[Qtt]]*TbTradesBinance[[#This Row],[Preço]],N135+TbTradesBinance[[#This Row],[Qtt]]*TbTradesBinance[[#This Row],[Preço]])),N135)-IF(TbTradesBinance[[#This Row],[Moeda da Taxa]]=MID(N$1,9,5),TbTradesBinance[[#This Row],[Taxa]],0),8)))</f>
        <v>120628.78956418</v>
      </c>
      <c r="O136" s="145" cm="1">
        <f t="array" ref="O136">IF(TbTradesBinance[[#This Row],[Tipo]]="EMPTY",0,O135+IF(TbTradesBinance[[#This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Row],[Par]]))),$1:$1,0)),-(N135-N136)/N135*O135),0),0)+IF(TbTradesBinance[[#This Row],[Tipo]]="SELL",IF(ISNUMBER(FIND(MID(O$1,10,5),TbTradesBinance[[#This Row],[Par]])),IF(FIND(MID(O$1,10,5),TbTradesBinance[[#This Row],[Par]])=1, -(N135-N136)/N135*O135,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Row],[Par]])),(-(N135-N136)/N135*O135)+IF(TbTradesBinance[[#This Row],[Resultado]]&gt;0,0,TbTradesBinance[[#This Row],[Taxa]]),0),0))</f>
        <v>120677.64867022166</v>
      </c>
      <c r="P136" s="145">
        <f t="shared" si="39"/>
        <v>1.0004050368590962</v>
      </c>
      <c r="Q13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Row],[Tipo]]="DROP"),Q135+TbTradesBinance[[#This Row],[Qtt]],Q135-TbTradesBinance[[#This Row],[Qtt]]),IF(TbTradesBinance[[#This Row],[Tipo]]="BUY",Q135-TbTradesBinance[[#This Row],[Qtt]]*TbTradesBinance[[#This Row],[Preço]],Q135+TbTradesBinance[[#This Row],[Qtt]]*TbTradesBinance[[#This Row],[Preço]])),Q135)-IF(TbTradesBinance[[#This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Row],[Tipo]]="DROP"),Q135+TbTradesBinance[[#This Row],[Qtt]],Q135-TbTradesBinance[[#This Row],[Qtt]]),IF(TbTradesBinance[[#This Row],[Tipo]]="BUY",Q135-TbTradesBinance[[#This Row],[Qtt]]*TbTradesBinance[[#This Row],[Preço]],Q135+TbTradesBinance[[#This Row],[Qtt]]*TbTradesBinance[[#This Row],[Preço]])),Q135)-IF(TbTradesBinance[[#This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Row],[Tipo]]="DROP"),Q135+TbTradesBinance[[#This Row],[Qtt]],Q135-TbTradesBinance[[#This Row],[Qtt]]),IF(TbTradesBinance[[#This Row],[Tipo]]="BUY",Q135-TbTradesBinance[[#This Row],[Qtt]]*TbTradesBinance[[#This Row],[Preço]],Q135+TbTradesBinance[[#This Row],[Qtt]]*TbTradesBinance[[#This Row],[Preço]])),Q135)-IF(TbTradesBinance[[#This Row],[Moeda da Taxa]]=MID(Q$1,9,5),TbTradesBinance[[#This Row],[Taxa]],0),8)))</f>
        <v>0</v>
      </c>
      <c r="R136" s="145" cm="1">
        <f t="array" ref="R136">IF(TbTradesBinance[[#This Row],[Tipo]]="EMPTY",0,R135+IF(TbTradesBinance[[#This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Row],[Par]]))),$1:$1,0)),-(Q135-Q136)/Q135*R135),0),0)+IF(TbTradesBinance[[#This Row],[Tipo]]="SELL",IF(ISNUMBER(FIND(MID(R$1,10,5),TbTradesBinance[[#This Row],[Par]])),IF(FIND(MID(R$1,10,5),TbTradesBinance[[#This Row],[Par]])=1, -(Q135-Q136)/Q135*R135,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Row],[Par]])),(-(Q135-Q136)/Q135*R135)+IF(TbTradesBinance[[#This Row],[Resultado]]&gt;0,0,TbTradesBinance[[#This Row],[Taxa]]),0),0))</f>
        <v>0</v>
      </c>
      <c r="S136" s="145">
        <f t="shared" si="40"/>
        <v>0</v>
      </c>
      <c r="T13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Row],[Tipo]]="DROP"),T135+TbTradesBinance[[#This Row],[Qtt]],T135-TbTradesBinance[[#This Row],[Qtt]]),IF(TbTradesBinance[[#This Row],[Tipo]]="BUY",T135-TbTradesBinance[[#This Row],[Qtt]]*TbTradesBinance[[#This Row],[Preço]],T135+TbTradesBinance[[#This Row],[Qtt]]*TbTradesBinance[[#This Row],[Preço]])),T135)-IF(TbTradesBinance[[#This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Row],[Tipo]]="DROP"),T135+TbTradesBinance[[#This Row],[Qtt]],T135-TbTradesBinance[[#This Row],[Qtt]]),IF(TbTradesBinance[[#This Row],[Tipo]]="BUY",T135-TbTradesBinance[[#This Row],[Qtt]]*TbTradesBinance[[#This Row],[Preço]],T135+TbTradesBinance[[#This Row],[Qtt]]*TbTradesBinance[[#This Row],[Preço]])),T135)-IF(TbTradesBinance[[#This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Row],[Tipo]]="DROP"),T135+TbTradesBinance[[#This Row],[Qtt]],T135-TbTradesBinance[[#This Row],[Qtt]]),IF(TbTradesBinance[[#This Row],[Tipo]]="BUY",T135-TbTradesBinance[[#This Row],[Qtt]]*TbTradesBinance[[#This Row],[Preço]],T135+TbTradesBinance[[#This Row],[Qtt]]*TbTradesBinance[[#This Row],[Preço]])),T135)-IF(TbTradesBinance[[#This Row],[Moeda da Taxa]]=MID(T$1,9,5),TbTradesBinance[[#This Row],[Taxa]],0),8)))</f>
        <v>219713.72000189999</v>
      </c>
      <c r="U136" s="145" cm="1">
        <f t="array" ref="U136">IF(TbTradesBinance[[#This Row],[Tipo]]="EMPTY",0,U135+IF(TbTradesBinance[[#This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Row],[Par]]))),$1:$1,0)),-(T135-T136)/T135*U135),0),0)+IF(TbTradesBinance[[#This Row],[Tipo]]="SELL",IF(ISNUMBER(FIND(MID(U$1,10,5),TbTradesBinance[[#This Row],[Par]])),IF(FIND(MID(U$1,10,5),TbTradesBinance[[#This Row],[Par]])=1, -(T135-T136)/T135*U135,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Row],[Par]])),(-(T135-T136)/T135*U135)+IF(TbTradesBinance[[#This Row],[Resultado]]&gt;0,0,TbTradesBinance[[#This Row],[Taxa]]),0),0))</f>
        <v>1461096.2409827893</v>
      </c>
      <c r="V136" s="145">
        <f t="shared" si="41"/>
        <v>6.6500000135182926</v>
      </c>
      <c r="W13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Row],[Tipo]]="DROP"),W135+TbTradesBinance[[#This Row],[Qtt]],W135-TbTradesBinance[[#This Row],[Qtt]]),IF(TbTradesBinance[[#This Row],[Tipo]]="BUY",W135-TbTradesBinance[[#This Row],[Qtt]]*TbTradesBinance[[#This Row],[Preço]],W135+TbTradesBinance[[#This Row],[Qtt]]*TbTradesBinance[[#This Row],[Preço]])),W135)-IF(TbTradesBinance[[#This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Row],[Tipo]]="DROP"),W135+TbTradesBinance[[#This Row],[Qtt]],W135-TbTradesBinance[[#This Row],[Qtt]]),IF(TbTradesBinance[[#This Row],[Tipo]]="BUY",W135-TbTradesBinance[[#This Row],[Qtt]]*TbTradesBinance[[#This Row],[Preço]],W135+TbTradesBinance[[#This Row],[Qtt]]*TbTradesBinance[[#This Row],[Preço]])),W135)-IF(TbTradesBinance[[#This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Row],[Tipo]]="DROP"),W135+TbTradesBinance[[#This Row],[Qtt]],W135-TbTradesBinance[[#This Row],[Qtt]]),IF(TbTradesBinance[[#This Row],[Tipo]]="BUY",W135-TbTradesBinance[[#This Row],[Qtt]]*TbTradesBinance[[#This Row],[Preço]],W135+TbTradesBinance[[#This Row],[Qtt]]*TbTradesBinance[[#This Row],[Preço]])),W135)-IF(TbTradesBinance[[#This Row],[Moeda da Taxa]]=MID(W$1,9,5),TbTradesBinance[[#This Row],[Taxa]],0),8)))</f>
        <v>6.4336000000000005E-4</v>
      </c>
      <c r="X136" s="145" cm="1">
        <f t="array" ref="X136">IF(TbTradesBinance[[#This Row],[Tipo]]="EMPTY",0,X135+IF(TbTradesBinance[[#This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Row],[Par]]))),$1:$1,0)),-(W135-W136)/W135*X135),0),0)+IF(TbTradesBinance[[#This Row],[Tipo]]="SELL",IF(ISNUMBER(FIND(MID(X$1,10,5),TbTradesBinance[[#This Row],[Par]])),IF(FIND(MID(X$1,10,5),TbTradesBinance[[#This Row],[Par]])=1, -(W135-W136)/W135*X135,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Row],[Par]])),(-(W135-W136)/W135*X135)+IF(TbTradesBinance[[#This Row],[Resultado]]&gt;0,0,TbTradesBinance[[#This Row],[Taxa]]),0),0))</f>
        <v>217.84945866493854</v>
      </c>
      <c r="Y136" s="145">
        <f t="shared" si="42"/>
        <v>338612.06581841974</v>
      </c>
      <c r="Z13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Row],[Tipo]]="DROP"),Z135+TbTradesBinance[[#This Row],[Qtt]],Z135-TbTradesBinance[[#This Row],[Qtt]]),IF(TbTradesBinance[[#This Row],[Tipo]]="BUY",Z135-TbTradesBinance[[#This Row],[Qtt]]*TbTradesBinance[[#This Row],[Preço]],Z135+TbTradesBinance[[#This Row],[Qtt]]*TbTradesBinance[[#This Row],[Preço]])),Z135)-IF(TbTradesBinance[[#This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Row],[Tipo]]="DROP"),Z135+TbTradesBinance[[#This Row],[Qtt]],Z135-TbTradesBinance[[#This Row],[Qtt]]),IF(TbTradesBinance[[#This Row],[Tipo]]="BUY",Z135-TbTradesBinance[[#This Row],[Qtt]]*TbTradesBinance[[#This Row],[Preço]],Z135+TbTradesBinance[[#This Row],[Qtt]]*TbTradesBinance[[#This Row],[Preço]])),Z135)-IF(TbTradesBinance[[#This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Row],[Tipo]]="DROP"),Z135+TbTradesBinance[[#This Row],[Qtt]],Z135-TbTradesBinance[[#This Row],[Qtt]]),IF(TbTradesBinance[[#This Row],[Tipo]]="BUY",Z135-TbTradesBinance[[#This Row],[Qtt]]*TbTradesBinance[[#This Row],[Preço]],Z135+TbTradesBinance[[#This Row],[Qtt]]*TbTradesBinance[[#This Row],[Preço]])),Z135)-IF(TbTradesBinance[[#This Row],[Moeda da Taxa]]=MID(Z$1,9,5),TbTradesBinance[[#This Row],[Taxa]],0),8)))</f>
        <v>0</v>
      </c>
      <c r="AA136" s="145" cm="1">
        <f t="array" ref="AA136">IF(TbTradesBinance[[#This Row],[Tipo]]="EMPTY",0,AA135+IF(TbTradesBinance[[#This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Row],[Par]]))),$1:$1,0)),-(Z135-Z136)/Z135*AA135),0),0)+IF(TbTradesBinance[[#This Row],[Tipo]]="SELL",IF(ISNUMBER(FIND(MID(AA$1,10,5),TbTradesBinance[[#This Row],[Par]])),IF(FIND(MID(AA$1,10,5),TbTradesBinance[[#This Row],[Par]])=1, -(Z135-Z136)/Z135*AA135,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Row],[Par]])),(-(Z135-Z136)/Z135*AA135)+IF(TbTradesBinance[[#This Row],[Resultado]]&gt;0,0,TbTradesBinance[[#This Row],[Taxa]]),0),0))</f>
        <v>0</v>
      </c>
      <c r="AB136" s="145">
        <f t="shared" si="43"/>
        <v>0</v>
      </c>
      <c r="AC13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Row],[Tipo]]="DROP"),AC135+TbTradesBinance[[#This Row],[Qtt]],AC135-TbTradesBinance[[#This Row],[Qtt]]),IF(TbTradesBinance[[#This Row],[Tipo]]="BUY",AC135-TbTradesBinance[[#This Row],[Qtt]]*TbTradesBinance[[#This Row],[Preço]],AC135+TbTradesBinance[[#This Row],[Qtt]]*TbTradesBinance[[#This Row],[Preço]])),AC135)-IF(TbTradesBinance[[#This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Row],[Tipo]]="DROP"),AC135+TbTradesBinance[[#This Row],[Qtt]],AC135-TbTradesBinance[[#This Row],[Qtt]]),IF(TbTradesBinance[[#This Row],[Tipo]]="BUY",AC135-TbTradesBinance[[#This Row],[Qtt]]*TbTradesBinance[[#This Row],[Preço]],AC135+TbTradesBinance[[#This Row],[Qtt]]*TbTradesBinance[[#This Row],[Preço]])),AC135)-IF(TbTradesBinance[[#This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Row],[Tipo]]="DROP"),AC135+TbTradesBinance[[#This Row],[Qtt]],AC135-TbTradesBinance[[#This Row],[Qtt]]),IF(TbTradesBinance[[#This Row],[Tipo]]="BUY",AC135-TbTradesBinance[[#This Row],[Qtt]]*TbTradesBinance[[#This Row],[Preço]],AC135+TbTradesBinance[[#This Row],[Qtt]]*TbTradesBinance[[#This Row],[Preço]])),AC135)-IF(TbTradesBinance[[#This Row],[Moeda da Taxa]]=MID(AC$1,9,5),TbTradesBinance[[#This Row],[Taxa]],0),8)))</f>
        <v>0</v>
      </c>
      <c r="AD136" s="145" cm="1">
        <f t="array" ref="AD136">IF(TbTradesBinance[[#This Row],[Tipo]]="EMPTY",0,AD135+IF(TbTradesBinance[[#This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Row],[Par]]))),$1:$1,0)),-(AC135-AC136)/AC135*AD135),0),0)+IF(TbTradesBinance[[#This Row],[Tipo]]="SELL",IF(ISNUMBER(FIND(MID(AD$1,10,5),TbTradesBinance[[#This Row],[Par]])),IF(FIND(MID(AD$1,10,5),TbTradesBinance[[#This Row],[Par]])=1, -(AC135-AC136)/AC135*AD135,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Row],[Par]])),(-(AC135-AC136)/AC135*AD135)+IF(TbTradesBinance[[#This Row],[Resultado]]&gt;0,0,TbTradesBinance[[#This Row],[Taxa]]),0),0))</f>
        <v>0</v>
      </c>
      <c r="AE136" s="145">
        <f t="shared" si="44"/>
        <v>0</v>
      </c>
      <c r="AF13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Row],[Tipo]]="DROP"),AF135+TbTradesBinance[[#This Row],[Qtt]],AF135-TbTradesBinance[[#This Row],[Qtt]]),IF(TbTradesBinance[[#This Row],[Tipo]]="BUY",AF135-TbTradesBinance[[#This Row],[Qtt]]*TbTradesBinance[[#This Row],[Preço]],AF135+TbTradesBinance[[#This Row],[Qtt]]*TbTradesBinance[[#This Row],[Preço]])),AF135)-IF(TbTradesBinance[[#This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Row],[Tipo]]="DROP"),AF135+TbTradesBinance[[#This Row],[Qtt]],AF135-TbTradesBinance[[#This Row],[Qtt]]),IF(TbTradesBinance[[#This Row],[Tipo]]="BUY",AF135-TbTradesBinance[[#This Row],[Qtt]]*TbTradesBinance[[#This Row],[Preço]],AF135+TbTradesBinance[[#This Row],[Qtt]]*TbTradesBinance[[#This Row],[Preço]])),AF135)-IF(TbTradesBinance[[#This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Row],[Tipo]]="DROP"),AF135+TbTradesBinance[[#This Row],[Qtt]],AF135-TbTradesBinance[[#This Row],[Qtt]]),IF(TbTradesBinance[[#This Row],[Tipo]]="BUY",AF135-TbTradesBinance[[#This Row],[Qtt]]*TbTradesBinance[[#This Row],[Preço]],AF135+TbTradesBinance[[#This Row],[Qtt]]*TbTradesBinance[[#This Row],[Preço]])),AF135)-IF(TbTradesBinance[[#This Row],[Moeda da Taxa]]=MID(AF$1,9,5),TbTradesBinance[[#This Row],[Taxa]],0),8)))</f>
        <v>0</v>
      </c>
      <c r="AG136" s="145" cm="1">
        <f t="array" ref="AG136">IF(TbTradesBinance[[#This Row],[Tipo]]="EMPTY",0,AG135+IF(TbTradesBinance[[#This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Row],[Par]]))),$1:$1,0)),-(AF135-AF136)/AF135*AG135),0),0)+IF(TbTradesBinance[[#This Row],[Tipo]]="SELL",IF(ISNUMBER(FIND(MID(AG$1,10,5),TbTradesBinance[[#This Row],[Par]])),IF(FIND(MID(AG$1,10,5),TbTradesBinance[[#This Row],[Par]])=1, -(AF135-AF136)/AF135*AG135,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Row],[Par]])),(-(AF135-AF136)/AF135*AG135)+IF(TbTradesBinance[[#This Row],[Resultado]]&gt;0,0,TbTradesBinance[[#This Row],[Taxa]]),0),0))</f>
        <v>0</v>
      </c>
      <c r="AH136" s="145">
        <f t="shared" si="45"/>
        <v>0</v>
      </c>
      <c r="AI13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Row],[Tipo]]="DROP"),AI135+TbTradesBinance[[#This Row],[Qtt]],AI135-TbTradesBinance[[#This Row],[Qtt]]),IF(TbTradesBinance[[#This Row],[Tipo]]="BUY",AI135-TbTradesBinance[[#This Row],[Qtt]]*TbTradesBinance[[#This Row],[Preço]],AI135+TbTradesBinance[[#This Row],[Qtt]]*TbTradesBinance[[#This Row],[Preço]])),AI135)-IF(TbTradesBinance[[#This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Row],[Tipo]]="DROP"),AI135+TbTradesBinance[[#This Row],[Qtt]],AI135-TbTradesBinance[[#This Row],[Qtt]]),IF(TbTradesBinance[[#This Row],[Tipo]]="BUY",AI135-TbTradesBinance[[#This Row],[Qtt]]*TbTradesBinance[[#This Row],[Preço]],AI135+TbTradesBinance[[#This Row],[Qtt]]*TbTradesBinance[[#This Row],[Preço]])),AI135)-IF(TbTradesBinance[[#This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Row],[Tipo]]="DROP"),AI135+TbTradesBinance[[#This Row],[Qtt]],AI135-TbTradesBinance[[#This Row],[Qtt]]),IF(TbTradesBinance[[#This Row],[Tipo]]="BUY",AI135-TbTradesBinance[[#This Row],[Qtt]]*TbTradesBinance[[#This Row],[Preço]],AI135+TbTradesBinance[[#This Row],[Qtt]]*TbTradesBinance[[#This Row],[Preço]])),AI135)-IF(TbTradesBinance[[#This Row],[Moeda da Taxa]]=MID(AI$1,9,5),TbTradesBinance[[#This Row],[Taxa]],0),8)))</f>
        <v>0</v>
      </c>
      <c r="AJ136" s="145" cm="1">
        <f t="array" ref="AJ136">IF(TbTradesBinance[[#This Row],[Tipo]]="EMPTY",0,AJ135+IF(TbTradesBinance[[#This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Row],[Par]]))),$1:$1,0)),-(AI135-AI136)/AI135*AJ135),0),0)+IF(TbTradesBinance[[#This Row],[Tipo]]="SELL",IF(ISNUMBER(FIND(MID(AJ$1,10,5),TbTradesBinance[[#This Row],[Par]])),IF(FIND(MID(AJ$1,10,5),TbTradesBinance[[#This Row],[Par]])=1, -(AI135-AI136)/AI135*AJ135,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Row],[Par]])),(-(AI135-AI136)/AI135*AJ135)+IF(TbTradesBinance[[#This Row],[Resultado]]&gt;0,0,TbTradesBinance[[#This Row],[Taxa]]),0),0))</f>
        <v>0</v>
      </c>
      <c r="AK136" s="145">
        <f t="shared" si="46"/>
        <v>0</v>
      </c>
      <c r="AL13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Row],[Tipo]]="DROP"),AL135+TbTradesBinance[[#This Row],[Qtt]],AL135-TbTradesBinance[[#This Row],[Qtt]]),IF(TbTradesBinance[[#This Row],[Tipo]]="BUY",AL135-TbTradesBinance[[#This Row],[Qtt]]*TbTradesBinance[[#This Row],[Preço]],AL135+TbTradesBinance[[#This Row],[Qtt]]*TbTradesBinance[[#This Row],[Preço]])),AL135)-IF(TbTradesBinance[[#This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Row],[Tipo]]="DROP"),AL135+TbTradesBinance[[#This Row],[Qtt]],AL135-TbTradesBinance[[#This Row],[Qtt]]),IF(TbTradesBinance[[#This Row],[Tipo]]="BUY",AL135-TbTradesBinance[[#This Row],[Qtt]]*TbTradesBinance[[#This Row],[Preço]],AL135+TbTradesBinance[[#This Row],[Qtt]]*TbTradesBinance[[#This Row],[Preço]])),AL135)-IF(TbTradesBinance[[#This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Row],[Tipo]]="DROP"),AL135+TbTradesBinance[[#This Row],[Qtt]],AL135-TbTradesBinance[[#This Row],[Qtt]]),IF(TbTradesBinance[[#This Row],[Tipo]]="BUY",AL135-TbTradesBinance[[#This Row],[Qtt]]*TbTradesBinance[[#This Row],[Preço]],AL135+TbTradesBinance[[#This Row],[Qtt]]*TbTradesBinance[[#This Row],[Preço]])),AL135)-IF(TbTradesBinance[[#This Row],[Moeda da Taxa]]=MID(AL$1,9,5),TbTradesBinance[[#This Row],[Taxa]],0),8)))</f>
        <v>0</v>
      </c>
      <c r="AM136" s="145" cm="1">
        <f t="array" ref="AM136">IF(TbTradesBinance[[#This Row],[Tipo]]="EMPTY",0,AM135+IF(TbTradesBinance[[#This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Row],[Par]]))),$1:$1,0)),-(AL135-AL136)/AL135*AM135),0),0)+IF(TbTradesBinance[[#This Row],[Tipo]]="SELL",IF(ISNUMBER(FIND(MID(AM$1,10,5),TbTradesBinance[[#This Row],[Par]])),IF(FIND(MID(AM$1,10,5),TbTradesBinance[[#This Row],[Par]])=1, -(AL135-AL136)/AL135*AM135,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Row],[Par]])),(-(AL135-AL136)/AL135*AM135)+IF(TbTradesBinance[[#This Row],[Resultado]]&gt;0,0,TbTradesBinance[[#This Row],[Taxa]]),0),0))</f>
        <v>0</v>
      </c>
      <c r="AN136" s="145">
        <f t="shared" si="47"/>
        <v>0</v>
      </c>
      <c r="AO13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Row],[Tipo]]="DROP"),AO135+TbTradesBinance[[#This Row],[Qtt]],AO135-TbTradesBinance[[#This Row],[Qtt]]),IF(TbTradesBinance[[#This Row],[Tipo]]="BUY",AO135-TbTradesBinance[[#This Row],[Qtt]]*TbTradesBinance[[#This Row],[Preço]],AO135+TbTradesBinance[[#This Row],[Qtt]]*TbTradesBinance[[#This Row],[Preço]])),AO135)-IF(TbTradesBinance[[#This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Row],[Tipo]]="DROP"),AO135+TbTradesBinance[[#This Row],[Qtt]],AO135-TbTradesBinance[[#This Row],[Qtt]]),IF(TbTradesBinance[[#This Row],[Tipo]]="BUY",AO135-TbTradesBinance[[#This Row],[Qtt]]*TbTradesBinance[[#This Row],[Preço]],AO135+TbTradesBinance[[#This Row],[Qtt]]*TbTradesBinance[[#This Row],[Preço]])),AO135)-IF(TbTradesBinance[[#This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Row],[Tipo]]="DROP"),AO135+TbTradesBinance[[#This Row],[Qtt]],AO135-TbTradesBinance[[#This Row],[Qtt]]),IF(TbTradesBinance[[#This Row],[Tipo]]="BUY",AO135-TbTradesBinance[[#This Row],[Qtt]]*TbTradesBinance[[#This Row],[Preço]],AO135+TbTradesBinance[[#This Row],[Qtt]]*TbTradesBinance[[#This Row],[Preço]])),AO135)-IF(TbTradesBinance[[#This Row],[Moeda da Taxa]]=MID(AO$1,9,5),TbTradesBinance[[#This Row],[Taxa]],0),8)))</f>
        <v>3.7164530000000001E-2</v>
      </c>
      <c r="AP136" s="145" cm="1">
        <f t="array" ref="AP136">IF(TbTradesBinance[[#This Row],[Tipo]]="EMPTY",0,AP135+IF(TbTradesBinance[[#This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Row],[Par]]))),$1:$1,0)),-(AO135-AO136)/AO135*AP135),0),0)+IF(TbTradesBinance[[#This Row],[Tipo]]="SELL",IF(ISNUMBER(FIND(MID(AP$1,10,5),TbTradesBinance[[#This Row],[Par]])),IF(FIND(MID(AP$1,10,5),TbTradesBinance[[#This Row],[Par]])=1, -(AO135-AO136)/AO135*AP135,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Row],[Par]])),(-(AO135-AO136)/AO135*AP135)+IF(TbTradesBinance[[#This Row],[Resultado]]&gt;0,0,TbTradesBinance[[#This Row],[Taxa]]),0),0))</f>
        <v>56.863147211807636</v>
      </c>
      <c r="AQ136" s="145">
        <f t="shared" si="48"/>
        <v>1530.0381092350053</v>
      </c>
      <c r="AR13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Row],[Tipo]]="DROP"),AR135+TbTradesBinance[[#This Row],[Qtt]],AR135-TbTradesBinance[[#This Row],[Qtt]]),IF(TbTradesBinance[[#This Row],[Tipo]]="BUY",AR135-TbTradesBinance[[#This Row],[Qtt]]*TbTradesBinance[[#This Row],[Preço]],AR135+TbTradesBinance[[#This Row],[Qtt]]*TbTradesBinance[[#This Row],[Preço]])),AR135)-IF(TbTradesBinance[[#This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Row],[Tipo]]="DROP"),AR135+TbTradesBinance[[#This Row],[Qtt]],AR135-TbTradesBinance[[#This Row],[Qtt]]),IF(TbTradesBinance[[#This Row],[Tipo]]="BUY",AR135-TbTradesBinance[[#This Row],[Qtt]]*TbTradesBinance[[#This Row],[Preço]],AR135+TbTradesBinance[[#This Row],[Qtt]]*TbTradesBinance[[#This Row],[Preço]])),AR135)-IF(TbTradesBinance[[#This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Row],[Tipo]]="DROP"),AR135+TbTradesBinance[[#This Row],[Qtt]],AR135-TbTradesBinance[[#This Row],[Qtt]]),IF(TbTradesBinance[[#This Row],[Tipo]]="BUY",AR135-TbTradesBinance[[#This Row],[Qtt]]*TbTradesBinance[[#This Row],[Preço]],AR135+TbTradesBinance[[#This Row],[Qtt]]*TbTradesBinance[[#This Row],[Preço]])),AR135)-IF(TbTradesBinance[[#This Row],[Moeda da Taxa]]=MID(AR$1,9,5),TbTradesBinance[[#This Row],[Taxa]],0),8)))</f>
        <v>61.251199999999997</v>
      </c>
      <c r="AS136" s="145" cm="1">
        <f t="array" ref="AS136">IF(TbTradesBinance[[#This Row],[Tipo]]="EMPTY",0,AS135+IF(TbTradesBinance[[#This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Row],[Par]]))),$1:$1,0)),-(AR135-AR136)/AR135*AS135),0),0)+IF(TbTradesBinance[[#This Row],[Tipo]]="SELL",IF(ISNUMBER(FIND(MID(AS$1,10,5),TbTradesBinance[[#This Row],[Par]])),IF(FIND(MID(AS$1,10,5),TbTradesBinance[[#This Row],[Par]])=1, -(AR135-AR136)/AR135*AS135,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Row],[Par]])),(-(AR135-AR136)/AR135*AS135)+IF(TbTradesBinance[[#This Row],[Resultado]]&gt;0,0,TbTradesBinance[[#This Row],[Taxa]]),0),0))</f>
        <v>230.84001376053044</v>
      </c>
      <c r="AT136" s="145">
        <f t="shared" si="49"/>
        <v>3.7687427146003745</v>
      </c>
      <c r="AU13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Row],[Tipo]]="DROP"),AU135+TbTradesBinance[[#This Row],[Qtt]],AU135-TbTradesBinance[[#This Row],[Qtt]]),IF(TbTradesBinance[[#This Row],[Tipo]]="BUY",AU135-TbTradesBinance[[#This Row],[Qtt]]*TbTradesBinance[[#This Row],[Preço]],AU135+TbTradesBinance[[#This Row],[Qtt]]*TbTradesBinance[[#This Row],[Preço]])),AU135)-IF(TbTradesBinance[[#This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Row],[Tipo]]="DROP"),AU135+TbTradesBinance[[#This Row],[Qtt]],AU135-TbTradesBinance[[#This Row],[Qtt]]),IF(TbTradesBinance[[#This Row],[Tipo]]="BUY",AU135-TbTradesBinance[[#This Row],[Qtt]]*TbTradesBinance[[#This Row],[Preço]],AU135+TbTradesBinance[[#This Row],[Qtt]]*TbTradesBinance[[#This Row],[Preço]])),AU135)-IF(TbTradesBinance[[#This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Row],[Tipo]]="DROP"),AU135+TbTradesBinance[[#This Row],[Qtt]],AU135-TbTradesBinance[[#This Row],[Qtt]]),IF(TbTradesBinance[[#This Row],[Tipo]]="BUY",AU135-TbTradesBinance[[#This Row],[Qtt]]*TbTradesBinance[[#This Row],[Preço]],AU135+TbTradesBinance[[#This Row],[Qtt]]*TbTradesBinance[[#This Row],[Preço]])),AU135)-IF(TbTradesBinance[[#This Row],[Moeda da Taxa]]=MID(AU$1,9,5),TbTradesBinance[[#This Row],[Taxa]],0),8)))</f>
        <v>0</v>
      </c>
      <c r="AV136" s="145" cm="1">
        <f t="array" ref="AV136">IF(TbTradesBinance[[#This Row],[Tipo]]="EMPTY",0,AV135+IF(TbTradesBinance[[#This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Row],[Par]]))),$1:$1,0)),-(AU135-AU136)/AU135*AV135),0),0)+IF(TbTradesBinance[[#This Row],[Tipo]]="SELL",IF(ISNUMBER(FIND(MID(AV$1,10,5),TbTradesBinance[[#This Row],[Par]])),IF(FIND(MID(AV$1,10,5),TbTradesBinance[[#This Row],[Par]])=1, -(AU135-AU136)/AU135*AV135,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Row],[Par]])),(-(AU135-AU136)/AU135*AV135)+IF(TbTradesBinance[[#This Row],[Resultado]]&gt;0,0,TbTradesBinance[[#This Row],[Taxa]]),0),0))</f>
        <v>0</v>
      </c>
      <c r="AW136" s="145">
        <f t="shared" si="50"/>
        <v>0</v>
      </c>
      <c r="AX13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Row],[Tipo]]="DROP"),AX135+TbTradesBinance[[#This Row],[Qtt]],AX135-TbTradesBinance[[#This Row],[Qtt]]),IF(TbTradesBinance[[#This Row],[Tipo]]="BUY",AX135-TbTradesBinance[[#This Row],[Qtt]]*TbTradesBinance[[#This Row],[Preço]],AX135+TbTradesBinance[[#This Row],[Qtt]]*TbTradesBinance[[#This Row],[Preço]])),AX135)-IF(TbTradesBinance[[#This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Row],[Tipo]]="DROP"),AX135+TbTradesBinance[[#This Row],[Qtt]],AX135-TbTradesBinance[[#This Row],[Qtt]]),IF(TbTradesBinance[[#This Row],[Tipo]]="BUY",AX135-TbTradesBinance[[#This Row],[Qtt]]*TbTradesBinance[[#This Row],[Preço]],AX135+TbTradesBinance[[#This Row],[Qtt]]*TbTradesBinance[[#This Row],[Preço]])),AX135)-IF(TbTradesBinance[[#This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Row],[Tipo]]="DROP"),AX135+TbTradesBinance[[#This Row],[Qtt]],AX135-TbTradesBinance[[#This Row],[Qtt]]),IF(TbTradesBinance[[#This Row],[Tipo]]="BUY",AX135-TbTradesBinance[[#This Row],[Qtt]]*TbTradesBinance[[#This Row],[Preço]],AX135+TbTradesBinance[[#This Row],[Qtt]]*TbTradesBinance[[#This Row],[Preço]])),AX135)-IF(TbTradesBinance[[#This Row],[Moeda da Taxa]]=MID(AX$1,9,5),TbTradesBinance[[#This Row],[Taxa]],0),8)))</f>
        <v>0.85636999999999996</v>
      </c>
      <c r="AY136" s="145" cm="1">
        <f t="array" ref="AY136">IF(TbTradesBinance[[#This Row],[Tipo]]="EMPTY",0,AY135+IF(TbTradesBinance[[#This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Row],[Par]]))),$1:$1,0)),-(AX135-AX136)/AX135*AY135),0),0)+IF(TbTradesBinance[[#This Row],[Tipo]]="SELL",IF(ISNUMBER(FIND(MID(AY$1,10,5),TbTradesBinance[[#This Row],[Par]])),IF(FIND(MID(AY$1,10,5),TbTradesBinance[[#This Row],[Par]])=1, -(AX135-AX136)/AX135*AY135,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Row],[Par]])),(-(AX135-AX136)/AX135*AY135)+IF(TbTradesBinance[[#This Row],[Resultado]]&gt;0,0,TbTradesBinance[[#This Row],[Taxa]]),0),0))</f>
        <v>131.82971181780295</v>
      </c>
      <c r="AZ136" s="145">
        <f t="shared" si="51"/>
        <v>153.94013314081874</v>
      </c>
      <c r="BA13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Row],[Tipo]]="DROP"),BA135+TbTradesBinance[[#This Row],[Qtt]],BA135-TbTradesBinance[[#This Row],[Qtt]]),IF(TbTradesBinance[[#This Row],[Tipo]]="BUY",BA135-TbTradesBinance[[#This Row],[Qtt]]*TbTradesBinance[[#This Row],[Preço]],BA135+TbTradesBinance[[#This Row],[Qtt]]*TbTradesBinance[[#This Row],[Preço]])),BA135)-IF(TbTradesBinance[[#This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Row],[Tipo]]="DROP"),BA135+TbTradesBinance[[#This Row],[Qtt]],BA135-TbTradesBinance[[#This Row],[Qtt]]),IF(TbTradesBinance[[#This Row],[Tipo]]="BUY",BA135-TbTradesBinance[[#This Row],[Qtt]]*TbTradesBinance[[#This Row],[Preço]],BA135+TbTradesBinance[[#This Row],[Qtt]]*TbTradesBinance[[#This Row],[Preço]])),BA135)-IF(TbTradesBinance[[#This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Row],[Tipo]]="DROP"),BA135+TbTradesBinance[[#This Row],[Qtt]],BA135-TbTradesBinance[[#This Row],[Qtt]]),IF(TbTradesBinance[[#This Row],[Tipo]]="BUY",BA135-TbTradesBinance[[#This Row],[Qtt]]*TbTradesBinance[[#This Row],[Preço]],BA135+TbTradesBinance[[#This Row],[Qtt]]*TbTradesBinance[[#This Row],[Preço]])),BA135)-IF(TbTradesBinance[[#This Row],[Moeda da Taxa]]=MID(BA$1,9,5),TbTradesBinance[[#This Row],[Taxa]],0),8)))</f>
        <v>0.10571</v>
      </c>
      <c r="BB136" s="145" cm="1">
        <f t="array" ref="BB136">IF(TbTradesBinance[[#This Row],[Tipo]]="EMPTY",0,BB135+IF(TbTradesBinance[[#This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Row],[Par]]))),$1:$1,0)),-(BA135-BA136)/BA135*BB135),0),0)+IF(TbTradesBinance[[#This Row],[Tipo]]="SELL",IF(ISNUMBER(FIND(MID(BB$1,10,5),TbTradesBinance[[#This Row],[Par]])),IF(FIND(MID(BB$1,10,5),TbTradesBinance[[#This Row],[Par]])=1, -(BA135-BA136)/BA135*BB135,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Row],[Par]])),(-(BA135-BA136)/BA135*BB135)+IF(TbTradesBinance[[#This Row],[Resultado]]&gt;0,0,TbTradesBinance[[#This Row],[Taxa]]),0),0))</f>
        <v>120.8257969142021</v>
      </c>
      <c r="BC136" s="145">
        <f t="shared" si="52"/>
        <v>1142.9930651234708</v>
      </c>
      <c r="BD13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Row],[Tipo]]="DROP"),BD135+TbTradesBinance[[#This Row],[Qtt]],BD135-TbTradesBinance[[#This Row],[Qtt]]),IF(TbTradesBinance[[#This Row],[Tipo]]="BUY",BD135-TbTradesBinance[[#This Row],[Qtt]]*TbTradesBinance[[#This Row],[Preço]],BD135+TbTradesBinance[[#This Row],[Qtt]]*TbTradesBinance[[#This Row],[Preço]])),BD135)-IF(TbTradesBinance[[#This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Row],[Tipo]]="DROP"),BD135+TbTradesBinance[[#This Row],[Qtt]],BD135-TbTradesBinance[[#This Row],[Qtt]]),IF(TbTradesBinance[[#This Row],[Tipo]]="BUY",BD135-TbTradesBinance[[#This Row],[Qtt]]*TbTradesBinance[[#This Row],[Preço]],BD135+TbTradesBinance[[#This Row],[Qtt]]*TbTradesBinance[[#This Row],[Preço]])),BD135)-IF(TbTradesBinance[[#This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Row],[Tipo]]="DROP"),BD135+TbTradesBinance[[#This Row],[Qtt]],BD135-TbTradesBinance[[#This Row],[Qtt]]),IF(TbTradesBinance[[#This Row],[Tipo]]="BUY",BD135-TbTradesBinance[[#This Row],[Qtt]]*TbTradesBinance[[#This Row],[Preço]],BD135+TbTradesBinance[[#This Row],[Qtt]]*TbTradesBinance[[#This Row],[Preço]])),BD135)-IF(TbTradesBinance[[#This Row],[Moeda da Taxa]]=MID(BD$1,9,5),TbTradesBinance[[#This Row],[Taxa]],0),8)))</f>
        <v>0</v>
      </c>
      <c r="BE136" s="145" cm="1">
        <f t="array" ref="BE136">IF(TbTradesBinance[[#This Row],[Tipo]]="EMPTY",0,BE135+IF(TbTradesBinance[[#This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Row],[Par]]))),$1:$1,0)),-(BD135-BD136)/BD135*BE135),0),0)+IF(TbTradesBinance[[#This Row],[Tipo]]="SELL",IF(ISNUMBER(FIND(MID(BE$1,10,5),TbTradesBinance[[#This Row],[Par]])),IF(FIND(MID(BE$1,10,5),TbTradesBinance[[#This Row],[Par]])=1, -(BD135-BD136)/BD135*BE135,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Row],[Par]])),(-(BD135-BD136)/BD135*BE135)+IF(TbTradesBinance[[#This Row],[Resultado]]&gt;0,0,TbTradesBinance[[#This Row],[Taxa]]),0),0))</f>
        <v>0</v>
      </c>
      <c r="BF136" s="145">
        <f t="shared" si="53"/>
        <v>0</v>
      </c>
      <c r="BG13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Row],[Tipo]]="DROP"),BG135+TbTradesBinance[[#This Row],[Qtt]],BG135-TbTradesBinance[[#This Row],[Qtt]]),IF(TbTradesBinance[[#This Row],[Tipo]]="BUY",BG135-TbTradesBinance[[#This Row],[Qtt]]*TbTradesBinance[[#This Row],[Preço]],BG135+TbTradesBinance[[#This Row],[Qtt]]*TbTradesBinance[[#This Row],[Preço]])),BG135)-IF(TbTradesBinance[[#This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Row],[Tipo]]="DROP"),BG135+TbTradesBinance[[#This Row],[Qtt]],BG135-TbTradesBinance[[#This Row],[Qtt]]),IF(TbTradesBinance[[#This Row],[Tipo]]="BUY",BG135-TbTradesBinance[[#This Row],[Qtt]]*TbTradesBinance[[#This Row],[Preço]],BG135+TbTradesBinance[[#This Row],[Qtt]]*TbTradesBinance[[#This Row],[Preço]])),BG135)-IF(TbTradesBinance[[#This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Row],[Tipo]]="DROP"),BG135+TbTradesBinance[[#This Row],[Qtt]],BG135-TbTradesBinance[[#This Row],[Qtt]]),IF(TbTradesBinance[[#This Row],[Tipo]]="BUY",BG135-TbTradesBinance[[#This Row],[Qtt]]*TbTradesBinance[[#This Row],[Preço]],BG135+TbTradesBinance[[#This Row],[Qtt]]*TbTradesBinance[[#This Row],[Preço]])),BG135)-IF(TbTradesBinance[[#This Row],[Moeda da Taxa]]=MID(BG$1,9,5),TbTradesBinance[[#This Row],[Taxa]],0),8)))</f>
        <v>0</v>
      </c>
      <c r="BH136" s="145" cm="1">
        <f t="array" ref="BH136">IF(TbTradesBinance[[#This Row],[Tipo]]="EMPTY",0,BH135+IF(TbTradesBinance[[#This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Row],[Par]]))),$1:$1,0)),-(BG135-BG136)/BG135*BH135),0),0)+IF(TbTradesBinance[[#This Row],[Tipo]]="SELL",IF(ISNUMBER(FIND(MID(BH$1,10,5),TbTradesBinance[[#This Row],[Par]])),IF(FIND(MID(BH$1,10,5),TbTradesBinance[[#This Row],[Par]])=1, -(BG135-BG136)/BG135*BH135,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Row],[Par]])),(-(BG135-BG136)/BG135*BH135)+IF(TbTradesBinance[[#This Row],[Resultado]]&gt;0,0,TbTradesBinance[[#This Row],[Taxa]]),0),0))</f>
        <v>0</v>
      </c>
      <c r="BI136" s="145">
        <f t="shared" si="54"/>
        <v>0</v>
      </c>
      <c r="BJ13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Row],[Tipo]]="DROP"),BJ135+TbTradesBinance[[#This Row],[Qtt]],BJ135-TbTradesBinance[[#This Row],[Qtt]]),IF(TbTradesBinance[[#This Row],[Tipo]]="BUY",BJ135-TbTradesBinance[[#This Row],[Qtt]]*TbTradesBinance[[#This Row],[Preço]],BJ135+TbTradesBinance[[#This Row],[Qtt]]*TbTradesBinance[[#This Row],[Preço]])),BJ135)-IF(TbTradesBinance[[#This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Row],[Tipo]]="DROP"),BJ135+TbTradesBinance[[#This Row],[Qtt]],BJ135-TbTradesBinance[[#This Row],[Qtt]]),IF(TbTradesBinance[[#This Row],[Tipo]]="BUY",BJ135-TbTradesBinance[[#This Row],[Qtt]]*TbTradesBinance[[#This Row],[Preço]],BJ135+TbTradesBinance[[#This Row],[Qtt]]*TbTradesBinance[[#This Row],[Preço]])),BJ135)-IF(TbTradesBinance[[#This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Row],[Tipo]]="DROP"),BJ135+TbTradesBinance[[#This Row],[Qtt]],BJ135-TbTradesBinance[[#This Row],[Qtt]]),IF(TbTradesBinance[[#This Row],[Tipo]]="BUY",BJ135-TbTradesBinance[[#This Row],[Qtt]]*TbTradesBinance[[#This Row],[Preço]],BJ135+TbTradesBinance[[#This Row],[Qtt]]*TbTradesBinance[[#This Row],[Preço]])),BJ135)-IF(TbTradesBinance[[#This Row],[Moeda da Taxa]]=MID(BJ$1,9,5),TbTradesBinance[[#This Row],[Taxa]],0),8)))</f>
        <v>2.1681500000000002E-3</v>
      </c>
      <c r="BK136" s="145" cm="1">
        <f t="array" ref="BK136">IF(TbTradesBinance[[#This Row],[Tipo]]="EMPTY",0,BK135+IF(TbTradesBinance[[#This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Row],[Par]]))),$1:$1,0)),-(BJ135-BJ136)/BJ135*BK135),0),0)+IF(TbTradesBinance[[#This Row],[Tipo]]="SELL",IF(ISNUMBER(FIND(MID(BK$1,10,5),TbTradesBinance[[#This Row],[Par]])),IF(FIND(MID(BK$1,10,5),TbTradesBinance[[#This Row],[Par]])=1, -(BJ135-BJ136)/BJ135*BK135,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Row],[Par]])),(-(BJ135-BJ136)/BJ135*BK135)+IF(TbTradesBinance[[#This Row],[Resultado]]&gt;0,0,TbTradesBinance[[#This Row],[Taxa]]),0),0))</f>
        <v>0</v>
      </c>
      <c r="BL136" s="145">
        <f t="shared" si="55"/>
        <v>0</v>
      </c>
      <c r="BM13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Row],[Tipo]]="DROP"),BM135+TbTradesBinance[[#This Row],[Qtt]],BM135-TbTradesBinance[[#This Row],[Qtt]]),IF(TbTradesBinance[[#This Row],[Tipo]]="BUY",BM135-TbTradesBinance[[#This Row],[Qtt]]*TbTradesBinance[[#This Row],[Preço]],BM135+TbTradesBinance[[#This Row],[Qtt]]*TbTradesBinance[[#This Row],[Preço]])),BM135)-IF(TbTradesBinance[[#This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Row],[Tipo]]="DROP"),BM135+TbTradesBinance[[#This Row],[Qtt]],BM135-TbTradesBinance[[#This Row],[Qtt]]),IF(TbTradesBinance[[#This Row],[Tipo]]="BUY",BM135-TbTradesBinance[[#This Row],[Qtt]]*TbTradesBinance[[#This Row],[Preço]],BM135+TbTradesBinance[[#This Row],[Qtt]]*TbTradesBinance[[#This Row],[Preço]])),BM135)-IF(TbTradesBinance[[#This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Row],[Tipo]]="DROP"),BM135+TbTradesBinance[[#This Row],[Qtt]],BM135-TbTradesBinance[[#This Row],[Qtt]]),IF(TbTradesBinance[[#This Row],[Tipo]]="BUY",BM135-TbTradesBinance[[#This Row],[Qtt]]*TbTradesBinance[[#This Row],[Preço]],BM135+TbTradesBinance[[#This Row],[Qtt]]*TbTradesBinance[[#This Row],[Preço]])),BM135)-IF(TbTradesBinance[[#This Row],[Moeda da Taxa]]=MID(BM$1,9,5),TbTradesBinance[[#This Row],[Taxa]],0),8)))</f>
        <v>0</v>
      </c>
      <c r="BN136" s="145" cm="1">
        <f t="array" ref="BN136">IF(TbTradesBinance[[#This Row],[Tipo]]="EMPTY",0,BN135+IF(TbTradesBinance[[#This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Row],[Par]]))),$1:$1,0)),-(BM135-BM136)/BM135*BN135),0),0)+IF(TbTradesBinance[[#This Row],[Tipo]]="SELL",IF(ISNUMBER(FIND(MID(BN$1,10,5),TbTradesBinance[[#This Row],[Par]])),IF(FIND(MID(BN$1,10,5),TbTradesBinance[[#This Row],[Par]])=1, -(BM135-BM136)/BM135*BN135,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Row],[Par]])),(-(BM135-BM136)/BM135*BN135)+IF(TbTradesBinance[[#This Row],[Resultado]]&gt;0,0,TbTradesBinance[[#This Row],[Taxa]]),0),0))</f>
        <v>0</v>
      </c>
      <c r="BO136" s="145">
        <f t="shared" si="56"/>
        <v>0</v>
      </c>
    </row>
    <row r="137" spans="2:67" x14ac:dyDescent="0.3">
      <c r="B137" s="51"/>
      <c r="C137" s="40">
        <f>TRUNC(IF(AND(TbTradesBinance[[#This Row],[Tipo]]="SEND",TbTradesBinance[[#This Row],[Par]]="BRL"),TbTradesBinance[[#This Row],[Qtt]]*(1-P135)-IF(TbTradesBinance[[#This Row],[Moeda da Taxa]]="BRL",TbTradesBinance[[#This Row],[Taxa]],0),0)+IF(AND(TbTradesBinance[[#This Row],[Tipo]]="BURN",TbTradesBinance[[#This Row],[Par]]="BRL"),-TbTradesBinance[[#This Row],[Qtt]]*P135,0),2)</f>
        <v>0</v>
      </c>
      <c r="D137" s="53">
        <v>44282.512939814813</v>
      </c>
      <c r="E137" s="37" t="s">
        <v>138</v>
      </c>
      <c r="F137" s="47" t="s">
        <v>140</v>
      </c>
      <c r="G137" s="38">
        <v>318000</v>
      </c>
      <c r="H137" s="38">
        <v>3.2000000000000003E-4</v>
      </c>
      <c r="I137" s="38">
        <v>0</v>
      </c>
      <c r="J137" s="37" t="s">
        <v>45</v>
      </c>
      <c r="K137" s="52">
        <v>1</v>
      </c>
      <c r="L137" s="40">
        <f t="shared" si="38"/>
        <v>318000</v>
      </c>
      <c r="M137" s="40">
        <f>IF(OR(TbTradesBinance[[#This Row],[Tipo]]="BUY",TbTradesBinance[[#This Row],[Tipo]]="RECEIVE",TbTradesBinance[[#This Row],[Tipo]]="DROP"),L137*H137,-L137*H137)</f>
        <v>-101.76</v>
      </c>
      <c r="N13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Row],[Tipo]]="DROP"),N136+TbTradesBinance[[#This Row],[Qtt]],N136-TbTradesBinance[[#This Row],[Qtt]]),IF(TbTradesBinance[[#This Row],[Tipo]]="BUY",N136-TbTradesBinance[[#This Row],[Qtt]]*TbTradesBinance[[#This Row],[Preço]],N136+TbTradesBinance[[#This Row],[Qtt]]*TbTradesBinance[[#This Row],[Preço]])),N136)-IF(TbTradesBinance[[#This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Row],[Tipo]]="DROP"),N136+TbTradesBinance[[#This Row],[Qtt]],N136-TbTradesBinance[[#This Row],[Qtt]]),IF(TbTradesBinance[[#This Row],[Tipo]]="BUY",N136-TbTradesBinance[[#This Row],[Qtt]]*TbTradesBinance[[#This Row],[Preço]],N136+TbTradesBinance[[#This Row],[Qtt]]*TbTradesBinance[[#This Row],[Preço]])),N136)-IF(TbTradesBinance[[#This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Row],[Tipo]]="DROP"),N136+TbTradesBinance[[#This Row],[Qtt]],N136-TbTradesBinance[[#This Row],[Qtt]]),IF(TbTradesBinance[[#This Row],[Tipo]]="BUY",N136-TbTradesBinance[[#This Row],[Qtt]]*TbTradesBinance[[#This Row],[Preço]],N136+TbTradesBinance[[#This Row],[Qtt]]*TbTradesBinance[[#This Row],[Preço]])),N136)-IF(TbTradesBinance[[#This Row],[Moeda da Taxa]]=MID(N$1,9,5),TbTradesBinance[[#This Row],[Taxa]],0),8)))</f>
        <v>120730.54956417999</v>
      </c>
      <c r="O137" s="145" cm="1">
        <f t="array" ref="O137">IF(TbTradesBinance[[#This Row],[Tipo]]="EMPTY",0,O136+IF(TbTradesBinance[[#This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Row],[Par]]))),$1:$1,0)),-(N136-N137)/N136*O136),0),0)+IF(TbTradesBinance[[#This Row],[Tipo]]="SELL",IF(ISNUMBER(FIND(MID(O$1,10,5),TbTradesBinance[[#This Row],[Par]])),IF(FIND(MID(O$1,10,5),TbTradesBinance[[#This Row],[Par]])=1, -(N136-N137)/N136*O136,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Row],[Par]])),(-(N136-N137)/N136*O136)+IF(TbTradesBinance[[#This Row],[Resultado]]&gt;0,0,TbTradesBinance[[#This Row],[Taxa]]),0),0))</f>
        <v>120786.00453128356</v>
      </c>
      <c r="P137" s="145">
        <f t="shared" si="39"/>
        <v>1.0004593283746637</v>
      </c>
      <c r="Q13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Row],[Tipo]]="DROP"),Q136+TbTradesBinance[[#This Row],[Qtt]],Q136-TbTradesBinance[[#This Row],[Qtt]]),IF(TbTradesBinance[[#This Row],[Tipo]]="BUY",Q136-TbTradesBinance[[#This Row],[Qtt]]*TbTradesBinance[[#This Row],[Preço]],Q136+TbTradesBinance[[#This Row],[Qtt]]*TbTradesBinance[[#This Row],[Preço]])),Q136)-IF(TbTradesBinance[[#This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Row],[Tipo]]="DROP"),Q136+TbTradesBinance[[#This Row],[Qtt]],Q136-TbTradesBinance[[#This Row],[Qtt]]),IF(TbTradesBinance[[#This Row],[Tipo]]="BUY",Q136-TbTradesBinance[[#This Row],[Qtt]]*TbTradesBinance[[#This Row],[Preço]],Q136+TbTradesBinance[[#This Row],[Qtt]]*TbTradesBinance[[#This Row],[Preço]])),Q136)-IF(TbTradesBinance[[#This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Row],[Tipo]]="DROP"),Q136+TbTradesBinance[[#This Row],[Qtt]],Q136-TbTradesBinance[[#This Row],[Qtt]]),IF(TbTradesBinance[[#This Row],[Tipo]]="BUY",Q136-TbTradesBinance[[#This Row],[Qtt]]*TbTradesBinance[[#This Row],[Preço]],Q136+TbTradesBinance[[#This Row],[Qtt]]*TbTradesBinance[[#This Row],[Preço]])),Q136)-IF(TbTradesBinance[[#This Row],[Moeda da Taxa]]=MID(Q$1,9,5),TbTradesBinance[[#This Row],[Taxa]],0),8)))</f>
        <v>0</v>
      </c>
      <c r="R137" s="145" cm="1">
        <f t="array" ref="R137">IF(TbTradesBinance[[#This Row],[Tipo]]="EMPTY",0,R136+IF(TbTradesBinance[[#This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Row],[Par]]))),$1:$1,0)),-(Q136-Q137)/Q136*R136),0),0)+IF(TbTradesBinance[[#This Row],[Tipo]]="SELL",IF(ISNUMBER(FIND(MID(R$1,10,5),TbTradesBinance[[#This Row],[Par]])),IF(FIND(MID(R$1,10,5),TbTradesBinance[[#This Row],[Par]])=1, -(Q136-Q137)/Q136*R136,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Row],[Par]])),(-(Q136-Q137)/Q136*R136)+IF(TbTradesBinance[[#This Row],[Resultado]]&gt;0,0,TbTradesBinance[[#This Row],[Taxa]]),0),0))</f>
        <v>0</v>
      </c>
      <c r="S137" s="145">
        <f t="shared" si="40"/>
        <v>0</v>
      </c>
      <c r="T13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Row],[Tipo]]="DROP"),T136+TbTradesBinance[[#This Row],[Qtt]],T136-TbTradesBinance[[#This Row],[Qtt]]),IF(TbTradesBinance[[#This Row],[Tipo]]="BUY",T136-TbTradesBinance[[#This Row],[Qtt]]*TbTradesBinance[[#This Row],[Preço]],T136+TbTradesBinance[[#This Row],[Qtt]]*TbTradesBinance[[#This Row],[Preço]])),T136)-IF(TbTradesBinance[[#This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Row],[Tipo]]="DROP"),T136+TbTradesBinance[[#This Row],[Qtt]],T136-TbTradesBinance[[#This Row],[Qtt]]),IF(TbTradesBinance[[#This Row],[Tipo]]="BUY",T136-TbTradesBinance[[#This Row],[Qtt]]*TbTradesBinance[[#This Row],[Preço]],T136+TbTradesBinance[[#This Row],[Qtt]]*TbTradesBinance[[#This Row],[Preço]])),T136)-IF(TbTradesBinance[[#This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Row],[Tipo]]="DROP"),T136+TbTradesBinance[[#This Row],[Qtt]],T136-TbTradesBinance[[#This Row],[Qtt]]),IF(TbTradesBinance[[#This Row],[Tipo]]="BUY",T136-TbTradesBinance[[#This Row],[Qtt]]*TbTradesBinance[[#This Row],[Preço]],T136+TbTradesBinance[[#This Row],[Qtt]]*TbTradesBinance[[#This Row],[Preço]])),T136)-IF(TbTradesBinance[[#This Row],[Moeda da Taxa]]=MID(T$1,9,5),TbTradesBinance[[#This Row],[Taxa]],0),8)))</f>
        <v>219713.72000189999</v>
      </c>
      <c r="U137" s="145" cm="1">
        <f t="array" ref="U137">IF(TbTradesBinance[[#This Row],[Tipo]]="EMPTY",0,U136+IF(TbTradesBinance[[#This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Row],[Par]]))),$1:$1,0)),-(T136-T137)/T136*U136),0),0)+IF(TbTradesBinance[[#This Row],[Tipo]]="SELL",IF(ISNUMBER(FIND(MID(U$1,10,5),TbTradesBinance[[#This Row],[Par]])),IF(FIND(MID(U$1,10,5),TbTradesBinance[[#This Row],[Par]])=1, -(T136-T137)/T136*U136,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Row],[Par]])),(-(T136-T137)/T136*U136)+IF(TbTradesBinance[[#This Row],[Resultado]]&gt;0,0,TbTradesBinance[[#This Row],[Taxa]]),0),0))</f>
        <v>1461096.2409827893</v>
      </c>
      <c r="V137" s="145">
        <f t="shared" si="41"/>
        <v>6.6500000135182926</v>
      </c>
      <c r="W13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Row],[Tipo]]="DROP"),W136+TbTradesBinance[[#This Row],[Qtt]],W136-TbTradesBinance[[#This Row],[Qtt]]),IF(TbTradesBinance[[#This Row],[Tipo]]="BUY",W136-TbTradesBinance[[#This Row],[Qtt]]*TbTradesBinance[[#This Row],[Preço]],W136+TbTradesBinance[[#This Row],[Qtt]]*TbTradesBinance[[#This Row],[Preço]])),W136)-IF(TbTradesBinance[[#This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Row],[Tipo]]="DROP"),W136+TbTradesBinance[[#This Row],[Qtt]],W136-TbTradesBinance[[#This Row],[Qtt]]),IF(TbTradesBinance[[#This Row],[Tipo]]="BUY",W136-TbTradesBinance[[#This Row],[Qtt]]*TbTradesBinance[[#This Row],[Preço]],W136+TbTradesBinance[[#This Row],[Qtt]]*TbTradesBinance[[#This Row],[Preço]])),W136)-IF(TbTradesBinance[[#This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Row],[Tipo]]="DROP"),W136+TbTradesBinance[[#This Row],[Qtt]],W136-TbTradesBinance[[#This Row],[Qtt]]),IF(TbTradesBinance[[#This Row],[Tipo]]="BUY",W136-TbTradesBinance[[#This Row],[Qtt]]*TbTradesBinance[[#This Row],[Preço]],W136+TbTradesBinance[[#This Row],[Qtt]]*TbTradesBinance[[#This Row],[Preço]])),W136)-IF(TbTradesBinance[[#This Row],[Moeda da Taxa]]=MID(W$1,9,5),TbTradesBinance[[#This Row],[Taxa]],0),8)))</f>
        <v>3.2336000000000002E-4</v>
      </c>
      <c r="X137" s="145" cm="1">
        <f t="array" ref="X137">IF(TbTradesBinance[[#This Row],[Tipo]]="EMPTY",0,X136+IF(TbTradesBinance[[#This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Row],[Par]]))),$1:$1,0)),-(W136-W137)/W136*X136),0),0)+IF(TbTradesBinance[[#This Row],[Tipo]]="SELL",IF(ISNUMBER(FIND(MID(X$1,10,5),TbTradesBinance[[#This Row],[Par]])),IF(FIND(MID(X$1,10,5),TbTradesBinance[[#This Row],[Par]])=1, -(W136-W137)/W136*X136,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Row],[Par]])),(-(W136-W137)/W136*X136)+IF(TbTradesBinance[[#This Row],[Resultado]]&gt;0,0,TbTradesBinance[[#This Row],[Taxa]]),0),0))</f>
        <v>109.49359760304422</v>
      </c>
      <c r="Y137" s="145">
        <f t="shared" si="42"/>
        <v>338612.06581841974</v>
      </c>
      <c r="Z13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Row],[Tipo]]="DROP"),Z136+TbTradesBinance[[#This Row],[Qtt]],Z136-TbTradesBinance[[#This Row],[Qtt]]),IF(TbTradesBinance[[#This Row],[Tipo]]="BUY",Z136-TbTradesBinance[[#This Row],[Qtt]]*TbTradesBinance[[#This Row],[Preço]],Z136+TbTradesBinance[[#This Row],[Qtt]]*TbTradesBinance[[#This Row],[Preço]])),Z136)-IF(TbTradesBinance[[#This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Row],[Tipo]]="DROP"),Z136+TbTradesBinance[[#This Row],[Qtt]],Z136-TbTradesBinance[[#This Row],[Qtt]]),IF(TbTradesBinance[[#This Row],[Tipo]]="BUY",Z136-TbTradesBinance[[#This Row],[Qtt]]*TbTradesBinance[[#This Row],[Preço]],Z136+TbTradesBinance[[#This Row],[Qtt]]*TbTradesBinance[[#This Row],[Preço]])),Z136)-IF(TbTradesBinance[[#This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Row],[Tipo]]="DROP"),Z136+TbTradesBinance[[#This Row],[Qtt]],Z136-TbTradesBinance[[#This Row],[Qtt]]),IF(TbTradesBinance[[#This Row],[Tipo]]="BUY",Z136-TbTradesBinance[[#This Row],[Qtt]]*TbTradesBinance[[#This Row],[Preço]],Z136+TbTradesBinance[[#This Row],[Qtt]]*TbTradesBinance[[#This Row],[Preço]])),Z136)-IF(TbTradesBinance[[#This Row],[Moeda da Taxa]]=MID(Z$1,9,5),TbTradesBinance[[#This Row],[Taxa]],0),8)))</f>
        <v>0</v>
      </c>
      <c r="AA137" s="145" cm="1">
        <f t="array" ref="AA137">IF(TbTradesBinance[[#This Row],[Tipo]]="EMPTY",0,AA136+IF(TbTradesBinance[[#This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Row],[Par]]))),$1:$1,0)),-(Z136-Z137)/Z136*AA136),0),0)+IF(TbTradesBinance[[#This Row],[Tipo]]="SELL",IF(ISNUMBER(FIND(MID(AA$1,10,5),TbTradesBinance[[#This Row],[Par]])),IF(FIND(MID(AA$1,10,5),TbTradesBinance[[#This Row],[Par]])=1, -(Z136-Z137)/Z136*AA136,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Row],[Par]])),(-(Z136-Z137)/Z136*AA136)+IF(TbTradesBinance[[#This Row],[Resultado]]&gt;0,0,TbTradesBinance[[#This Row],[Taxa]]),0),0))</f>
        <v>0</v>
      </c>
      <c r="AB137" s="145">
        <f t="shared" si="43"/>
        <v>0</v>
      </c>
      <c r="AC13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Row],[Tipo]]="DROP"),AC136+TbTradesBinance[[#This Row],[Qtt]],AC136-TbTradesBinance[[#This Row],[Qtt]]),IF(TbTradesBinance[[#This Row],[Tipo]]="BUY",AC136-TbTradesBinance[[#This Row],[Qtt]]*TbTradesBinance[[#This Row],[Preço]],AC136+TbTradesBinance[[#This Row],[Qtt]]*TbTradesBinance[[#This Row],[Preço]])),AC136)-IF(TbTradesBinance[[#This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Row],[Tipo]]="DROP"),AC136+TbTradesBinance[[#This Row],[Qtt]],AC136-TbTradesBinance[[#This Row],[Qtt]]),IF(TbTradesBinance[[#This Row],[Tipo]]="BUY",AC136-TbTradesBinance[[#This Row],[Qtt]]*TbTradesBinance[[#This Row],[Preço]],AC136+TbTradesBinance[[#This Row],[Qtt]]*TbTradesBinance[[#This Row],[Preço]])),AC136)-IF(TbTradesBinance[[#This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Row],[Tipo]]="DROP"),AC136+TbTradesBinance[[#This Row],[Qtt]],AC136-TbTradesBinance[[#This Row],[Qtt]]),IF(TbTradesBinance[[#This Row],[Tipo]]="BUY",AC136-TbTradesBinance[[#This Row],[Qtt]]*TbTradesBinance[[#This Row],[Preço]],AC136+TbTradesBinance[[#This Row],[Qtt]]*TbTradesBinance[[#This Row],[Preço]])),AC136)-IF(TbTradesBinance[[#This Row],[Moeda da Taxa]]=MID(AC$1,9,5),TbTradesBinance[[#This Row],[Taxa]],0),8)))</f>
        <v>0</v>
      </c>
      <c r="AD137" s="145" cm="1">
        <f t="array" ref="AD137">IF(TbTradesBinance[[#This Row],[Tipo]]="EMPTY",0,AD136+IF(TbTradesBinance[[#This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Row],[Par]]))),$1:$1,0)),-(AC136-AC137)/AC136*AD136),0),0)+IF(TbTradesBinance[[#This Row],[Tipo]]="SELL",IF(ISNUMBER(FIND(MID(AD$1,10,5),TbTradesBinance[[#This Row],[Par]])),IF(FIND(MID(AD$1,10,5),TbTradesBinance[[#This Row],[Par]])=1, -(AC136-AC137)/AC136*AD136,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Row],[Par]])),(-(AC136-AC137)/AC136*AD136)+IF(TbTradesBinance[[#This Row],[Resultado]]&gt;0,0,TbTradesBinance[[#This Row],[Taxa]]),0),0))</f>
        <v>0</v>
      </c>
      <c r="AE137" s="145">
        <f t="shared" si="44"/>
        <v>0</v>
      </c>
      <c r="AF13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Row],[Tipo]]="DROP"),AF136+TbTradesBinance[[#This Row],[Qtt]],AF136-TbTradesBinance[[#This Row],[Qtt]]),IF(TbTradesBinance[[#This Row],[Tipo]]="BUY",AF136-TbTradesBinance[[#This Row],[Qtt]]*TbTradesBinance[[#This Row],[Preço]],AF136+TbTradesBinance[[#This Row],[Qtt]]*TbTradesBinance[[#This Row],[Preço]])),AF136)-IF(TbTradesBinance[[#This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Row],[Tipo]]="DROP"),AF136+TbTradesBinance[[#This Row],[Qtt]],AF136-TbTradesBinance[[#This Row],[Qtt]]),IF(TbTradesBinance[[#This Row],[Tipo]]="BUY",AF136-TbTradesBinance[[#This Row],[Qtt]]*TbTradesBinance[[#This Row],[Preço]],AF136+TbTradesBinance[[#This Row],[Qtt]]*TbTradesBinance[[#This Row],[Preço]])),AF136)-IF(TbTradesBinance[[#This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Row],[Tipo]]="DROP"),AF136+TbTradesBinance[[#This Row],[Qtt]],AF136-TbTradesBinance[[#This Row],[Qtt]]),IF(TbTradesBinance[[#This Row],[Tipo]]="BUY",AF136-TbTradesBinance[[#This Row],[Qtt]]*TbTradesBinance[[#This Row],[Preço]],AF136+TbTradesBinance[[#This Row],[Qtt]]*TbTradesBinance[[#This Row],[Preço]])),AF136)-IF(TbTradesBinance[[#This Row],[Moeda da Taxa]]=MID(AF$1,9,5),TbTradesBinance[[#This Row],[Taxa]],0),8)))</f>
        <v>0</v>
      </c>
      <c r="AG137" s="145" cm="1">
        <f t="array" ref="AG137">IF(TbTradesBinance[[#This Row],[Tipo]]="EMPTY",0,AG136+IF(TbTradesBinance[[#This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Row],[Par]]))),$1:$1,0)),-(AF136-AF137)/AF136*AG136),0),0)+IF(TbTradesBinance[[#This Row],[Tipo]]="SELL",IF(ISNUMBER(FIND(MID(AG$1,10,5),TbTradesBinance[[#This Row],[Par]])),IF(FIND(MID(AG$1,10,5),TbTradesBinance[[#This Row],[Par]])=1, -(AF136-AF137)/AF136*AG136,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Row],[Par]])),(-(AF136-AF137)/AF136*AG136)+IF(TbTradesBinance[[#This Row],[Resultado]]&gt;0,0,TbTradesBinance[[#This Row],[Taxa]]),0),0))</f>
        <v>0</v>
      </c>
      <c r="AH137" s="145">
        <f t="shared" si="45"/>
        <v>0</v>
      </c>
      <c r="AI13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Row],[Tipo]]="DROP"),AI136+TbTradesBinance[[#This Row],[Qtt]],AI136-TbTradesBinance[[#This Row],[Qtt]]),IF(TbTradesBinance[[#This Row],[Tipo]]="BUY",AI136-TbTradesBinance[[#This Row],[Qtt]]*TbTradesBinance[[#This Row],[Preço]],AI136+TbTradesBinance[[#This Row],[Qtt]]*TbTradesBinance[[#This Row],[Preço]])),AI136)-IF(TbTradesBinance[[#This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Row],[Tipo]]="DROP"),AI136+TbTradesBinance[[#This Row],[Qtt]],AI136-TbTradesBinance[[#This Row],[Qtt]]),IF(TbTradesBinance[[#This Row],[Tipo]]="BUY",AI136-TbTradesBinance[[#This Row],[Qtt]]*TbTradesBinance[[#This Row],[Preço]],AI136+TbTradesBinance[[#This Row],[Qtt]]*TbTradesBinance[[#This Row],[Preço]])),AI136)-IF(TbTradesBinance[[#This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Row],[Tipo]]="DROP"),AI136+TbTradesBinance[[#This Row],[Qtt]],AI136-TbTradesBinance[[#This Row],[Qtt]]),IF(TbTradesBinance[[#This Row],[Tipo]]="BUY",AI136-TbTradesBinance[[#This Row],[Qtt]]*TbTradesBinance[[#This Row],[Preço]],AI136+TbTradesBinance[[#This Row],[Qtt]]*TbTradesBinance[[#This Row],[Preço]])),AI136)-IF(TbTradesBinance[[#This Row],[Moeda da Taxa]]=MID(AI$1,9,5),TbTradesBinance[[#This Row],[Taxa]],0),8)))</f>
        <v>0</v>
      </c>
      <c r="AJ137" s="145" cm="1">
        <f t="array" ref="AJ137">IF(TbTradesBinance[[#This Row],[Tipo]]="EMPTY",0,AJ136+IF(TbTradesBinance[[#This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Row],[Par]]))),$1:$1,0)),-(AI136-AI137)/AI136*AJ136),0),0)+IF(TbTradesBinance[[#This Row],[Tipo]]="SELL",IF(ISNUMBER(FIND(MID(AJ$1,10,5),TbTradesBinance[[#This Row],[Par]])),IF(FIND(MID(AJ$1,10,5),TbTradesBinance[[#This Row],[Par]])=1, -(AI136-AI137)/AI136*AJ136,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Row],[Par]])),(-(AI136-AI137)/AI136*AJ136)+IF(TbTradesBinance[[#This Row],[Resultado]]&gt;0,0,TbTradesBinance[[#This Row],[Taxa]]),0),0))</f>
        <v>0</v>
      </c>
      <c r="AK137" s="145">
        <f t="shared" si="46"/>
        <v>0</v>
      </c>
      <c r="AL13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Row],[Tipo]]="DROP"),AL136+TbTradesBinance[[#This Row],[Qtt]],AL136-TbTradesBinance[[#This Row],[Qtt]]),IF(TbTradesBinance[[#This Row],[Tipo]]="BUY",AL136-TbTradesBinance[[#This Row],[Qtt]]*TbTradesBinance[[#This Row],[Preço]],AL136+TbTradesBinance[[#This Row],[Qtt]]*TbTradesBinance[[#This Row],[Preço]])),AL136)-IF(TbTradesBinance[[#This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Row],[Tipo]]="DROP"),AL136+TbTradesBinance[[#This Row],[Qtt]],AL136-TbTradesBinance[[#This Row],[Qtt]]),IF(TbTradesBinance[[#This Row],[Tipo]]="BUY",AL136-TbTradesBinance[[#This Row],[Qtt]]*TbTradesBinance[[#This Row],[Preço]],AL136+TbTradesBinance[[#This Row],[Qtt]]*TbTradesBinance[[#This Row],[Preço]])),AL136)-IF(TbTradesBinance[[#This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Row],[Tipo]]="DROP"),AL136+TbTradesBinance[[#This Row],[Qtt]],AL136-TbTradesBinance[[#This Row],[Qtt]]),IF(TbTradesBinance[[#This Row],[Tipo]]="BUY",AL136-TbTradesBinance[[#This Row],[Qtt]]*TbTradesBinance[[#This Row],[Preço]],AL136+TbTradesBinance[[#This Row],[Qtt]]*TbTradesBinance[[#This Row],[Preço]])),AL136)-IF(TbTradesBinance[[#This Row],[Moeda da Taxa]]=MID(AL$1,9,5),TbTradesBinance[[#This Row],[Taxa]],0),8)))</f>
        <v>0</v>
      </c>
      <c r="AM137" s="145" cm="1">
        <f t="array" ref="AM137">IF(TbTradesBinance[[#This Row],[Tipo]]="EMPTY",0,AM136+IF(TbTradesBinance[[#This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Row],[Par]]))),$1:$1,0)),-(AL136-AL137)/AL136*AM136),0),0)+IF(TbTradesBinance[[#This Row],[Tipo]]="SELL",IF(ISNUMBER(FIND(MID(AM$1,10,5),TbTradesBinance[[#This Row],[Par]])),IF(FIND(MID(AM$1,10,5),TbTradesBinance[[#This Row],[Par]])=1, -(AL136-AL137)/AL136*AM136,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Row],[Par]])),(-(AL136-AL137)/AL136*AM136)+IF(TbTradesBinance[[#This Row],[Resultado]]&gt;0,0,TbTradesBinance[[#This Row],[Taxa]]),0),0))</f>
        <v>0</v>
      </c>
      <c r="AN137" s="145">
        <f t="shared" si="47"/>
        <v>0</v>
      </c>
      <c r="AO13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Row],[Tipo]]="DROP"),AO136+TbTradesBinance[[#This Row],[Qtt]],AO136-TbTradesBinance[[#This Row],[Qtt]]),IF(TbTradesBinance[[#This Row],[Tipo]]="BUY",AO136-TbTradesBinance[[#This Row],[Qtt]]*TbTradesBinance[[#This Row],[Preço]],AO136+TbTradesBinance[[#This Row],[Qtt]]*TbTradesBinance[[#This Row],[Preço]])),AO136)-IF(TbTradesBinance[[#This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Row],[Tipo]]="DROP"),AO136+TbTradesBinance[[#This Row],[Qtt]],AO136-TbTradesBinance[[#This Row],[Qtt]]),IF(TbTradesBinance[[#This Row],[Tipo]]="BUY",AO136-TbTradesBinance[[#This Row],[Qtt]]*TbTradesBinance[[#This Row],[Preço]],AO136+TbTradesBinance[[#This Row],[Qtt]]*TbTradesBinance[[#This Row],[Preço]])),AO136)-IF(TbTradesBinance[[#This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Row],[Tipo]]="DROP"),AO136+TbTradesBinance[[#This Row],[Qtt]],AO136-TbTradesBinance[[#This Row],[Qtt]]),IF(TbTradesBinance[[#This Row],[Tipo]]="BUY",AO136-TbTradesBinance[[#This Row],[Qtt]]*TbTradesBinance[[#This Row],[Preço]],AO136+TbTradesBinance[[#This Row],[Qtt]]*TbTradesBinance[[#This Row],[Preço]])),AO136)-IF(TbTradesBinance[[#This Row],[Moeda da Taxa]]=MID(AO$1,9,5),TbTradesBinance[[#This Row],[Taxa]],0),8)))</f>
        <v>3.7164530000000001E-2</v>
      </c>
      <c r="AP137" s="145" cm="1">
        <f t="array" ref="AP137">IF(TbTradesBinance[[#This Row],[Tipo]]="EMPTY",0,AP136+IF(TbTradesBinance[[#This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Row],[Par]]))),$1:$1,0)),-(AO136-AO137)/AO136*AP136),0),0)+IF(TbTradesBinance[[#This Row],[Tipo]]="SELL",IF(ISNUMBER(FIND(MID(AP$1,10,5),TbTradesBinance[[#This Row],[Par]])),IF(FIND(MID(AP$1,10,5),TbTradesBinance[[#This Row],[Par]])=1, -(AO136-AO137)/AO136*AP136,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Row],[Par]])),(-(AO136-AO137)/AO136*AP136)+IF(TbTradesBinance[[#This Row],[Resultado]]&gt;0,0,TbTradesBinance[[#This Row],[Taxa]]),0),0))</f>
        <v>56.863147211807636</v>
      </c>
      <c r="AQ137" s="145">
        <f t="shared" si="48"/>
        <v>1530.0381092350053</v>
      </c>
      <c r="AR13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Row],[Tipo]]="DROP"),AR136+TbTradesBinance[[#This Row],[Qtt]],AR136-TbTradesBinance[[#This Row],[Qtt]]),IF(TbTradesBinance[[#This Row],[Tipo]]="BUY",AR136-TbTradesBinance[[#This Row],[Qtt]]*TbTradesBinance[[#This Row],[Preço]],AR136+TbTradesBinance[[#This Row],[Qtt]]*TbTradesBinance[[#This Row],[Preço]])),AR136)-IF(TbTradesBinance[[#This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Row],[Tipo]]="DROP"),AR136+TbTradesBinance[[#This Row],[Qtt]],AR136-TbTradesBinance[[#This Row],[Qtt]]),IF(TbTradesBinance[[#This Row],[Tipo]]="BUY",AR136-TbTradesBinance[[#This Row],[Qtt]]*TbTradesBinance[[#This Row],[Preço]],AR136+TbTradesBinance[[#This Row],[Qtt]]*TbTradesBinance[[#This Row],[Preço]])),AR136)-IF(TbTradesBinance[[#This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Row],[Tipo]]="DROP"),AR136+TbTradesBinance[[#This Row],[Qtt]],AR136-TbTradesBinance[[#This Row],[Qtt]]),IF(TbTradesBinance[[#This Row],[Tipo]]="BUY",AR136-TbTradesBinance[[#This Row],[Qtt]]*TbTradesBinance[[#This Row],[Preço]],AR136+TbTradesBinance[[#This Row],[Qtt]]*TbTradesBinance[[#This Row],[Preço]])),AR136)-IF(TbTradesBinance[[#This Row],[Moeda da Taxa]]=MID(AR$1,9,5),TbTradesBinance[[#This Row],[Taxa]],0),8)))</f>
        <v>61.251199999999997</v>
      </c>
      <c r="AS137" s="145" cm="1">
        <f t="array" ref="AS137">IF(TbTradesBinance[[#This Row],[Tipo]]="EMPTY",0,AS136+IF(TbTradesBinance[[#This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Row],[Par]]))),$1:$1,0)),-(AR136-AR137)/AR136*AS136),0),0)+IF(TbTradesBinance[[#This Row],[Tipo]]="SELL",IF(ISNUMBER(FIND(MID(AS$1,10,5),TbTradesBinance[[#This Row],[Par]])),IF(FIND(MID(AS$1,10,5),TbTradesBinance[[#This Row],[Par]])=1, -(AR136-AR137)/AR136*AS136,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Row],[Par]])),(-(AR136-AR137)/AR136*AS136)+IF(TbTradesBinance[[#This Row],[Resultado]]&gt;0,0,TbTradesBinance[[#This Row],[Taxa]]),0),0))</f>
        <v>230.84001376053044</v>
      </c>
      <c r="AT137" s="145">
        <f t="shared" si="49"/>
        <v>3.7687427146003745</v>
      </c>
      <c r="AU13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Row],[Tipo]]="DROP"),AU136+TbTradesBinance[[#This Row],[Qtt]],AU136-TbTradesBinance[[#This Row],[Qtt]]),IF(TbTradesBinance[[#This Row],[Tipo]]="BUY",AU136-TbTradesBinance[[#This Row],[Qtt]]*TbTradesBinance[[#This Row],[Preço]],AU136+TbTradesBinance[[#This Row],[Qtt]]*TbTradesBinance[[#This Row],[Preço]])),AU136)-IF(TbTradesBinance[[#This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Row],[Tipo]]="DROP"),AU136+TbTradesBinance[[#This Row],[Qtt]],AU136-TbTradesBinance[[#This Row],[Qtt]]),IF(TbTradesBinance[[#This Row],[Tipo]]="BUY",AU136-TbTradesBinance[[#This Row],[Qtt]]*TbTradesBinance[[#This Row],[Preço]],AU136+TbTradesBinance[[#This Row],[Qtt]]*TbTradesBinance[[#This Row],[Preço]])),AU136)-IF(TbTradesBinance[[#This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Row],[Tipo]]="DROP"),AU136+TbTradesBinance[[#This Row],[Qtt]],AU136-TbTradesBinance[[#This Row],[Qtt]]),IF(TbTradesBinance[[#This Row],[Tipo]]="BUY",AU136-TbTradesBinance[[#This Row],[Qtt]]*TbTradesBinance[[#This Row],[Preço]],AU136+TbTradesBinance[[#This Row],[Qtt]]*TbTradesBinance[[#This Row],[Preço]])),AU136)-IF(TbTradesBinance[[#This Row],[Moeda da Taxa]]=MID(AU$1,9,5),TbTradesBinance[[#This Row],[Taxa]],0),8)))</f>
        <v>0</v>
      </c>
      <c r="AV137" s="145" cm="1">
        <f t="array" ref="AV137">IF(TbTradesBinance[[#This Row],[Tipo]]="EMPTY",0,AV136+IF(TbTradesBinance[[#This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Row],[Par]]))),$1:$1,0)),-(AU136-AU137)/AU136*AV136),0),0)+IF(TbTradesBinance[[#This Row],[Tipo]]="SELL",IF(ISNUMBER(FIND(MID(AV$1,10,5),TbTradesBinance[[#This Row],[Par]])),IF(FIND(MID(AV$1,10,5),TbTradesBinance[[#This Row],[Par]])=1, -(AU136-AU137)/AU136*AV136,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Row],[Par]])),(-(AU136-AU137)/AU136*AV136)+IF(TbTradesBinance[[#This Row],[Resultado]]&gt;0,0,TbTradesBinance[[#This Row],[Taxa]]),0),0))</f>
        <v>0</v>
      </c>
      <c r="AW137" s="145">
        <f t="shared" si="50"/>
        <v>0</v>
      </c>
      <c r="AX13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Row],[Tipo]]="DROP"),AX136+TbTradesBinance[[#This Row],[Qtt]],AX136-TbTradesBinance[[#This Row],[Qtt]]),IF(TbTradesBinance[[#This Row],[Tipo]]="BUY",AX136-TbTradesBinance[[#This Row],[Qtt]]*TbTradesBinance[[#This Row],[Preço]],AX136+TbTradesBinance[[#This Row],[Qtt]]*TbTradesBinance[[#This Row],[Preço]])),AX136)-IF(TbTradesBinance[[#This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Row],[Tipo]]="DROP"),AX136+TbTradesBinance[[#This Row],[Qtt]],AX136-TbTradesBinance[[#This Row],[Qtt]]),IF(TbTradesBinance[[#This Row],[Tipo]]="BUY",AX136-TbTradesBinance[[#This Row],[Qtt]]*TbTradesBinance[[#This Row],[Preço]],AX136+TbTradesBinance[[#This Row],[Qtt]]*TbTradesBinance[[#This Row],[Preço]])),AX136)-IF(TbTradesBinance[[#This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Row],[Tipo]]="DROP"),AX136+TbTradesBinance[[#This Row],[Qtt]],AX136-TbTradesBinance[[#This Row],[Qtt]]),IF(TbTradesBinance[[#This Row],[Tipo]]="BUY",AX136-TbTradesBinance[[#This Row],[Qtt]]*TbTradesBinance[[#This Row],[Preço]],AX136+TbTradesBinance[[#This Row],[Qtt]]*TbTradesBinance[[#This Row],[Preço]])),AX136)-IF(TbTradesBinance[[#This Row],[Moeda da Taxa]]=MID(AX$1,9,5),TbTradesBinance[[#This Row],[Taxa]],0),8)))</f>
        <v>0.85636999999999996</v>
      </c>
      <c r="AY137" s="145" cm="1">
        <f t="array" ref="AY137">IF(TbTradesBinance[[#This Row],[Tipo]]="EMPTY",0,AY136+IF(TbTradesBinance[[#This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Row],[Par]]))),$1:$1,0)),-(AX136-AX137)/AX136*AY136),0),0)+IF(TbTradesBinance[[#This Row],[Tipo]]="SELL",IF(ISNUMBER(FIND(MID(AY$1,10,5),TbTradesBinance[[#This Row],[Par]])),IF(FIND(MID(AY$1,10,5),TbTradesBinance[[#This Row],[Par]])=1, -(AX136-AX137)/AX136*AY136,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Row],[Par]])),(-(AX136-AX137)/AX136*AY136)+IF(TbTradesBinance[[#This Row],[Resultado]]&gt;0,0,TbTradesBinance[[#This Row],[Taxa]]),0),0))</f>
        <v>131.82971181780295</v>
      </c>
      <c r="AZ137" s="145">
        <f t="shared" si="51"/>
        <v>153.94013314081874</v>
      </c>
      <c r="BA13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Row],[Tipo]]="DROP"),BA136+TbTradesBinance[[#This Row],[Qtt]],BA136-TbTradesBinance[[#This Row],[Qtt]]),IF(TbTradesBinance[[#This Row],[Tipo]]="BUY",BA136-TbTradesBinance[[#This Row],[Qtt]]*TbTradesBinance[[#This Row],[Preço]],BA136+TbTradesBinance[[#This Row],[Qtt]]*TbTradesBinance[[#This Row],[Preço]])),BA136)-IF(TbTradesBinance[[#This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Row],[Tipo]]="DROP"),BA136+TbTradesBinance[[#This Row],[Qtt]],BA136-TbTradesBinance[[#This Row],[Qtt]]),IF(TbTradesBinance[[#This Row],[Tipo]]="BUY",BA136-TbTradesBinance[[#This Row],[Qtt]]*TbTradesBinance[[#This Row],[Preço]],BA136+TbTradesBinance[[#This Row],[Qtt]]*TbTradesBinance[[#This Row],[Preço]])),BA136)-IF(TbTradesBinance[[#This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Row],[Tipo]]="DROP"),BA136+TbTradesBinance[[#This Row],[Qtt]],BA136-TbTradesBinance[[#This Row],[Qtt]]),IF(TbTradesBinance[[#This Row],[Tipo]]="BUY",BA136-TbTradesBinance[[#This Row],[Qtt]]*TbTradesBinance[[#This Row],[Preço]],BA136+TbTradesBinance[[#This Row],[Qtt]]*TbTradesBinance[[#This Row],[Preço]])),BA136)-IF(TbTradesBinance[[#This Row],[Moeda da Taxa]]=MID(BA$1,9,5),TbTradesBinance[[#This Row],[Taxa]],0),8)))</f>
        <v>0.10571</v>
      </c>
      <c r="BB137" s="145" cm="1">
        <f t="array" ref="BB137">IF(TbTradesBinance[[#This Row],[Tipo]]="EMPTY",0,BB136+IF(TbTradesBinance[[#This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Row],[Par]]))),$1:$1,0)),-(BA136-BA137)/BA136*BB136),0),0)+IF(TbTradesBinance[[#This Row],[Tipo]]="SELL",IF(ISNUMBER(FIND(MID(BB$1,10,5),TbTradesBinance[[#This Row],[Par]])),IF(FIND(MID(BB$1,10,5),TbTradesBinance[[#This Row],[Par]])=1, -(BA136-BA137)/BA136*BB136,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Row],[Par]])),(-(BA136-BA137)/BA136*BB136)+IF(TbTradesBinance[[#This Row],[Resultado]]&gt;0,0,TbTradesBinance[[#This Row],[Taxa]]),0),0))</f>
        <v>120.8257969142021</v>
      </c>
      <c r="BC137" s="145">
        <f t="shared" si="52"/>
        <v>1142.9930651234708</v>
      </c>
      <c r="BD13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Row],[Tipo]]="DROP"),BD136+TbTradesBinance[[#This Row],[Qtt]],BD136-TbTradesBinance[[#This Row],[Qtt]]),IF(TbTradesBinance[[#This Row],[Tipo]]="BUY",BD136-TbTradesBinance[[#This Row],[Qtt]]*TbTradesBinance[[#This Row],[Preço]],BD136+TbTradesBinance[[#This Row],[Qtt]]*TbTradesBinance[[#This Row],[Preço]])),BD136)-IF(TbTradesBinance[[#This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Row],[Tipo]]="DROP"),BD136+TbTradesBinance[[#This Row],[Qtt]],BD136-TbTradesBinance[[#This Row],[Qtt]]),IF(TbTradesBinance[[#This Row],[Tipo]]="BUY",BD136-TbTradesBinance[[#This Row],[Qtt]]*TbTradesBinance[[#This Row],[Preço]],BD136+TbTradesBinance[[#This Row],[Qtt]]*TbTradesBinance[[#This Row],[Preço]])),BD136)-IF(TbTradesBinance[[#This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Row],[Tipo]]="DROP"),BD136+TbTradesBinance[[#This Row],[Qtt]],BD136-TbTradesBinance[[#This Row],[Qtt]]),IF(TbTradesBinance[[#This Row],[Tipo]]="BUY",BD136-TbTradesBinance[[#This Row],[Qtt]]*TbTradesBinance[[#This Row],[Preço]],BD136+TbTradesBinance[[#This Row],[Qtt]]*TbTradesBinance[[#This Row],[Preço]])),BD136)-IF(TbTradesBinance[[#This Row],[Moeda da Taxa]]=MID(BD$1,9,5),TbTradesBinance[[#This Row],[Taxa]],0),8)))</f>
        <v>0</v>
      </c>
      <c r="BE137" s="145" cm="1">
        <f t="array" ref="BE137">IF(TbTradesBinance[[#This Row],[Tipo]]="EMPTY",0,BE136+IF(TbTradesBinance[[#This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Row],[Par]]))),$1:$1,0)),-(BD136-BD137)/BD136*BE136),0),0)+IF(TbTradesBinance[[#This Row],[Tipo]]="SELL",IF(ISNUMBER(FIND(MID(BE$1,10,5),TbTradesBinance[[#This Row],[Par]])),IF(FIND(MID(BE$1,10,5),TbTradesBinance[[#This Row],[Par]])=1, -(BD136-BD137)/BD136*BE136,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Row],[Par]])),(-(BD136-BD137)/BD136*BE136)+IF(TbTradesBinance[[#This Row],[Resultado]]&gt;0,0,TbTradesBinance[[#This Row],[Taxa]]),0),0))</f>
        <v>0</v>
      </c>
      <c r="BF137" s="145">
        <f t="shared" si="53"/>
        <v>0</v>
      </c>
      <c r="BG13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Row],[Tipo]]="DROP"),BG136+TbTradesBinance[[#This Row],[Qtt]],BG136-TbTradesBinance[[#This Row],[Qtt]]),IF(TbTradesBinance[[#This Row],[Tipo]]="BUY",BG136-TbTradesBinance[[#This Row],[Qtt]]*TbTradesBinance[[#This Row],[Preço]],BG136+TbTradesBinance[[#This Row],[Qtt]]*TbTradesBinance[[#This Row],[Preço]])),BG136)-IF(TbTradesBinance[[#This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Row],[Tipo]]="DROP"),BG136+TbTradesBinance[[#This Row],[Qtt]],BG136-TbTradesBinance[[#This Row],[Qtt]]),IF(TbTradesBinance[[#This Row],[Tipo]]="BUY",BG136-TbTradesBinance[[#This Row],[Qtt]]*TbTradesBinance[[#This Row],[Preço]],BG136+TbTradesBinance[[#This Row],[Qtt]]*TbTradesBinance[[#This Row],[Preço]])),BG136)-IF(TbTradesBinance[[#This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Row],[Tipo]]="DROP"),BG136+TbTradesBinance[[#This Row],[Qtt]],BG136-TbTradesBinance[[#This Row],[Qtt]]),IF(TbTradesBinance[[#This Row],[Tipo]]="BUY",BG136-TbTradesBinance[[#This Row],[Qtt]]*TbTradesBinance[[#This Row],[Preço]],BG136+TbTradesBinance[[#This Row],[Qtt]]*TbTradesBinance[[#This Row],[Preço]])),BG136)-IF(TbTradesBinance[[#This Row],[Moeda da Taxa]]=MID(BG$1,9,5),TbTradesBinance[[#This Row],[Taxa]],0),8)))</f>
        <v>0</v>
      </c>
      <c r="BH137" s="145" cm="1">
        <f t="array" ref="BH137">IF(TbTradesBinance[[#This Row],[Tipo]]="EMPTY",0,BH136+IF(TbTradesBinance[[#This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Row],[Par]]))),$1:$1,0)),-(BG136-BG137)/BG136*BH136),0),0)+IF(TbTradesBinance[[#This Row],[Tipo]]="SELL",IF(ISNUMBER(FIND(MID(BH$1,10,5),TbTradesBinance[[#This Row],[Par]])),IF(FIND(MID(BH$1,10,5),TbTradesBinance[[#This Row],[Par]])=1, -(BG136-BG137)/BG136*BH136,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Row],[Par]])),(-(BG136-BG137)/BG136*BH136)+IF(TbTradesBinance[[#This Row],[Resultado]]&gt;0,0,TbTradesBinance[[#This Row],[Taxa]]),0),0))</f>
        <v>0</v>
      </c>
      <c r="BI137" s="145">
        <f t="shared" si="54"/>
        <v>0</v>
      </c>
      <c r="BJ13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Row],[Tipo]]="DROP"),BJ136+TbTradesBinance[[#This Row],[Qtt]],BJ136-TbTradesBinance[[#This Row],[Qtt]]),IF(TbTradesBinance[[#This Row],[Tipo]]="BUY",BJ136-TbTradesBinance[[#This Row],[Qtt]]*TbTradesBinance[[#This Row],[Preço]],BJ136+TbTradesBinance[[#This Row],[Qtt]]*TbTradesBinance[[#This Row],[Preço]])),BJ136)-IF(TbTradesBinance[[#This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Row],[Tipo]]="DROP"),BJ136+TbTradesBinance[[#This Row],[Qtt]],BJ136-TbTradesBinance[[#This Row],[Qtt]]),IF(TbTradesBinance[[#This Row],[Tipo]]="BUY",BJ136-TbTradesBinance[[#This Row],[Qtt]]*TbTradesBinance[[#This Row],[Preço]],BJ136+TbTradesBinance[[#This Row],[Qtt]]*TbTradesBinance[[#This Row],[Preço]])),BJ136)-IF(TbTradesBinance[[#This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Row],[Tipo]]="DROP"),BJ136+TbTradesBinance[[#This Row],[Qtt]],BJ136-TbTradesBinance[[#This Row],[Qtt]]),IF(TbTradesBinance[[#This Row],[Tipo]]="BUY",BJ136-TbTradesBinance[[#This Row],[Qtt]]*TbTradesBinance[[#This Row],[Preço]],BJ136+TbTradesBinance[[#This Row],[Qtt]]*TbTradesBinance[[#This Row],[Preço]])),BJ136)-IF(TbTradesBinance[[#This Row],[Moeda da Taxa]]=MID(BJ$1,9,5),TbTradesBinance[[#This Row],[Taxa]],0),8)))</f>
        <v>2.1681500000000002E-3</v>
      </c>
      <c r="BK137" s="145" cm="1">
        <f t="array" ref="BK137">IF(TbTradesBinance[[#This Row],[Tipo]]="EMPTY",0,BK136+IF(TbTradesBinance[[#This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Row],[Par]]))),$1:$1,0)),-(BJ136-BJ137)/BJ136*BK136),0),0)+IF(TbTradesBinance[[#This Row],[Tipo]]="SELL",IF(ISNUMBER(FIND(MID(BK$1,10,5),TbTradesBinance[[#This Row],[Par]])),IF(FIND(MID(BK$1,10,5),TbTradesBinance[[#This Row],[Par]])=1, -(BJ136-BJ137)/BJ136*BK136,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Row],[Par]])),(-(BJ136-BJ137)/BJ136*BK136)+IF(TbTradesBinance[[#This Row],[Resultado]]&gt;0,0,TbTradesBinance[[#This Row],[Taxa]]),0),0))</f>
        <v>0</v>
      </c>
      <c r="BL137" s="145">
        <f t="shared" si="55"/>
        <v>0</v>
      </c>
      <c r="BM13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Row],[Tipo]]="DROP"),BM136+TbTradesBinance[[#This Row],[Qtt]],BM136-TbTradesBinance[[#This Row],[Qtt]]),IF(TbTradesBinance[[#This Row],[Tipo]]="BUY",BM136-TbTradesBinance[[#This Row],[Qtt]]*TbTradesBinance[[#This Row],[Preço]],BM136+TbTradesBinance[[#This Row],[Qtt]]*TbTradesBinance[[#This Row],[Preço]])),BM136)-IF(TbTradesBinance[[#This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Row],[Tipo]]="DROP"),BM136+TbTradesBinance[[#This Row],[Qtt]],BM136-TbTradesBinance[[#This Row],[Qtt]]),IF(TbTradesBinance[[#This Row],[Tipo]]="BUY",BM136-TbTradesBinance[[#This Row],[Qtt]]*TbTradesBinance[[#This Row],[Preço]],BM136+TbTradesBinance[[#This Row],[Qtt]]*TbTradesBinance[[#This Row],[Preço]])),BM136)-IF(TbTradesBinance[[#This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Row],[Tipo]]="DROP"),BM136+TbTradesBinance[[#This Row],[Qtt]],BM136-TbTradesBinance[[#This Row],[Qtt]]),IF(TbTradesBinance[[#This Row],[Tipo]]="BUY",BM136-TbTradesBinance[[#This Row],[Qtt]]*TbTradesBinance[[#This Row],[Preço]],BM136+TbTradesBinance[[#This Row],[Qtt]]*TbTradesBinance[[#This Row],[Preço]])),BM136)-IF(TbTradesBinance[[#This Row],[Moeda da Taxa]]=MID(BM$1,9,5),TbTradesBinance[[#This Row],[Taxa]],0),8)))</f>
        <v>0</v>
      </c>
      <c r="BN137" s="145" cm="1">
        <f t="array" ref="BN137">IF(TbTradesBinance[[#This Row],[Tipo]]="EMPTY",0,BN136+IF(TbTradesBinance[[#This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Row],[Par]]))),$1:$1,0)),-(BM136-BM137)/BM136*BN136),0),0)+IF(TbTradesBinance[[#This Row],[Tipo]]="SELL",IF(ISNUMBER(FIND(MID(BN$1,10,5),TbTradesBinance[[#This Row],[Par]])),IF(FIND(MID(BN$1,10,5),TbTradesBinance[[#This Row],[Par]])=1, -(BM136-BM137)/BM136*BN136,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Row],[Par]])),(-(BM136-BM137)/BM136*BN136)+IF(TbTradesBinance[[#This Row],[Resultado]]&gt;0,0,TbTradesBinance[[#This Row],[Taxa]]),0),0))</f>
        <v>0</v>
      </c>
      <c r="BO137" s="145">
        <f t="shared" si="56"/>
        <v>0</v>
      </c>
    </row>
    <row r="138" spans="2:67" x14ac:dyDescent="0.3">
      <c r="B138" s="51" t="s">
        <v>141</v>
      </c>
      <c r="C138" s="40">
        <f>TRUNC(IF(AND(TbTradesBinance[[#This Row],[Tipo]]="SEND",TbTradesBinance[[#This Row],[Par]]="BRL"),TbTradesBinance[[#This Row],[Qtt]]*(1-P136)-IF(TbTradesBinance[[#This Row],[Moeda da Taxa]]="BRL",TbTradesBinance[[#This Row],[Taxa]],0),0)+IF(AND(TbTradesBinance[[#This Row],[Tipo]]="BURN",TbTradesBinance[[#This Row],[Par]]="BRL"),-TbTradesBinance[[#This Row],[Qtt]]*P136,0),2)</f>
        <v>-0.39</v>
      </c>
      <c r="D138" s="53">
        <v>44282.514826388891</v>
      </c>
      <c r="E138" s="37" t="s">
        <v>50</v>
      </c>
      <c r="F138" s="47" t="s">
        <v>142</v>
      </c>
      <c r="G138" s="38">
        <v>1</v>
      </c>
      <c r="H138" s="38">
        <v>985.12</v>
      </c>
      <c r="I138" s="38">
        <v>0</v>
      </c>
      <c r="J138" s="37" t="s">
        <v>50</v>
      </c>
      <c r="K138" s="52">
        <v>1</v>
      </c>
      <c r="L138" s="40">
        <f t="shared" si="38"/>
        <v>1</v>
      </c>
      <c r="M138" s="40">
        <f>IF(OR(TbTradesBinance[[#This Row],[Tipo]]="BUY",TbTradesBinance[[#This Row],[Tipo]]="RECEIVE",TbTradesBinance[[#This Row],[Tipo]]="DROP"),L138*H138,-L138*H138)</f>
        <v>-985.12</v>
      </c>
      <c r="N13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Row],[Tipo]]="DROP"),N137+TbTradesBinance[[#This Row],[Qtt]],N137-TbTradesBinance[[#This Row],[Qtt]]),IF(TbTradesBinance[[#This Row],[Tipo]]="BUY",N137-TbTradesBinance[[#This Row],[Qtt]]*TbTradesBinance[[#This Row],[Preço]],N137+TbTradesBinance[[#This Row],[Qtt]]*TbTradesBinance[[#This Row],[Preço]])),N137)-IF(TbTradesBinance[[#This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Row],[Tipo]]="DROP"),N137+TbTradesBinance[[#This Row],[Qtt]],N137-TbTradesBinance[[#This Row],[Qtt]]),IF(TbTradesBinance[[#This Row],[Tipo]]="BUY",N137-TbTradesBinance[[#This Row],[Qtt]]*TbTradesBinance[[#This Row],[Preço]],N137+TbTradesBinance[[#This Row],[Qtt]]*TbTradesBinance[[#This Row],[Preço]])),N137)-IF(TbTradesBinance[[#This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Row],[Tipo]]="DROP"),N137+TbTradesBinance[[#This Row],[Qtt]],N137-TbTradesBinance[[#This Row],[Qtt]]),IF(TbTradesBinance[[#This Row],[Tipo]]="BUY",N137-TbTradesBinance[[#This Row],[Qtt]]*TbTradesBinance[[#This Row],[Preço]],N137+TbTradesBinance[[#This Row],[Qtt]]*TbTradesBinance[[#This Row],[Preço]])),N137)-IF(TbTradesBinance[[#This Row],[Moeda da Taxa]]=MID(N$1,9,5),TbTradesBinance[[#This Row],[Taxa]],0),8)))</f>
        <v>119745.42956418</v>
      </c>
      <c r="O138" s="145" cm="1">
        <f t="array" ref="O138">IF(TbTradesBinance[[#This Row],[Tipo]]="EMPTY",0,O137+IF(TbTradesBinance[[#This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Row],[Par]]))),$1:$1,0)),-(N137-N138)/N137*O137),0),0)+IF(TbTradesBinance[[#This Row],[Tipo]]="SELL",IF(ISNUMBER(FIND(MID(O$1,10,5),TbTradesBinance[[#This Row],[Par]])),IF(FIND(MID(O$1,10,5),TbTradesBinance[[#This Row],[Par]])=1, -(N137-N138)/N137*O137,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Row],[Par]])),(-(N137-N138)/N137*O137)+IF(TbTradesBinance[[#This Row],[Resultado]]&gt;0,0,TbTradesBinance[[#This Row],[Taxa]]),0),0))</f>
        <v>119800.43203771512</v>
      </c>
      <c r="P138" s="145">
        <f t="shared" si="39"/>
        <v>1.0004593283746637</v>
      </c>
      <c r="Q13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Row],[Tipo]]="DROP"),Q137+TbTradesBinance[[#This Row],[Qtt]],Q137-TbTradesBinance[[#This Row],[Qtt]]),IF(TbTradesBinance[[#This Row],[Tipo]]="BUY",Q137-TbTradesBinance[[#This Row],[Qtt]]*TbTradesBinance[[#This Row],[Preço]],Q137+TbTradesBinance[[#This Row],[Qtt]]*TbTradesBinance[[#This Row],[Preço]])),Q137)-IF(TbTradesBinance[[#This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Row],[Tipo]]="DROP"),Q137+TbTradesBinance[[#This Row],[Qtt]],Q137-TbTradesBinance[[#This Row],[Qtt]]),IF(TbTradesBinance[[#This Row],[Tipo]]="BUY",Q137-TbTradesBinance[[#This Row],[Qtt]]*TbTradesBinance[[#This Row],[Preço]],Q137+TbTradesBinance[[#This Row],[Qtt]]*TbTradesBinance[[#This Row],[Preço]])),Q137)-IF(TbTradesBinance[[#This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Row],[Tipo]]="DROP"),Q137+TbTradesBinance[[#This Row],[Qtt]],Q137-TbTradesBinance[[#This Row],[Qtt]]),IF(TbTradesBinance[[#This Row],[Tipo]]="BUY",Q137-TbTradesBinance[[#This Row],[Qtt]]*TbTradesBinance[[#This Row],[Preço]],Q137+TbTradesBinance[[#This Row],[Qtt]]*TbTradesBinance[[#This Row],[Preço]])),Q137)-IF(TbTradesBinance[[#This Row],[Moeda da Taxa]]=MID(Q$1,9,5),TbTradesBinance[[#This Row],[Taxa]],0),8)))</f>
        <v>0</v>
      </c>
      <c r="R138" s="145" cm="1">
        <f t="array" ref="R138">IF(TbTradesBinance[[#This Row],[Tipo]]="EMPTY",0,R137+IF(TbTradesBinance[[#This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Row],[Par]]))),$1:$1,0)),-(Q137-Q138)/Q137*R137),0),0)+IF(TbTradesBinance[[#This Row],[Tipo]]="SELL",IF(ISNUMBER(FIND(MID(R$1,10,5),TbTradesBinance[[#This Row],[Par]])),IF(FIND(MID(R$1,10,5),TbTradesBinance[[#This Row],[Par]])=1, -(Q137-Q138)/Q137*R137,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Row],[Par]])),(-(Q137-Q138)/Q137*R137)+IF(TbTradesBinance[[#This Row],[Resultado]]&gt;0,0,TbTradesBinance[[#This Row],[Taxa]]),0),0))</f>
        <v>0</v>
      </c>
      <c r="S138" s="145">
        <f t="shared" si="40"/>
        <v>0</v>
      </c>
      <c r="T13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Row],[Tipo]]="DROP"),T137+TbTradesBinance[[#This Row],[Qtt]],T137-TbTradesBinance[[#This Row],[Qtt]]),IF(TbTradesBinance[[#This Row],[Tipo]]="BUY",T137-TbTradesBinance[[#This Row],[Qtt]]*TbTradesBinance[[#This Row],[Preço]],T137+TbTradesBinance[[#This Row],[Qtt]]*TbTradesBinance[[#This Row],[Preço]])),T137)-IF(TbTradesBinance[[#This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Row],[Tipo]]="DROP"),T137+TbTradesBinance[[#This Row],[Qtt]],T137-TbTradesBinance[[#This Row],[Qtt]]),IF(TbTradesBinance[[#This Row],[Tipo]]="BUY",T137-TbTradesBinance[[#This Row],[Qtt]]*TbTradesBinance[[#This Row],[Preço]],T137+TbTradesBinance[[#This Row],[Qtt]]*TbTradesBinance[[#This Row],[Preço]])),T137)-IF(TbTradesBinance[[#This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Row],[Tipo]]="DROP"),T137+TbTradesBinance[[#This Row],[Qtt]],T137-TbTradesBinance[[#This Row],[Qtt]]),IF(TbTradesBinance[[#This Row],[Tipo]]="BUY",T137-TbTradesBinance[[#This Row],[Qtt]]*TbTradesBinance[[#This Row],[Preço]],T137+TbTradesBinance[[#This Row],[Qtt]]*TbTradesBinance[[#This Row],[Preço]])),T137)-IF(TbTradesBinance[[#This Row],[Moeda da Taxa]]=MID(T$1,9,5),TbTradesBinance[[#This Row],[Taxa]],0),8)))</f>
        <v>219713.72000189999</v>
      </c>
      <c r="U138" s="145" cm="1">
        <f t="array" ref="U138">IF(TbTradesBinance[[#This Row],[Tipo]]="EMPTY",0,U137+IF(TbTradesBinance[[#This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Row],[Par]]))),$1:$1,0)),-(T137-T138)/T137*U137),0),0)+IF(TbTradesBinance[[#This Row],[Tipo]]="SELL",IF(ISNUMBER(FIND(MID(U$1,10,5),TbTradesBinance[[#This Row],[Par]])),IF(FIND(MID(U$1,10,5),TbTradesBinance[[#This Row],[Par]])=1, -(T137-T138)/T137*U137,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Row],[Par]])),(-(T137-T138)/T137*U137)+IF(TbTradesBinance[[#This Row],[Resultado]]&gt;0,0,TbTradesBinance[[#This Row],[Taxa]]),0),0))</f>
        <v>1461096.2409827893</v>
      </c>
      <c r="V138" s="145">
        <f t="shared" si="41"/>
        <v>6.6500000135182926</v>
      </c>
      <c r="W13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Row],[Tipo]]="DROP"),W137+TbTradesBinance[[#This Row],[Qtt]],W137-TbTradesBinance[[#This Row],[Qtt]]),IF(TbTradesBinance[[#This Row],[Tipo]]="BUY",W137-TbTradesBinance[[#This Row],[Qtt]]*TbTradesBinance[[#This Row],[Preço]],W137+TbTradesBinance[[#This Row],[Qtt]]*TbTradesBinance[[#This Row],[Preço]])),W137)-IF(TbTradesBinance[[#This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Row],[Tipo]]="DROP"),W137+TbTradesBinance[[#This Row],[Qtt]],W137-TbTradesBinance[[#This Row],[Qtt]]),IF(TbTradesBinance[[#This Row],[Tipo]]="BUY",W137-TbTradesBinance[[#This Row],[Qtt]]*TbTradesBinance[[#This Row],[Preço]],W137+TbTradesBinance[[#This Row],[Qtt]]*TbTradesBinance[[#This Row],[Preço]])),W137)-IF(TbTradesBinance[[#This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Row],[Tipo]]="DROP"),W137+TbTradesBinance[[#This Row],[Qtt]],W137-TbTradesBinance[[#This Row],[Qtt]]),IF(TbTradesBinance[[#This Row],[Tipo]]="BUY",W137-TbTradesBinance[[#This Row],[Qtt]]*TbTradesBinance[[#This Row],[Preço]],W137+TbTradesBinance[[#This Row],[Qtt]]*TbTradesBinance[[#This Row],[Preço]])),W137)-IF(TbTradesBinance[[#This Row],[Moeda da Taxa]]=MID(W$1,9,5),TbTradesBinance[[#This Row],[Taxa]],0),8)))</f>
        <v>3.2336000000000002E-4</v>
      </c>
      <c r="X138" s="145" cm="1">
        <f t="array" ref="X138">IF(TbTradesBinance[[#This Row],[Tipo]]="EMPTY",0,X137+IF(TbTradesBinance[[#This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Row],[Par]]))),$1:$1,0)),-(W137-W138)/W137*X137),0),0)+IF(TbTradesBinance[[#This Row],[Tipo]]="SELL",IF(ISNUMBER(FIND(MID(X$1,10,5),TbTradesBinance[[#This Row],[Par]])),IF(FIND(MID(X$1,10,5),TbTradesBinance[[#This Row],[Par]])=1, -(W137-W138)/W137*X137,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Row],[Par]])),(-(W137-W138)/W137*X137)+IF(TbTradesBinance[[#This Row],[Resultado]]&gt;0,0,TbTradesBinance[[#This Row],[Taxa]]),0),0))</f>
        <v>109.49359760304422</v>
      </c>
      <c r="Y138" s="145">
        <f t="shared" si="42"/>
        <v>338612.06581841974</v>
      </c>
      <c r="Z13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Row],[Tipo]]="DROP"),Z137+TbTradesBinance[[#This Row],[Qtt]],Z137-TbTradesBinance[[#This Row],[Qtt]]),IF(TbTradesBinance[[#This Row],[Tipo]]="BUY",Z137-TbTradesBinance[[#This Row],[Qtt]]*TbTradesBinance[[#This Row],[Preço]],Z137+TbTradesBinance[[#This Row],[Qtt]]*TbTradesBinance[[#This Row],[Preço]])),Z137)-IF(TbTradesBinance[[#This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Row],[Tipo]]="DROP"),Z137+TbTradesBinance[[#This Row],[Qtt]],Z137-TbTradesBinance[[#This Row],[Qtt]]),IF(TbTradesBinance[[#This Row],[Tipo]]="BUY",Z137-TbTradesBinance[[#This Row],[Qtt]]*TbTradesBinance[[#This Row],[Preço]],Z137+TbTradesBinance[[#This Row],[Qtt]]*TbTradesBinance[[#This Row],[Preço]])),Z137)-IF(TbTradesBinance[[#This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Row],[Tipo]]="DROP"),Z137+TbTradesBinance[[#This Row],[Qtt]],Z137-TbTradesBinance[[#This Row],[Qtt]]),IF(TbTradesBinance[[#This Row],[Tipo]]="BUY",Z137-TbTradesBinance[[#This Row],[Qtt]]*TbTradesBinance[[#This Row],[Preço]],Z137+TbTradesBinance[[#This Row],[Qtt]]*TbTradesBinance[[#This Row],[Preço]])),Z137)-IF(TbTradesBinance[[#This Row],[Moeda da Taxa]]=MID(Z$1,9,5),TbTradesBinance[[#This Row],[Taxa]],0),8)))</f>
        <v>0</v>
      </c>
      <c r="AA138" s="145" cm="1">
        <f t="array" ref="AA138">IF(TbTradesBinance[[#This Row],[Tipo]]="EMPTY",0,AA137+IF(TbTradesBinance[[#This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Row],[Par]]))),$1:$1,0)),-(Z137-Z138)/Z137*AA137),0),0)+IF(TbTradesBinance[[#This Row],[Tipo]]="SELL",IF(ISNUMBER(FIND(MID(AA$1,10,5),TbTradesBinance[[#This Row],[Par]])),IF(FIND(MID(AA$1,10,5),TbTradesBinance[[#This Row],[Par]])=1, -(Z137-Z138)/Z137*AA137,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Row],[Par]])),(-(Z137-Z138)/Z137*AA137)+IF(TbTradesBinance[[#This Row],[Resultado]]&gt;0,0,TbTradesBinance[[#This Row],[Taxa]]),0),0))</f>
        <v>0</v>
      </c>
      <c r="AB138" s="145">
        <f t="shared" si="43"/>
        <v>0</v>
      </c>
      <c r="AC13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Row],[Tipo]]="DROP"),AC137+TbTradesBinance[[#This Row],[Qtt]],AC137-TbTradesBinance[[#This Row],[Qtt]]),IF(TbTradesBinance[[#This Row],[Tipo]]="BUY",AC137-TbTradesBinance[[#This Row],[Qtt]]*TbTradesBinance[[#This Row],[Preço]],AC137+TbTradesBinance[[#This Row],[Qtt]]*TbTradesBinance[[#This Row],[Preço]])),AC137)-IF(TbTradesBinance[[#This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Row],[Tipo]]="DROP"),AC137+TbTradesBinance[[#This Row],[Qtt]],AC137-TbTradesBinance[[#This Row],[Qtt]]),IF(TbTradesBinance[[#This Row],[Tipo]]="BUY",AC137-TbTradesBinance[[#This Row],[Qtt]]*TbTradesBinance[[#This Row],[Preço]],AC137+TbTradesBinance[[#This Row],[Qtt]]*TbTradesBinance[[#This Row],[Preço]])),AC137)-IF(TbTradesBinance[[#This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Row],[Tipo]]="DROP"),AC137+TbTradesBinance[[#This Row],[Qtt]],AC137-TbTradesBinance[[#This Row],[Qtt]]),IF(TbTradesBinance[[#This Row],[Tipo]]="BUY",AC137-TbTradesBinance[[#This Row],[Qtt]]*TbTradesBinance[[#This Row],[Preço]],AC137+TbTradesBinance[[#This Row],[Qtt]]*TbTradesBinance[[#This Row],[Preço]])),AC137)-IF(TbTradesBinance[[#This Row],[Moeda da Taxa]]=MID(AC$1,9,5),TbTradesBinance[[#This Row],[Taxa]],0),8)))</f>
        <v>0</v>
      </c>
      <c r="AD138" s="145" cm="1">
        <f t="array" ref="AD138">IF(TbTradesBinance[[#This Row],[Tipo]]="EMPTY",0,AD137+IF(TbTradesBinance[[#This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Row],[Par]]))),$1:$1,0)),-(AC137-AC138)/AC137*AD137),0),0)+IF(TbTradesBinance[[#This Row],[Tipo]]="SELL",IF(ISNUMBER(FIND(MID(AD$1,10,5),TbTradesBinance[[#This Row],[Par]])),IF(FIND(MID(AD$1,10,5),TbTradesBinance[[#This Row],[Par]])=1, -(AC137-AC138)/AC137*AD137,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Row],[Par]])),(-(AC137-AC138)/AC137*AD137)+IF(TbTradesBinance[[#This Row],[Resultado]]&gt;0,0,TbTradesBinance[[#This Row],[Taxa]]),0),0))</f>
        <v>0</v>
      </c>
      <c r="AE138" s="145">
        <f t="shared" si="44"/>
        <v>0</v>
      </c>
      <c r="AF13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Row],[Tipo]]="DROP"),AF137+TbTradesBinance[[#This Row],[Qtt]],AF137-TbTradesBinance[[#This Row],[Qtt]]),IF(TbTradesBinance[[#This Row],[Tipo]]="BUY",AF137-TbTradesBinance[[#This Row],[Qtt]]*TbTradesBinance[[#This Row],[Preço]],AF137+TbTradesBinance[[#This Row],[Qtt]]*TbTradesBinance[[#This Row],[Preço]])),AF137)-IF(TbTradesBinance[[#This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Row],[Tipo]]="DROP"),AF137+TbTradesBinance[[#This Row],[Qtt]],AF137-TbTradesBinance[[#This Row],[Qtt]]),IF(TbTradesBinance[[#This Row],[Tipo]]="BUY",AF137-TbTradesBinance[[#This Row],[Qtt]]*TbTradesBinance[[#This Row],[Preço]],AF137+TbTradesBinance[[#This Row],[Qtt]]*TbTradesBinance[[#This Row],[Preço]])),AF137)-IF(TbTradesBinance[[#This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Row],[Tipo]]="DROP"),AF137+TbTradesBinance[[#This Row],[Qtt]],AF137-TbTradesBinance[[#This Row],[Qtt]]),IF(TbTradesBinance[[#This Row],[Tipo]]="BUY",AF137-TbTradesBinance[[#This Row],[Qtt]]*TbTradesBinance[[#This Row],[Preço]],AF137+TbTradesBinance[[#This Row],[Qtt]]*TbTradesBinance[[#This Row],[Preço]])),AF137)-IF(TbTradesBinance[[#This Row],[Moeda da Taxa]]=MID(AF$1,9,5),TbTradesBinance[[#This Row],[Taxa]],0),8)))</f>
        <v>0</v>
      </c>
      <c r="AG138" s="145" cm="1">
        <f t="array" ref="AG138">IF(TbTradesBinance[[#This Row],[Tipo]]="EMPTY",0,AG137+IF(TbTradesBinance[[#This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Row],[Par]]))),$1:$1,0)),-(AF137-AF138)/AF137*AG137),0),0)+IF(TbTradesBinance[[#This Row],[Tipo]]="SELL",IF(ISNUMBER(FIND(MID(AG$1,10,5),TbTradesBinance[[#This Row],[Par]])),IF(FIND(MID(AG$1,10,5),TbTradesBinance[[#This Row],[Par]])=1, -(AF137-AF138)/AF137*AG137,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Row],[Par]])),(-(AF137-AF138)/AF137*AG137)+IF(TbTradesBinance[[#This Row],[Resultado]]&gt;0,0,TbTradesBinance[[#This Row],[Taxa]]),0),0))</f>
        <v>0</v>
      </c>
      <c r="AH138" s="145">
        <f t="shared" si="45"/>
        <v>0</v>
      </c>
      <c r="AI13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Row],[Tipo]]="DROP"),AI137+TbTradesBinance[[#This Row],[Qtt]],AI137-TbTradesBinance[[#This Row],[Qtt]]),IF(TbTradesBinance[[#This Row],[Tipo]]="BUY",AI137-TbTradesBinance[[#This Row],[Qtt]]*TbTradesBinance[[#This Row],[Preço]],AI137+TbTradesBinance[[#This Row],[Qtt]]*TbTradesBinance[[#This Row],[Preço]])),AI137)-IF(TbTradesBinance[[#This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Row],[Tipo]]="DROP"),AI137+TbTradesBinance[[#This Row],[Qtt]],AI137-TbTradesBinance[[#This Row],[Qtt]]),IF(TbTradesBinance[[#This Row],[Tipo]]="BUY",AI137-TbTradesBinance[[#This Row],[Qtt]]*TbTradesBinance[[#This Row],[Preço]],AI137+TbTradesBinance[[#This Row],[Qtt]]*TbTradesBinance[[#This Row],[Preço]])),AI137)-IF(TbTradesBinance[[#This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Row],[Tipo]]="DROP"),AI137+TbTradesBinance[[#This Row],[Qtt]],AI137-TbTradesBinance[[#This Row],[Qtt]]),IF(TbTradesBinance[[#This Row],[Tipo]]="BUY",AI137-TbTradesBinance[[#This Row],[Qtt]]*TbTradesBinance[[#This Row],[Preço]],AI137+TbTradesBinance[[#This Row],[Qtt]]*TbTradesBinance[[#This Row],[Preço]])),AI137)-IF(TbTradesBinance[[#This Row],[Moeda da Taxa]]=MID(AI$1,9,5),TbTradesBinance[[#This Row],[Taxa]],0),8)))</f>
        <v>0</v>
      </c>
      <c r="AJ138" s="145" cm="1">
        <f t="array" ref="AJ138">IF(TbTradesBinance[[#This Row],[Tipo]]="EMPTY",0,AJ137+IF(TbTradesBinance[[#This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Row],[Par]]))),$1:$1,0)),-(AI137-AI138)/AI137*AJ137),0),0)+IF(TbTradesBinance[[#This Row],[Tipo]]="SELL",IF(ISNUMBER(FIND(MID(AJ$1,10,5),TbTradesBinance[[#This Row],[Par]])),IF(FIND(MID(AJ$1,10,5),TbTradesBinance[[#This Row],[Par]])=1, -(AI137-AI138)/AI137*AJ137,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Row],[Par]])),(-(AI137-AI138)/AI137*AJ137)+IF(TbTradesBinance[[#This Row],[Resultado]]&gt;0,0,TbTradesBinance[[#This Row],[Taxa]]),0),0))</f>
        <v>0</v>
      </c>
      <c r="AK138" s="145">
        <f t="shared" si="46"/>
        <v>0</v>
      </c>
      <c r="AL13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Row],[Tipo]]="DROP"),AL137+TbTradesBinance[[#This Row],[Qtt]],AL137-TbTradesBinance[[#This Row],[Qtt]]),IF(TbTradesBinance[[#This Row],[Tipo]]="BUY",AL137-TbTradesBinance[[#This Row],[Qtt]]*TbTradesBinance[[#This Row],[Preço]],AL137+TbTradesBinance[[#This Row],[Qtt]]*TbTradesBinance[[#This Row],[Preço]])),AL137)-IF(TbTradesBinance[[#This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Row],[Tipo]]="DROP"),AL137+TbTradesBinance[[#This Row],[Qtt]],AL137-TbTradesBinance[[#This Row],[Qtt]]),IF(TbTradesBinance[[#This Row],[Tipo]]="BUY",AL137-TbTradesBinance[[#This Row],[Qtt]]*TbTradesBinance[[#This Row],[Preço]],AL137+TbTradesBinance[[#This Row],[Qtt]]*TbTradesBinance[[#This Row],[Preço]])),AL137)-IF(TbTradesBinance[[#This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Row],[Tipo]]="DROP"),AL137+TbTradesBinance[[#This Row],[Qtt]],AL137-TbTradesBinance[[#This Row],[Qtt]]),IF(TbTradesBinance[[#This Row],[Tipo]]="BUY",AL137-TbTradesBinance[[#This Row],[Qtt]]*TbTradesBinance[[#This Row],[Preço]],AL137+TbTradesBinance[[#This Row],[Qtt]]*TbTradesBinance[[#This Row],[Preço]])),AL137)-IF(TbTradesBinance[[#This Row],[Moeda da Taxa]]=MID(AL$1,9,5),TbTradesBinance[[#This Row],[Taxa]],0),8)))</f>
        <v>0</v>
      </c>
      <c r="AM138" s="145" cm="1">
        <f t="array" ref="AM138">IF(TbTradesBinance[[#This Row],[Tipo]]="EMPTY",0,AM137+IF(TbTradesBinance[[#This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Row],[Par]]))),$1:$1,0)),-(AL137-AL138)/AL137*AM137),0),0)+IF(TbTradesBinance[[#This Row],[Tipo]]="SELL",IF(ISNUMBER(FIND(MID(AM$1,10,5),TbTradesBinance[[#This Row],[Par]])),IF(FIND(MID(AM$1,10,5),TbTradesBinance[[#This Row],[Par]])=1, -(AL137-AL138)/AL137*AM137,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Row],[Par]])),(-(AL137-AL138)/AL137*AM137)+IF(TbTradesBinance[[#This Row],[Resultado]]&gt;0,0,TbTradesBinance[[#This Row],[Taxa]]),0),0))</f>
        <v>0</v>
      </c>
      <c r="AN138" s="145">
        <f t="shared" si="47"/>
        <v>0</v>
      </c>
      <c r="AO13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Row],[Tipo]]="DROP"),AO137+TbTradesBinance[[#This Row],[Qtt]],AO137-TbTradesBinance[[#This Row],[Qtt]]),IF(TbTradesBinance[[#This Row],[Tipo]]="BUY",AO137-TbTradesBinance[[#This Row],[Qtt]]*TbTradesBinance[[#This Row],[Preço]],AO137+TbTradesBinance[[#This Row],[Qtt]]*TbTradesBinance[[#This Row],[Preço]])),AO137)-IF(TbTradesBinance[[#This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Row],[Tipo]]="DROP"),AO137+TbTradesBinance[[#This Row],[Qtt]],AO137-TbTradesBinance[[#This Row],[Qtt]]),IF(TbTradesBinance[[#This Row],[Tipo]]="BUY",AO137-TbTradesBinance[[#This Row],[Qtt]]*TbTradesBinance[[#This Row],[Preço]],AO137+TbTradesBinance[[#This Row],[Qtt]]*TbTradesBinance[[#This Row],[Preço]])),AO137)-IF(TbTradesBinance[[#This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Row],[Tipo]]="DROP"),AO137+TbTradesBinance[[#This Row],[Qtt]],AO137-TbTradesBinance[[#This Row],[Qtt]]),IF(TbTradesBinance[[#This Row],[Tipo]]="BUY",AO137-TbTradesBinance[[#This Row],[Qtt]]*TbTradesBinance[[#This Row],[Preço]],AO137+TbTradesBinance[[#This Row],[Qtt]]*TbTradesBinance[[#This Row],[Preço]])),AO137)-IF(TbTradesBinance[[#This Row],[Moeda da Taxa]]=MID(AO$1,9,5),TbTradesBinance[[#This Row],[Taxa]],0),8)))</f>
        <v>3.7164530000000001E-2</v>
      </c>
      <c r="AP138" s="145" cm="1">
        <f t="array" ref="AP138">IF(TbTradesBinance[[#This Row],[Tipo]]="EMPTY",0,AP137+IF(TbTradesBinance[[#This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Row],[Par]]))),$1:$1,0)),-(AO137-AO138)/AO137*AP137),0),0)+IF(TbTradesBinance[[#This Row],[Tipo]]="SELL",IF(ISNUMBER(FIND(MID(AP$1,10,5),TbTradesBinance[[#This Row],[Par]])),IF(FIND(MID(AP$1,10,5),TbTradesBinance[[#This Row],[Par]])=1, -(AO137-AO138)/AO137*AP137,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Row],[Par]])),(-(AO137-AO138)/AO137*AP137)+IF(TbTradesBinance[[#This Row],[Resultado]]&gt;0,0,TbTradesBinance[[#This Row],[Taxa]]),0),0))</f>
        <v>56.863147211807636</v>
      </c>
      <c r="AQ138" s="145">
        <f t="shared" si="48"/>
        <v>1530.0381092350053</v>
      </c>
      <c r="AR13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Row],[Tipo]]="DROP"),AR137+TbTradesBinance[[#This Row],[Qtt]],AR137-TbTradesBinance[[#This Row],[Qtt]]),IF(TbTradesBinance[[#This Row],[Tipo]]="BUY",AR137-TbTradesBinance[[#This Row],[Qtt]]*TbTradesBinance[[#This Row],[Preço]],AR137+TbTradesBinance[[#This Row],[Qtt]]*TbTradesBinance[[#This Row],[Preço]])),AR137)-IF(TbTradesBinance[[#This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Row],[Tipo]]="DROP"),AR137+TbTradesBinance[[#This Row],[Qtt]],AR137-TbTradesBinance[[#This Row],[Qtt]]),IF(TbTradesBinance[[#This Row],[Tipo]]="BUY",AR137-TbTradesBinance[[#This Row],[Qtt]]*TbTradesBinance[[#This Row],[Preço]],AR137+TbTradesBinance[[#This Row],[Qtt]]*TbTradesBinance[[#This Row],[Preço]])),AR137)-IF(TbTradesBinance[[#This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Row],[Tipo]]="DROP"),AR137+TbTradesBinance[[#This Row],[Qtt]],AR137-TbTradesBinance[[#This Row],[Qtt]]),IF(TbTradesBinance[[#This Row],[Tipo]]="BUY",AR137-TbTradesBinance[[#This Row],[Qtt]]*TbTradesBinance[[#This Row],[Preço]],AR137+TbTradesBinance[[#This Row],[Qtt]]*TbTradesBinance[[#This Row],[Preço]])),AR137)-IF(TbTradesBinance[[#This Row],[Moeda da Taxa]]=MID(AR$1,9,5),TbTradesBinance[[#This Row],[Taxa]],0),8)))</f>
        <v>61.251199999999997</v>
      </c>
      <c r="AS138" s="145" cm="1">
        <f t="array" ref="AS138">IF(TbTradesBinance[[#This Row],[Tipo]]="EMPTY",0,AS137+IF(TbTradesBinance[[#This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Row],[Par]]))),$1:$1,0)),-(AR137-AR138)/AR137*AS137),0),0)+IF(TbTradesBinance[[#This Row],[Tipo]]="SELL",IF(ISNUMBER(FIND(MID(AS$1,10,5),TbTradesBinance[[#This Row],[Par]])),IF(FIND(MID(AS$1,10,5),TbTradesBinance[[#This Row],[Par]])=1, -(AR137-AR138)/AR137*AS137,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Row],[Par]])),(-(AR137-AR138)/AR137*AS137)+IF(TbTradesBinance[[#This Row],[Resultado]]&gt;0,0,TbTradesBinance[[#This Row],[Taxa]]),0),0))</f>
        <v>230.84001376053044</v>
      </c>
      <c r="AT138" s="145">
        <f t="shared" si="49"/>
        <v>3.7687427146003745</v>
      </c>
      <c r="AU13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Row],[Tipo]]="DROP"),AU137+TbTradesBinance[[#This Row],[Qtt]],AU137-TbTradesBinance[[#This Row],[Qtt]]),IF(TbTradesBinance[[#This Row],[Tipo]]="BUY",AU137-TbTradesBinance[[#This Row],[Qtt]]*TbTradesBinance[[#This Row],[Preço]],AU137+TbTradesBinance[[#This Row],[Qtt]]*TbTradesBinance[[#This Row],[Preço]])),AU137)-IF(TbTradesBinance[[#This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Row],[Tipo]]="DROP"),AU137+TbTradesBinance[[#This Row],[Qtt]],AU137-TbTradesBinance[[#This Row],[Qtt]]),IF(TbTradesBinance[[#This Row],[Tipo]]="BUY",AU137-TbTradesBinance[[#This Row],[Qtt]]*TbTradesBinance[[#This Row],[Preço]],AU137+TbTradesBinance[[#This Row],[Qtt]]*TbTradesBinance[[#This Row],[Preço]])),AU137)-IF(TbTradesBinance[[#This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Row],[Tipo]]="DROP"),AU137+TbTradesBinance[[#This Row],[Qtt]],AU137-TbTradesBinance[[#This Row],[Qtt]]),IF(TbTradesBinance[[#This Row],[Tipo]]="BUY",AU137-TbTradesBinance[[#This Row],[Qtt]]*TbTradesBinance[[#This Row],[Preço]],AU137+TbTradesBinance[[#This Row],[Qtt]]*TbTradesBinance[[#This Row],[Preço]])),AU137)-IF(TbTradesBinance[[#This Row],[Moeda da Taxa]]=MID(AU$1,9,5),TbTradesBinance[[#This Row],[Taxa]],0),8)))</f>
        <v>0</v>
      </c>
      <c r="AV138" s="145" cm="1">
        <f t="array" ref="AV138">IF(TbTradesBinance[[#This Row],[Tipo]]="EMPTY",0,AV137+IF(TbTradesBinance[[#This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Row],[Par]]))),$1:$1,0)),-(AU137-AU138)/AU137*AV137),0),0)+IF(TbTradesBinance[[#This Row],[Tipo]]="SELL",IF(ISNUMBER(FIND(MID(AV$1,10,5),TbTradesBinance[[#This Row],[Par]])),IF(FIND(MID(AV$1,10,5),TbTradesBinance[[#This Row],[Par]])=1, -(AU137-AU138)/AU137*AV137,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Row],[Par]])),(-(AU137-AU138)/AU137*AV137)+IF(TbTradesBinance[[#This Row],[Resultado]]&gt;0,0,TbTradesBinance[[#This Row],[Taxa]]),0),0))</f>
        <v>0</v>
      </c>
      <c r="AW138" s="145">
        <f t="shared" si="50"/>
        <v>0</v>
      </c>
      <c r="AX13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Row],[Tipo]]="DROP"),AX137+TbTradesBinance[[#This Row],[Qtt]],AX137-TbTradesBinance[[#This Row],[Qtt]]),IF(TbTradesBinance[[#This Row],[Tipo]]="BUY",AX137-TbTradesBinance[[#This Row],[Qtt]]*TbTradesBinance[[#This Row],[Preço]],AX137+TbTradesBinance[[#This Row],[Qtt]]*TbTradesBinance[[#This Row],[Preço]])),AX137)-IF(TbTradesBinance[[#This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Row],[Tipo]]="DROP"),AX137+TbTradesBinance[[#This Row],[Qtt]],AX137-TbTradesBinance[[#This Row],[Qtt]]),IF(TbTradesBinance[[#This Row],[Tipo]]="BUY",AX137-TbTradesBinance[[#This Row],[Qtt]]*TbTradesBinance[[#This Row],[Preço]],AX137+TbTradesBinance[[#This Row],[Qtt]]*TbTradesBinance[[#This Row],[Preço]])),AX137)-IF(TbTradesBinance[[#This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Row],[Tipo]]="DROP"),AX137+TbTradesBinance[[#This Row],[Qtt]],AX137-TbTradesBinance[[#This Row],[Qtt]]),IF(TbTradesBinance[[#This Row],[Tipo]]="BUY",AX137-TbTradesBinance[[#This Row],[Qtt]]*TbTradesBinance[[#This Row],[Preço]],AX137+TbTradesBinance[[#This Row],[Qtt]]*TbTradesBinance[[#This Row],[Preço]])),AX137)-IF(TbTradesBinance[[#This Row],[Moeda da Taxa]]=MID(AX$1,9,5),TbTradesBinance[[#This Row],[Taxa]],0),8)))</f>
        <v>0.85636999999999996</v>
      </c>
      <c r="AY138" s="145" cm="1">
        <f t="array" ref="AY138">IF(TbTradesBinance[[#This Row],[Tipo]]="EMPTY",0,AY137+IF(TbTradesBinance[[#This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Row],[Par]]))),$1:$1,0)),-(AX137-AX138)/AX137*AY137),0),0)+IF(TbTradesBinance[[#This Row],[Tipo]]="SELL",IF(ISNUMBER(FIND(MID(AY$1,10,5),TbTradesBinance[[#This Row],[Par]])),IF(FIND(MID(AY$1,10,5),TbTradesBinance[[#This Row],[Par]])=1, -(AX137-AX138)/AX137*AY137,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Row],[Par]])),(-(AX137-AX138)/AX137*AY137)+IF(TbTradesBinance[[#This Row],[Resultado]]&gt;0,0,TbTradesBinance[[#This Row],[Taxa]]),0),0))</f>
        <v>131.82971181780295</v>
      </c>
      <c r="AZ138" s="145">
        <f t="shared" si="51"/>
        <v>153.94013314081874</v>
      </c>
      <c r="BA13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Row],[Tipo]]="DROP"),BA137+TbTradesBinance[[#This Row],[Qtt]],BA137-TbTradesBinance[[#This Row],[Qtt]]),IF(TbTradesBinance[[#This Row],[Tipo]]="BUY",BA137-TbTradesBinance[[#This Row],[Qtt]]*TbTradesBinance[[#This Row],[Preço]],BA137+TbTradesBinance[[#This Row],[Qtt]]*TbTradesBinance[[#This Row],[Preço]])),BA137)-IF(TbTradesBinance[[#This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Row],[Tipo]]="DROP"),BA137+TbTradesBinance[[#This Row],[Qtt]],BA137-TbTradesBinance[[#This Row],[Qtt]]),IF(TbTradesBinance[[#This Row],[Tipo]]="BUY",BA137-TbTradesBinance[[#This Row],[Qtt]]*TbTradesBinance[[#This Row],[Preço]],BA137+TbTradesBinance[[#This Row],[Qtt]]*TbTradesBinance[[#This Row],[Preço]])),BA137)-IF(TbTradesBinance[[#This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Row],[Tipo]]="DROP"),BA137+TbTradesBinance[[#This Row],[Qtt]],BA137-TbTradesBinance[[#This Row],[Qtt]]),IF(TbTradesBinance[[#This Row],[Tipo]]="BUY",BA137-TbTradesBinance[[#This Row],[Qtt]]*TbTradesBinance[[#This Row],[Preço]],BA137+TbTradesBinance[[#This Row],[Qtt]]*TbTradesBinance[[#This Row],[Preço]])),BA137)-IF(TbTradesBinance[[#This Row],[Moeda da Taxa]]=MID(BA$1,9,5),TbTradesBinance[[#This Row],[Taxa]],0),8)))</f>
        <v>0.10571</v>
      </c>
      <c r="BB138" s="145" cm="1">
        <f t="array" ref="BB138">IF(TbTradesBinance[[#This Row],[Tipo]]="EMPTY",0,BB137+IF(TbTradesBinance[[#This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Row],[Par]]))),$1:$1,0)),-(BA137-BA138)/BA137*BB137),0),0)+IF(TbTradesBinance[[#This Row],[Tipo]]="SELL",IF(ISNUMBER(FIND(MID(BB$1,10,5),TbTradesBinance[[#This Row],[Par]])),IF(FIND(MID(BB$1,10,5),TbTradesBinance[[#This Row],[Par]])=1, -(BA137-BA138)/BA137*BB137,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Row],[Par]])),(-(BA137-BA138)/BA137*BB137)+IF(TbTradesBinance[[#This Row],[Resultado]]&gt;0,0,TbTradesBinance[[#This Row],[Taxa]]),0),0))</f>
        <v>120.8257969142021</v>
      </c>
      <c r="BC138" s="145">
        <f t="shared" si="52"/>
        <v>1142.9930651234708</v>
      </c>
      <c r="BD13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Row],[Tipo]]="DROP"),BD137+TbTradesBinance[[#This Row],[Qtt]],BD137-TbTradesBinance[[#This Row],[Qtt]]),IF(TbTradesBinance[[#This Row],[Tipo]]="BUY",BD137-TbTradesBinance[[#This Row],[Qtt]]*TbTradesBinance[[#This Row],[Preço]],BD137+TbTradesBinance[[#This Row],[Qtt]]*TbTradesBinance[[#This Row],[Preço]])),BD137)-IF(TbTradesBinance[[#This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Row],[Tipo]]="DROP"),BD137+TbTradesBinance[[#This Row],[Qtt]],BD137-TbTradesBinance[[#This Row],[Qtt]]),IF(TbTradesBinance[[#This Row],[Tipo]]="BUY",BD137-TbTradesBinance[[#This Row],[Qtt]]*TbTradesBinance[[#This Row],[Preço]],BD137+TbTradesBinance[[#This Row],[Qtt]]*TbTradesBinance[[#This Row],[Preço]])),BD137)-IF(TbTradesBinance[[#This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Row],[Tipo]]="DROP"),BD137+TbTradesBinance[[#This Row],[Qtt]],BD137-TbTradesBinance[[#This Row],[Qtt]]),IF(TbTradesBinance[[#This Row],[Tipo]]="BUY",BD137-TbTradesBinance[[#This Row],[Qtt]]*TbTradesBinance[[#This Row],[Preço]],BD137+TbTradesBinance[[#This Row],[Qtt]]*TbTradesBinance[[#This Row],[Preço]])),BD137)-IF(TbTradesBinance[[#This Row],[Moeda da Taxa]]=MID(BD$1,9,5),TbTradesBinance[[#This Row],[Taxa]],0),8)))</f>
        <v>0</v>
      </c>
      <c r="BE138" s="145" cm="1">
        <f t="array" ref="BE138">IF(TbTradesBinance[[#This Row],[Tipo]]="EMPTY",0,BE137+IF(TbTradesBinance[[#This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Row],[Par]]))),$1:$1,0)),-(BD137-BD138)/BD137*BE137),0),0)+IF(TbTradesBinance[[#This Row],[Tipo]]="SELL",IF(ISNUMBER(FIND(MID(BE$1,10,5),TbTradesBinance[[#This Row],[Par]])),IF(FIND(MID(BE$1,10,5),TbTradesBinance[[#This Row],[Par]])=1, -(BD137-BD138)/BD137*BE137,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Row],[Par]])),(-(BD137-BD138)/BD137*BE137)+IF(TbTradesBinance[[#This Row],[Resultado]]&gt;0,0,TbTradesBinance[[#This Row],[Taxa]]),0),0))</f>
        <v>0</v>
      </c>
      <c r="BF138" s="145">
        <f t="shared" si="53"/>
        <v>0</v>
      </c>
      <c r="BG13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Row],[Tipo]]="DROP"),BG137+TbTradesBinance[[#This Row],[Qtt]],BG137-TbTradesBinance[[#This Row],[Qtt]]),IF(TbTradesBinance[[#This Row],[Tipo]]="BUY",BG137-TbTradesBinance[[#This Row],[Qtt]]*TbTradesBinance[[#This Row],[Preço]],BG137+TbTradesBinance[[#This Row],[Qtt]]*TbTradesBinance[[#This Row],[Preço]])),BG137)-IF(TbTradesBinance[[#This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Row],[Tipo]]="DROP"),BG137+TbTradesBinance[[#This Row],[Qtt]],BG137-TbTradesBinance[[#This Row],[Qtt]]),IF(TbTradesBinance[[#This Row],[Tipo]]="BUY",BG137-TbTradesBinance[[#This Row],[Qtt]]*TbTradesBinance[[#This Row],[Preço]],BG137+TbTradesBinance[[#This Row],[Qtt]]*TbTradesBinance[[#This Row],[Preço]])),BG137)-IF(TbTradesBinance[[#This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Row],[Tipo]]="DROP"),BG137+TbTradesBinance[[#This Row],[Qtt]],BG137-TbTradesBinance[[#This Row],[Qtt]]),IF(TbTradesBinance[[#This Row],[Tipo]]="BUY",BG137-TbTradesBinance[[#This Row],[Qtt]]*TbTradesBinance[[#This Row],[Preço]],BG137+TbTradesBinance[[#This Row],[Qtt]]*TbTradesBinance[[#This Row],[Preço]])),BG137)-IF(TbTradesBinance[[#This Row],[Moeda da Taxa]]=MID(BG$1,9,5),TbTradesBinance[[#This Row],[Taxa]],0),8)))</f>
        <v>0</v>
      </c>
      <c r="BH138" s="145" cm="1">
        <f t="array" ref="BH138">IF(TbTradesBinance[[#This Row],[Tipo]]="EMPTY",0,BH137+IF(TbTradesBinance[[#This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Row],[Par]]))),$1:$1,0)),-(BG137-BG138)/BG137*BH137),0),0)+IF(TbTradesBinance[[#This Row],[Tipo]]="SELL",IF(ISNUMBER(FIND(MID(BH$1,10,5),TbTradesBinance[[#This Row],[Par]])),IF(FIND(MID(BH$1,10,5),TbTradesBinance[[#This Row],[Par]])=1, -(BG137-BG138)/BG137*BH137,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Row],[Par]])),(-(BG137-BG138)/BG137*BH137)+IF(TbTradesBinance[[#This Row],[Resultado]]&gt;0,0,TbTradesBinance[[#This Row],[Taxa]]),0),0))</f>
        <v>0</v>
      </c>
      <c r="BI138" s="145">
        <f t="shared" si="54"/>
        <v>0</v>
      </c>
      <c r="BJ13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Row],[Tipo]]="DROP"),BJ137+TbTradesBinance[[#This Row],[Qtt]],BJ137-TbTradesBinance[[#This Row],[Qtt]]),IF(TbTradesBinance[[#This Row],[Tipo]]="BUY",BJ137-TbTradesBinance[[#This Row],[Qtt]]*TbTradesBinance[[#This Row],[Preço]],BJ137+TbTradesBinance[[#This Row],[Qtt]]*TbTradesBinance[[#This Row],[Preço]])),BJ137)-IF(TbTradesBinance[[#This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Row],[Tipo]]="DROP"),BJ137+TbTradesBinance[[#This Row],[Qtt]],BJ137-TbTradesBinance[[#This Row],[Qtt]]),IF(TbTradesBinance[[#This Row],[Tipo]]="BUY",BJ137-TbTradesBinance[[#This Row],[Qtt]]*TbTradesBinance[[#This Row],[Preço]],BJ137+TbTradesBinance[[#This Row],[Qtt]]*TbTradesBinance[[#This Row],[Preço]])),BJ137)-IF(TbTradesBinance[[#This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Row],[Tipo]]="DROP"),BJ137+TbTradesBinance[[#This Row],[Qtt]],BJ137-TbTradesBinance[[#This Row],[Qtt]]),IF(TbTradesBinance[[#This Row],[Tipo]]="BUY",BJ137-TbTradesBinance[[#This Row],[Qtt]]*TbTradesBinance[[#This Row],[Preço]],BJ137+TbTradesBinance[[#This Row],[Qtt]]*TbTradesBinance[[#This Row],[Preço]])),BJ137)-IF(TbTradesBinance[[#This Row],[Moeda da Taxa]]=MID(BJ$1,9,5),TbTradesBinance[[#This Row],[Taxa]],0),8)))</f>
        <v>2.1681500000000002E-3</v>
      </c>
      <c r="BK138" s="145" cm="1">
        <f t="array" ref="BK138">IF(TbTradesBinance[[#This Row],[Tipo]]="EMPTY",0,BK137+IF(TbTradesBinance[[#This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Row],[Par]]))),$1:$1,0)),-(BJ137-BJ138)/BJ137*BK137),0),0)+IF(TbTradesBinance[[#This Row],[Tipo]]="SELL",IF(ISNUMBER(FIND(MID(BK$1,10,5),TbTradesBinance[[#This Row],[Par]])),IF(FIND(MID(BK$1,10,5),TbTradesBinance[[#This Row],[Par]])=1, -(BJ137-BJ138)/BJ137*BK137,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Row],[Par]])),(-(BJ137-BJ138)/BJ137*BK137)+IF(TbTradesBinance[[#This Row],[Resultado]]&gt;0,0,TbTradesBinance[[#This Row],[Taxa]]),0),0))</f>
        <v>0</v>
      </c>
      <c r="BL138" s="145">
        <f t="shared" si="55"/>
        <v>0</v>
      </c>
      <c r="BM13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Row],[Tipo]]="DROP"),BM137+TbTradesBinance[[#This Row],[Qtt]],BM137-TbTradesBinance[[#This Row],[Qtt]]),IF(TbTradesBinance[[#This Row],[Tipo]]="BUY",BM137-TbTradesBinance[[#This Row],[Qtt]]*TbTradesBinance[[#This Row],[Preço]],BM137+TbTradesBinance[[#This Row],[Qtt]]*TbTradesBinance[[#This Row],[Preço]])),BM137)-IF(TbTradesBinance[[#This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Row],[Tipo]]="DROP"),BM137+TbTradesBinance[[#This Row],[Qtt]],BM137-TbTradesBinance[[#This Row],[Qtt]]),IF(TbTradesBinance[[#This Row],[Tipo]]="BUY",BM137-TbTradesBinance[[#This Row],[Qtt]]*TbTradesBinance[[#This Row],[Preço]],BM137+TbTradesBinance[[#This Row],[Qtt]]*TbTradesBinance[[#This Row],[Preço]])),BM137)-IF(TbTradesBinance[[#This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Row],[Tipo]]="DROP"),BM137+TbTradesBinance[[#This Row],[Qtt]],BM137-TbTradesBinance[[#This Row],[Qtt]]),IF(TbTradesBinance[[#This Row],[Tipo]]="BUY",BM137-TbTradesBinance[[#This Row],[Qtt]]*TbTradesBinance[[#This Row],[Preço]],BM137+TbTradesBinance[[#This Row],[Qtt]]*TbTradesBinance[[#This Row],[Preço]])),BM137)-IF(TbTradesBinance[[#This Row],[Moeda da Taxa]]=MID(BM$1,9,5),TbTradesBinance[[#This Row],[Taxa]],0),8)))</f>
        <v>0</v>
      </c>
      <c r="BN138" s="145" cm="1">
        <f t="array" ref="BN138">IF(TbTradesBinance[[#This Row],[Tipo]]="EMPTY",0,BN137+IF(TbTradesBinance[[#This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Row],[Par]]))),$1:$1,0)),-(BM137-BM138)/BM137*BN137),0),0)+IF(TbTradesBinance[[#This Row],[Tipo]]="SELL",IF(ISNUMBER(FIND(MID(BN$1,10,5),TbTradesBinance[[#This Row],[Par]])),IF(FIND(MID(BN$1,10,5),TbTradesBinance[[#This Row],[Par]])=1, -(BM137-BM138)/BM137*BN137,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Row],[Par]])),(-(BM137-BM138)/BM137*BN137)+IF(TbTradesBinance[[#This Row],[Resultado]]&gt;0,0,TbTradesBinance[[#This Row],[Taxa]]),0),0))</f>
        <v>0</v>
      </c>
      <c r="BO138" s="145">
        <f t="shared" si="56"/>
        <v>0</v>
      </c>
    </row>
    <row r="139" spans="2:67" x14ac:dyDescent="0.3">
      <c r="B139" s="51"/>
      <c r="C139" s="40">
        <f>TRUNC(IF(AND(TbTradesBinance[[#This Row],[Tipo]]="SEND",TbTradesBinance[[#This Row],[Par]]="BRL"),TbTradesBinance[[#This Row],[Qtt]]*(1-P137)-IF(TbTradesBinance[[#This Row],[Moeda da Taxa]]="BRL",TbTradesBinance[[#This Row],[Taxa]],0),0)+IF(AND(TbTradesBinance[[#This Row],[Tipo]]="BURN",TbTradesBinance[[#This Row],[Par]]="BRL"),-TbTradesBinance[[#This Row],[Qtt]]*P137,0),2)</f>
        <v>0</v>
      </c>
      <c r="D139" s="53">
        <v>44284.926562499997</v>
      </c>
      <c r="E139" s="37" t="s">
        <v>258</v>
      </c>
      <c r="F139" s="47" t="s">
        <v>140</v>
      </c>
      <c r="G139" s="38">
        <v>0.52800000000000002</v>
      </c>
      <c r="H139" s="38">
        <v>61.2</v>
      </c>
      <c r="I139" s="38">
        <v>3.2313599999999998E-2</v>
      </c>
      <c r="J139" s="37" t="s">
        <v>42</v>
      </c>
      <c r="K139" s="52">
        <v>5.7619999999999996</v>
      </c>
      <c r="L139" s="40">
        <f t="shared" si="38"/>
        <v>3.04</v>
      </c>
      <c r="M139" s="40">
        <f>IF(OR(TbTradesBinance[[#This Row],[Tipo]]="BUY",TbTradesBinance[[#This Row],[Tipo]]="RECEIVE",TbTradesBinance[[#This Row],[Tipo]]="DROP"),L139*H139,-L139*H139)</f>
        <v>-186.048</v>
      </c>
      <c r="N13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Row],[Tipo]]="DROP"),N138+TbTradesBinance[[#This Row],[Qtt]],N138-TbTradesBinance[[#This Row],[Qtt]]),IF(TbTradesBinance[[#This Row],[Tipo]]="BUY",N138-TbTradesBinance[[#This Row],[Qtt]]*TbTradesBinance[[#This Row],[Preço]],N138+TbTradesBinance[[#This Row],[Qtt]]*TbTradesBinance[[#This Row],[Preço]])),N138)-IF(TbTradesBinance[[#This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Row],[Tipo]]="DROP"),N138+TbTradesBinance[[#This Row],[Qtt]],N138-TbTradesBinance[[#This Row],[Qtt]]),IF(TbTradesBinance[[#This Row],[Tipo]]="BUY",N138-TbTradesBinance[[#This Row],[Qtt]]*TbTradesBinance[[#This Row],[Preço]],N138+TbTradesBinance[[#This Row],[Qtt]]*TbTradesBinance[[#This Row],[Preço]])),N138)-IF(TbTradesBinance[[#This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Row],[Tipo]]="DROP"),N138+TbTradesBinance[[#This Row],[Qtt]],N138-TbTradesBinance[[#This Row],[Qtt]]),IF(TbTradesBinance[[#This Row],[Tipo]]="BUY",N138-TbTradesBinance[[#This Row],[Qtt]]*TbTradesBinance[[#This Row],[Preço]],N138+TbTradesBinance[[#This Row],[Qtt]]*TbTradesBinance[[#This Row],[Preço]])),N138)-IF(TbTradesBinance[[#This Row],[Moeda da Taxa]]=MID(N$1,9,5),TbTradesBinance[[#This Row],[Taxa]],0),8)))</f>
        <v>119745.42956418</v>
      </c>
      <c r="O139" s="145" cm="1">
        <f t="array" ref="O139">IF(TbTradesBinance[[#This Row],[Tipo]]="EMPTY",0,O138+IF(TbTradesBinance[[#This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Row],[Par]]))),$1:$1,0)),-(N138-N139)/N138*O138),0),0)+IF(TbTradesBinance[[#This Row],[Tipo]]="SELL",IF(ISNUMBER(FIND(MID(O$1,10,5),TbTradesBinance[[#This Row],[Par]])),IF(FIND(MID(O$1,10,5),TbTradesBinance[[#This Row],[Par]])=1, -(N138-N139)/N138*O138,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Row],[Par]])),(-(N138-N139)/N138*O138)+IF(TbTradesBinance[[#This Row],[Resultado]]&gt;0,0,TbTradesBinance[[#This Row],[Taxa]]),0),0))</f>
        <v>119800.43203771512</v>
      </c>
      <c r="P139" s="145">
        <f t="shared" si="39"/>
        <v>1.0004593283746637</v>
      </c>
      <c r="Q13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Row],[Tipo]]="DROP"),Q138+TbTradesBinance[[#This Row],[Qtt]],Q138-TbTradesBinance[[#This Row],[Qtt]]),IF(TbTradesBinance[[#This Row],[Tipo]]="BUY",Q138-TbTradesBinance[[#This Row],[Qtt]]*TbTradesBinance[[#This Row],[Preço]],Q138+TbTradesBinance[[#This Row],[Qtt]]*TbTradesBinance[[#This Row],[Preço]])),Q138)-IF(TbTradesBinance[[#This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Row],[Tipo]]="DROP"),Q138+TbTradesBinance[[#This Row],[Qtt]],Q138-TbTradesBinance[[#This Row],[Qtt]]),IF(TbTradesBinance[[#This Row],[Tipo]]="BUY",Q138-TbTradesBinance[[#This Row],[Qtt]]*TbTradesBinance[[#This Row],[Preço]],Q138+TbTradesBinance[[#This Row],[Qtt]]*TbTradesBinance[[#This Row],[Preço]])),Q138)-IF(TbTradesBinance[[#This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Row],[Tipo]]="DROP"),Q138+TbTradesBinance[[#This Row],[Qtt]],Q138-TbTradesBinance[[#This Row],[Qtt]]),IF(TbTradesBinance[[#This Row],[Tipo]]="BUY",Q138-TbTradesBinance[[#This Row],[Qtt]]*TbTradesBinance[[#This Row],[Preço]],Q138+TbTradesBinance[[#This Row],[Qtt]]*TbTradesBinance[[#This Row],[Preço]])),Q138)-IF(TbTradesBinance[[#This Row],[Moeda da Taxa]]=MID(Q$1,9,5),TbTradesBinance[[#This Row],[Taxa]],0),8)))</f>
        <v>32.281286399999999</v>
      </c>
      <c r="R139" s="145" cm="1">
        <f t="array" ref="R139">IF(TbTradesBinance[[#This Row],[Tipo]]="EMPTY",0,R138+IF(TbTradesBinance[[#This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Row],[Par]]))),$1:$1,0)),-(Q138-Q139)/Q138*R138),0),0)+IF(TbTradesBinance[[#This Row],[Tipo]]="SELL",IF(ISNUMBER(FIND(MID(R$1,10,5),TbTradesBinance[[#This Row],[Par]])),IF(FIND(MID(R$1,10,5),TbTradesBinance[[#This Row],[Par]])=1, -(Q138-Q139)/Q138*R138,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Row],[Par]])),(-(Q138-Q139)/Q138*R138)+IF(TbTradesBinance[[#This Row],[Resultado]]&gt;0,0,TbTradesBinance[[#This Row],[Taxa]]),0),0))</f>
        <v>230.64705417123034</v>
      </c>
      <c r="S139" s="145">
        <f t="shared" si="40"/>
        <v>7.1449152091792207</v>
      </c>
      <c r="T13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Row],[Tipo]]="DROP"),T138+TbTradesBinance[[#This Row],[Qtt]],T138-TbTradesBinance[[#This Row],[Qtt]]),IF(TbTradesBinance[[#This Row],[Tipo]]="BUY",T138-TbTradesBinance[[#This Row],[Qtt]]*TbTradesBinance[[#This Row],[Preço]],T138+TbTradesBinance[[#This Row],[Qtt]]*TbTradesBinance[[#This Row],[Preço]])),T138)-IF(TbTradesBinance[[#This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Row],[Tipo]]="DROP"),T138+TbTradesBinance[[#This Row],[Qtt]],T138-TbTradesBinance[[#This Row],[Qtt]]),IF(TbTradesBinance[[#This Row],[Tipo]]="BUY",T138-TbTradesBinance[[#This Row],[Qtt]]*TbTradesBinance[[#This Row],[Preço]],T138+TbTradesBinance[[#This Row],[Qtt]]*TbTradesBinance[[#This Row],[Preço]])),T138)-IF(TbTradesBinance[[#This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Row],[Tipo]]="DROP"),T138+TbTradesBinance[[#This Row],[Qtt]],T138-TbTradesBinance[[#This Row],[Qtt]]),IF(TbTradesBinance[[#This Row],[Tipo]]="BUY",T138-TbTradesBinance[[#This Row],[Qtt]]*TbTradesBinance[[#This Row],[Preço]],T138+TbTradesBinance[[#This Row],[Qtt]]*TbTradesBinance[[#This Row],[Preço]])),T138)-IF(TbTradesBinance[[#This Row],[Moeda da Taxa]]=MID(T$1,9,5),TbTradesBinance[[#This Row],[Taxa]],0),8)))</f>
        <v>219713.72000189999</v>
      </c>
      <c r="U139" s="145" cm="1">
        <f t="array" ref="U139">IF(TbTradesBinance[[#This Row],[Tipo]]="EMPTY",0,U138+IF(TbTradesBinance[[#This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Row],[Par]]))),$1:$1,0)),-(T138-T139)/T138*U138),0),0)+IF(TbTradesBinance[[#This Row],[Tipo]]="SELL",IF(ISNUMBER(FIND(MID(U$1,10,5),TbTradesBinance[[#This Row],[Par]])),IF(FIND(MID(U$1,10,5),TbTradesBinance[[#This Row],[Par]])=1, -(T138-T139)/T138*U138,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Row],[Par]])),(-(T138-T139)/T138*U138)+IF(TbTradesBinance[[#This Row],[Resultado]]&gt;0,0,TbTradesBinance[[#This Row],[Taxa]]),0),0))</f>
        <v>1461096.2409827893</v>
      </c>
      <c r="V139" s="145">
        <f t="shared" si="41"/>
        <v>6.6500000135182926</v>
      </c>
      <c r="W13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Row],[Tipo]]="DROP"),W138+TbTradesBinance[[#This Row],[Qtt]],W138-TbTradesBinance[[#This Row],[Qtt]]),IF(TbTradesBinance[[#This Row],[Tipo]]="BUY",W138-TbTradesBinance[[#This Row],[Qtt]]*TbTradesBinance[[#This Row],[Preço]],W138+TbTradesBinance[[#This Row],[Qtt]]*TbTradesBinance[[#This Row],[Preço]])),W138)-IF(TbTradesBinance[[#This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Row],[Tipo]]="DROP"),W138+TbTradesBinance[[#This Row],[Qtt]],W138-TbTradesBinance[[#This Row],[Qtt]]),IF(TbTradesBinance[[#This Row],[Tipo]]="BUY",W138-TbTradesBinance[[#This Row],[Qtt]]*TbTradesBinance[[#This Row],[Preço]],W138+TbTradesBinance[[#This Row],[Qtt]]*TbTradesBinance[[#This Row],[Preço]])),W138)-IF(TbTradesBinance[[#This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Row],[Tipo]]="DROP"),W138+TbTradesBinance[[#This Row],[Qtt]],W138-TbTradesBinance[[#This Row],[Qtt]]),IF(TbTradesBinance[[#This Row],[Tipo]]="BUY",W138-TbTradesBinance[[#This Row],[Qtt]]*TbTradesBinance[[#This Row],[Preço]],W138+TbTradesBinance[[#This Row],[Qtt]]*TbTradesBinance[[#This Row],[Preço]])),W138)-IF(TbTradesBinance[[#This Row],[Moeda da Taxa]]=MID(W$1,9,5),TbTradesBinance[[#This Row],[Taxa]],0),8)))</f>
        <v>3.2336000000000002E-4</v>
      </c>
      <c r="X139" s="145" cm="1">
        <f t="array" ref="X139">IF(TbTradesBinance[[#This Row],[Tipo]]="EMPTY",0,X138+IF(TbTradesBinance[[#This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Row],[Par]]))),$1:$1,0)),-(W138-W139)/W138*X138),0),0)+IF(TbTradesBinance[[#This Row],[Tipo]]="SELL",IF(ISNUMBER(FIND(MID(X$1,10,5),TbTradesBinance[[#This Row],[Par]])),IF(FIND(MID(X$1,10,5),TbTradesBinance[[#This Row],[Par]])=1, -(W138-W139)/W138*X138,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Row],[Par]])),(-(W138-W139)/W138*X138)+IF(TbTradesBinance[[#This Row],[Resultado]]&gt;0,0,TbTradesBinance[[#This Row],[Taxa]]),0),0))</f>
        <v>109.49359760304422</v>
      </c>
      <c r="Y139" s="145">
        <f t="shared" si="42"/>
        <v>338612.06581841974</v>
      </c>
      <c r="Z13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Row],[Tipo]]="DROP"),Z138+TbTradesBinance[[#This Row],[Qtt]],Z138-TbTradesBinance[[#This Row],[Qtt]]),IF(TbTradesBinance[[#This Row],[Tipo]]="BUY",Z138-TbTradesBinance[[#This Row],[Qtt]]*TbTradesBinance[[#This Row],[Preço]],Z138+TbTradesBinance[[#This Row],[Qtt]]*TbTradesBinance[[#This Row],[Preço]])),Z138)-IF(TbTradesBinance[[#This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Row],[Tipo]]="DROP"),Z138+TbTradesBinance[[#This Row],[Qtt]],Z138-TbTradesBinance[[#This Row],[Qtt]]),IF(TbTradesBinance[[#This Row],[Tipo]]="BUY",Z138-TbTradesBinance[[#This Row],[Qtt]]*TbTradesBinance[[#This Row],[Preço]],Z138+TbTradesBinance[[#This Row],[Qtt]]*TbTradesBinance[[#This Row],[Preço]])),Z138)-IF(TbTradesBinance[[#This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Row],[Tipo]]="DROP"),Z138+TbTradesBinance[[#This Row],[Qtt]],Z138-TbTradesBinance[[#This Row],[Qtt]]),IF(TbTradesBinance[[#This Row],[Tipo]]="BUY",Z138-TbTradesBinance[[#This Row],[Qtt]]*TbTradesBinance[[#This Row],[Preço]],Z138+TbTradesBinance[[#This Row],[Qtt]]*TbTradesBinance[[#This Row],[Preço]])),Z138)-IF(TbTradesBinance[[#This Row],[Moeda da Taxa]]=MID(Z$1,9,5),TbTradesBinance[[#This Row],[Taxa]],0),8)))</f>
        <v>0</v>
      </c>
      <c r="AA139" s="145" cm="1">
        <f t="array" ref="AA139">IF(TbTradesBinance[[#This Row],[Tipo]]="EMPTY",0,AA138+IF(TbTradesBinance[[#This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Row],[Par]]))),$1:$1,0)),-(Z138-Z139)/Z138*AA138),0),0)+IF(TbTradesBinance[[#This Row],[Tipo]]="SELL",IF(ISNUMBER(FIND(MID(AA$1,10,5),TbTradesBinance[[#This Row],[Par]])),IF(FIND(MID(AA$1,10,5),TbTradesBinance[[#This Row],[Par]])=1, -(Z138-Z139)/Z138*AA138,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Row],[Par]])),(-(Z138-Z139)/Z138*AA138)+IF(TbTradesBinance[[#This Row],[Resultado]]&gt;0,0,TbTradesBinance[[#This Row],[Taxa]]),0),0))</f>
        <v>0</v>
      </c>
      <c r="AB139" s="145">
        <f t="shared" si="43"/>
        <v>0</v>
      </c>
      <c r="AC13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Row],[Tipo]]="DROP"),AC138+TbTradesBinance[[#This Row],[Qtt]],AC138-TbTradesBinance[[#This Row],[Qtt]]),IF(TbTradesBinance[[#This Row],[Tipo]]="BUY",AC138-TbTradesBinance[[#This Row],[Qtt]]*TbTradesBinance[[#This Row],[Preço]],AC138+TbTradesBinance[[#This Row],[Qtt]]*TbTradesBinance[[#This Row],[Preço]])),AC138)-IF(TbTradesBinance[[#This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Row],[Tipo]]="DROP"),AC138+TbTradesBinance[[#This Row],[Qtt]],AC138-TbTradesBinance[[#This Row],[Qtt]]),IF(TbTradesBinance[[#This Row],[Tipo]]="BUY",AC138-TbTradesBinance[[#This Row],[Qtt]]*TbTradesBinance[[#This Row],[Preço]],AC138+TbTradesBinance[[#This Row],[Qtt]]*TbTradesBinance[[#This Row],[Preço]])),AC138)-IF(TbTradesBinance[[#This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Row],[Tipo]]="DROP"),AC138+TbTradesBinance[[#This Row],[Qtt]],AC138-TbTradesBinance[[#This Row],[Qtt]]),IF(TbTradesBinance[[#This Row],[Tipo]]="BUY",AC138-TbTradesBinance[[#This Row],[Qtt]]*TbTradesBinance[[#This Row],[Preço]],AC138+TbTradesBinance[[#This Row],[Qtt]]*TbTradesBinance[[#This Row],[Preço]])),AC138)-IF(TbTradesBinance[[#This Row],[Moeda da Taxa]]=MID(AC$1,9,5),TbTradesBinance[[#This Row],[Taxa]],0),8)))</f>
        <v>0</v>
      </c>
      <c r="AD139" s="145" cm="1">
        <f t="array" ref="AD139">IF(TbTradesBinance[[#This Row],[Tipo]]="EMPTY",0,AD138+IF(TbTradesBinance[[#This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Row],[Par]]))),$1:$1,0)),-(AC138-AC139)/AC138*AD138),0),0)+IF(TbTradesBinance[[#This Row],[Tipo]]="SELL",IF(ISNUMBER(FIND(MID(AD$1,10,5),TbTradesBinance[[#This Row],[Par]])),IF(FIND(MID(AD$1,10,5),TbTradesBinance[[#This Row],[Par]])=1, -(AC138-AC139)/AC138*AD138,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Row],[Par]])),(-(AC138-AC139)/AC138*AD138)+IF(TbTradesBinance[[#This Row],[Resultado]]&gt;0,0,TbTradesBinance[[#This Row],[Taxa]]),0),0))</f>
        <v>0</v>
      </c>
      <c r="AE139" s="145">
        <f t="shared" si="44"/>
        <v>0</v>
      </c>
      <c r="AF13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Row],[Tipo]]="DROP"),AF138+TbTradesBinance[[#This Row],[Qtt]],AF138-TbTradesBinance[[#This Row],[Qtt]]),IF(TbTradesBinance[[#This Row],[Tipo]]="BUY",AF138-TbTradesBinance[[#This Row],[Qtt]]*TbTradesBinance[[#This Row],[Preço]],AF138+TbTradesBinance[[#This Row],[Qtt]]*TbTradesBinance[[#This Row],[Preço]])),AF138)-IF(TbTradesBinance[[#This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Row],[Tipo]]="DROP"),AF138+TbTradesBinance[[#This Row],[Qtt]],AF138-TbTradesBinance[[#This Row],[Qtt]]),IF(TbTradesBinance[[#This Row],[Tipo]]="BUY",AF138-TbTradesBinance[[#This Row],[Qtt]]*TbTradesBinance[[#This Row],[Preço]],AF138+TbTradesBinance[[#This Row],[Qtt]]*TbTradesBinance[[#This Row],[Preço]])),AF138)-IF(TbTradesBinance[[#This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Row],[Tipo]]="DROP"),AF138+TbTradesBinance[[#This Row],[Qtt]],AF138-TbTradesBinance[[#This Row],[Qtt]]),IF(TbTradesBinance[[#This Row],[Tipo]]="BUY",AF138-TbTradesBinance[[#This Row],[Qtt]]*TbTradesBinance[[#This Row],[Preço]],AF138+TbTradesBinance[[#This Row],[Qtt]]*TbTradesBinance[[#This Row],[Preço]])),AF138)-IF(TbTradesBinance[[#This Row],[Moeda da Taxa]]=MID(AF$1,9,5),TbTradesBinance[[#This Row],[Taxa]],0),8)))</f>
        <v>0</v>
      </c>
      <c r="AG139" s="145" cm="1">
        <f t="array" ref="AG139">IF(TbTradesBinance[[#This Row],[Tipo]]="EMPTY",0,AG138+IF(TbTradesBinance[[#This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Row],[Par]]))),$1:$1,0)),-(AF138-AF139)/AF138*AG138),0),0)+IF(TbTradesBinance[[#This Row],[Tipo]]="SELL",IF(ISNUMBER(FIND(MID(AG$1,10,5),TbTradesBinance[[#This Row],[Par]])),IF(FIND(MID(AG$1,10,5),TbTradesBinance[[#This Row],[Par]])=1, -(AF138-AF139)/AF138*AG138,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Row],[Par]])),(-(AF138-AF139)/AF138*AG138)+IF(TbTradesBinance[[#This Row],[Resultado]]&gt;0,0,TbTradesBinance[[#This Row],[Taxa]]),0),0))</f>
        <v>0</v>
      </c>
      <c r="AH139" s="145">
        <f t="shared" si="45"/>
        <v>0</v>
      </c>
      <c r="AI13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Row],[Tipo]]="DROP"),AI138+TbTradesBinance[[#This Row],[Qtt]],AI138-TbTradesBinance[[#This Row],[Qtt]]),IF(TbTradesBinance[[#This Row],[Tipo]]="BUY",AI138-TbTradesBinance[[#This Row],[Qtt]]*TbTradesBinance[[#This Row],[Preço]],AI138+TbTradesBinance[[#This Row],[Qtt]]*TbTradesBinance[[#This Row],[Preço]])),AI138)-IF(TbTradesBinance[[#This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Row],[Tipo]]="DROP"),AI138+TbTradesBinance[[#This Row],[Qtt]],AI138-TbTradesBinance[[#This Row],[Qtt]]),IF(TbTradesBinance[[#This Row],[Tipo]]="BUY",AI138-TbTradesBinance[[#This Row],[Qtt]]*TbTradesBinance[[#This Row],[Preço]],AI138+TbTradesBinance[[#This Row],[Qtt]]*TbTradesBinance[[#This Row],[Preço]])),AI138)-IF(TbTradesBinance[[#This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Row],[Tipo]]="DROP"),AI138+TbTradesBinance[[#This Row],[Qtt]],AI138-TbTradesBinance[[#This Row],[Qtt]]),IF(TbTradesBinance[[#This Row],[Tipo]]="BUY",AI138-TbTradesBinance[[#This Row],[Qtt]]*TbTradesBinance[[#This Row],[Preço]],AI138+TbTradesBinance[[#This Row],[Qtt]]*TbTradesBinance[[#This Row],[Preço]])),AI138)-IF(TbTradesBinance[[#This Row],[Moeda da Taxa]]=MID(AI$1,9,5),TbTradesBinance[[#This Row],[Taxa]],0),8)))</f>
        <v>0</v>
      </c>
      <c r="AJ139" s="145" cm="1">
        <f t="array" ref="AJ139">IF(TbTradesBinance[[#This Row],[Tipo]]="EMPTY",0,AJ138+IF(TbTradesBinance[[#This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Row],[Par]]))),$1:$1,0)),-(AI138-AI139)/AI138*AJ138),0),0)+IF(TbTradesBinance[[#This Row],[Tipo]]="SELL",IF(ISNUMBER(FIND(MID(AJ$1,10,5),TbTradesBinance[[#This Row],[Par]])),IF(FIND(MID(AJ$1,10,5),TbTradesBinance[[#This Row],[Par]])=1, -(AI138-AI139)/AI138*AJ138,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Row],[Par]])),(-(AI138-AI139)/AI138*AJ138)+IF(TbTradesBinance[[#This Row],[Resultado]]&gt;0,0,TbTradesBinance[[#This Row],[Taxa]]),0),0))</f>
        <v>0</v>
      </c>
      <c r="AK139" s="145">
        <f t="shared" si="46"/>
        <v>0</v>
      </c>
      <c r="AL13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Row],[Tipo]]="DROP"),AL138+TbTradesBinance[[#This Row],[Qtt]],AL138-TbTradesBinance[[#This Row],[Qtt]]),IF(TbTradesBinance[[#This Row],[Tipo]]="BUY",AL138-TbTradesBinance[[#This Row],[Qtt]]*TbTradesBinance[[#This Row],[Preço]],AL138+TbTradesBinance[[#This Row],[Qtt]]*TbTradesBinance[[#This Row],[Preço]])),AL138)-IF(TbTradesBinance[[#This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Row],[Tipo]]="DROP"),AL138+TbTradesBinance[[#This Row],[Qtt]],AL138-TbTradesBinance[[#This Row],[Qtt]]),IF(TbTradesBinance[[#This Row],[Tipo]]="BUY",AL138-TbTradesBinance[[#This Row],[Qtt]]*TbTradesBinance[[#This Row],[Preço]],AL138+TbTradesBinance[[#This Row],[Qtt]]*TbTradesBinance[[#This Row],[Preço]])),AL138)-IF(TbTradesBinance[[#This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Row],[Tipo]]="DROP"),AL138+TbTradesBinance[[#This Row],[Qtt]],AL138-TbTradesBinance[[#This Row],[Qtt]]),IF(TbTradesBinance[[#This Row],[Tipo]]="BUY",AL138-TbTradesBinance[[#This Row],[Qtt]]*TbTradesBinance[[#This Row],[Preço]],AL138+TbTradesBinance[[#This Row],[Qtt]]*TbTradesBinance[[#This Row],[Preço]])),AL138)-IF(TbTradesBinance[[#This Row],[Moeda da Taxa]]=MID(AL$1,9,5),TbTradesBinance[[#This Row],[Taxa]],0),8)))</f>
        <v>0</v>
      </c>
      <c r="AM139" s="145" cm="1">
        <f t="array" ref="AM139">IF(TbTradesBinance[[#This Row],[Tipo]]="EMPTY",0,AM138+IF(TbTradesBinance[[#This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Row],[Par]]))),$1:$1,0)),-(AL138-AL139)/AL138*AM138),0),0)+IF(TbTradesBinance[[#This Row],[Tipo]]="SELL",IF(ISNUMBER(FIND(MID(AM$1,10,5),TbTradesBinance[[#This Row],[Par]])),IF(FIND(MID(AM$1,10,5),TbTradesBinance[[#This Row],[Par]])=1, -(AL138-AL139)/AL138*AM138,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Row],[Par]])),(-(AL138-AL139)/AL138*AM138)+IF(TbTradesBinance[[#This Row],[Resultado]]&gt;0,0,TbTradesBinance[[#This Row],[Taxa]]),0),0))</f>
        <v>0</v>
      </c>
      <c r="AN139" s="145">
        <f t="shared" si="47"/>
        <v>0</v>
      </c>
      <c r="AO13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Row],[Tipo]]="DROP"),AO138+TbTradesBinance[[#This Row],[Qtt]],AO138-TbTradesBinance[[#This Row],[Qtt]]),IF(TbTradesBinance[[#This Row],[Tipo]]="BUY",AO138-TbTradesBinance[[#This Row],[Qtt]]*TbTradesBinance[[#This Row],[Preço]],AO138+TbTradesBinance[[#This Row],[Qtt]]*TbTradesBinance[[#This Row],[Preço]])),AO138)-IF(TbTradesBinance[[#This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Row],[Tipo]]="DROP"),AO138+TbTradesBinance[[#This Row],[Qtt]],AO138-TbTradesBinance[[#This Row],[Qtt]]),IF(TbTradesBinance[[#This Row],[Tipo]]="BUY",AO138-TbTradesBinance[[#This Row],[Qtt]]*TbTradesBinance[[#This Row],[Preço]],AO138+TbTradesBinance[[#This Row],[Qtt]]*TbTradesBinance[[#This Row],[Preço]])),AO138)-IF(TbTradesBinance[[#This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Row],[Tipo]]="DROP"),AO138+TbTradesBinance[[#This Row],[Qtt]],AO138-TbTradesBinance[[#This Row],[Qtt]]),IF(TbTradesBinance[[#This Row],[Tipo]]="BUY",AO138-TbTradesBinance[[#This Row],[Qtt]]*TbTradesBinance[[#This Row],[Preço]],AO138+TbTradesBinance[[#This Row],[Qtt]]*TbTradesBinance[[#This Row],[Preço]])),AO138)-IF(TbTradesBinance[[#This Row],[Moeda da Taxa]]=MID(AO$1,9,5),TbTradesBinance[[#This Row],[Taxa]],0),8)))</f>
        <v>3.7164530000000001E-2</v>
      </c>
      <c r="AP139" s="145" cm="1">
        <f t="array" ref="AP139">IF(TbTradesBinance[[#This Row],[Tipo]]="EMPTY",0,AP138+IF(TbTradesBinance[[#This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Row],[Par]]))),$1:$1,0)),-(AO138-AO139)/AO138*AP138),0),0)+IF(TbTradesBinance[[#This Row],[Tipo]]="SELL",IF(ISNUMBER(FIND(MID(AP$1,10,5),TbTradesBinance[[#This Row],[Par]])),IF(FIND(MID(AP$1,10,5),TbTradesBinance[[#This Row],[Par]])=1, -(AO138-AO139)/AO138*AP138,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Row],[Par]])),(-(AO138-AO139)/AO138*AP138)+IF(TbTradesBinance[[#This Row],[Resultado]]&gt;0,0,TbTradesBinance[[#This Row],[Taxa]]),0),0))</f>
        <v>56.863147211807636</v>
      </c>
      <c r="AQ139" s="145">
        <f t="shared" si="48"/>
        <v>1530.0381092350053</v>
      </c>
      <c r="AR13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Row],[Tipo]]="DROP"),AR138+TbTradesBinance[[#This Row],[Qtt]],AR138-TbTradesBinance[[#This Row],[Qtt]]),IF(TbTradesBinance[[#This Row],[Tipo]]="BUY",AR138-TbTradesBinance[[#This Row],[Qtt]]*TbTradesBinance[[#This Row],[Preço]],AR138+TbTradesBinance[[#This Row],[Qtt]]*TbTradesBinance[[#This Row],[Preço]])),AR138)-IF(TbTradesBinance[[#This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Row],[Tipo]]="DROP"),AR138+TbTradesBinance[[#This Row],[Qtt]],AR138-TbTradesBinance[[#This Row],[Qtt]]),IF(TbTradesBinance[[#This Row],[Tipo]]="BUY",AR138-TbTradesBinance[[#This Row],[Qtt]]*TbTradesBinance[[#This Row],[Preço]],AR138+TbTradesBinance[[#This Row],[Qtt]]*TbTradesBinance[[#This Row],[Preço]])),AR138)-IF(TbTradesBinance[[#This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Row],[Tipo]]="DROP"),AR138+TbTradesBinance[[#This Row],[Qtt]],AR138-TbTradesBinance[[#This Row],[Qtt]]),IF(TbTradesBinance[[#This Row],[Tipo]]="BUY",AR138-TbTradesBinance[[#This Row],[Qtt]]*TbTradesBinance[[#This Row],[Preço]],AR138+TbTradesBinance[[#This Row],[Qtt]]*TbTradesBinance[[#This Row],[Preço]])),AR138)-IF(TbTradesBinance[[#This Row],[Moeda da Taxa]]=MID(AR$1,9,5),TbTradesBinance[[#This Row],[Taxa]],0),8)))</f>
        <v>5.1199990000000001E-2</v>
      </c>
      <c r="AS139" s="145" cm="1">
        <f t="array" ref="AS139">IF(TbTradesBinance[[#This Row],[Tipo]]="EMPTY",0,AS138+IF(TbTradesBinance[[#This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Row],[Par]]))),$1:$1,0)),-(AR138-AR139)/AR138*AS138),0),0)+IF(TbTradesBinance[[#This Row],[Tipo]]="SELL",IF(ISNUMBER(FIND(MID(AS$1,10,5),TbTradesBinance[[#This Row],[Par]])),IF(FIND(MID(AS$1,10,5),TbTradesBinance[[#This Row],[Par]])=1, -(AR138-AR139)/AR138*AS138,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Row],[Par]])),(-(AR138-AR139)/AR138*AS138)+IF(TbTradesBinance[[#This Row],[Resultado]]&gt;0,0,TbTradesBinance[[#This Row],[Taxa]]),0),0))</f>
        <v>0.19295958930010215</v>
      </c>
      <c r="AT139" s="145">
        <f t="shared" si="49"/>
        <v>3.7687427146001817</v>
      </c>
      <c r="AU13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Row],[Tipo]]="DROP"),AU138+TbTradesBinance[[#This Row],[Qtt]],AU138-TbTradesBinance[[#This Row],[Qtt]]),IF(TbTradesBinance[[#This Row],[Tipo]]="BUY",AU138-TbTradesBinance[[#This Row],[Qtt]]*TbTradesBinance[[#This Row],[Preço]],AU138+TbTradesBinance[[#This Row],[Qtt]]*TbTradesBinance[[#This Row],[Preço]])),AU138)-IF(TbTradesBinance[[#This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Row],[Tipo]]="DROP"),AU138+TbTradesBinance[[#This Row],[Qtt]],AU138-TbTradesBinance[[#This Row],[Qtt]]),IF(TbTradesBinance[[#This Row],[Tipo]]="BUY",AU138-TbTradesBinance[[#This Row],[Qtt]]*TbTradesBinance[[#This Row],[Preço]],AU138+TbTradesBinance[[#This Row],[Qtt]]*TbTradesBinance[[#This Row],[Preço]])),AU138)-IF(TbTradesBinance[[#This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Row],[Tipo]]="DROP"),AU138+TbTradesBinance[[#This Row],[Qtt]],AU138-TbTradesBinance[[#This Row],[Qtt]]),IF(TbTradesBinance[[#This Row],[Tipo]]="BUY",AU138-TbTradesBinance[[#This Row],[Qtt]]*TbTradesBinance[[#This Row],[Preço]],AU138+TbTradesBinance[[#This Row],[Qtt]]*TbTradesBinance[[#This Row],[Preço]])),AU138)-IF(TbTradesBinance[[#This Row],[Moeda da Taxa]]=MID(AU$1,9,5),TbTradesBinance[[#This Row],[Taxa]],0),8)))</f>
        <v>0</v>
      </c>
      <c r="AV139" s="145" cm="1">
        <f t="array" ref="AV139">IF(TbTradesBinance[[#This Row],[Tipo]]="EMPTY",0,AV138+IF(TbTradesBinance[[#This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Row],[Par]]))),$1:$1,0)),-(AU138-AU139)/AU138*AV138),0),0)+IF(TbTradesBinance[[#This Row],[Tipo]]="SELL",IF(ISNUMBER(FIND(MID(AV$1,10,5),TbTradesBinance[[#This Row],[Par]])),IF(FIND(MID(AV$1,10,5),TbTradesBinance[[#This Row],[Par]])=1, -(AU138-AU139)/AU138*AV138,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Row],[Par]])),(-(AU138-AU139)/AU138*AV138)+IF(TbTradesBinance[[#This Row],[Resultado]]&gt;0,0,TbTradesBinance[[#This Row],[Taxa]]),0),0))</f>
        <v>0</v>
      </c>
      <c r="AW139" s="145">
        <f t="shared" si="50"/>
        <v>0</v>
      </c>
      <c r="AX13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Row],[Tipo]]="DROP"),AX138+TbTradesBinance[[#This Row],[Qtt]],AX138-TbTradesBinance[[#This Row],[Qtt]]),IF(TbTradesBinance[[#This Row],[Tipo]]="BUY",AX138-TbTradesBinance[[#This Row],[Qtt]]*TbTradesBinance[[#This Row],[Preço]],AX138+TbTradesBinance[[#This Row],[Qtt]]*TbTradesBinance[[#This Row],[Preço]])),AX138)-IF(TbTradesBinance[[#This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Row],[Tipo]]="DROP"),AX138+TbTradesBinance[[#This Row],[Qtt]],AX138-TbTradesBinance[[#This Row],[Qtt]]),IF(TbTradesBinance[[#This Row],[Tipo]]="BUY",AX138-TbTradesBinance[[#This Row],[Qtt]]*TbTradesBinance[[#This Row],[Preço]],AX138+TbTradesBinance[[#This Row],[Qtt]]*TbTradesBinance[[#This Row],[Preço]])),AX138)-IF(TbTradesBinance[[#This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Row],[Tipo]]="DROP"),AX138+TbTradesBinance[[#This Row],[Qtt]],AX138-TbTradesBinance[[#This Row],[Qtt]]),IF(TbTradesBinance[[#This Row],[Tipo]]="BUY",AX138-TbTradesBinance[[#This Row],[Qtt]]*TbTradesBinance[[#This Row],[Preço]],AX138+TbTradesBinance[[#This Row],[Qtt]]*TbTradesBinance[[#This Row],[Preço]])),AX138)-IF(TbTradesBinance[[#This Row],[Moeda da Taxa]]=MID(AX$1,9,5),TbTradesBinance[[#This Row],[Taxa]],0),8)))</f>
        <v>0.85636999999999996</v>
      </c>
      <c r="AY139" s="145" cm="1">
        <f t="array" ref="AY139">IF(TbTradesBinance[[#This Row],[Tipo]]="EMPTY",0,AY138+IF(TbTradesBinance[[#This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Row],[Par]]))),$1:$1,0)),-(AX138-AX139)/AX138*AY138),0),0)+IF(TbTradesBinance[[#This Row],[Tipo]]="SELL",IF(ISNUMBER(FIND(MID(AY$1,10,5),TbTradesBinance[[#This Row],[Par]])),IF(FIND(MID(AY$1,10,5),TbTradesBinance[[#This Row],[Par]])=1, -(AX138-AX139)/AX138*AY138,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Row],[Par]])),(-(AX138-AX139)/AX138*AY138)+IF(TbTradesBinance[[#This Row],[Resultado]]&gt;0,0,TbTradesBinance[[#This Row],[Taxa]]),0),0))</f>
        <v>131.82971181780295</v>
      </c>
      <c r="AZ139" s="145">
        <f t="shared" si="51"/>
        <v>153.94013314081874</v>
      </c>
      <c r="BA13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Row],[Tipo]]="DROP"),BA138+TbTradesBinance[[#This Row],[Qtt]],BA138-TbTradesBinance[[#This Row],[Qtt]]),IF(TbTradesBinance[[#This Row],[Tipo]]="BUY",BA138-TbTradesBinance[[#This Row],[Qtt]]*TbTradesBinance[[#This Row],[Preço]],BA138+TbTradesBinance[[#This Row],[Qtt]]*TbTradesBinance[[#This Row],[Preço]])),BA138)-IF(TbTradesBinance[[#This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Row],[Tipo]]="DROP"),BA138+TbTradesBinance[[#This Row],[Qtt]],BA138-TbTradesBinance[[#This Row],[Qtt]]),IF(TbTradesBinance[[#This Row],[Tipo]]="BUY",BA138-TbTradesBinance[[#This Row],[Qtt]]*TbTradesBinance[[#This Row],[Preço]],BA138+TbTradesBinance[[#This Row],[Qtt]]*TbTradesBinance[[#This Row],[Preço]])),BA138)-IF(TbTradesBinance[[#This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Row],[Tipo]]="DROP"),BA138+TbTradesBinance[[#This Row],[Qtt]],BA138-TbTradesBinance[[#This Row],[Qtt]]),IF(TbTradesBinance[[#This Row],[Tipo]]="BUY",BA138-TbTradesBinance[[#This Row],[Qtt]]*TbTradesBinance[[#This Row],[Preço]],BA138+TbTradesBinance[[#This Row],[Qtt]]*TbTradesBinance[[#This Row],[Preço]])),BA138)-IF(TbTradesBinance[[#This Row],[Moeda da Taxa]]=MID(BA$1,9,5),TbTradesBinance[[#This Row],[Taxa]],0),8)))</f>
        <v>0.10571</v>
      </c>
      <c r="BB139" s="145" cm="1">
        <f t="array" ref="BB139">IF(TbTradesBinance[[#This Row],[Tipo]]="EMPTY",0,BB138+IF(TbTradesBinance[[#This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Row],[Par]]))),$1:$1,0)),-(BA138-BA139)/BA138*BB138),0),0)+IF(TbTradesBinance[[#This Row],[Tipo]]="SELL",IF(ISNUMBER(FIND(MID(BB$1,10,5),TbTradesBinance[[#This Row],[Par]])),IF(FIND(MID(BB$1,10,5),TbTradesBinance[[#This Row],[Par]])=1, -(BA138-BA139)/BA138*BB138,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Row],[Par]])),(-(BA138-BA139)/BA138*BB138)+IF(TbTradesBinance[[#This Row],[Resultado]]&gt;0,0,TbTradesBinance[[#This Row],[Taxa]]),0),0))</f>
        <v>120.8257969142021</v>
      </c>
      <c r="BC139" s="145">
        <f t="shared" si="52"/>
        <v>1142.9930651234708</v>
      </c>
      <c r="BD13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Row],[Tipo]]="DROP"),BD138+TbTradesBinance[[#This Row],[Qtt]],BD138-TbTradesBinance[[#This Row],[Qtt]]),IF(TbTradesBinance[[#This Row],[Tipo]]="BUY",BD138-TbTradesBinance[[#This Row],[Qtt]]*TbTradesBinance[[#This Row],[Preço]],BD138+TbTradesBinance[[#This Row],[Qtt]]*TbTradesBinance[[#This Row],[Preço]])),BD138)-IF(TbTradesBinance[[#This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Row],[Tipo]]="DROP"),BD138+TbTradesBinance[[#This Row],[Qtt]],BD138-TbTradesBinance[[#This Row],[Qtt]]),IF(TbTradesBinance[[#This Row],[Tipo]]="BUY",BD138-TbTradesBinance[[#This Row],[Qtt]]*TbTradesBinance[[#This Row],[Preço]],BD138+TbTradesBinance[[#This Row],[Qtt]]*TbTradesBinance[[#This Row],[Preço]])),BD138)-IF(TbTradesBinance[[#This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Row],[Tipo]]="DROP"),BD138+TbTradesBinance[[#This Row],[Qtt]],BD138-TbTradesBinance[[#This Row],[Qtt]]),IF(TbTradesBinance[[#This Row],[Tipo]]="BUY",BD138-TbTradesBinance[[#This Row],[Qtt]]*TbTradesBinance[[#This Row],[Preço]],BD138+TbTradesBinance[[#This Row],[Qtt]]*TbTradesBinance[[#This Row],[Preço]])),BD138)-IF(TbTradesBinance[[#This Row],[Moeda da Taxa]]=MID(BD$1,9,5),TbTradesBinance[[#This Row],[Taxa]],0),8)))</f>
        <v>0</v>
      </c>
      <c r="BE139" s="145" cm="1">
        <f t="array" ref="BE139">IF(TbTradesBinance[[#This Row],[Tipo]]="EMPTY",0,BE138+IF(TbTradesBinance[[#This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Row],[Par]]))),$1:$1,0)),-(BD138-BD139)/BD138*BE138),0),0)+IF(TbTradesBinance[[#This Row],[Tipo]]="SELL",IF(ISNUMBER(FIND(MID(BE$1,10,5),TbTradesBinance[[#This Row],[Par]])),IF(FIND(MID(BE$1,10,5),TbTradesBinance[[#This Row],[Par]])=1, -(BD138-BD139)/BD138*BE138,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Row],[Par]])),(-(BD138-BD139)/BD138*BE138)+IF(TbTradesBinance[[#This Row],[Resultado]]&gt;0,0,TbTradesBinance[[#This Row],[Taxa]]),0),0))</f>
        <v>0</v>
      </c>
      <c r="BF139" s="145">
        <f t="shared" si="53"/>
        <v>0</v>
      </c>
      <c r="BG13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Row],[Tipo]]="DROP"),BG138+TbTradesBinance[[#This Row],[Qtt]],BG138-TbTradesBinance[[#This Row],[Qtt]]),IF(TbTradesBinance[[#This Row],[Tipo]]="BUY",BG138-TbTradesBinance[[#This Row],[Qtt]]*TbTradesBinance[[#This Row],[Preço]],BG138+TbTradesBinance[[#This Row],[Qtt]]*TbTradesBinance[[#This Row],[Preço]])),BG138)-IF(TbTradesBinance[[#This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Row],[Tipo]]="DROP"),BG138+TbTradesBinance[[#This Row],[Qtt]],BG138-TbTradesBinance[[#This Row],[Qtt]]),IF(TbTradesBinance[[#This Row],[Tipo]]="BUY",BG138-TbTradesBinance[[#This Row],[Qtt]]*TbTradesBinance[[#This Row],[Preço]],BG138+TbTradesBinance[[#This Row],[Qtt]]*TbTradesBinance[[#This Row],[Preço]])),BG138)-IF(TbTradesBinance[[#This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Row],[Tipo]]="DROP"),BG138+TbTradesBinance[[#This Row],[Qtt]],BG138-TbTradesBinance[[#This Row],[Qtt]]),IF(TbTradesBinance[[#This Row],[Tipo]]="BUY",BG138-TbTradesBinance[[#This Row],[Qtt]]*TbTradesBinance[[#This Row],[Preço]],BG138+TbTradesBinance[[#This Row],[Qtt]]*TbTradesBinance[[#This Row],[Preço]])),BG138)-IF(TbTradesBinance[[#This Row],[Moeda da Taxa]]=MID(BG$1,9,5),TbTradesBinance[[#This Row],[Taxa]],0),8)))</f>
        <v>0</v>
      </c>
      <c r="BH139" s="145" cm="1">
        <f t="array" ref="BH139">IF(TbTradesBinance[[#This Row],[Tipo]]="EMPTY",0,BH138+IF(TbTradesBinance[[#This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Row],[Par]]))),$1:$1,0)),-(BG138-BG139)/BG138*BH138),0),0)+IF(TbTradesBinance[[#This Row],[Tipo]]="SELL",IF(ISNUMBER(FIND(MID(BH$1,10,5),TbTradesBinance[[#This Row],[Par]])),IF(FIND(MID(BH$1,10,5),TbTradesBinance[[#This Row],[Par]])=1, -(BG138-BG139)/BG138*BH138,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Row],[Par]])),(-(BG138-BG139)/BG138*BH138)+IF(TbTradesBinance[[#This Row],[Resultado]]&gt;0,0,TbTradesBinance[[#This Row],[Taxa]]),0),0))</f>
        <v>0</v>
      </c>
      <c r="BI139" s="145">
        <f t="shared" si="54"/>
        <v>0</v>
      </c>
      <c r="BJ13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Row],[Tipo]]="DROP"),BJ138+TbTradesBinance[[#This Row],[Qtt]],BJ138-TbTradesBinance[[#This Row],[Qtt]]),IF(TbTradesBinance[[#This Row],[Tipo]]="BUY",BJ138-TbTradesBinance[[#This Row],[Qtt]]*TbTradesBinance[[#This Row],[Preço]],BJ138+TbTradesBinance[[#This Row],[Qtt]]*TbTradesBinance[[#This Row],[Preço]])),BJ138)-IF(TbTradesBinance[[#This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Row],[Tipo]]="DROP"),BJ138+TbTradesBinance[[#This Row],[Qtt]],BJ138-TbTradesBinance[[#This Row],[Qtt]]),IF(TbTradesBinance[[#This Row],[Tipo]]="BUY",BJ138-TbTradesBinance[[#This Row],[Qtt]]*TbTradesBinance[[#This Row],[Preço]],BJ138+TbTradesBinance[[#This Row],[Qtt]]*TbTradesBinance[[#This Row],[Preço]])),BJ138)-IF(TbTradesBinance[[#This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Row],[Tipo]]="DROP"),BJ138+TbTradesBinance[[#This Row],[Qtt]],BJ138-TbTradesBinance[[#This Row],[Qtt]]),IF(TbTradesBinance[[#This Row],[Tipo]]="BUY",BJ138-TbTradesBinance[[#This Row],[Qtt]]*TbTradesBinance[[#This Row],[Preço]],BJ138+TbTradesBinance[[#This Row],[Qtt]]*TbTradesBinance[[#This Row],[Preço]])),BJ138)-IF(TbTradesBinance[[#This Row],[Moeda da Taxa]]=MID(BJ$1,9,5),TbTradesBinance[[#This Row],[Taxa]],0),8)))</f>
        <v>2.1681500000000002E-3</v>
      </c>
      <c r="BK139" s="145" cm="1">
        <f t="array" ref="BK139">IF(TbTradesBinance[[#This Row],[Tipo]]="EMPTY",0,BK138+IF(TbTradesBinance[[#This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Row],[Par]]))),$1:$1,0)),-(BJ138-BJ139)/BJ138*BK138),0),0)+IF(TbTradesBinance[[#This Row],[Tipo]]="SELL",IF(ISNUMBER(FIND(MID(BK$1,10,5),TbTradesBinance[[#This Row],[Par]])),IF(FIND(MID(BK$1,10,5),TbTradesBinance[[#This Row],[Par]])=1, -(BJ138-BJ139)/BJ138*BK138,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Row],[Par]])),(-(BJ138-BJ139)/BJ138*BK138)+IF(TbTradesBinance[[#This Row],[Resultado]]&gt;0,0,TbTradesBinance[[#This Row],[Taxa]]),0),0))</f>
        <v>0</v>
      </c>
      <c r="BL139" s="145">
        <f t="shared" si="55"/>
        <v>0</v>
      </c>
      <c r="BM13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Row],[Tipo]]="DROP"),BM138+TbTradesBinance[[#This Row],[Qtt]],BM138-TbTradesBinance[[#This Row],[Qtt]]),IF(TbTradesBinance[[#This Row],[Tipo]]="BUY",BM138-TbTradesBinance[[#This Row],[Qtt]]*TbTradesBinance[[#This Row],[Preço]],BM138+TbTradesBinance[[#This Row],[Qtt]]*TbTradesBinance[[#This Row],[Preço]])),BM138)-IF(TbTradesBinance[[#This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Row],[Tipo]]="DROP"),BM138+TbTradesBinance[[#This Row],[Qtt]],BM138-TbTradesBinance[[#This Row],[Qtt]]),IF(TbTradesBinance[[#This Row],[Tipo]]="BUY",BM138-TbTradesBinance[[#This Row],[Qtt]]*TbTradesBinance[[#This Row],[Preço]],BM138+TbTradesBinance[[#This Row],[Qtt]]*TbTradesBinance[[#This Row],[Preço]])),BM138)-IF(TbTradesBinance[[#This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Row],[Tipo]]="DROP"),BM138+TbTradesBinance[[#This Row],[Qtt]],BM138-TbTradesBinance[[#This Row],[Qtt]]),IF(TbTradesBinance[[#This Row],[Tipo]]="BUY",BM138-TbTradesBinance[[#This Row],[Qtt]]*TbTradesBinance[[#This Row],[Preço]],BM138+TbTradesBinance[[#This Row],[Qtt]]*TbTradesBinance[[#This Row],[Preço]])),BM138)-IF(TbTradesBinance[[#This Row],[Moeda da Taxa]]=MID(BM$1,9,5),TbTradesBinance[[#This Row],[Taxa]],0),8)))</f>
        <v>0</v>
      </c>
      <c r="BN139" s="145" cm="1">
        <f t="array" ref="BN139">IF(TbTradesBinance[[#This Row],[Tipo]]="EMPTY",0,BN138+IF(TbTradesBinance[[#This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Row],[Par]]))),$1:$1,0)),-(BM138-BM139)/BM138*BN138),0),0)+IF(TbTradesBinance[[#This Row],[Tipo]]="SELL",IF(ISNUMBER(FIND(MID(BN$1,10,5),TbTradesBinance[[#This Row],[Par]])),IF(FIND(MID(BN$1,10,5),TbTradesBinance[[#This Row],[Par]])=1, -(BM138-BM139)/BM138*BN138,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Row],[Par]])),(-(BM138-BM139)/BM138*BN138)+IF(TbTradesBinance[[#This Row],[Resultado]]&gt;0,0,TbTradesBinance[[#This Row],[Taxa]]),0),0))</f>
        <v>0</v>
      </c>
      <c r="BO139" s="145">
        <f t="shared" si="56"/>
        <v>0</v>
      </c>
    </row>
    <row r="140" spans="2:67" x14ac:dyDescent="0.3">
      <c r="B140" s="51" t="s">
        <v>107</v>
      </c>
      <c r="C140" s="40">
        <f>TRUNC(IF(AND(TbTradesBinance[[#This Row],[Tipo]]="SEND",TbTradesBinance[[#This Row],[Par]]="BRL"),TbTradesBinance[[#This Row],[Qtt]]*(1-P138)-IF(TbTradesBinance[[#This Row],[Moeda da Taxa]]="BRL",TbTradesBinance[[#This Row],[Taxa]],0),0)+IF(AND(TbTradesBinance[[#This Row],[Tipo]]="BURN",TbTradesBinance[[#This Row],[Par]]="BRL"),-TbTradesBinance[[#This Row],[Qtt]]*P138,0),2)</f>
        <v>0</v>
      </c>
      <c r="D140" s="53">
        <v>44284.927523148152</v>
      </c>
      <c r="E140" s="37" t="s">
        <v>267</v>
      </c>
      <c r="F140" s="47" t="s">
        <v>140</v>
      </c>
      <c r="G140" s="38">
        <v>1.9204999999999999E-3</v>
      </c>
      <c r="H140" s="38">
        <v>5.1200000000000002E-2</v>
      </c>
      <c r="I140" s="38">
        <v>1.9700000000000002E-6</v>
      </c>
      <c r="J140" s="37" t="s">
        <v>45</v>
      </c>
      <c r="K140" s="52">
        <v>1582</v>
      </c>
      <c r="L140" s="40">
        <f t="shared" si="38"/>
        <v>3.03</v>
      </c>
      <c r="M140" s="40">
        <f>IF(OR(TbTradesBinance[[#This Row],[Tipo]]="BUY",TbTradesBinance[[#This Row],[Tipo]]="RECEIVE",TbTradesBinance[[#This Row],[Tipo]]="DROP"),L140*H140,-L140*H140)</f>
        <v>-0.155136</v>
      </c>
      <c r="N14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Row],[Tipo]]="DROP"),N139+TbTradesBinance[[#This Row],[Qtt]],N139-TbTradesBinance[[#This Row],[Qtt]]),IF(TbTradesBinance[[#This Row],[Tipo]]="BUY",N139-TbTradesBinance[[#This Row],[Qtt]]*TbTradesBinance[[#This Row],[Preço]],N139+TbTradesBinance[[#This Row],[Qtt]]*TbTradesBinance[[#This Row],[Preço]])),N139)-IF(TbTradesBinance[[#This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Row],[Tipo]]="DROP"),N139+TbTradesBinance[[#This Row],[Qtt]],N139-TbTradesBinance[[#This Row],[Qtt]]),IF(TbTradesBinance[[#This Row],[Tipo]]="BUY",N139-TbTradesBinance[[#This Row],[Qtt]]*TbTradesBinance[[#This Row],[Preço]],N139+TbTradesBinance[[#This Row],[Qtt]]*TbTradesBinance[[#This Row],[Preço]])),N139)-IF(TbTradesBinance[[#This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Row],[Tipo]]="DROP"),N139+TbTradesBinance[[#This Row],[Qtt]],N139-TbTradesBinance[[#This Row],[Qtt]]),IF(TbTradesBinance[[#This Row],[Tipo]]="BUY",N139-TbTradesBinance[[#This Row],[Qtt]]*TbTradesBinance[[#This Row],[Preço]],N139+TbTradesBinance[[#This Row],[Qtt]]*TbTradesBinance[[#This Row],[Preço]])),N139)-IF(TbTradesBinance[[#This Row],[Moeda da Taxa]]=MID(N$1,9,5),TbTradesBinance[[#This Row],[Taxa]],0),8)))</f>
        <v>119745.42956418</v>
      </c>
      <c r="O140" s="145" cm="1">
        <f t="array" ref="O140">IF(TbTradesBinance[[#This Row],[Tipo]]="EMPTY",0,O139+IF(TbTradesBinance[[#This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Row],[Par]]))),$1:$1,0)),-(N139-N140)/N139*O139),0),0)+IF(TbTradesBinance[[#This Row],[Tipo]]="SELL",IF(ISNUMBER(FIND(MID(O$1,10,5),TbTradesBinance[[#This Row],[Par]])),IF(FIND(MID(O$1,10,5),TbTradesBinance[[#This Row],[Par]])=1, -(N139-N140)/N139*O139,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Row],[Par]])),(-(N139-N140)/N139*O139)+IF(TbTradesBinance[[#This Row],[Resultado]]&gt;0,0,TbTradesBinance[[#This Row],[Taxa]]),0),0))</f>
        <v>119800.43203771512</v>
      </c>
      <c r="P140" s="145">
        <f t="shared" si="39"/>
        <v>1.0004593283746637</v>
      </c>
      <c r="Q14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Row],[Tipo]]="DROP"),Q139+TbTradesBinance[[#This Row],[Qtt]],Q139-TbTradesBinance[[#This Row],[Qtt]]),IF(TbTradesBinance[[#This Row],[Tipo]]="BUY",Q139-TbTradesBinance[[#This Row],[Qtt]]*TbTradesBinance[[#This Row],[Preço]],Q139+TbTradesBinance[[#This Row],[Qtt]]*TbTradesBinance[[#This Row],[Preço]])),Q139)-IF(TbTradesBinance[[#This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Row],[Tipo]]="DROP"),Q139+TbTradesBinance[[#This Row],[Qtt]],Q139-TbTradesBinance[[#This Row],[Qtt]]),IF(TbTradesBinance[[#This Row],[Tipo]]="BUY",Q139-TbTradesBinance[[#This Row],[Qtt]]*TbTradesBinance[[#This Row],[Preço]],Q139+TbTradesBinance[[#This Row],[Qtt]]*TbTradesBinance[[#This Row],[Preço]])),Q139)-IF(TbTradesBinance[[#This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Row],[Tipo]]="DROP"),Q139+TbTradesBinance[[#This Row],[Qtt]],Q139-TbTradesBinance[[#This Row],[Qtt]]),IF(TbTradesBinance[[#This Row],[Tipo]]="BUY",Q139-TbTradesBinance[[#This Row],[Qtt]]*TbTradesBinance[[#This Row],[Preço]],Q139+TbTradesBinance[[#This Row],[Qtt]]*TbTradesBinance[[#This Row],[Preço]])),Q139)-IF(TbTradesBinance[[#This Row],[Moeda da Taxa]]=MID(Q$1,9,5),TbTradesBinance[[#This Row],[Taxa]],0),8)))</f>
        <v>32.281286399999999</v>
      </c>
      <c r="R140" s="145" cm="1">
        <f t="array" ref="R140">IF(TbTradesBinance[[#This Row],[Tipo]]="EMPTY",0,R139+IF(TbTradesBinance[[#This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Row],[Par]]))),$1:$1,0)),-(Q139-Q140)/Q139*R139),0),0)+IF(TbTradesBinance[[#This Row],[Tipo]]="SELL",IF(ISNUMBER(FIND(MID(R$1,10,5),TbTradesBinance[[#This Row],[Par]])),IF(FIND(MID(R$1,10,5),TbTradesBinance[[#This Row],[Par]])=1, -(Q139-Q140)/Q139*R139,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Row],[Par]])),(-(Q139-Q140)/Q139*R139)+IF(TbTradesBinance[[#This Row],[Resultado]]&gt;0,0,TbTradesBinance[[#This Row],[Taxa]]),0),0))</f>
        <v>230.64705417123034</v>
      </c>
      <c r="S140" s="145">
        <f t="shared" si="40"/>
        <v>7.1449152091792207</v>
      </c>
      <c r="T14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Row],[Tipo]]="DROP"),T139+TbTradesBinance[[#This Row],[Qtt]],T139-TbTradesBinance[[#This Row],[Qtt]]),IF(TbTradesBinance[[#This Row],[Tipo]]="BUY",T139-TbTradesBinance[[#This Row],[Qtt]]*TbTradesBinance[[#This Row],[Preço]],T139+TbTradesBinance[[#This Row],[Qtt]]*TbTradesBinance[[#This Row],[Preço]])),T139)-IF(TbTradesBinance[[#This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Row],[Tipo]]="DROP"),T139+TbTradesBinance[[#This Row],[Qtt]],T139-TbTradesBinance[[#This Row],[Qtt]]),IF(TbTradesBinance[[#This Row],[Tipo]]="BUY",T139-TbTradesBinance[[#This Row],[Qtt]]*TbTradesBinance[[#This Row],[Preço]],T139+TbTradesBinance[[#This Row],[Qtt]]*TbTradesBinance[[#This Row],[Preço]])),T139)-IF(TbTradesBinance[[#This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Row],[Tipo]]="DROP"),T139+TbTradesBinance[[#This Row],[Qtt]],T139-TbTradesBinance[[#This Row],[Qtt]]),IF(TbTradesBinance[[#This Row],[Tipo]]="BUY",T139-TbTradesBinance[[#This Row],[Qtt]]*TbTradesBinance[[#This Row],[Preço]],T139+TbTradesBinance[[#This Row],[Qtt]]*TbTradesBinance[[#This Row],[Preço]])),T139)-IF(TbTradesBinance[[#This Row],[Moeda da Taxa]]=MID(T$1,9,5),TbTradesBinance[[#This Row],[Taxa]],0),8)))</f>
        <v>219713.72000189999</v>
      </c>
      <c r="U140" s="145" cm="1">
        <f t="array" ref="U140">IF(TbTradesBinance[[#This Row],[Tipo]]="EMPTY",0,U139+IF(TbTradesBinance[[#This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Row],[Par]]))),$1:$1,0)),-(T139-T140)/T139*U139),0),0)+IF(TbTradesBinance[[#This Row],[Tipo]]="SELL",IF(ISNUMBER(FIND(MID(U$1,10,5),TbTradesBinance[[#This Row],[Par]])),IF(FIND(MID(U$1,10,5),TbTradesBinance[[#This Row],[Par]])=1, -(T139-T140)/T139*U139,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Row],[Par]])),(-(T139-T140)/T139*U139)+IF(TbTradesBinance[[#This Row],[Resultado]]&gt;0,0,TbTradesBinance[[#This Row],[Taxa]]),0),0))</f>
        <v>1461096.2409827893</v>
      </c>
      <c r="V140" s="145">
        <f t="shared" si="41"/>
        <v>6.6500000135182926</v>
      </c>
      <c r="W14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Row],[Tipo]]="DROP"),W139+TbTradesBinance[[#This Row],[Qtt]],W139-TbTradesBinance[[#This Row],[Qtt]]),IF(TbTradesBinance[[#This Row],[Tipo]]="BUY",W139-TbTradesBinance[[#This Row],[Qtt]]*TbTradesBinance[[#This Row],[Preço]],W139+TbTradesBinance[[#This Row],[Qtt]]*TbTradesBinance[[#This Row],[Preço]])),W139)-IF(TbTradesBinance[[#This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Row],[Tipo]]="DROP"),W139+TbTradesBinance[[#This Row],[Qtt]],W139-TbTradesBinance[[#This Row],[Qtt]]),IF(TbTradesBinance[[#This Row],[Tipo]]="BUY",W139-TbTradesBinance[[#This Row],[Qtt]]*TbTradesBinance[[#This Row],[Preço]],W139+TbTradesBinance[[#This Row],[Qtt]]*TbTradesBinance[[#This Row],[Preço]])),W139)-IF(TbTradesBinance[[#This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Row],[Tipo]]="DROP"),W139+TbTradesBinance[[#This Row],[Qtt]],W139-TbTradesBinance[[#This Row],[Qtt]]),IF(TbTradesBinance[[#This Row],[Tipo]]="BUY",W139-TbTradesBinance[[#This Row],[Qtt]]*TbTradesBinance[[#This Row],[Preço]],W139+TbTradesBinance[[#This Row],[Qtt]]*TbTradesBinance[[#This Row],[Preço]])),W139)-IF(TbTradesBinance[[#This Row],[Moeda da Taxa]]=MID(W$1,9,5),TbTradesBinance[[#This Row],[Taxa]],0),8)))</f>
        <v>3.2336000000000002E-4</v>
      </c>
      <c r="X140" s="145" cm="1">
        <f t="array" ref="X140">IF(TbTradesBinance[[#This Row],[Tipo]]="EMPTY",0,X139+IF(TbTradesBinance[[#This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Row],[Par]]))),$1:$1,0)),-(W139-W140)/W139*X139),0),0)+IF(TbTradesBinance[[#This Row],[Tipo]]="SELL",IF(ISNUMBER(FIND(MID(X$1,10,5),TbTradesBinance[[#This Row],[Par]])),IF(FIND(MID(X$1,10,5),TbTradesBinance[[#This Row],[Par]])=1, -(W139-W140)/W139*X139,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Row],[Par]])),(-(W139-W140)/W139*X139)+IF(TbTradesBinance[[#This Row],[Resultado]]&gt;0,0,TbTradesBinance[[#This Row],[Taxa]]),0),0))</f>
        <v>109.49359760304422</v>
      </c>
      <c r="Y140" s="145">
        <f t="shared" si="42"/>
        <v>338612.06581841974</v>
      </c>
      <c r="Z14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Row],[Tipo]]="DROP"),Z139+TbTradesBinance[[#This Row],[Qtt]],Z139-TbTradesBinance[[#This Row],[Qtt]]),IF(TbTradesBinance[[#This Row],[Tipo]]="BUY",Z139-TbTradesBinance[[#This Row],[Qtt]]*TbTradesBinance[[#This Row],[Preço]],Z139+TbTradesBinance[[#This Row],[Qtt]]*TbTradesBinance[[#This Row],[Preço]])),Z139)-IF(TbTradesBinance[[#This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Row],[Tipo]]="DROP"),Z139+TbTradesBinance[[#This Row],[Qtt]],Z139-TbTradesBinance[[#This Row],[Qtt]]),IF(TbTradesBinance[[#This Row],[Tipo]]="BUY",Z139-TbTradesBinance[[#This Row],[Qtt]]*TbTradesBinance[[#This Row],[Preço]],Z139+TbTradesBinance[[#This Row],[Qtt]]*TbTradesBinance[[#This Row],[Preço]])),Z139)-IF(TbTradesBinance[[#This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Row],[Tipo]]="DROP"),Z139+TbTradesBinance[[#This Row],[Qtt]],Z139-TbTradesBinance[[#This Row],[Qtt]]),IF(TbTradesBinance[[#This Row],[Tipo]]="BUY",Z139-TbTradesBinance[[#This Row],[Qtt]]*TbTradesBinance[[#This Row],[Preço]],Z139+TbTradesBinance[[#This Row],[Qtt]]*TbTradesBinance[[#This Row],[Preço]])),Z139)-IF(TbTradesBinance[[#This Row],[Moeda da Taxa]]=MID(Z$1,9,5),TbTradesBinance[[#This Row],[Taxa]],0),8)))</f>
        <v>0</v>
      </c>
      <c r="AA140" s="145" cm="1">
        <f t="array" ref="AA140">IF(TbTradesBinance[[#This Row],[Tipo]]="EMPTY",0,AA139+IF(TbTradesBinance[[#This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Row],[Par]]))),$1:$1,0)),-(Z139-Z140)/Z139*AA139),0),0)+IF(TbTradesBinance[[#This Row],[Tipo]]="SELL",IF(ISNUMBER(FIND(MID(AA$1,10,5),TbTradesBinance[[#This Row],[Par]])),IF(FIND(MID(AA$1,10,5),TbTradesBinance[[#This Row],[Par]])=1, -(Z139-Z140)/Z139*AA139,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Row],[Par]])),(-(Z139-Z140)/Z139*AA139)+IF(TbTradesBinance[[#This Row],[Resultado]]&gt;0,0,TbTradesBinance[[#This Row],[Taxa]]),0),0))</f>
        <v>0</v>
      </c>
      <c r="AB140" s="145">
        <f t="shared" si="43"/>
        <v>0</v>
      </c>
      <c r="AC14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Row],[Tipo]]="DROP"),AC139+TbTradesBinance[[#This Row],[Qtt]],AC139-TbTradesBinance[[#This Row],[Qtt]]),IF(TbTradesBinance[[#This Row],[Tipo]]="BUY",AC139-TbTradesBinance[[#This Row],[Qtt]]*TbTradesBinance[[#This Row],[Preço]],AC139+TbTradesBinance[[#This Row],[Qtt]]*TbTradesBinance[[#This Row],[Preço]])),AC139)-IF(TbTradesBinance[[#This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Row],[Tipo]]="DROP"),AC139+TbTradesBinance[[#This Row],[Qtt]],AC139-TbTradesBinance[[#This Row],[Qtt]]),IF(TbTradesBinance[[#This Row],[Tipo]]="BUY",AC139-TbTradesBinance[[#This Row],[Qtt]]*TbTradesBinance[[#This Row],[Preço]],AC139+TbTradesBinance[[#This Row],[Qtt]]*TbTradesBinance[[#This Row],[Preço]])),AC139)-IF(TbTradesBinance[[#This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Row],[Tipo]]="DROP"),AC139+TbTradesBinance[[#This Row],[Qtt]],AC139-TbTradesBinance[[#This Row],[Qtt]]),IF(TbTradesBinance[[#This Row],[Tipo]]="BUY",AC139-TbTradesBinance[[#This Row],[Qtt]]*TbTradesBinance[[#This Row],[Preço]],AC139+TbTradesBinance[[#This Row],[Qtt]]*TbTradesBinance[[#This Row],[Preço]])),AC139)-IF(TbTradesBinance[[#This Row],[Moeda da Taxa]]=MID(AC$1,9,5),TbTradesBinance[[#This Row],[Taxa]],0),8)))</f>
        <v>0</v>
      </c>
      <c r="AD140" s="145" cm="1">
        <f t="array" ref="AD140">IF(TbTradesBinance[[#This Row],[Tipo]]="EMPTY",0,AD139+IF(TbTradesBinance[[#This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Row],[Par]]))),$1:$1,0)),-(AC139-AC140)/AC139*AD139),0),0)+IF(TbTradesBinance[[#This Row],[Tipo]]="SELL",IF(ISNUMBER(FIND(MID(AD$1,10,5),TbTradesBinance[[#This Row],[Par]])),IF(FIND(MID(AD$1,10,5),TbTradesBinance[[#This Row],[Par]])=1, -(AC139-AC140)/AC139*AD139,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Row],[Par]])),(-(AC139-AC140)/AC139*AD139)+IF(TbTradesBinance[[#This Row],[Resultado]]&gt;0,0,TbTradesBinance[[#This Row],[Taxa]]),0),0))</f>
        <v>0</v>
      </c>
      <c r="AE140" s="145">
        <f t="shared" si="44"/>
        <v>0</v>
      </c>
      <c r="AF14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Row],[Tipo]]="DROP"),AF139+TbTradesBinance[[#This Row],[Qtt]],AF139-TbTradesBinance[[#This Row],[Qtt]]),IF(TbTradesBinance[[#This Row],[Tipo]]="BUY",AF139-TbTradesBinance[[#This Row],[Qtt]]*TbTradesBinance[[#This Row],[Preço]],AF139+TbTradesBinance[[#This Row],[Qtt]]*TbTradesBinance[[#This Row],[Preço]])),AF139)-IF(TbTradesBinance[[#This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Row],[Tipo]]="DROP"),AF139+TbTradesBinance[[#This Row],[Qtt]],AF139-TbTradesBinance[[#This Row],[Qtt]]),IF(TbTradesBinance[[#This Row],[Tipo]]="BUY",AF139-TbTradesBinance[[#This Row],[Qtt]]*TbTradesBinance[[#This Row],[Preço]],AF139+TbTradesBinance[[#This Row],[Qtt]]*TbTradesBinance[[#This Row],[Preço]])),AF139)-IF(TbTradesBinance[[#This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Row],[Tipo]]="DROP"),AF139+TbTradesBinance[[#This Row],[Qtt]],AF139-TbTradesBinance[[#This Row],[Qtt]]),IF(TbTradesBinance[[#This Row],[Tipo]]="BUY",AF139-TbTradesBinance[[#This Row],[Qtt]]*TbTradesBinance[[#This Row],[Preço]],AF139+TbTradesBinance[[#This Row],[Qtt]]*TbTradesBinance[[#This Row],[Preço]])),AF139)-IF(TbTradesBinance[[#This Row],[Moeda da Taxa]]=MID(AF$1,9,5),TbTradesBinance[[#This Row],[Taxa]],0),8)))</f>
        <v>0</v>
      </c>
      <c r="AG140" s="145" cm="1">
        <f t="array" ref="AG140">IF(TbTradesBinance[[#This Row],[Tipo]]="EMPTY",0,AG139+IF(TbTradesBinance[[#This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Row],[Par]]))),$1:$1,0)),-(AF139-AF140)/AF139*AG139),0),0)+IF(TbTradesBinance[[#This Row],[Tipo]]="SELL",IF(ISNUMBER(FIND(MID(AG$1,10,5),TbTradesBinance[[#This Row],[Par]])),IF(FIND(MID(AG$1,10,5),TbTradesBinance[[#This Row],[Par]])=1, -(AF139-AF140)/AF139*AG139,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Row],[Par]])),(-(AF139-AF140)/AF139*AG139)+IF(TbTradesBinance[[#This Row],[Resultado]]&gt;0,0,TbTradesBinance[[#This Row],[Taxa]]),0),0))</f>
        <v>0</v>
      </c>
      <c r="AH140" s="145">
        <f t="shared" si="45"/>
        <v>0</v>
      </c>
      <c r="AI14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Row],[Tipo]]="DROP"),AI139+TbTradesBinance[[#This Row],[Qtt]],AI139-TbTradesBinance[[#This Row],[Qtt]]),IF(TbTradesBinance[[#This Row],[Tipo]]="BUY",AI139-TbTradesBinance[[#This Row],[Qtt]]*TbTradesBinance[[#This Row],[Preço]],AI139+TbTradesBinance[[#This Row],[Qtt]]*TbTradesBinance[[#This Row],[Preço]])),AI139)-IF(TbTradesBinance[[#This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Row],[Tipo]]="DROP"),AI139+TbTradesBinance[[#This Row],[Qtt]],AI139-TbTradesBinance[[#This Row],[Qtt]]),IF(TbTradesBinance[[#This Row],[Tipo]]="BUY",AI139-TbTradesBinance[[#This Row],[Qtt]]*TbTradesBinance[[#This Row],[Preço]],AI139+TbTradesBinance[[#This Row],[Qtt]]*TbTradesBinance[[#This Row],[Preço]])),AI139)-IF(TbTradesBinance[[#This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Row],[Tipo]]="DROP"),AI139+TbTradesBinance[[#This Row],[Qtt]],AI139-TbTradesBinance[[#This Row],[Qtt]]),IF(TbTradesBinance[[#This Row],[Tipo]]="BUY",AI139-TbTradesBinance[[#This Row],[Qtt]]*TbTradesBinance[[#This Row],[Preço]],AI139+TbTradesBinance[[#This Row],[Qtt]]*TbTradesBinance[[#This Row],[Preço]])),AI139)-IF(TbTradesBinance[[#This Row],[Moeda da Taxa]]=MID(AI$1,9,5),TbTradesBinance[[#This Row],[Taxa]],0),8)))</f>
        <v>0</v>
      </c>
      <c r="AJ140" s="145" cm="1">
        <f t="array" ref="AJ140">IF(TbTradesBinance[[#This Row],[Tipo]]="EMPTY",0,AJ139+IF(TbTradesBinance[[#This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Row],[Par]]))),$1:$1,0)),-(AI139-AI140)/AI139*AJ139),0),0)+IF(TbTradesBinance[[#This Row],[Tipo]]="SELL",IF(ISNUMBER(FIND(MID(AJ$1,10,5),TbTradesBinance[[#This Row],[Par]])),IF(FIND(MID(AJ$1,10,5),TbTradesBinance[[#This Row],[Par]])=1, -(AI139-AI140)/AI139*AJ139,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Row],[Par]])),(-(AI139-AI140)/AI139*AJ139)+IF(TbTradesBinance[[#This Row],[Resultado]]&gt;0,0,TbTradesBinance[[#This Row],[Taxa]]),0),0))</f>
        <v>0</v>
      </c>
      <c r="AK140" s="145">
        <f t="shared" si="46"/>
        <v>0</v>
      </c>
      <c r="AL14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Row],[Tipo]]="DROP"),AL139+TbTradesBinance[[#This Row],[Qtt]],AL139-TbTradesBinance[[#This Row],[Qtt]]),IF(TbTradesBinance[[#This Row],[Tipo]]="BUY",AL139-TbTradesBinance[[#This Row],[Qtt]]*TbTradesBinance[[#This Row],[Preço]],AL139+TbTradesBinance[[#This Row],[Qtt]]*TbTradesBinance[[#This Row],[Preço]])),AL139)-IF(TbTradesBinance[[#This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Row],[Tipo]]="DROP"),AL139+TbTradesBinance[[#This Row],[Qtt]],AL139-TbTradesBinance[[#This Row],[Qtt]]),IF(TbTradesBinance[[#This Row],[Tipo]]="BUY",AL139-TbTradesBinance[[#This Row],[Qtt]]*TbTradesBinance[[#This Row],[Preço]],AL139+TbTradesBinance[[#This Row],[Qtt]]*TbTradesBinance[[#This Row],[Preço]])),AL139)-IF(TbTradesBinance[[#This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Row],[Tipo]]="DROP"),AL139+TbTradesBinance[[#This Row],[Qtt]],AL139-TbTradesBinance[[#This Row],[Qtt]]),IF(TbTradesBinance[[#This Row],[Tipo]]="BUY",AL139-TbTradesBinance[[#This Row],[Qtt]]*TbTradesBinance[[#This Row],[Preço]],AL139+TbTradesBinance[[#This Row],[Qtt]]*TbTradesBinance[[#This Row],[Preço]])),AL139)-IF(TbTradesBinance[[#This Row],[Moeda da Taxa]]=MID(AL$1,9,5),TbTradesBinance[[#This Row],[Taxa]],0),8)))</f>
        <v>0</v>
      </c>
      <c r="AM140" s="145" cm="1">
        <f t="array" ref="AM140">IF(TbTradesBinance[[#This Row],[Tipo]]="EMPTY",0,AM139+IF(TbTradesBinance[[#This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Row],[Par]]))),$1:$1,0)),-(AL139-AL140)/AL139*AM139),0),0)+IF(TbTradesBinance[[#This Row],[Tipo]]="SELL",IF(ISNUMBER(FIND(MID(AM$1,10,5),TbTradesBinance[[#This Row],[Par]])),IF(FIND(MID(AM$1,10,5),TbTradesBinance[[#This Row],[Par]])=1, -(AL139-AL140)/AL139*AM139,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Row],[Par]])),(-(AL139-AL140)/AL139*AM139)+IF(TbTradesBinance[[#This Row],[Resultado]]&gt;0,0,TbTradesBinance[[#This Row],[Taxa]]),0),0))</f>
        <v>0</v>
      </c>
      <c r="AN140" s="145">
        <f t="shared" si="47"/>
        <v>0</v>
      </c>
      <c r="AO14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Row],[Tipo]]="DROP"),AO139+TbTradesBinance[[#This Row],[Qtt]],AO139-TbTradesBinance[[#This Row],[Qtt]]),IF(TbTradesBinance[[#This Row],[Tipo]]="BUY",AO139-TbTradesBinance[[#This Row],[Qtt]]*TbTradesBinance[[#This Row],[Preço]],AO139+TbTradesBinance[[#This Row],[Qtt]]*TbTradesBinance[[#This Row],[Preço]])),AO139)-IF(TbTradesBinance[[#This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Row],[Tipo]]="DROP"),AO139+TbTradesBinance[[#This Row],[Qtt]],AO139-TbTradesBinance[[#This Row],[Qtt]]),IF(TbTradesBinance[[#This Row],[Tipo]]="BUY",AO139-TbTradesBinance[[#This Row],[Qtt]]*TbTradesBinance[[#This Row],[Preço]],AO139+TbTradesBinance[[#This Row],[Qtt]]*TbTradesBinance[[#This Row],[Preço]])),AO139)-IF(TbTradesBinance[[#This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Row],[Tipo]]="DROP"),AO139+TbTradesBinance[[#This Row],[Qtt]],AO139-TbTradesBinance[[#This Row],[Qtt]]),IF(TbTradesBinance[[#This Row],[Tipo]]="BUY",AO139-TbTradesBinance[[#This Row],[Qtt]]*TbTradesBinance[[#This Row],[Preço]],AO139+TbTradesBinance[[#This Row],[Qtt]]*TbTradesBinance[[#This Row],[Preço]])),AO139)-IF(TbTradesBinance[[#This Row],[Moeda da Taxa]]=MID(AO$1,9,5),TbTradesBinance[[#This Row],[Taxa]],0),8)))</f>
        <v>3.7260880000000003E-2</v>
      </c>
      <c r="AP140" s="145" cm="1">
        <f t="array" ref="AP140">IF(TbTradesBinance[[#This Row],[Tipo]]="EMPTY",0,AP139+IF(TbTradesBinance[[#This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Row],[Par]]))),$1:$1,0)),-(AO139-AO140)/AO139*AP139),0),0)+IF(TbTradesBinance[[#This Row],[Tipo]]="SELL",IF(ISNUMBER(FIND(MID(AP$1,10,5),TbTradesBinance[[#This Row],[Par]])),IF(FIND(MID(AP$1,10,5),TbTradesBinance[[#This Row],[Par]])=1, -(AO139-AO140)/AO139*AP139,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Row],[Par]])),(-(AO139-AO140)/AO139*AP139)+IF(TbTradesBinance[[#This Row],[Resultado]]&gt;0,0,TbTradesBinance[[#This Row],[Taxa]]),0),0))</f>
        <v>57.056106801107738</v>
      </c>
      <c r="AQ140" s="145">
        <f t="shared" si="48"/>
        <v>1531.2603137958022</v>
      </c>
      <c r="AR14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Row],[Tipo]]="DROP"),AR139+TbTradesBinance[[#This Row],[Qtt]],AR139-TbTradesBinance[[#This Row],[Qtt]]),IF(TbTradesBinance[[#This Row],[Tipo]]="BUY",AR139-TbTradesBinance[[#This Row],[Qtt]]*TbTradesBinance[[#This Row],[Preço]],AR139+TbTradesBinance[[#This Row],[Qtt]]*TbTradesBinance[[#This Row],[Preço]])),AR139)-IF(TbTradesBinance[[#This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Row],[Tipo]]="DROP"),AR139+TbTradesBinance[[#This Row],[Qtt]],AR139-TbTradesBinance[[#This Row],[Qtt]]),IF(TbTradesBinance[[#This Row],[Tipo]]="BUY",AR139-TbTradesBinance[[#This Row],[Qtt]]*TbTradesBinance[[#This Row],[Preço]],AR139+TbTradesBinance[[#This Row],[Qtt]]*TbTradesBinance[[#This Row],[Preço]])),AR139)-IF(TbTradesBinance[[#This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Row],[Tipo]]="DROP"),AR139+TbTradesBinance[[#This Row],[Qtt]],AR139-TbTradesBinance[[#This Row],[Qtt]]),IF(TbTradesBinance[[#This Row],[Tipo]]="BUY",AR139-TbTradesBinance[[#This Row],[Qtt]]*TbTradesBinance[[#This Row],[Preço]],AR139+TbTradesBinance[[#This Row],[Qtt]]*TbTradesBinance[[#This Row],[Preço]])),AR139)-IF(TbTradesBinance[[#This Row],[Moeda da Taxa]]=MID(AR$1,9,5),TbTradesBinance[[#This Row],[Taxa]],0),8)))</f>
        <v>0</v>
      </c>
      <c r="AS140" s="145" cm="1">
        <f t="array" ref="AS140">IF(TbTradesBinance[[#This Row],[Tipo]]="EMPTY",0,AS139+IF(TbTradesBinance[[#This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Row],[Par]]))),$1:$1,0)),-(AR139-AR140)/AR139*AS139),0),0)+IF(TbTradesBinance[[#This Row],[Tipo]]="SELL",IF(ISNUMBER(FIND(MID(AS$1,10,5),TbTradesBinance[[#This Row],[Par]])),IF(FIND(MID(AS$1,10,5),TbTradesBinance[[#This Row],[Par]])=1, -(AR139-AR140)/AR139*AS139,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Row],[Par]])),(-(AR139-AR140)/AR139*AS139)+IF(TbTradesBinance[[#This Row],[Resultado]]&gt;0,0,TbTradesBinance[[#This Row],[Taxa]]),0),0))</f>
        <v>0</v>
      </c>
      <c r="AT140" s="145">
        <f t="shared" si="49"/>
        <v>0</v>
      </c>
      <c r="AU14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Row],[Tipo]]="DROP"),AU139+TbTradesBinance[[#This Row],[Qtt]],AU139-TbTradesBinance[[#This Row],[Qtt]]),IF(TbTradesBinance[[#This Row],[Tipo]]="BUY",AU139-TbTradesBinance[[#This Row],[Qtt]]*TbTradesBinance[[#This Row],[Preço]],AU139+TbTradesBinance[[#This Row],[Qtt]]*TbTradesBinance[[#This Row],[Preço]])),AU139)-IF(TbTradesBinance[[#This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Row],[Tipo]]="DROP"),AU139+TbTradesBinance[[#This Row],[Qtt]],AU139-TbTradesBinance[[#This Row],[Qtt]]),IF(TbTradesBinance[[#This Row],[Tipo]]="BUY",AU139-TbTradesBinance[[#This Row],[Qtt]]*TbTradesBinance[[#This Row],[Preço]],AU139+TbTradesBinance[[#This Row],[Qtt]]*TbTradesBinance[[#This Row],[Preço]])),AU139)-IF(TbTradesBinance[[#This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Row],[Tipo]]="DROP"),AU139+TbTradesBinance[[#This Row],[Qtt]],AU139-TbTradesBinance[[#This Row],[Qtt]]),IF(TbTradesBinance[[#This Row],[Tipo]]="BUY",AU139-TbTradesBinance[[#This Row],[Qtt]]*TbTradesBinance[[#This Row],[Preço]],AU139+TbTradesBinance[[#This Row],[Qtt]]*TbTradesBinance[[#This Row],[Preço]])),AU139)-IF(TbTradesBinance[[#This Row],[Moeda da Taxa]]=MID(AU$1,9,5),TbTradesBinance[[#This Row],[Taxa]],0),8)))</f>
        <v>0</v>
      </c>
      <c r="AV140" s="145" cm="1">
        <f t="array" ref="AV140">IF(TbTradesBinance[[#This Row],[Tipo]]="EMPTY",0,AV139+IF(TbTradesBinance[[#This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Row],[Par]]))),$1:$1,0)),-(AU139-AU140)/AU139*AV139),0),0)+IF(TbTradesBinance[[#This Row],[Tipo]]="SELL",IF(ISNUMBER(FIND(MID(AV$1,10,5),TbTradesBinance[[#This Row],[Par]])),IF(FIND(MID(AV$1,10,5),TbTradesBinance[[#This Row],[Par]])=1, -(AU139-AU140)/AU139*AV139,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Row],[Par]])),(-(AU139-AU140)/AU139*AV139)+IF(TbTradesBinance[[#This Row],[Resultado]]&gt;0,0,TbTradesBinance[[#This Row],[Taxa]]),0),0))</f>
        <v>0</v>
      </c>
      <c r="AW140" s="145">
        <f t="shared" si="50"/>
        <v>0</v>
      </c>
      <c r="AX14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Row],[Tipo]]="DROP"),AX139+TbTradesBinance[[#This Row],[Qtt]],AX139-TbTradesBinance[[#This Row],[Qtt]]),IF(TbTradesBinance[[#This Row],[Tipo]]="BUY",AX139-TbTradesBinance[[#This Row],[Qtt]]*TbTradesBinance[[#This Row],[Preço]],AX139+TbTradesBinance[[#This Row],[Qtt]]*TbTradesBinance[[#This Row],[Preço]])),AX139)-IF(TbTradesBinance[[#This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Row],[Tipo]]="DROP"),AX139+TbTradesBinance[[#This Row],[Qtt]],AX139-TbTradesBinance[[#This Row],[Qtt]]),IF(TbTradesBinance[[#This Row],[Tipo]]="BUY",AX139-TbTradesBinance[[#This Row],[Qtt]]*TbTradesBinance[[#This Row],[Preço]],AX139+TbTradesBinance[[#This Row],[Qtt]]*TbTradesBinance[[#This Row],[Preço]])),AX139)-IF(TbTradesBinance[[#This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Row],[Tipo]]="DROP"),AX139+TbTradesBinance[[#This Row],[Qtt]],AX139-TbTradesBinance[[#This Row],[Qtt]]),IF(TbTradesBinance[[#This Row],[Tipo]]="BUY",AX139-TbTradesBinance[[#This Row],[Qtt]]*TbTradesBinance[[#This Row],[Preço]],AX139+TbTradesBinance[[#This Row],[Qtt]]*TbTradesBinance[[#This Row],[Preço]])),AX139)-IF(TbTradesBinance[[#This Row],[Moeda da Taxa]]=MID(AX$1,9,5),TbTradesBinance[[#This Row],[Taxa]],0),8)))</f>
        <v>0.85636999999999996</v>
      </c>
      <c r="AY140" s="145" cm="1">
        <f t="array" ref="AY140">IF(TbTradesBinance[[#This Row],[Tipo]]="EMPTY",0,AY139+IF(TbTradesBinance[[#This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Row],[Par]]))),$1:$1,0)),-(AX139-AX140)/AX139*AY139),0),0)+IF(TbTradesBinance[[#This Row],[Tipo]]="SELL",IF(ISNUMBER(FIND(MID(AY$1,10,5),TbTradesBinance[[#This Row],[Par]])),IF(FIND(MID(AY$1,10,5),TbTradesBinance[[#This Row],[Par]])=1, -(AX139-AX140)/AX139*AY139,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Row],[Par]])),(-(AX139-AX140)/AX139*AY139)+IF(TbTradesBinance[[#This Row],[Resultado]]&gt;0,0,TbTradesBinance[[#This Row],[Taxa]]),0),0))</f>
        <v>131.82971181780295</v>
      </c>
      <c r="AZ140" s="145">
        <f t="shared" si="51"/>
        <v>153.94013314081874</v>
      </c>
      <c r="BA14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Row],[Tipo]]="DROP"),BA139+TbTradesBinance[[#This Row],[Qtt]],BA139-TbTradesBinance[[#This Row],[Qtt]]),IF(TbTradesBinance[[#This Row],[Tipo]]="BUY",BA139-TbTradesBinance[[#This Row],[Qtt]]*TbTradesBinance[[#This Row],[Preço]],BA139+TbTradesBinance[[#This Row],[Qtt]]*TbTradesBinance[[#This Row],[Preço]])),BA139)-IF(TbTradesBinance[[#This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Row],[Tipo]]="DROP"),BA139+TbTradesBinance[[#This Row],[Qtt]],BA139-TbTradesBinance[[#This Row],[Qtt]]),IF(TbTradesBinance[[#This Row],[Tipo]]="BUY",BA139-TbTradesBinance[[#This Row],[Qtt]]*TbTradesBinance[[#This Row],[Preço]],BA139+TbTradesBinance[[#This Row],[Qtt]]*TbTradesBinance[[#This Row],[Preço]])),BA139)-IF(TbTradesBinance[[#This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Row],[Tipo]]="DROP"),BA139+TbTradesBinance[[#This Row],[Qtt]],BA139-TbTradesBinance[[#This Row],[Qtt]]),IF(TbTradesBinance[[#This Row],[Tipo]]="BUY",BA139-TbTradesBinance[[#This Row],[Qtt]]*TbTradesBinance[[#This Row],[Preço]],BA139+TbTradesBinance[[#This Row],[Qtt]]*TbTradesBinance[[#This Row],[Preço]])),BA139)-IF(TbTradesBinance[[#This Row],[Moeda da Taxa]]=MID(BA$1,9,5),TbTradesBinance[[#This Row],[Taxa]],0),8)))</f>
        <v>0.10571</v>
      </c>
      <c r="BB140" s="145" cm="1">
        <f t="array" ref="BB140">IF(TbTradesBinance[[#This Row],[Tipo]]="EMPTY",0,BB139+IF(TbTradesBinance[[#This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Row],[Par]]))),$1:$1,0)),-(BA139-BA140)/BA139*BB139),0),0)+IF(TbTradesBinance[[#This Row],[Tipo]]="SELL",IF(ISNUMBER(FIND(MID(BB$1,10,5),TbTradesBinance[[#This Row],[Par]])),IF(FIND(MID(BB$1,10,5),TbTradesBinance[[#This Row],[Par]])=1, -(BA139-BA140)/BA139*BB139,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Row],[Par]])),(-(BA139-BA140)/BA139*BB139)+IF(TbTradesBinance[[#This Row],[Resultado]]&gt;0,0,TbTradesBinance[[#This Row],[Taxa]]),0),0))</f>
        <v>120.8257969142021</v>
      </c>
      <c r="BC140" s="145">
        <f t="shared" si="52"/>
        <v>1142.9930651234708</v>
      </c>
      <c r="BD14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Row],[Tipo]]="DROP"),BD139+TbTradesBinance[[#This Row],[Qtt]],BD139-TbTradesBinance[[#This Row],[Qtt]]),IF(TbTradesBinance[[#This Row],[Tipo]]="BUY",BD139-TbTradesBinance[[#This Row],[Qtt]]*TbTradesBinance[[#This Row],[Preço]],BD139+TbTradesBinance[[#This Row],[Qtt]]*TbTradesBinance[[#This Row],[Preço]])),BD139)-IF(TbTradesBinance[[#This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Row],[Tipo]]="DROP"),BD139+TbTradesBinance[[#This Row],[Qtt]],BD139-TbTradesBinance[[#This Row],[Qtt]]),IF(TbTradesBinance[[#This Row],[Tipo]]="BUY",BD139-TbTradesBinance[[#This Row],[Qtt]]*TbTradesBinance[[#This Row],[Preço]],BD139+TbTradesBinance[[#This Row],[Qtt]]*TbTradesBinance[[#This Row],[Preço]])),BD139)-IF(TbTradesBinance[[#This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Row],[Tipo]]="DROP"),BD139+TbTradesBinance[[#This Row],[Qtt]],BD139-TbTradesBinance[[#This Row],[Qtt]]),IF(TbTradesBinance[[#This Row],[Tipo]]="BUY",BD139-TbTradesBinance[[#This Row],[Qtt]]*TbTradesBinance[[#This Row],[Preço]],BD139+TbTradesBinance[[#This Row],[Qtt]]*TbTradesBinance[[#This Row],[Preço]])),BD139)-IF(TbTradesBinance[[#This Row],[Moeda da Taxa]]=MID(BD$1,9,5),TbTradesBinance[[#This Row],[Taxa]],0),8)))</f>
        <v>0</v>
      </c>
      <c r="BE140" s="145" cm="1">
        <f t="array" ref="BE140">IF(TbTradesBinance[[#This Row],[Tipo]]="EMPTY",0,BE139+IF(TbTradesBinance[[#This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Row],[Par]]))),$1:$1,0)),-(BD139-BD140)/BD139*BE139),0),0)+IF(TbTradesBinance[[#This Row],[Tipo]]="SELL",IF(ISNUMBER(FIND(MID(BE$1,10,5),TbTradesBinance[[#This Row],[Par]])),IF(FIND(MID(BE$1,10,5),TbTradesBinance[[#This Row],[Par]])=1, -(BD139-BD140)/BD139*BE139,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Row],[Par]])),(-(BD139-BD140)/BD139*BE139)+IF(TbTradesBinance[[#This Row],[Resultado]]&gt;0,0,TbTradesBinance[[#This Row],[Taxa]]),0),0))</f>
        <v>0</v>
      </c>
      <c r="BF140" s="145">
        <f t="shared" si="53"/>
        <v>0</v>
      </c>
      <c r="BG14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Row],[Tipo]]="DROP"),BG139+TbTradesBinance[[#This Row],[Qtt]],BG139-TbTradesBinance[[#This Row],[Qtt]]),IF(TbTradesBinance[[#This Row],[Tipo]]="BUY",BG139-TbTradesBinance[[#This Row],[Qtt]]*TbTradesBinance[[#This Row],[Preço]],BG139+TbTradesBinance[[#This Row],[Qtt]]*TbTradesBinance[[#This Row],[Preço]])),BG139)-IF(TbTradesBinance[[#This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Row],[Tipo]]="DROP"),BG139+TbTradesBinance[[#This Row],[Qtt]],BG139-TbTradesBinance[[#This Row],[Qtt]]),IF(TbTradesBinance[[#This Row],[Tipo]]="BUY",BG139-TbTradesBinance[[#This Row],[Qtt]]*TbTradesBinance[[#This Row],[Preço]],BG139+TbTradesBinance[[#This Row],[Qtt]]*TbTradesBinance[[#This Row],[Preço]])),BG139)-IF(TbTradesBinance[[#This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Row],[Tipo]]="DROP"),BG139+TbTradesBinance[[#This Row],[Qtt]],BG139-TbTradesBinance[[#This Row],[Qtt]]),IF(TbTradesBinance[[#This Row],[Tipo]]="BUY",BG139-TbTradesBinance[[#This Row],[Qtt]]*TbTradesBinance[[#This Row],[Preço]],BG139+TbTradesBinance[[#This Row],[Qtt]]*TbTradesBinance[[#This Row],[Preço]])),BG139)-IF(TbTradesBinance[[#This Row],[Moeda da Taxa]]=MID(BG$1,9,5),TbTradesBinance[[#This Row],[Taxa]],0),8)))</f>
        <v>0</v>
      </c>
      <c r="BH140" s="145" cm="1">
        <f t="array" ref="BH140">IF(TbTradesBinance[[#This Row],[Tipo]]="EMPTY",0,BH139+IF(TbTradesBinance[[#This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Row],[Par]]))),$1:$1,0)),-(BG139-BG140)/BG139*BH139),0),0)+IF(TbTradesBinance[[#This Row],[Tipo]]="SELL",IF(ISNUMBER(FIND(MID(BH$1,10,5),TbTradesBinance[[#This Row],[Par]])),IF(FIND(MID(BH$1,10,5),TbTradesBinance[[#This Row],[Par]])=1, -(BG139-BG140)/BG139*BH139,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Row],[Par]])),(-(BG139-BG140)/BG139*BH139)+IF(TbTradesBinance[[#This Row],[Resultado]]&gt;0,0,TbTradesBinance[[#This Row],[Taxa]]),0),0))</f>
        <v>0</v>
      </c>
      <c r="BI140" s="145">
        <f t="shared" si="54"/>
        <v>0</v>
      </c>
      <c r="BJ14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Row],[Tipo]]="DROP"),BJ139+TbTradesBinance[[#This Row],[Qtt]],BJ139-TbTradesBinance[[#This Row],[Qtt]]),IF(TbTradesBinance[[#This Row],[Tipo]]="BUY",BJ139-TbTradesBinance[[#This Row],[Qtt]]*TbTradesBinance[[#This Row],[Preço]],BJ139+TbTradesBinance[[#This Row],[Qtt]]*TbTradesBinance[[#This Row],[Preço]])),BJ139)-IF(TbTradesBinance[[#This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Row],[Tipo]]="DROP"),BJ139+TbTradesBinance[[#This Row],[Qtt]],BJ139-TbTradesBinance[[#This Row],[Qtt]]),IF(TbTradesBinance[[#This Row],[Tipo]]="BUY",BJ139-TbTradesBinance[[#This Row],[Qtt]]*TbTradesBinance[[#This Row],[Preço]],BJ139+TbTradesBinance[[#This Row],[Qtt]]*TbTradesBinance[[#This Row],[Preço]])),BJ139)-IF(TbTradesBinance[[#This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Row],[Tipo]]="DROP"),BJ139+TbTradesBinance[[#This Row],[Qtt]],BJ139-TbTradesBinance[[#This Row],[Qtt]]),IF(TbTradesBinance[[#This Row],[Tipo]]="BUY",BJ139-TbTradesBinance[[#This Row],[Qtt]]*TbTradesBinance[[#This Row],[Preço]],BJ139+TbTradesBinance[[#This Row],[Qtt]]*TbTradesBinance[[#This Row],[Preço]])),BJ139)-IF(TbTradesBinance[[#This Row],[Moeda da Taxa]]=MID(BJ$1,9,5),TbTradesBinance[[#This Row],[Taxa]],0),8)))</f>
        <v>2.1681500000000002E-3</v>
      </c>
      <c r="BK140" s="145" cm="1">
        <f t="array" ref="BK140">IF(TbTradesBinance[[#This Row],[Tipo]]="EMPTY",0,BK139+IF(TbTradesBinance[[#This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Row],[Par]]))),$1:$1,0)),-(BJ139-BJ140)/BJ139*BK139),0),0)+IF(TbTradesBinance[[#This Row],[Tipo]]="SELL",IF(ISNUMBER(FIND(MID(BK$1,10,5),TbTradesBinance[[#This Row],[Par]])),IF(FIND(MID(BK$1,10,5),TbTradesBinance[[#This Row],[Par]])=1, -(BJ139-BJ140)/BJ139*BK139,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Row],[Par]])),(-(BJ139-BJ140)/BJ139*BK139)+IF(TbTradesBinance[[#This Row],[Resultado]]&gt;0,0,TbTradesBinance[[#This Row],[Taxa]]),0),0))</f>
        <v>0</v>
      </c>
      <c r="BL140" s="145">
        <f t="shared" si="55"/>
        <v>0</v>
      </c>
      <c r="BM14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Row],[Tipo]]="DROP"),BM139+TbTradesBinance[[#This Row],[Qtt]],BM139-TbTradesBinance[[#This Row],[Qtt]]),IF(TbTradesBinance[[#This Row],[Tipo]]="BUY",BM139-TbTradesBinance[[#This Row],[Qtt]]*TbTradesBinance[[#This Row],[Preço]],BM139+TbTradesBinance[[#This Row],[Qtt]]*TbTradesBinance[[#This Row],[Preço]])),BM139)-IF(TbTradesBinance[[#This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Row],[Tipo]]="DROP"),BM139+TbTradesBinance[[#This Row],[Qtt]],BM139-TbTradesBinance[[#This Row],[Qtt]]),IF(TbTradesBinance[[#This Row],[Tipo]]="BUY",BM139-TbTradesBinance[[#This Row],[Qtt]]*TbTradesBinance[[#This Row],[Preço]],BM139+TbTradesBinance[[#This Row],[Qtt]]*TbTradesBinance[[#This Row],[Preço]])),BM139)-IF(TbTradesBinance[[#This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Row],[Tipo]]="DROP"),BM139+TbTradesBinance[[#This Row],[Qtt]],BM139-TbTradesBinance[[#This Row],[Qtt]]),IF(TbTradesBinance[[#This Row],[Tipo]]="BUY",BM139-TbTradesBinance[[#This Row],[Qtt]]*TbTradesBinance[[#This Row],[Preço]],BM139+TbTradesBinance[[#This Row],[Qtt]]*TbTradesBinance[[#This Row],[Preço]])),BM139)-IF(TbTradesBinance[[#This Row],[Moeda da Taxa]]=MID(BM$1,9,5),TbTradesBinance[[#This Row],[Taxa]],0),8)))</f>
        <v>0</v>
      </c>
      <c r="BN140" s="145" cm="1">
        <f t="array" ref="BN140">IF(TbTradesBinance[[#This Row],[Tipo]]="EMPTY",0,BN139+IF(TbTradesBinance[[#This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Row],[Par]]))),$1:$1,0)),-(BM139-BM140)/BM139*BN139),0),0)+IF(TbTradesBinance[[#This Row],[Tipo]]="SELL",IF(ISNUMBER(FIND(MID(BN$1,10,5),TbTradesBinance[[#This Row],[Par]])),IF(FIND(MID(BN$1,10,5),TbTradesBinance[[#This Row],[Par]])=1, -(BM139-BM140)/BM139*BN139,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Row],[Par]])),(-(BM139-BM140)/BM139*BN139)+IF(TbTradesBinance[[#This Row],[Resultado]]&gt;0,0,TbTradesBinance[[#This Row],[Taxa]]),0),0))</f>
        <v>0</v>
      </c>
      <c r="BO140" s="145">
        <f t="shared" si="56"/>
        <v>0</v>
      </c>
    </row>
    <row r="141" spans="2:67" x14ac:dyDescent="0.3">
      <c r="B141" s="51" t="s">
        <v>107</v>
      </c>
      <c r="C141" s="40">
        <f>TRUNC(IF(AND(TbTradesBinance[[#This Row],[Tipo]]="SEND",TbTradesBinance[[#This Row],[Par]]="BRL"),TbTradesBinance[[#This Row],[Qtt]]*(1-P139)-IF(TbTradesBinance[[#This Row],[Moeda da Taxa]]="BRL",TbTradesBinance[[#This Row],[Taxa]],0),0)+IF(AND(TbTradesBinance[[#This Row],[Tipo]]="BURN",TbTradesBinance[[#This Row],[Par]]="BRL"),-TbTradesBinance[[#This Row],[Qtt]]*P139,0),2)</f>
        <v>0</v>
      </c>
      <c r="D141" s="53">
        <v>44284.927523148152</v>
      </c>
      <c r="E141" s="37" t="s">
        <v>243</v>
      </c>
      <c r="F141" s="47" t="s">
        <v>139</v>
      </c>
      <c r="G141" s="38">
        <v>274.28571427999998</v>
      </c>
      <c r="H141" s="38">
        <v>4.69E-6</v>
      </c>
      <c r="I141" s="38">
        <v>8.9999999999999999E-8</v>
      </c>
      <c r="J141" s="37" t="s">
        <v>45</v>
      </c>
      <c r="K141" s="52">
        <v>5.4</v>
      </c>
      <c r="L141" s="40">
        <f t="shared" si="38"/>
        <v>1481.14</v>
      </c>
      <c r="M141" s="40">
        <f>IF(OR(TbTradesBinance[[#This Row],[Tipo]]="BUY",TbTradesBinance[[#This Row],[Tipo]]="RECEIVE",TbTradesBinance[[#This Row],[Tipo]]="DROP"),L141*H141,-L141*H141)</f>
        <v>6.9465466000000007E-3</v>
      </c>
      <c r="N14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Row],[Tipo]]="DROP"),N140+TbTradesBinance[[#This Row],[Qtt]],N140-TbTradesBinance[[#This Row],[Qtt]]),IF(TbTradesBinance[[#This Row],[Tipo]]="BUY",N140-TbTradesBinance[[#This Row],[Qtt]]*TbTradesBinance[[#This Row],[Preço]],N140+TbTradesBinance[[#This Row],[Qtt]]*TbTradesBinance[[#This Row],[Preço]])),N140)-IF(TbTradesBinance[[#This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Row],[Tipo]]="DROP"),N140+TbTradesBinance[[#This Row],[Qtt]],N140-TbTradesBinance[[#This Row],[Qtt]]),IF(TbTradesBinance[[#This Row],[Tipo]]="BUY",N140-TbTradesBinance[[#This Row],[Qtt]]*TbTradesBinance[[#This Row],[Preço]],N140+TbTradesBinance[[#This Row],[Qtt]]*TbTradesBinance[[#This Row],[Preço]])),N140)-IF(TbTradesBinance[[#This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Row],[Tipo]]="DROP"),N140+TbTradesBinance[[#This Row],[Qtt]],N140-TbTradesBinance[[#This Row],[Qtt]]),IF(TbTradesBinance[[#This Row],[Tipo]]="BUY",N140-TbTradesBinance[[#This Row],[Qtt]]*TbTradesBinance[[#This Row],[Preço]],N140+TbTradesBinance[[#This Row],[Qtt]]*TbTradesBinance[[#This Row],[Preço]])),N140)-IF(TbTradesBinance[[#This Row],[Moeda da Taxa]]=MID(N$1,9,5),TbTradesBinance[[#This Row],[Taxa]],0),8)))</f>
        <v>119745.42956418</v>
      </c>
      <c r="O141" s="145" cm="1">
        <f t="array" ref="O141">IF(TbTradesBinance[[#This Row],[Tipo]]="EMPTY",0,O140+IF(TbTradesBinance[[#This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Row],[Par]]))),$1:$1,0)),-(N140-N141)/N140*O140),0),0)+IF(TbTradesBinance[[#This Row],[Tipo]]="SELL",IF(ISNUMBER(FIND(MID(O$1,10,5),TbTradesBinance[[#This Row],[Par]])),IF(FIND(MID(O$1,10,5),TbTradesBinance[[#This Row],[Par]])=1, -(N140-N141)/N140*O140,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Row],[Par]])),(-(N140-N141)/N140*O140)+IF(TbTradesBinance[[#This Row],[Resultado]]&gt;0,0,TbTradesBinance[[#This Row],[Taxa]]),0),0))</f>
        <v>119800.43203771512</v>
      </c>
      <c r="P141" s="145">
        <f t="shared" si="39"/>
        <v>1.0004593283746637</v>
      </c>
      <c r="Q14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Row],[Tipo]]="DROP"),Q140+TbTradesBinance[[#This Row],[Qtt]],Q140-TbTradesBinance[[#This Row],[Qtt]]),IF(TbTradesBinance[[#This Row],[Tipo]]="BUY",Q140-TbTradesBinance[[#This Row],[Qtt]]*TbTradesBinance[[#This Row],[Preço]],Q140+TbTradesBinance[[#This Row],[Qtt]]*TbTradesBinance[[#This Row],[Preço]])),Q140)-IF(TbTradesBinance[[#This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Row],[Tipo]]="DROP"),Q140+TbTradesBinance[[#This Row],[Qtt]],Q140-TbTradesBinance[[#This Row],[Qtt]]),IF(TbTradesBinance[[#This Row],[Tipo]]="BUY",Q140-TbTradesBinance[[#This Row],[Qtt]]*TbTradesBinance[[#This Row],[Preço]],Q140+TbTradesBinance[[#This Row],[Qtt]]*TbTradesBinance[[#This Row],[Preço]])),Q140)-IF(TbTradesBinance[[#This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Row],[Tipo]]="DROP"),Q140+TbTradesBinance[[#This Row],[Qtt]],Q140-TbTradesBinance[[#This Row],[Qtt]]),IF(TbTradesBinance[[#This Row],[Tipo]]="BUY",Q140-TbTradesBinance[[#This Row],[Qtt]]*TbTradesBinance[[#This Row],[Preço]],Q140+TbTradesBinance[[#This Row],[Qtt]]*TbTradesBinance[[#This Row],[Preço]])),Q140)-IF(TbTradesBinance[[#This Row],[Moeda da Taxa]]=MID(Q$1,9,5),TbTradesBinance[[#This Row],[Taxa]],0),8)))</f>
        <v>32.28</v>
      </c>
      <c r="R141" s="145" cm="1">
        <f t="array" ref="R141">IF(TbTradesBinance[[#This Row],[Tipo]]="EMPTY",0,R140+IF(TbTradesBinance[[#This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Row],[Par]]))),$1:$1,0)),-(Q140-Q141)/Q140*R140),0),0)+IF(TbTradesBinance[[#This Row],[Tipo]]="SELL",IF(ISNUMBER(FIND(MID(R$1,10,5),TbTradesBinance[[#This Row],[Par]])),IF(FIND(MID(R$1,10,5),TbTradesBinance[[#This Row],[Par]])=1, -(Q140-Q141)/Q140*R140,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Row],[Par]])),(-(Q140-Q141)/Q140*R140)+IF(TbTradesBinance[[#This Row],[Resultado]]&gt;0,0,TbTradesBinance[[#This Row],[Taxa]]),0),0))</f>
        <v>230.63786295230526</v>
      </c>
      <c r="S141" s="145">
        <f t="shared" si="40"/>
        <v>7.1449152091792207</v>
      </c>
      <c r="T14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Row],[Tipo]]="DROP"),T140+TbTradesBinance[[#This Row],[Qtt]],T140-TbTradesBinance[[#This Row],[Qtt]]),IF(TbTradesBinance[[#This Row],[Tipo]]="BUY",T140-TbTradesBinance[[#This Row],[Qtt]]*TbTradesBinance[[#This Row],[Preço]],T140+TbTradesBinance[[#This Row],[Qtt]]*TbTradesBinance[[#This Row],[Preço]])),T140)-IF(TbTradesBinance[[#This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Row],[Tipo]]="DROP"),T140+TbTradesBinance[[#This Row],[Qtt]],T140-TbTradesBinance[[#This Row],[Qtt]]),IF(TbTradesBinance[[#This Row],[Tipo]]="BUY",T140-TbTradesBinance[[#This Row],[Qtt]]*TbTradesBinance[[#This Row],[Preço]],T140+TbTradesBinance[[#This Row],[Qtt]]*TbTradesBinance[[#This Row],[Preço]])),T140)-IF(TbTradesBinance[[#This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Row],[Tipo]]="DROP"),T140+TbTradesBinance[[#This Row],[Qtt]],T140-TbTradesBinance[[#This Row],[Qtt]]),IF(TbTradesBinance[[#This Row],[Tipo]]="BUY",T140-TbTradesBinance[[#This Row],[Qtt]]*TbTradesBinance[[#This Row],[Preço]],T140+TbTradesBinance[[#This Row],[Qtt]]*TbTradesBinance[[#This Row],[Preço]])),T140)-IF(TbTradesBinance[[#This Row],[Moeda da Taxa]]=MID(T$1,9,5),TbTradesBinance[[#This Row],[Taxa]],0),8)))</f>
        <v>219713.72000189999</v>
      </c>
      <c r="U141" s="145" cm="1">
        <f t="array" ref="U141">IF(TbTradesBinance[[#This Row],[Tipo]]="EMPTY",0,U140+IF(TbTradesBinance[[#This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Row],[Par]]))),$1:$1,0)),-(T140-T141)/T140*U140),0),0)+IF(TbTradesBinance[[#This Row],[Tipo]]="SELL",IF(ISNUMBER(FIND(MID(U$1,10,5),TbTradesBinance[[#This Row],[Par]])),IF(FIND(MID(U$1,10,5),TbTradesBinance[[#This Row],[Par]])=1, -(T140-T141)/T140*U140,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Row],[Par]])),(-(T140-T141)/T140*U140)+IF(TbTradesBinance[[#This Row],[Resultado]]&gt;0,0,TbTradesBinance[[#This Row],[Taxa]]),0),0))</f>
        <v>1461096.2409827893</v>
      </c>
      <c r="V141" s="145">
        <f t="shared" si="41"/>
        <v>6.6500000135182926</v>
      </c>
      <c r="W14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Row],[Tipo]]="DROP"),W140+TbTradesBinance[[#This Row],[Qtt]],W140-TbTradesBinance[[#This Row],[Qtt]]),IF(TbTradesBinance[[#This Row],[Tipo]]="BUY",W140-TbTradesBinance[[#This Row],[Qtt]]*TbTradesBinance[[#This Row],[Preço]],W140+TbTradesBinance[[#This Row],[Qtt]]*TbTradesBinance[[#This Row],[Preço]])),W140)-IF(TbTradesBinance[[#This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Row],[Tipo]]="DROP"),W140+TbTradesBinance[[#This Row],[Qtt]],W140-TbTradesBinance[[#This Row],[Qtt]]),IF(TbTradesBinance[[#This Row],[Tipo]]="BUY",W140-TbTradesBinance[[#This Row],[Qtt]]*TbTradesBinance[[#This Row],[Preço]],W140+TbTradesBinance[[#This Row],[Qtt]]*TbTradesBinance[[#This Row],[Preço]])),W140)-IF(TbTradesBinance[[#This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Row],[Tipo]]="DROP"),W140+TbTradesBinance[[#This Row],[Qtt]],W140-TbTradesBinance[[#This Row],[Qtt]]),IF(TbTradesBinance[[#This Row],[Tipo]]="BUY",W140-TbTradesBinance[[#This Row],[Qtt]]*TbTradesBinance[[#This Row],[Preço]],W140+TbTradesBinance[[#This Row],[Qtt]]*TbTradesBinance[[#This Row],[Preço]])),W140)-IF(TbTradesBinance[[#This Row],[Moeda da Taxa]]=MID(W$1,9,5),TbTradesBinance[[#This Row],[Taxa]],0),8)))</f>
        <v>3.2336000000000002E-4</v>
      </c>
      <c r="X141" s="145" cm="1">
        <f t="array" ref="X141">IF(TbTradesBinance[[#This Row],[Tipo]]="EMPTY",0,X140+IF(TbTradesBinance[[#This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Row],[Par]]))),$1:$1,0)),-(W140-W141)/W140*X140),0),0)+IF(TbTradesBinance[[#This Row],[Tipo]]="SELL",IF(ISNUMBER(FIND(MID(X$1,10,5),TbTradesBinance[[#This Row],[Par]])),IF(FIND(MID(X$1,10,5),TbTradesBinance[[#This Row],[Par]])=1, -(W140-W141)/W140*X140,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Row],[Par]])),(-(W140-W141)/W140*X140)+IF(TbTradesBinance[[#This Row],[Resultado]]&gt;0,0,TbTradesBinance[[#This Row],[Taxa]]),0),0))</f>
        <v>109.49359760304422</v>
      </c>
      <c r="Y141" s="145">
        <f t="shared" si="42"/>
        <v>338612.06581841974</v>
      </c>
      <c r="Z14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Row],[Tipo]]="DROP"),Z140+TbTradesBinance[[#This Row],[Qtt]],Z140-TbTradesBinance[[#This Row],[Qtt]]),IF(TbTradesBinance[[#This Row],[Tipo]]="BUY",Z140-TbTradesBinance[[#This Row],[Qtt]]*TbTradesBinance[[#This Row],[Preço]],Z140+TbTradesBinance[[#This Row],[Qtt]]*TbTradesBinance[[#This Row],[Preço]])),Z140)-IF(TbTradesBinance[[#This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Row],[Tipo]]="DROP"),Z140+TbTradesBinance[[#This Row],[Qtt]],Z140-TbTradesBinance[[#This Row],[Qtt]]),IF(TbTradesBinance[[#This Row],[Tipo]]="BUY",Z140-TbTradesBinance[[#This Row],[Qtt]]*TbTradesBinance[[#This Row],[Preço]],Z140+TbTradesBinance[[#This Row],[Qtt]]*TbTradesBinance[[#This Row],[Preço]])),Z140)-IF(TbTradesBinance[[#This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Row],[Tipo]]="DROP"),Z140+TbTradesBinance[[#This Row],[Qtt]],Z140-TbTradesBinance[[#This Row],[Qtt]]),IF(TbTradesBinance[[#This Row],[Tipo]]="BUY",Z140-TbTradesBinance[[#This Row],[Qtt]]*TbTradesBinance[[#This Row],[Preço]],Z140+TbTradesBinance[[#This Row],[Qtt]]*TbTradesBinance[[#This Row],[Preço]])),Z140)-IF(TbTradesBinance[[#This Row],[Moeda da Taxa]]=MID(Z$1,9,5),TbTradesBinance[[#This Row],[Taxa]],0),8)))</f>
        <v>0</v>
      </c>
      <c r="AA141" s="145" cm="1">
        <f t="array" ref="AA141">IF(TbTradesBinance[[#This Row],[Tipo]]="EMPTY",0,AA140+IF(TbTradesBinance[[#This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Row],[Par]]))),$1:$1,0)),-(Z140-Z141)/Z140*AA140),0),0)+IF(TbTradesBinance[[#This Row],[Tipo]]="SELL",IF(ISNUMBER(FIND(MID(AA$1,10,5),TbTradesBinance[[#This Row],[Par]])),IF(FIND(MID(AA$1,10,5),TbTradesBinance[[#This Row],[Par]])=1, -(Z140-Z141)/Z140*AA140,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Row],[Par]])),(-(Z140-Z141)/Z140*AA140)+IF(TbTradesBinance[[#This Row],[Resultado]]&gt;0,0,TbTradesBinance[[#This Row],[Taxa]]),0),0))</f>
        <v>0</v>
      </c>
      <c r="AB141" s="145">
        <f t="shared" si="43"/>
        <v>0</v>
      </c>
      <c r="AC14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Row],[Tipo]]="DROP"),AC140+TbTradesBinance[[#This Row],[Qtt]],AC140-TbTradesBinance[[#This Row],[Qtt]]),IF(TbTradesBinance[[#This Row],[Tipo]]="BUY",AC140-TbTradesBinance[[#This Row],[Qtt]]*TbTradesBinance[[#This Row],[Preço]],AC140+TbTradesBinance[[#This Row],[Qtt]]*TbTradesBinance[[#This Row],[Preço]])),AC140)-IF(TbTradesBinance[[#This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Row],[Tipo]]="DROP"),AC140+TbTradesBinance[[#This Row],[Qtt]],AC140-TbTradesBinance[[#This Row],[Qtt]]),IF(TbTradesBinance[[#This Row],[Tipo]]="BUY",AC140-TbTradesBinance[[#This Row],[Qtt]]*TbTradesBinance[[#This Row],[Preço]],AC140+TbTradesBinance[[#This Row],[Qtt]]*TbTradesBinance[[#This Row],[Preço]])),AC140)-IF(TbTradesBinance[[#This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Row],[Tipo]]="DROP"),AC140+TbTradesBinance[[#This Row],[Qtt]],AC140-TbTradesBinance[[#This Row],[Qtt]]),IF(TbTradesBinance[[#This Row],[Tipo]]="BUY",AC140-TbTradesBinance[[#This Row],[Qtt]]*TbTradesBinance[[#This Row],[Preço]],AC140+TbTradesBinance[[#This Row],[Qtt]]*TbTradesBinance[[#This Row],[Preço]])),AC140)-IF(TbTradesBinance[[#This Row],[Moeda da Taxa]]=MID(AC$1,9,5),TbTradesBinance[[#This Row],[Taxa]],0),8)))</f>
        <v>0</v>
      </c>
      <c r="AD141" s="145" cm="1">
        <f t="array" ref="AD141">IF(TbTradesBinance[[#This Row],[Tipo]]="EMPTY",0,AD140+IF(TbTradesBinance[[#This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Row],[Par]]))),$1:$1,0)),-(AC140-AC141)/AC140*AD140),0),0)+IF(TbTradesBinance[[#This Row],[Tipo]]="SELL",IF(ISNUMBER(FIND(MID(AD$1,10,5),TbTradesBinance[[#This Row],[Par]])),IF(FIND(MID(AD$1,10,5),TbTradesBinance[[#This Row],[Par]])=1, -(AC140-AC141)/AC140*AD140,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Row],[Par]])),(-(AC140-AC141)/AC140*AD140)+IF(TbTradesBinance[[#This Row],[Resultado]]&gt;0,0,TbTradesBinance[[#This Row],[Taxa]]),0),0))</f>
        <v>0</v>
      </c>
      <c r="AE141" s="145">
        <f t="shared" si="44"/>
        <v>0</v>
      </c>
      <c r="AF14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Row],[Tipo]]="DROP"),AF140+TbTradesBinance[[#This Row],[Qtt]],AF140-TbTradesBinance[[#This Row],[Qtt]]),IF(TbTradesBinance[[#This Row],[Tipo]]="BUY",AF140-TbTradesBinance[[#This Row],[Qtt]]*TbTradesBinance[[#This Row],[Preço]],AF140+TbTradesBinance[[#This Row],[Qtt]]*TbTradesBinance[[#This Row],[Preço]])),AF140)-IF(TbTradesBinance[[#This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Row],[Tipo]]="DROP"),AF140+TbTradesBinance[[#This Row],[Qtt]],AF140-TbTradesBinance[[#This Row],[Qtt]]),IF(TbTradesBinance[[#This Row],[Tipo]]="BUY",AF140-TbTradesBinance[[#This Row],[Qtt]]*TbTradesBinance[[#This Row],[Preço]],AF140+TbTradesBinance[[#This Row],[Qtt]]*TbTradesBinance[[#This Row],[Preço]])),AF140)-IF(TbTradesBinance[[#This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Row],[Tipo]]="DROP"),AF140+TbTradesBinance[[#This Row],[Qtt]],AF140-TbTradesBinance[[#This Row],[Qtt]]),IF(TbTradesBinance[[#This Row],[Tipo]]="BUY",AF140-TbTradesBinance[[#This Row],[Qtt]]*TbTradesBinance[[#This Row],[Preço]],AF140+TbTradesBinance[[#This Row],[Qtt]]*TbTradesBinance[[#This Row],[Preço]])),AF140)-IF(TbTradesBinance[[#This Row],[Moeda da Taxa]]=MID(AF$1,9,5),TbTradesBinance[[#This Row],[Taxa]],0),8)))</f>
        <v>0</v>
      </c>
      <c r="AG141" s="145" cm="1">
        <f t="array" ref="AG141">IF(TbTradesBinance[[#This Row],[Tipo]]="EMPTY",0,AG140+IF(TbTradesBinance[[#This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Row],[Par]]))),$1:$1,0)),-(AF140-AF141)/AF140*AG140),0),0)+IF(TbTradesBinance[[#This Row],[Tipo]]="SELL",IF(ISNUMBER(FIND(MID(AG$1,10,5),TbTradesBinance[[#This Row],[Par]])),IF(FIND(MID(AG$1,10,5),TbTradesBinance[[#This Row],[Par]])=1, -(AF140-AF141)/AF140*AG140,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Row],[Par]])),(-(AF140-AF141)/AF140*AG140)+IF(TbTradesBinance[[#This Row],[Resultado]]&gt;0,0,TbTradesBinance[[#This Row],[Taxa]]),0),0))</f>
        <v>0</v>
      </c>
      <c r="AH141" s="145">
        <f t="shared" si="45"/>
        <v>0</v>
      </c>
      <c r="AI14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Row],[Tipo]]="DROP"),AI140+TbTradesBinance[[#This Row],[Qtt]],AI140-TbTradesBinance[[#This Row],[Qtt]]),IF(TbTradesBinance[[#This Row],[Tipo]]="BUY",AI140-TbTradesBinance[[#This Row],[Qtt]]*TbTradesBinance[[#This Row],[Preço]],AI140+TbTradesBinance[[#This Row],[Qtt]]*TbTradesBinance[[#This Row],[Preço]])),AI140)-IF(TbTradesBinance[[#This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Row],[Tipo]]="DROP"),AI140+TbTradesBinance[[#This Row],[Qtt]],AI140-TbTradesBinance[[#This Row],[Qtt]]),IF(TbTradesBinance[[#This Row],[Tipo]]="BUY",AI140-TbTradesBinance[[#This Row],[Qtt]]*TbTradesBinance[[#This Row],[Preço]],AI140+TbTradesBinance[[#This Row],[Qtt]]*TbTradesBinance[[#This Row],[Preço]])),AI140)-IF(TbTradesBinance[[#This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Row],[Tipo]]="DROP"),AI140+TbTradesBinance[[#This Row],[Qtt]],AI140-TbTradesBinance[[#This Row],[Qtt]]),IF(TbTradesBinance[[#This Row],[Tipo]]="BUY",AI140-TbTradesBinance[[#This Row],[Qtt]]*TbTradesBinance[[#This Row],[Preço]],AI140+TbTradesBinance[[#This Row],[Qtt]]*TbTradesBinance[[#This Row],[Preço]])),AI140)-IF(TbTradesBinance[[#This Row],[Moeda da Taxa]]=MID(AI$1,9,5),TbTradesBinance[[#This Row],[Taxa]],0),8)))</f>
        <v>0</v>
      </c>
      <c r="AJ141" s="145" cm="1">
        <f t="array" ref="AJ141">IF(TbTradesBinance[[#This Row],[Tipo]]="EMPTY",0,AJ140+IF(TbTradesBinance[[#This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Row],[Par]]))),$1:$1,0)),-(AI140-AI141)/AI140*AJ140),0),0)+IF(TbTradesBinance[[#This Row],[Tipo]]="SELL",IF(ISNUMBER(FIND(MID(AJ$1,10,5),TbTradesBinance[[#This Row],[Par]])),IF(FIND(MID(AJ$1,10,5),TbTradesBinance[[#This Row],[Par]])=1, -(AI140-AI141)/AI140*AJ140,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Row],[Par]])),(-(AI140-AI141)/AI140*AJ140)+IF(TbTradesBinance[[#This Row],[Resultado]]&gt;0,0,TbTradesBinance[[#This Row],[Taxa]]),0),0))</f>
        <v>0</v>
      </c>
      <c r="AK141" s="145">
        <f t="shared" si="46"/>
        <v>0</v>
      </c>
      <c r="AL14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Row],[Tipo]]="DROP"),AL140+TbTradesBinance[[#This Row],[Qtt]],AL140-TbTradesBinance[[#This Row],[Qtt]]),IF(TbTradesBinance[[#This Row],[Tipo]]="BUY",AL140-TbTradesBinance[[#This Row],[Qtt]]*TbTradesBinance[[#This Row],[Preço]],AL140+TbTradesBinance[[#This Row],[Qtt]]*TbTradesBinance[[#This Row],[Preço]])),AL140)-IF(TbTradesBinance[[#This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Row],[Tipo]]="DROP"),AL140+TbTradesBinance[[#This Row],[Qtt]],AL140-TbTradesBinance[[#This Row],[Qtt]]),IF(TbTradesBinance[[#This Row],[Tipo]]="BUY",AL140-TbTradesBinance[[#This Row],[Qtt]]*TbTradesBinance[[#This Row],[Preço]],AL140+TbTradesBinance[[#This Row],[Qtt]]*TbTradesBinance[[#This Row],[Preço]])),AL140)-IF(TbTradesBinance[[#This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Row],[Tipo]]="DROP"),AL140+TbTradesBinance[[#This Row],[Qtt]],AL140-TbTradesBinance[[#This Row],[Qtt]]),IF(TbTradesBinance[[#This Row],[Tipo]]="BUY",AL140-TbTradesBinance[[#This Row],[Qtt]]*TbTradesBinance[[#This Row],[Preço]],AL140+TbTradesBinance[[#This Row],[Qtt]]*TbTradesBinance[[#This Row],[Preço]])),AL140)-IF(TbTradesBinance[[#This Row],[Moeda da Taxa]]=MID(AL$1,9,5),TbTradesBinance[[#This Row],[Taxa]],0),8)))</f>
        <v>0</v>
      </c>
      <c r="AM141" s="145" cm="1">
        <f t="array" ref="AM141">IF(TbTradesBinance[[#This Row],[Tipo]]="EMPTY",0,AM140+IF(TbTradesBinance[[#This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Row],[Par]]))),$1:$1,0)),-(AL140-AL141)/AL140*AM140),0),0)+IF(TbTradesBinance[[#This Row],[Tipo]]="SELL",IF(ISNUMBER(FIND(MID(AM$1,10,5),TbTradesBinance[[#This Row],[Par]])),IF(FIND(MID(AM$1,10,5),TbTradesBinance[[#This Row],[Par]])=1, -(AL140-AL141)/AL140*AM140,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Row],[Par]])),(-(AL140-AL141)/AL140*AM140)+IF(TbTradesBinance[[#This Row],[Resultado]]&gt;0,0,TbTradesBinance[[#This Row],[Taxa]]),0),0))</f>
        <v>0</v>
      </c>
      <c r="AN141" s="145">
        <f t="shared" si="47"/>
        <v>0</v>
      </c>
      <c r="AO14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Row],[Tipo]]="DROP"),AO140+TbTradesBinance[[#This Row],[Qtt]],AO140-TbTradesBinance[[#This Row],[Qtt]]),IF(TbTradesBinance[[#This Row],[Tipo]]="BUY",AO140-TbTradesBinance[[#This Row],[Qtt]]*TbTradesBinance[[#This Row],[Preço]],AO140+TbTradesBinance[[#This Row],[Qtt]]*TbTradesBinance[[#This Row],[Preço]])),AO140)-IF(TbTradesBinance[[#This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Row],[Tipo]]="DROP"),AO140+TbTradesBinance[[#This Row],[Qtt]],AO140-TbTradesBinance[[#This Row],[Qtt]]),IF(TbTradesBinance[[#This Row],[Tipo]]="BUY",AO140-TbTradesBinance[[#This Row],[Qtt]]*TbTradesBinance[[#This Row],[Preço]],AO140+TbTradesBinance[[#This Row],[Qtt]]*TbTradesBinance[[#This Row],[Preço]])),AO140)-IF(TbTradesBinance[[#This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Row],[Tipo]]="DROP"),AO140+TbTradesBinance[[#This Row],[Qtt]],AO140-TbTradesBinance[[#This Row],[Qtt]]),IF(TbTradesBinance[[#This Row],[Tipo]]="BUY",AO140-TbTradesBinance[[#This Row],[Qtt]]*TbTradesBinance[[#This Row],[Preço]],AO140+TbTradesBinance[[#This Row],[Qtt]]*TbTradesBinance[[#This Row],[Preço]])),AO140)-IF(TbTradesBinance[[#This Row],[Moeda da Taxa]]=MID(AO$1,9,5),TbTradesBinance[[#This Row],[Taxa]],0),8)))</f>
        <v>3.7265479999999997E-2</v>
      </c>
      <c r="AP141" s="145" cm="1">
        <f t="array" ref="AP141">IF(TbTradesBinance[[#This Row],[Tipo]]="EMPTY",0,AP140+IF(TbTradesBinance[[#This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Row],[Par]]))),$1:$1,0)),-(AO140-AO141)/AO140*AP140),0),0)+IF(TbTradesBinance[[#This Row],[Tipo]]="SELL",IF(ISNUMBER(FIND(MID(AP$1,10,5),TbTradesBinance[[#This Row],[Par]])),IF(FIND(MID(AP$1,10,5),TbTradesBinance[[#This Row],[Par]])=1, -(AO140-AO141)/AO140*AP140,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Row],[Par]])),(-(AO140-AO141)/AO140*AP140)+IF(TbTradesBinance[[#This Row],[Resultado]]&gt;0,0,TbTradesBinance[[#This Row],[Taxa]]),0),0))</f>
        <v>57.065298020032813</v>
      </c>
      <c r="AQ141" s="145">
        <f t="shared" si="48"/>
        <v>1531.3179387474097</v>
      </c>
      <c r="AR14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Row],[Tipo]]="DROP"),AR140+TbTradesBinance[[#This Row],[Qtt]],AR140-TbTradesBinance[[#This Row],[Qtt]]),IF(TbTradesBinance[[#This Row],[Tipo]]="BUY",AR140-TbTradesBinance[[#This Row],[Qtt]]*TbTradesBinance[[#This Row],[Preço]],AR140+TbTradesBinance[[#This Row],[Qtt]]*TbTradesBinance[[#This Row],[Preço]])),AR140)-IF(TbTradesBinance[[#This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Row],[Tipo]]="DROP"),AR140+TbTradesBinance[[#This Row],[Qtt]],AR140-TbTradesBinance[[#This Row],[Qtt]]),IF(TbTradesBinance[[#This Row],[Tipo]]="BUY",AR140-TbTradesBinance[[#This Row],[Qtt]]*TbTradesBinance[[#This Row],[Preço]],AR140+TbTradesBinance[[#This Row],[Qtt]]*TbTradesBinance[[#This Row],[Preço]])),AR140)-IF(TbTradesBinance[[#This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Row],[Tipo]]="DROP"),AR140+TbTradesBinance[[#This Row],[Qtt]],AR140-TbTradesBinance[[#This Row],[Qtt]]),IF(TbTradesBinance[[#This Row],[Tipo]]="BUY",AR140-TbTradesBinance[[#This Row],[Qtt]]*TbTradesBinance[[#This Row],[Preço]],AR140+TbTradesBinance[[#This Row],[Qtt]]*TbTradesBinance[[#This Row],[Preço]])),AR140)-IF(TbTradesBinance[[#This Row],[Moeda da Taxa]]=MID(AR$1,9,5),TbTradesBinance[[#This Row],[Taxa]],0),8)))</f>
        <v>0</v>
      </c>
      <c r="AS141" s="145" cm="1">
        <f t="array" ref="AS141">IF(TbTradesBinance[[#This Row],[Tipo]]="EMPTY",0,AS140+IF(TbTradesBinance[[#This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Row],[Par]]))),$1:$1,0)),-(AR140-AR141)/AR140*AS140),0),0)+IF(TbTradesBinance[[#This Row],[Tipo]]="SELL",IF(ISNUMBER(FIND(MID(AS$1,10,5),TbTradesBinance[[#This Row],[Par]])),IF(FIND(MID(AS$1,10,5),TbTradesBinance[[#This Row],[Par]])=1, -(AR140-AR141)/AR140*AS140,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Row],[Par]])),(-(AR140-AR141)/AR140*AS140)+IF(TbTradesBinance[[#This Row],[Resultado]]&gt;0,0,TbTradesBinance[[#This Row],[Taxa]]),0),0))</f>
        <v>0</v>
      </c>
      <c r="AT141" s="145">
        <f t="shared" si="49"/>
        <v>0</v>
      </c>
      <c r="AU14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Row],[Tipo]]="DROP"),AU140+TbTradesBinance[[#This Row],[Qtt]],AU140-TbTradesBinance[[#This Row],[Qtt]]),IF(TbTradesBinance[[#This Row],[Tipo]]="BUY",AU140-TbTradesBinance[[#This Row],[Qtt]]*TbTradesBinance[[#This Row],[Preço]],AU140+TbTradesBinance[[#This Row],[Qtt]]*TbTradesBinance[[#This Row],[Preço]])),AU140)-IF(TbTradesBinance[[#This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Row],[Tipo]]="DROP"),AU140+TbTradesBinance[[#This Row],[Qtt]],AU140-TbTradesBinance[[#This Row],[Qtt]]),IF(TbTradesBinance[[#This Row],[Tipo]]="BUY",AU140-TbTradesBinance[[#This Row],[Qtt]]*TbTradesBinance[[#This Row],[Preço]],AU140+TbTradesBinance[[#This Row],[Qtt]]*TbTradesBinance[[#This Row],[Preço]])),AU140)-IF(TbTradesBinance[[#This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Row],[Tipo]]="DROP"),AU140+TbTradesBinance[[#This Row],[Qtt]],AU140-TbTradesBinance[[#This Row],[Qtt]]),IF(TbTradesBinance[[#This Row],[Tipo]]="BUY",AU140-TbTradesBinance[[#This Row],[Qtt]]*TbTradesBinance[[#This Row],[Preço]],AU140+TbTradesBinance[[#This Row],[Qtt]]*TbTradesBinance[[#This Row],[Preço]])),AU140)-IF(TbTradesBinance[[#This Row],[Moeda da Taxa]]=MID(AU$1,9,5),TbTradesBinance[[#This Row],[Taxa]],0),8)))</f>
        <v>0</v>
      </c>
      <c r="AV141" s="145" cm="1">
        <f t="array" ref="AV141">IF(TbTradesBinance[[#This Row],[Tipo]]="EMPTY",0,AV140+IF(TbTradesBinance[[#This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Row],[Par]]))),$1:$1,0)),-(AU140-AU141)/AU140*AV140),0),0)+IF(TbTradesBinance[[#This Row],[Tipo]]="SELL",IF(ISNUMBER(FIND(MID(AV$1,10,5),TbTradesBinance[[#This Row],[Par]])),IF(FIND(MID(AV$1,10,5),TbTradesBinance[[#This Row],[Par]])=1, -(AU140-AU141)/AU140*AV140,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Row],[Par]])),(-(AU140-AU141)/AU140*AV140)+IF(TbTradesBinance[[#This Row],[Resultado]]&gt;0,0,TbTradesBinance[[#This Row],[Taxa]]),0),0))</f>
        <v>0</v>
      </c>
      <c r="AW141" s="145">
        <f t="shared" si="50"/>
        <v>0</v>
      </c>
      <c r="AX14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Row],[Tipo]]="DROP"),AX140+TbTradesBinance[[#This Row],[Qtt]],AX140-TbTradesBinance[[#This Row],[Qtt]]),IF(TbTradesBinance[[#This Row],[Tipo]]="BUY",AX140-TbTradesBinance[[#This Row],[Qtt]]*TbTradesBinance[[#This Row],[Preço]],AX140+TbTradesBinance[[#This Row],[Qtt]]*TbTradesBinance[[#This Row],[Preço]])),AX140)-IF(TbTradesBinance[[#This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Row],[Tipo]]="DROP"),AX140+TbTradesBinance[[#This Row],[Qtt]],AX140-TbTradesBinance[[#This Row],[Qtt]]),IF(TbTradesBinance[[#This Row],[Tipo]]="BUY",AX140-TbTradesBinance[[#This Row],[Qtt]]*TbTradesBinance[[#This Row],[Preço]],AX140+TbTradesBinance[[#This Row],[Qtt]]*TbTradesBinance[[#This Row],[Preço]])),AX140)-IF(TbTradesBinance[[#This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Row],[Tipo]]="DROP"),AX140+TbTradesBinance[[#This Row],[Qtt]],AX140-TbTradesBinance[[#This Row],[Qtt]]),IF(TbTradesBinance[[#This Row],[Tipo]]="BUY",AX140-TbTradesBinance[[#This Row],[Qtt]]*TbTradesBinance[[#This Row],[Preço]],AX140+TbTradesBinance[[#This Row],[Qtt]]*TbTradesBinance[[#This Row],[Preço]])),AX140)-IF(TbTradesBinance[[#This Row],[Moeda da Taxa]]=MID(AX$1,9,5),TbTradesBinance[[#This Row],[Taxa]],0),8)))</f>
        <v>0.85636999999999996</v>
      </c>
      <c r="AY141" s="145" cm="1">
        <f t="array" ref="AY141">IF(TbTradesBinance[[#This Row],[Tipo]]="EMPTY",0,AY140+IF(TbTradesBinance[[#This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Row],[Par]]))),$1:$1,0)),-(AX140-AX141)/AX140*AY140),0),0)+IF(TbTradesBinance[[#This Row],[Tipo]]="SELL",IF(ISNUMBER(FIND(MID(AY$1,10,5),TbTradesBinance[[#This Row],[Par]])),IF(FIND(MID(AY$1,10,5),TbTradesBinance[[#This Row],[Par]])=1, -(AX140-AX141)/AX140*AY140,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Row],[Par]])),(-(AX140-AX141)/AX140*AY140)+IF(TbTradesBinance[[#This Row],[Resultado]]&gt;0,0,TbTradesBinance[[#This Row],[Taxa]]),0),0))</f>
        <v>131.82971181780295</v>
      </c>
      <c r="AZ141" s="145">
        <f t="shared" si="51"/>
        <v>153.94013314081874</v>
      </c>
      <c r="BA14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Row],[Tipo]]="DROP"),BA140+TbTradesBinance[[#This Row],[Qtt]],BA140-TbTradesBinance[[#This Row],[Qtt]]),IF(TbTradesBinance[[#This Row],[Tipo]]="BUY",BA140-TbTradesBinance[[#This Row],[Qtt]]*TbTradesBinance[[#This Row],[Preço]],BA140+TbTradesBinance[[#This Row],[Qtt]]*TbTradesBinance[[#This Row],[Preço]])),BA140)-IF(TbTradesBinance[[#This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Row],[Tipo]]="DROP"),BA140+TbTradesBinance[[#This Row],[Qtt]],BA140-TbTradesBinance[[#This Row],[Qtt]]),IF(TbTradesBinance[[#This Row],[Tipo]]="BUY",BA140-TbTradesBinance[[#This Row],[Qtt]]*TbTradesBinance[[#This Row],[Preço]],BA140+TbTradesBinance[[#This Row],[Qtt]]*TbTradesBinance[[#This Row],[Preço]])),BA140)-IF(TbTradesBinance[[#This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Row],[Tipo]]="DROP"),BA140+TbTradesBinance[[#This Row],[Qtt]],BA140-TbTradesBinance[[#This Row],[Qtt]]),IF(TbTradesBinance[[#This Row],[Tipo]]="BUY",BA140-TbTradesBinance[[#This Row],[Qtt]]*TbTradesBinance[[#This Row],[Preço]],BA140+TbTradesBinance[[#This Row],[Qtt]]*TbTradesBinance[[#This Row],[Preço]])),BA140)-IF(TbTradesBinance[[#This Row],[Moeda da Taxa]]=MID(BA$1,9,5),TbTradesBinance[[#This Row],[Taxa]],0),8)))</f>
        <v>0.10571</v>
      </c>
      <c r="BB141" s="145" cm="1">
        <f t="array" ref="BB141">IF(TbTradesBinance[[#This Row],[Tipo]]="EMPTY",0,BB140+IF(TbTradesBinance[[#This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Row],[Par]]))),$1:$1,0)),-(BA140-BA141)/BA140*BB140),0),0)+IF(TbTradesBinance[[#This Row],[Tipo]]="SELL",IF(ISNUMBER(FIND(MID(BB$1,10,5),TbTradesBinance[[#This Row],[Par]])),IF(FIND(MID(BB$1,10,5),TbTradesBinance[[#This Row],[Par]])=1, -(BA140-BA141)/BA140*BB140,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Row],[Par]])),(-(BA140-BA141)/BA140*BB140)+IF(TbTradesBinance[[#This Row],[Resultado]]&gt;0,0,TbTradesBinance[[#This Row],[Taxa]]),0),0))</f>
        <v>120.8257969142021</v>
      </c>
      <c r="BC141" s="145">
        <f t="shared" si="52"/>
        <v>1142.9930651234708</v>
      </c>
      <c r="BD14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Row],[Tipo]]="DROP"),BD140+TbTradesBinance[[#This Row],[Qtt]],BD140-TbTradesBinance[[#This Row],[Qtt]]),IF(TbTradesBinance[[#This Row],[Tipo]]="BUY",BD140-TbTradesBinance[[#This Row],[Qtt]]*TbTradesBinance[[#This Row],[Preço]],BD140+TbTradesBinance[[#This Row],[Qtt]]*TbTradesBinance[[#This Row],[Preço]])),BD140)-IF(TbTradesBinance[[#This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Row],[Tipo]]="DROP"),BD140+TbTradesBinance[[#This Row],[Qtt]],BD140-TbTradesBinance[[#This Row],[Qtt]]),IF(TbTradesBinance[[#This Row],[Tipo]]="BUY",BD140-TbTradesBinance[[#This Row],[Qtt]]*TbTradesBinance[[#This Row],[Preço]],BD140+TbTradesBinance[[#This Row],[Qtt]]*TbTradesBinance[[#This Row],[Preço]])),BD140)-IF(TbTradesBinance[[#This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Row],[Tipo]]="DROP"),BD140+TbTradesBinance[[#This Row],[Qtt]],BD140-TbTradesBinance[[#This Row],[Qtt]]),IF(TbTradesBinance[[#This Row],[Tipo]]="BUY",BD140-TbTradesBinance[[#This Row],[Qtt]]*TbTradesBinance[[#This Row],[Preço]],BD140+TbTradesBinance[[#This Row],[Qtt]]*TbTradesBinance[[#This Row],[Preço]])),BD140)-IF(TbTradesBinance[[#This Row],[Moeda da Taxa]]=MID(BD$1,9,5),TbTradesBinance[[#This Row],[Taxa]],0),8)))</f>
        <v>0</v>
      </c>
      <c r="BE141" s="145" cm="1">
        <f t="array" ref="BE141">IF(TbTradesBinance[[#This Row],[Tipo]]="EMPTY",0,BE140+IF(TbTradesBinance[[#This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Row],[Par]]))),$1:$1,0)),-(BD140-BD141)/BD140*BE140),0),0)+IF(TbTradesBinance[[#This Row],[Tipo]]="SELL",IF(ISNUMBER(FIND(MID(BE$1,10,5),TbTradesBinance[[#This Row],[Par]])),IF(FIND(MID(BE$1,10,5),TbTradesBinance[[#This Row],[Par]])=1, -(BD140-BD141)/BD140*BE140,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Row],[Par]])),(-(BD140-BD141)/BD140*BE140)+IF(TbTradesBinance[[#This Row],[Resultado]]&gt;0,0,TbTradesBinance[[#This Row],[Taxa]]),0),0))</f>
        <v>0</v>
      </c>
      <c r="BF141" s="145">
        <f t="shared" si="53"/>
        <v>0</v>
      </c>
      <c r="BG14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Row],[Tipo]]="DROP"),BG140+TbTradesBinance[[#This Row],[Qtt]],BG140-TbTradesBinance[[#This Row],[Qtt]]),IF(TbTradesBinance[[#This Row],[Tipo]]="BUY",BG140-TbTradesBinance[[#This Row],[Qtt]]*TbTradesBinance[[#This Row],[Preço]],BG140+TbTradesBinance[[#This Row],[Qtt]]*TbTradesBinance[[#This Row],[Preço]])),BG140)-IF(TbTradesBinance[[#This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Row],[Tipo]]="DROP"),BG140+TbTradesBinance[[#This Row],[Qtt]],BG140-TbTradesBinance[[#This Row],[Qtt]]),IF(TbTradesBinance[[#This Row],[Tipo]]="BUY",BG140-TbTradesBinance[[#This Row],[Qtt]]*TbTradesBinance[[#This Row],[Preço]],BG140+TbTradesBinance[[#This Row],[Qtt]]*TbTradesBinance[[#This Row],[Preço]])),BG140)-IF(TbTradesBinance[[#This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Row],[Tipo]]="DROP"),BG140+TbTradesBinance[[#This Row],[Qtt]],BG140-TbTradesBinance[[#This Row],[Qtt]]),IF(TbTradesBinance[[#This Row],[Tipo]]="BUY",BG140-TbTradesBinance[[#This Row],[Qtt]]*TbTradesBinance[[#This Row],[Preço]],BG140+TbTradesBinance[[#This Row],[Qtt]]*TbTradesBinance[[#This Row],[Preço]])),BG140)-IF(TbTradesBinance[[#This Row],[Moeda da Taxa]]=MID(BG$1,9,5),TbTradesBinance[[#This Row],[Taxa]],0),8)))</f>
        <v>0</v>
      </c>
      <c r="BH141" s="145" cm="1">
        <f t="array" ref="BH141">IF(TbTradesBinance[[#This Row],[Tipo]]="EMPTY",0,BH140+IF(TbTradesBinance[[#This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Row],[Par]]))),$1:$1,0)),-(BG140-BG141)/BG140*BH140),0),0)+IF(TbTradesBinance[[#This Row],[Tipo]]="SELL",IF(ISNUMBER(FIND(MID(BH$1,10,5),TbTradesBinance[[#This Row],[Par]])),IF(FIND(MID(BH$1,10,5),TbTradesBinance[[#This Row],[Par]])=1, -(BG140-BG141)/BG140*BH140,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Row],[Par]])),(-(BG140-BG141)/BG140*BH140)+IF(TbTradesBinance[[#This Row],[Resultado]]&gt;0,0,TbTradesBinance[[#This Row],[Taxa]]),0),0))</f>
        <v>0</v>
      </c>
      <c r="BI141" s="145">
        <f t="shared" si="54"/>
        <v>0</v>
      </c>
      <c r="BJ14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Row],[Tipo]]="DROP"),BJ140+TbTradesBinance[[#This Row],[Qtt]],BJ140-TbTradesBinance[[#This Row],[Qtt]]),IF(TbTradesBinance[[#This Row],[Tipo]]="BUY",BJ140-TbTradesBinance[[#This Row],[Qtt]]*TbTradesBinance[[#This Row],[Preço]],BJ140+TbTradesBinance[[#This Row],[Qtt]]*TbTradesBinance[[#This Row],[Preço]])),BJ140)-IF(TbTradesBinance[[#This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Row],[Tipo]]="DROP"),BJ140+TbTradesBinance[[#This Row],[Qtt]],BJ140-TbTradesBinance[[#This Row],[Qtt]]),IF(TbTradesBinance[[#This Row],[Tipo]]="BUY",BJ140-TbTradesBinance[[#This Row],[Qtt]]*TbTradesBinance[[#This Row],[Preço]],BJ140+TbTradesBinance[[#This Row],[Qtt]]*TbTradesBinance[[#This Row],[Preço]])),BJ140)-IF(TbTradesBinance[[#This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Row],[Tipo]]="DROP"),BJ140+TbTradesBinance[[#This Row],[Qtt]],BJ140-TbTradesBinance[[#This Row],[Qtt]]),IF(TbTradesBinance[[#This Row],[Tipo]]="BUY",BJ140-TbTradesBinance[[#This Row],[Qtt]]*TbTradesBinance[[#This Row],[Preço]],BJ140+TbTradesBinance[[#This Row],[Qtt]]*TbTradesBinance[[#This Row],[Preço]])),BJ140)-IF(TbTradesBinance[[#This Row],[Moeda da Taxa]]=MID(BJ$1,9,5),TbTradesBinance[[#This Row],[Taxa]],0),8)))</f>
        <v>2.1681500000000002E-3</v>
      </c>
      <c r="BK141" s="145" cm="1">
        <f t="array" ref="BK141">IF(TbTradesBinance[[#This Row],[Tipo]]="EMPTY",0,BK140+IF(TbTradesBinance[[#This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Row],[Par]]))),$1:$1,0)),-(BJ140-BJ141)/BJ140*BK140),0),0)+IF(TbTradesBinance[[#This Row],[Tipo]]="SELL",IF(ISNUMBER(FIND(MID(BK$1,10,5),TbTradesBinance[[#This Row],[Par]])),IF(FIND(MID(BK$1,10,5),TbTradesBinance[[#This Row],[Par]])=1, -(BJ140-BJ141)/BJ140*BK140,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Row],[Par]])),(-(BJ140-BJ141)/BJ140*BK140)+IF(TbTradesBinance[[#This Row],[Resultado]]&gt;0,0,TbTradesBinance[[#This Row],[Taxa]]),0),0))</f>
        <v>0</v>
      </c>
      <c r="BL141" s="145">
        <f t="shared" si="55"/>
        <v>0</v>
      </c>
      <c r="BM14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Row],[Tipo]]="DROP"),BM140+TbTradesBinance[[#This Row],[Qtt]],BM140-TbTradesBinance[[#This Row],[Qtt]]),IF(TbTradesBinance[[#This Row],[Tipo]]="BUY",BM140-TbTradesBinance[[#This Row],[Qtt]]*TbTradesBinance[[#This Row],[Preço]],BM140+TbTradesBinance[[#This Row],[Qtt]]*TbTradesBinance[[#This Row],[Preço]])),BM140)-IF(TbTradesBinance[[#This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Row],[Tipo]]="DROP"),BM140+TbTradesBinance[[#This Row],[Qtt]],BM140-TbTradesBinance[[#This Row],[Qtt]]),IF(TbTradesBinance[[#This Row],[Tipo]]="BUY",BM140-TbTradesBinance[[#This Row],[Qtt]]*TbTradesBinance[[#This Row],[Preço]],BM140+TbTradesBinance[[#This Row],[Qtt]]*TbTradesBinance[[#This Row],[Preço]])),BM140)-IF(TbTradesBinance[[#This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Row],[Tipo]]="DROP"),BM140+TbTradesBinance[[#This Row],[Qtt]],BM140-TbTradesBinance[[#This Row],[Qtt]]),IF(TbTradesBinance[[#This Row],[Tipo]]="BUY",BM140-TbTradesBinance[[#This Row],[Qtt]]*TbTradesBinance[[#This Row],[Preço]],BM140+TbTradesBinance[[#This Row],[Qtt]]*TbTradesBinance[[#This Row],[Preço]])),BM140)-IF(TbTradesBinance[[#This Row],[Moeda da Taxa]]=MID(BM$1,9,5),TbTradesBinance[[#This Row],[Taxa]],0),8)))</f>
        <v>0</v>
      </c>
      <c r="BN141" s="145" cm="1">
        <f t="array" ref="BN141">IF(TbTradesBinance[[#This Row],[Tipo]]="EMPTY",0,BN140+IF(TbTradesBinance[[#This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Row],[Par]]))),$1:$1,0)),-(BM140-BM141)/BM140*BN140),0),0)+IF(TbTradesBinance[[#This Row],[Tipo]]="SELL",IF(ISNUMBER(FIND(MID(BN$1,10,5),TbTradesBinance[[#This Row],[Par]])),IF(FIND(MID(BN$1,10,5),TbTradesBinance[[#This Row],[Par]])=1, -(BM140-BM141)/BM140*BN140,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Row],[Par]])),(-(BM140-BM141)/BM140*BN140)+IF(TbTradesBinance[[#This Row],[Resultado]]&gt;0,0,TbTradesBinance[[#This Row],[Taxa]]),0),0))</f>
        <v>0</v>
      </c>
      <c r="BO141" s="145">
        <f t="shared" si="56"/>
        <v>0</v>
      </c>
    </row>
    <row r="142" spans="2:67" x14ac:dyDescent="0.3">
      <c r="B142" s="51" t="s">
        <v>107</v>
      </c>
      <c r="C142" s="40">
        <f>TRUNC(IF(AND(TbTradesBinance[[#This Row],[Tipo]]="SEND",TbTradesBinance[[#This Row],[Par]]="BRL"),TbTradesBinance[[#This Row],[Qtt]]*(1-P140)-IF(TbTradesBinance[[#This Row],[Moeda da Taxa]]="BRL",TbTradesBinance[[#This Row],[Taxa]],0),0)+IF(AND(TbTradesBinance[[#This Row],[Tipo]]="BURN",TbTradesBinance[[#This Row],[Par]]="BRL"),-TbTradesBinance[[#This Row],[Qtt]]*P140,0),2)</f>
        <v>0</v>
      </c>
      <c r="D142" s="53">
        <v>44284.927523148152</v>
      </c>
      <c r="E142" s="37" t="s">
        <v>265</v>
      </c>
      <c r="F142" s="47" t="s">
        <v>140</v>
      </c>
      <c r="G142" s="38">
        <v>5.7935569999999999E-2</v>
      </c>
      <c r="H142" s="38">
        <v>8.0157999999999998E-4</v>
      </c>
      <c r="I142" s="38">
        <v>9.2999999999999999E-7</v>
      </c>
      <c r="J142" s="37" t="s">
        <v>45</v>
      </c>
      <c r="K142" s="52">
        <v>1582</v>
      </c>
      <c r="L142" s="40">
        <f t="shared" si="38"/>
        <v>91.65</v>
      </c>
      <c r="M142" s="40">
        <f>IF(OR(TbTradesBinance[[#This Row],[Tipo]]="BUY",TbTradesBinance[[#This Row],[Tipo]]="RECEIVE",TbTradesBinance[[#This Row],[Tipo]]="DROP"),L142*H142,-L142*H142)</f>
        <v>-7.3464807000000007E-2</v>
      </c>
      <c r="N14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Row],[Tipo]]="DROP"),N141+TbTradesBinance[[#This Row],[Qtt]],N141-TbTradesBinance[[#This Row],[Qtt]]),IF(TbTradesBinance[[#This Row],[Tipo]]="BUY",N141-TbTradesBinance[[#This Row],[Qtt]]*TbTradesBinance[[#This Row],[Preço]],N141+TbTradesBinance[[#This Row],[Qtt]]*TbTradesBinance[[#This Row],[Preço]])),N141)-IF(TbTradesBinance[[#This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Row],[Tipo]]="DROP"),N141+TbTradesBinance[[#This Row],[Qtt]],N141-TbTradesBinance[[#This Row],[Qtt]]),IF(TbTradesBinance[[#This Row],[Tipo]]="BUY",N141-TbTradesBinance[[#This Row],[Qtt]]*TbTradesBinance[[#This Row],[Preço]],N141+TbTradesBinance[[#This Row],[Qtt]]*TbTradesBinance[[#This Row],[Preço]])),N141)-IF(TbTradesBinance[[#This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Row],[Tipo]]="DROP"),N141+TbTradesBinance[[#This Row],[Qtt]],N141-TbTradesBinance[[#This Row],[Qtt]]),IF(TbTradesBinance[[#This Row],[Tipo]]="BUY",N141-TbTradesBinance[[#This Row],[Qtt]]*TbTradesBinance[[#This Row],[Preço]],N141+TbTradesBinance[[#This Row],[Qtt]]*TbTradesBinance[[#This Row],[Preço]])),N141)-IF(TbTradesBinance[[#This Row],[Moeda da Taxa]]=MID(N$1,9,5),TbTradesBinance[[#This Row],[Taxa]],0),8)))</f>
        <v>119745.42956418</v>
      </c>
      <c r="O142" s="145" cm="1">
        <f t="array" ref="O142">IF(TbTradesBinance[[#This Row],[Tipo]]="EMPTY",0,O141+IF(TbTradesBinance[[#This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Row],[Par]]))),$1:$1,0)),-(N141-N142)/N141*O141),0),0)+IF(TbTradesBinance[[#This Row],[Tipo]]="SELL",IF(ISNUMBER(FIND(MID(O$1,10,5),TbTradesBinance[[#This Row],[Par]])),IF(FIND(MID(O$1,10,5),TbTradesBinance[[#This Row],[Par]])=1, -(N141-N142)/N141*O141,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Row],[Par]])),(-(N141-N142)/N141*O141)+IF(TbTradesBinance[[#This Row],[Resultado]]&gt;0,0,TbTradesBinance[[#This Row],[Taxa]]),0),0))</f>
        <v>119800.43203771512</v>
      </c>
      <c r="P142" s="145">
        <f t="shared" si="39"/>
        <v>1.0004593283746637</v>
      </c>
      <c r="Q14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Row],[Tipo]]="DROP"),Q141+TbTradesBinance[[#This Row],[Qtt]],Q141-TbTradesBinance[[#This Row],[Qtt]]),IF(TbTradesBinance[[#This Row],[Tipo]]="BUY",Q141-TbTradesBinance[[#This Row],[Qtt]]*TbTradesBinance[[#This Row],[Preço]],Q141+TbTradesBinance[[#This Row],[Qtt]]*TbTradesBinance[[#This Row],[Preço]])),Q141)-IF(TbTradesBinance[[#This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Row],[Tipo]]="DROP"),Q141+TbTradesBinance[[#This Row],[Qtt]],Q141-TbTradesBinance[[#This Row],[Qtt]]),IF(TbTradesBinance[[#This Row],[Tipo]]="BUY",Q141-TbTradesBinance[[#This Row],[Qtt]]*TbTradesBinance[[#This Row],[Preço]],Q141+TbTradesBinance[[#This Row],[Qtt]]*TbTradesBinance[[#This Row],[Preço]])),Q141)-IF(TbTradesBinance[[#This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Row],[Tipo]]="DROP"),Q141+TbTradesBinance[[#This Row],[Qtt]],Q141-TbTradesBinance[[#This Row],[Qtt]]),IF(TbTradesBinance[[#This Row],[Tipo]]="BUY",Q141-TbTradesBinance[[#This Row],[Qtt]]*TbTradesBinance[[#This Row],[Preço]],Q141+TbTradesBinance[[#This Row],[Qtt]]*TbTradesBinance[[#This Row],[Preço]])),Q141)-IF(TbTradesBinance[[#This Row],[Moeda da Taxa]]=MID(Q$1,9,5),TbTradesBinance[[#This Row],[Taxa]],0),8)))</f>
        <v>32.28</v>
      </c>
      <c r="R142" s="145" cm="1">
        <f t="array" ref="R142">IF(TbTradesBinance[[#This Row],[Tipo]]="EMPTY",0,R141+IF(TbTradesBinance[[#This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Row],[Par]]))),$1:$1,0)),-(Q141-Q142)/Q141*R141),0),0)+IF(TbTradesBinance[[#This Row],[Tipo]]="SELL",IF(ISNUMBER(FIND(MID(R$1,10,5),TbTradesBinance[[#This Row],[Par]])),IF(FIND(MID(R$1,10,5),TbTradesBinance[[#This Row],[Par]])=1, -(Q141-Q142)/Q141*R141,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Row],[Par]])),(-(Q141-Q142)/Q141*R141)+IF(TbTradesBinance[[#This Row],[Resultado]]&gt;0,0,TbTradesBinance[[#This Row],[Taxa]]),0),0))</f>
        <v>230.63786295230526</v>
      </c>
      <c r="S142" s="145">
        <f t="shared" si="40"/>
        <v>7.1449152091792207</v>
      </c>
      <c r="T14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Row],[Tipo]]="DROP"),T141+TbTradesBinance[[#This Row],[Qtt]],T141-TbTradesBinance[[#This Row],[Qtt]]),IF(TbTradesBinance[[#This Row],[Tipo]]="BUY",T141-TbTradesBinance[[#This Row],[Qtt]]*TbTradesBinance[[#This Row],[Preço]],T141+TbTradesBinance[[#This Row],[Qtt]]*TbTradesBinance[[#This Row],[Preço]])),T141)-IF(TbTradesBinance[[#This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Row],[Tipo]]="DROP"),T141+TbTradesBinance[[#This Row],[Qtt]],T141-TbTradesBinance[[#This Row],[Qtt]]),IF(TbTradesBinance[[#This Row],[Tipo]]="BUY",T141-TbTradesBinance[[#This Row],[Qtt]]*TbTradesBinance[[#This Row],[Preço]],T141+TbTradesBinance[[#This Row],[Qtt]]*TbTradesBinance[[#This Row],[Preço]])),T141)-IF(TbTradesBinance[[#This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Row],[Tipo]]="DROP"),T141+TbTradesBinance[[#This Row],[Qtt]],T141-TbTradesBinance[[#This Row],[Qtt]]),IF(TbTradesBinance[[#This Row],[Tipo]]="BUY",T141-TbTradesBinance[[#This Row],[Qtt]]*TbTradesBinance[[#This Row],[Preço]],T141+TbTradesBinance[[#This Row],[Qtt]]*TbTradesBinance[[#This Row],[Preço]])),T141)-IF(TbTradesBinance[[#This Row],[Moeda da Taxa]]=MID(T$1,9,5),TbTradesBinance[[#This Row],[Taxa]],0),8)))</f>
        <v>219713.72000189999</v>
      </c>
      <c r="U142" s="145" cm="1">
        <f t="array" ref="U142">IF(TbTradesBinance[[#This Row],[Tipo]]="EMPTY",0,U141+IF(TbTradesBinance[[#This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Row],[Par]]))),$1:$1,0)),-(T141-T142)/T141*U141),0),0)+IF(TbTradesBinance[[#This Row],[Tipo]]="SELL",IF(ISNUMBER(FIND(MID(U$1,10,5),TbTradesBinance[[#This Row],[Par]])),IF(FIND(MID(U$1,10,5),TbTradesBinance[[#This Row],[Par]])=1, -(T141-T142)/T141*U141,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Row],[Par]])),(-(T141-T142)/T141*U141)+IF(TbTradesBinance[[#This Row],[Resultado]]&gt;0,0,TbTradesBinance[[#This Row],[Taxa]]),0),0))</f>
        <v>1461096.2409827893</v>
      </c>
      <c r="V142" s="145">
        <f t="shared" si="41"/>
        <v>6.6500000135182926</v>
      </c>
      <c r="W14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Row],[Tipo]]="DROP"),W141+TbTradesBinance[[#This Row],[Qtt]],W141-TbTradesBinance[[#This Row],[Qtt]]),IF(TbTradesBinance[[#This Row],[Tipo]]="BUY",W141-TbTradesBinance[[#This Row],[Qtt]]*TbTradesBinance[[#This Row],[Preço]],W141+TbTradesBinance[[#This Row],[Qtt]]*TbTradesBinance[[#This Row],[Preço]])),W141)-IF(TbTradesBinance[[#This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Row],[Tipo]]="DROP"),W141+TbTradesBinance[[#This Row],[Qtt]],W141-TbTradesBinance[[#This Row],[Qtt]]),IF(TbTradesBinance[[#This Row],[Tipo]]="BUY",W141-TbTradesBinance[[#This Row],[Qtt]]*TbTradesBinance[[#This Row],[Preço]],W141+TbTradesBinance[[#This Row],[Qtt]]*TbTradesBinance[[#This Row],[Preço]])),W141)-IF(TbTradesBinance[[#This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Row],[Tipo]]="DROP"),W141+TbTradesBinance[[#This Row],[Qtt]],W141-TbTradesBinance[[#This Row],[Qtt]]),IF(TbTradesBinance[[#This Row],[Tipo]]="BUY",W141-TbTradesBinance[[#This Row],[Qtt]]*TbTradesBinance[[#This Row],[Preço]],W141+TbTradesBinance[[#This Row],[Qtt]]*TbTradesBinance[[#This Row],[Preço]])),W141)-IF(TbTradesBinance[[#This Row],[Moeda da Taxa]]=MID(W$1,9,5),TbTradesBinance[[#This Row],[Taxa]],0),8)))</f>
        <v>3.2336000000000002E-4</v>
      </c>
      <c r="X142" s="145" cm="1">
        <f t="array" ref="X142">IF(TbTradesBinance[[#This Row],[Tipo]]="EMPTY",0,X141+IF(TbTradesBinance[[#This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Row],[Par]]))),$1:$1,0)),-(W141-W142)/W141*X141),0),0)+IF(TbTradesBinance[[#This Row],[Tipo]]="SELL",IF(ISNUMBER(FIND(MID(X$1,10,5),TbTradesBinance[[#This Row],[Par]])),IF(FIND(MID(X$1,10,5),TbTradesBinance[[#This Row],[Par]])=1, -(W141-W142)/W141*X141,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Row],[Par]])),(-(W141-W142)/W141*X141)+IF(TbTradesBinance[[#This Row],[Resultado]]&gt;0,0,TbTradesBinance[[#This Row],[Taxa]]),0),0))</f>
        <v>109.49359760304422</v>
      </c>
      <c r="Y142" s="145">
        <f t="shared" si="42"/>
        <v>338612.06581841974</v>
      </c>
      <c r="Z14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Row],[Tipo]]="DROP"),Z141+TbTradesBinance[[#This Row],[Qtt]],Z141-TbTradesBinance[[#This Row],[Qtt]]),IF(TbTradesBinance[[#This Row],[Tipo]]="BUY",Z141-TbTradesBinance[[#This Row],[Qtt]]*TbTradesBinance[[#This Row],[Preço]],Z141+TbTradesBinance[[#This Row],[Qtt]]*TbTradesBinance[[#This Row],[Preço]])),Z141)-IF(TbTradesBinance[[#This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Row],[Tipo]]="DROP"),Z141+TbTradesBinance[[#This Row],[Qtt]],Z141-TbTradesBinance[[#This Row],[Qtt]]),IF(TbTradesBinance[[#This Row],[Tipo]]="BUY",Z141-TbTradesBinance[[#This Row],[Qtt]]*TbTradesBinance[[#This Row],[Preço]],Z141+TbTradesBinance[[#This Row],[Qtt]]*TbTradesBinance[[#This Row],[Preço]])),Z141)-IF(TbTradesBinance[[#This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Row],[Tipo]]="DROP"),Z141+TbTradesBinance[[#This Row],[Qtt]],Z141-TbTradesBinance[[#This Row],[Qtt]]),IF(TbTradesBinance[[#This Row],[Tipo]]="BUY",Z141-TbTradesBinance[[#This Row],[Qtt]]*TbTradesBinance[[#This Row],[Preço]],Z141+TbTradesBinance[[#This Row],[Qtt]]*TbTradesBinance[[#This Row],[Preço]])),Z141)-IF(TbTradesBinance[[#This Row],[Moeda da Taxa]]=MID(Z$1,9,5),TbTradesBinance[[#This Row],[Taxa]],0),8)))</f>
        <v>0</v>
      </c>
      <c r="AA142" s="145" cm="1">
        <f t="array" ref="AA142">IF(TbTradesBinance[[#This Row],[Tipo]]="EMPTY",0,AA141+IF(TbTradesBinance[[#This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Row],[Par]]))),$1:$1,0)),-(Z141-Z142)/Z141*AA141),0),0)+IF(TbTradesBinance[[#This Row],[Tipo]]="SELL",IF(ISNUMBER(FIND(MID(AA$1,10,5),TbTradesBinance[[#This Row],[Par]])),IF(FIND(MID(AA$1,10,5),TbTradesBinance[[#This Row],[Par]])=1, -(Z141-Z142)/Z141*AA141,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Row],[Par]])),(-(Z141-Z142)/Z141*AA141)+IF(TbTradesBinance[[#This Row],[Resultado]]&gt;0,0,TbTradesBinance[[#This Row],[Taxa]]),0),0))</f>
        <v>0</v>
      </c>
      <c r="AB142" s="145">
        <f t="shared" si="43"/>
        <v>0</v>
      </c>
      <c r="AC14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Row],[Tipo]]="DROP"),AC141+TbTradesBinance[[#This Row],[Qtt]],AC141-TbTradesBinance[[#This Row],[Qtt]]),IF(TbTradesBinance[[#This Row],[Tipo]]="BUY",AC141-TbTradesBinance[[#This Row],[Qtt]]*TbTradesBinance[[#This Row],[Preço]],AC141+TbTradesBinance[[#This Row],[Qtt]]*TbTradesBinance[[#This Row],[Preço]])),AC141)-IF(TbTradesBinance[[#This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Row],[Tipo]]="DROP"),AC141+TbTradesBinance[[#This Row],[Qtt]],AC141-TbTradesBinance[[#This Row],[Qtt]]),IF(TbTradesBinance[[#This Row],[Tipo]]="BUY",AC141-TbTradesBinance[[#This Row],[Qtt]]*TbTradesBinance[[#This Row],[Preço]],AC141+TbTradesBinance[[#This Row],[Qtt]]*TbTradesBinance[[#This Row],[Preço]])),AC141)-IF(TbTradesBinance[[#This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Row],[Tipo]]="DROP"),AC141+TbTradesBinance[[#This Row],[Qtt]],AC141-TbTradesBinance[[#This Row],[Qtt]]),IF(TbTradesBinance[[#This Row],[Tipo]]="BUY",AC141-TbTradesBinance[[#This Row],[Qtt]]*TbTradesBinance[[#This Row],[Preço]],AC141+TbTradesBinance[[#This Row],[Qtt]]*TbTradesBinance[[#This Row],[Preço]])),AC141)-IF(TbTradesBinance[[#This Row],[Moeda da Taxa]]=MID(AC$1,9,5),TbTradesBinance[[#This Row],[Taxa]],0),8)))</f>
        <v>0</v>
      </c>
      <c r="AD142" s="145" cm="1">
        <f t="array" ref="AD142">IF(TbTradesBinance[[#This Row],[Tipo]]="EMPTY",0,AD141+IF(TbTradesBinance[[#This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Row],[Par]]))),$1:$1,0)),-(AC141-AC142)/AC141*AD141),0),0)+IF(TbTradesBinance[[#This Row],[Tipo]]="SELL",IF(ISNUMBER(FIND(MID(AD$1,10,5),TbTradesBinance[[#This Row],[Par]])),IF(FIND(MID(AD$1,10,5),TbTradesBinance[[#This Row],[Par]])=1, -(AC141-AC142)/AC141*AD141,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Row],[Par]])),(-(AC141-AC142)/AC141*AD141)+IF(TbTradesBinance[[#This Row],[Resultado]]&gt;0,0,TbTradesBinance[[#This Row],[Taxa]]),0),0))</f>
        <v>0</v>
      </c>
      <c r="AE142" s="145">
        <f t="shared" si="44"/>
        <v>0</v>
      </c>
      <c r="AF14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Row],[Tipo]]="DROP"),AF141+TbTradesBinance[[#This Row],[Qtt]],AF141-TbTradesBinance[[#This Row],[Qtt]]),IF(TbTradesBinance[[#This Row],[Tipo]]="BUY",AF141-TbTradesBinance[[#This Row],[Qtt]]*TbTradesBinance[[#This Row],[Preço]],AF141+TbTradesBinance[[#This Row],[Qtt]]*TbTradesBinance[[#This Row],[Preço]])),AF141)-IF(TbTradesBinance[[#This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Row],[Tipo]]="DROP"),AF141+TbTradesBinance[[#This Row],[Qtt]],AF141-TbTradesBinance[[#This Row],[Qtt]]),IF(TbTradesBinance[[#This Row],[Tipo]]="BUY",AF141-TbTradesBinance[[#This Row],[Qtt]]*TbTradesBinance[[#This Row],[Preço]],AF141+TbTradesBinance[[#This Row],[Qtt]]*TbTradesBinance[[#This Row],[Preço]])),AF141)-IF(TbTradesBinance[[#This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Row],[Tipo]]="DROP"),AF141+TbTradesBinance[[#This Row],[Qtt]],AF141-TbTradesBinance[[#This Row],[Qtt]]),IF(TbTradesBinance[[#This Row],[Tipo]]="BUY",AF141-TbTradesBinance[[#This Row],[Qtt]]*TbTradesBinance[[#This Row],[Preço]],AF141+TbTradesBinance[[#This Row],[Qtt]]*TbTradesBinance[[#This Row],[Preço]])),AF141)-IF(TbTradesBinance[[#This Row],[Moeda da Taxa]]=MID(AF$1,9,5),TbTradesBinance[[#This Row],[Taxa]],0),8)))</f>
        <v>0</v>
      </c>
      <c r="AG142" s="145" cm="1">
        <f t="array" ref="AG142">IF(TbTradesBinance[[#This Row],[Tipo]]="EMPTY",0,AG141+IF(TbTradesBinance[[#This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Row],[Par]]))),$1:$1,0)),-(AF141-AF142)/AF141*AG141),0),0)+IF(TbTradesBinance[[#This Row],[Tipo]]="SELL",IF(ISNUMBER(FIND(MID(AG$1,10,5),TbTradesBinance[[#This Row],[Par]])),IF(FIND(MID(AG$1,10,5),TbTradesBinance[[#This Row],[Par]])=1, -(AF141-AF142)/AF141*AG141,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Row],[Par]])),(-(AF141-AF142)/AF141*AG141)+IF(TbTradesBinance[[#This Row],[Resultado]]&gt;0,0,TbTradesBinance[[#This Row],[Taxa]]),0),0))</f>
        <v>0</v>
      </c>
      <c r="AH142" s="145">
        <f t="shared" si="45"/>
        <v>0</v>
      </c>
      <c r="AI14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Row],[Tipo]]="DROP"),AI141+TbTradesBinance[[#This Row],[Qtt]],AI141-TbTradesBinance[[#This Row],[Qtt]]),IF(TbTradesBinance[[#This Row],[Tipo]]="BUY",AI141-TbTradesBinance[[#This Row],[Qtt]]*TbTradesBinance[[#This Row],[Preço]],AI141+TbTradesBinance[[#This Row],[Qtt]]*TbTradesBinance[[#This Row],[Preço]])),AI141)-IF(TbTradesBinance[[#This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Row],[Tipo]]="DROP"),AI141+TbTradesBinance[[#This Row],[Qtt]],AI141-TbTradesBinance[[#This Row],[Qtt]]),IF(TbTradesBinance[[#This Row],[Tipo]]="BUY",AI141-TbTradesBinance[[#This Row],[Qtt]]*TbTradesBinance[[#This Row],[Preço]],AI141+TbTradesBinance[[#This Row],[Qtt]]*TbTradesBinance[[#This Row],[Preço]])),AI141)-IF(TbTradesBinance[[#This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Row],[Tipo]]="DROP"),AI141+TbTradesBinance[[#This Row],[Qtt]],AI141-TbTradesBinance[[#This Row],[Qtt]]),IF(TbTradesBinance[[#This Row],[Tipo]]="BUY",AI141-TbTradesBinance[[#This Row],[Qtt]]*TbTradesBinance[[#This Row],[Preço]],AI141+TbTradesBinance[[#This Row],[Qtt]]*TbTradesBinance[[#This Row],[Preço]])),AI141)-IF(TbTradesBinance[[#This Row],[Moeda da Taxa]]=MID(AI$1,9,5),TbTradesBinance[[#This Row],[Taxa]],0),8)))</f>
        <v>0</v>
      </c>
      <c r="AJ142" s="145" cm="1">
        <f t="array" ref="AJ142">IF(TbTradesBinance[[#This Row],[Tipo]]="EMPTY",0,AJ141+IF(TbTradesBinance[[#This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Row],[Par]]))),$1:$1,0)),-(AI141-AI142)/AI141*AJ141),0),0)+IF(TbTradesBinance[[#This Row],[Tipo]]="SELL",IF(ISNUMBER(FIND(MID(AJ$1,10,5),TbTradesBinance[[#This Row],[Par]])),IF(FIND(MID(AJ$1,10,5),TbTradesBinance[[#This Row],[Par]])=1, -(AI141-AI142)/AI141*AJ141,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Row],[Par]])),(-(AI141-AI142)/AI141*AJ141)+IF(TbTradesBinance[[#This Row],[Resultado]]&gt;0,0,TbTradesBinance[[#This Row],[Taxa]]),0),0))</f>
        <v>0</v>
      </c>
      <c r="AK142" s="145">
        <f t="shared" si="46"/>
        <v>0</v>
      </c>
      <c r="AL14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Row],[Tipo]]="DROP"),AL141+TbTradesBinance[[#This Row],[Qtt]],AL141-TbTradesBinance[[#This Row],[Qtt]]),IF(TbTradesBinance[[#This Row],[Tipo]]="BUY",AL141-TbTradesBinance[[#This Row],[Qtt]]*TbTradesBinance[[#This Row],[Preço]],AL141+TbTradesBinance[[#This Row],[Qtt]]*TbTradesBinance[[#This Row],[Preço]])),AL141)-IF(TbTradesBinance[[#This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Row],[Tipo]]="DROP"),AL141+TbTradesBinance[[#This Row],[Qtt]],AL141-TbTradesBinance[[#This Row],[Qtt]]),IF(TbTradesBinance[[#This Row],[Tipo]]="BUY",AL141-TbTradesBinance[[#This Row],[Qtt]]*TbTradesBinance[[#This Row],[Preço]],AL141+TbTradesBinance[[#This Row],[Qtt]]*TbTradesBinance[[#This Row],[Preço]])),AL141)-IF(TbTradesBinance[[#This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Row],[Tipo]]="DROP"),AL141+TbTradesBinance[[#This Row],[Qtt]],AL141-TbTradesBinance[[#This Row],[Qtt]]),IF(TbTradesBinance[[#This Row],[Tipo]]="BUY",AL141-TbTradesBinance[[#This Row],[Qtt]]*TbTradesBinance[[#This Row],[Preço]],AL141+TbTradesBinance[[#This Row],[Qtt]]*TbTradesBinance[[#This Row],[Preço]])),AL141)-IF(TbTradesBinance[[#This Row],[Moeda da Taxa]]=MID(AL$1,9,5),TbTradesBinance[[#This Row],[Taxa]],0),8)))</f>
        <v>0</v>
      </c>
      <c r="AM142" s="145" cm="1">
        <f t="array" ref="AM142">IF(TbTradesBinance[[#This Row],[Tipo]]="EMPTY",0,AM141+IF(TbTradesBinance[[#This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Row],[Par]]))),$1:$1,0)),-(AL141-AL142)/AL141*AM141),0),0)+IF(TbTradesBinance[[#This Row],[Tipo]]="SELL",IF(ISNUMBER(FIND(MID(AM$1,10,5),TbTradesBinance[[#This Row],[Par]])),IF(FIND(MID(AM$1,10,5),TbTradesBinance[[#This Row],[Par]])=1, -(AL141-AL142)/AL141*AM141,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Row],[Par]])),(-(AL141-AL142)/AL141*AM141)+IF(TbTradesBinance[[#This Row],[Resultado]]&gt;0,0,TbTradesBinance[[#This Row],[Taxa]]),0),0))</f>
        <v>0</v>
      </c>
      <c r="AN142" s="145">
        <f t="shared" si="47"/>
        <v>0</v>
      </c>
      <c r="AO14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Row],[Tipo]]="DROP"),AO141+TbTradesBinance[[#This Row],[Qtt]],AO141-TbTradesBinance[[#This Row],[Qtt]]),IF(TbTradesBinance[[#This Row],[Tipo]]="BUY",AO141-TbTradesBinance[[#This Row],[Qtt]]*TbTradesBinance[[#This Row],[Preço]],AO141+TbTradesBinance[[#This Row],[Qtt]]*TbTradesBinance[[#This Row],[Preço]])),AO141)-IF(TbTradesBinance[[#This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Row],[Tipo]]="DROP"),AO141+TbTradesBinance[[#This Row],[Qtt]],AO141-TbTradesBinance[[#This Row],[Qtt]]),IF(TbTradesBinance[[#This Row],[Tipo]]="BUY",AO141-TbTradesBinance[[#This Row],[Qtt]]*TbTradesBinance[[#This Row],[Preço]],AO141+TbTradesBinance[[#This Row],[Qtt]]*TbTradesBinance[[#This Row],[Preço]])),AO141)-IF(TbTradesBinance[[#This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Row],[Tipo]]="DROP"),AO141+TbTradesBinance[[#This Row],[Qtt]],AO141-TbTradesBinance[[#This Row],[Qtt]]),IF(TbTradesBinance[[#This Row],[Tipo]]="BUY",AO141-TbTradesBinance[[#This Row],[Qtt]]*TbTradesBinance[[#This Row],[Preço]],AO141+TbTradesBinance[[#This Row],[Qtt]]*TbTradesBinance[[#This Row],[Preço]])),AO141)-IF(TbTradesBinance[[#This Row],[Moeda da Taxa]]=MID(AO$1,9,5),TbTradesBinance[[#This Row],[Taxa]],0),8)))</f>
        <v>3.7310980000000001E-2</v>
      </c>
      <c r="AP142" s="145" cm="1">
        <f t="array" ref="AP142">IF(TbTradesBinance[[#This Row],[Tipo]]="EMPTY",0,AP141+IF(TbTradesBinance[[#This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Row],[Par]]))),$1:$1,0)),-(AO141-AO142)/AO141*AP141),0),0)+IF(TbTradesBinance[[#This Row],[Tipo]]="SELL",IF(ISNUMBER(FIND(MID(AP$1,10,5),TbTradesBinance[[#This Row],[Par]])),IF(FIND(MID(AP$1,10,5),TbTradesBinance[[#This Row],[Par]])=1, -(AO141-AO142)/AO141*AP141,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Row],[Par]])),(-(AO141-AO142)/AO141*AP141)+IF(TbTradesBinance[[#This Row],[Resultado]]&gt;0,0,TbTradesBinance[[#This Row],[Taxa]]),0),0))</f>
        <v>57.065298020032813</v>
      </c>
      <c r="AQ142" s="145">
        <f t="shared" si="48"/>
        <v>1529.4505268967155</v>
      </c>
      <c r="AR14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Row],[Tipo]]="DROP"),AR141+TbTradesBinance[[#This Row],[Qtt]],AR141-TbTradesBinance[[#This Row],[Qtt]]),IF(TbTradesBinance[[#This Row],[Tipo]]="BUY",AR141-TbTradesBinance[[#This Row],[Qtt]]*TbTradesBinance[[#This Row],[Preço]],AR141+TbTradesBinance[[#This Row],[Qtt]]*TbTradesBinance[[#This Row],[Preço]])),AR141)-IF(TbTradesBinance[[#This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Row],[Tipo]]="DROP"),AR141+TbTradesBinance[[#This Row],[Qtt]],AR141-TbTradesBinance[[#This Row],[Qtt]]),IF(TbTradesBinance[[#This Row],[Tipo]]="BUY",AR141-TbTradesBinance[[#This Row],[Qtt]]*TbTradesBinance[[#This Row],[Preço]],AR141+TbTradesBinance[[#This Row],[Qtt]]*TbTradesBinance[[#This Row],[Preço]])),AR141)-IF(TbTradesBinance[[#This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Row],[Tipo]]="DROP"),AR141+TbTradesBinance[[#This Row],[Qtt]],AR141-TbTradesBinance[[#This Row],[Qtt]]),IF(TbTradesBinance[[#This Row],[Tipo]]="BUY",AR141-TbTradesBinance[[#This Row],[Qtt]]*TbTradesBinance[[#This Row],[Preço]],AR141+TbTradesBinance[[#This Row],[Qtt]]*TbTradesBinance[[#This Row],[Preço]])),AR141)-IF(TbTradesBinance[[#This Row],[Moeda da Taxa]]=MID(AR$1,9,5),TbTradesBinance[[#This Row],[Taxa]],0),8)))</f>
        <v>0</v>
      </c>
      <c r="AS142" s="145" cm="1">
        <f t="array" ref="AS142">IF(TbTradesBinance[[#This Row],[Tipo]]="EMPTY",0,AS141+IF(TbTradesBinance[[#This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Row],[Par]]))),$1:$1,0)),-(AR141-AR142)/AR141*AS141),0),0)+IF(TbTradesBinance[[#This Row],[Tipo]]="SELL",IF(ISNUMBER(FIND(MID(AS$1,10,5),TbTradesBinance[[#This Row],[Par]])),IF(FIND(MID(AS$1,10,5),TbTradesBinance[[#This Row],[Par]])=1, -(AR141-AR142)/AR141*AS141,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Row],[Par]])),(-(AR141-AR142)/AR141*AS141)+IF(TbTradesBinance[[#This Row],[Resultado]]&gt;0,0,TbTradesBinance[[#This Row],[Taxa]]),0),0))</f>
        <v>0</v>
      </c>
      <c r="AT142" s="145">
        <f t="shared" si="49"/>
        <v>0</v>
      </c>
      <c r="AU14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Row],[Tipo]]="DROP"),AU141+TbTradesBinance[[#This Row],[Qtt]],AU141-TbTradesBinance[[#This Row],[Qtt]]),IF(TbTradesBinance[[#This Row],[Tipo]]="BUY",AU141-TbTradesBinance[[#This Row],[Qtt]]*TbTradesBinance[[#This Row],[Preço]],AU141+TbTradesBinance[[#This Row],[Qtt]]*TbTradesBinance[[#This Row],[Preço]])),AU141)-IF(TbTradesBinance[[#This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Row],[Tipo]]="DROP"),AU141+TbTradesBinance[[#This Row],[Qtt]],AU141-TbTradesBinance[[#This Row],[Qtt]]),IF(TbTradesBinance[[#This Row],[Tipo]]="BUY",AU141-TbTradesBinance[[#This Row],[Qtt]]*TbTradesBinance[[#This Row],[Preço]],AU141+TbTradesBinance[[#This Row],[Qtt]]*TbTradesBinance[[#This Row],[Preço]])),AU141)-IF(TbTradesBinance[[#This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Row],[Tipo]]="DROP"),AU141+TbTradesBinance[[#This Row],[Qtt]],AU141-TbTradesBinance[[#This Row],[Qtt]]),IF(TbTradesBinance[[#This Row],[Tipo]]="BUY",AU141-TbTradesBinance[[#This Row],[Qtt]]*TbTradesBinance[[#This Row],[Preço]],AU141+TbTradesBinance[[#This Row],[Qtt]]*TbTradesBinance[[#This Row],[Preço]])),AU141)-IF(TbTradesBinance[[#This Row],[Moeda da Taxa]]=MID(AU$1,9,5),TbTradesBinance[[#This Row],[Taxa]],0),8)))</f>
        <v>0</v>
      </c>
      <c r="AV142" s="145" cm="1">
        <f t="array" ref="AV142">IF(TbTradesBinance[[#This Row],[Tipo]]="EMPTY",0,AV141+IF(TbTradesBinance[[#This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Row],[Par]]))),$1:$1,0)),-(AU141-AU142)/AU141*AV141),0),0)+IF(TbTradesBinance[[#This Row],[Tipo]]="SELL",IF(ISNUMBER(FIND(MID(AV$1,10,5),TbTradesBinance[[#This Row],[Par]])),IF(FIND(MID(AV$1,10,5),TbTradesBinance[[#This Row],[Par]])=1, -(AU141-AU142)/AU141*AV141,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Row],[Par]])),(-(AU141-AU142)/AU141*AV141)+IF(TbTradesBinance[[#This Row],[Resultado]]&gt;0,0,TbTradesBinance[[#This Row],[Taxa]]),0),0))</f>
        <v>0</v>
      </c>
      <c r="AW142" s="145">
        <f t="shared" si="50"/>
        <v>0</v>
      </c>
      <c r="AX14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Row],[Tipo]]="DROP"),AX141+TbTradesBinance[[#This Row],[Qtt]],AX141-TbTradesBinance[[#This Row],[Qtt]]),IF(TbTradesBinance[[#This Row],[Tipo]]="BUY",AX141-TbTradesBinance[[#This Row],[Qtt]]*TbTradesBinance[[#This Row],[Preço]],AX141+TbTradesBinance[[#This Row],[Qtt]]*TbTradesBinance[[#This Row],[Preço]])),AX141)-IF(TbTradesBinance[[#This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Row],[Tipo]]="DROP"),AX141+TbTradesBinance[[#This Row],[Qtt]],AX141-TbTradesBinance[[#This Row],[Qtt]]),IF(TbTradesBinance[[#This Row],[Tipo]]="BUY",AX141-TbTradesBinance[[#This Row],[Qtt]]*TbTradesBinance[[#This Row],[Preço]],AX141+TbTradesBinance[[#This Row],[Qtt]]*TbTradesBinance[[#This Row],[Preço]])),AX141)-IF(TbTradesBinance[[#This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Row],[Tipo]]="DROP"),AX141+TbTradesBinance[[#This Row],[Qtt]],AX141-TbTradesBinance[[#This Row],[Qtt]]),IF(TbTradesBinance[[#This Row],[Tipo]]="BUY",AX141-TbTradesBinance[[#This Row],[Qtt]]*TbTradesBinance[[#This Row],[Preço]],AX141+TbTradesBinance[[#This Row],[Qtt]]*TbTradesBinance[[#This Row],[Preço]])),AX141)-IF(TbTradesBinance[[#This Row],[Moeda da Taxa]]=MID(AX$1,9,5),TbTradesBinance[[#This Row],[Taxa]],0),8)))</f>
        <v>0.85636999999999996</v>
      </c>
      <c r="AY142" s="145" cm="1">
        <f t="array" ref="AY142">IF(TbTradesBinance[[#This Row],[Tipo]]="EMPTY",0,AY141+IF(TbTradesBinance[[#This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Row],[Par]]))),$1:$1,0)),-(AX141-AX142)/AX141*AY141),0),0)+IF(TbTradesBinance[[#This Row],[Tipo]]="SELL",IF(ISNUMBER(FIND(MID(AY$1,10,5),TbTradesBinance[[#This Row],[Par]])),IF(FIND(MID(AY$1,10,5),TbTradesBinance[[#This Row],[Par]])=1, -(AX141-AX142)/AX141*AY141,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Row],[Par]])),(-(AX141-AX142)/AX141*AY141)+IF(TbTradesBinance[[#This Row],[Resultado]]&gt;0,0,TbTradesBinance[[#This Row],[Taxa]]),0),0))</f>
        <v>131.82971181780295</v>
      </c>
      <c r="AZ142" s="145">
        <f t="shared" si="51"/>
        <v>153.94013314081874</v>
      </c>
      <c r="BA14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Row],[Tipo]]="DROP"),BA141+TbTradesBinance[[#This Row],[Qtt]],BA141-TbTradesBinance[[#This Row],[Qtt]]),IF(TbTradesBinance[[#This Row],[Tipo]]="BUY",BA141-TbTradesBinance[[#This Row],[Qtt]]*TbTradesBinance[[#This Row],[Preço]],BA141+TbTradesBinance[[#This Row],[Qtt]]*TbTradesBinance[[#This Row],[Preço]])),BA141)-IF(TbTradesBinance[[#This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Row],[Tipo]]="DROP"),BA141+TbTradesBinance[[#This Row],[Qtt]],BA141-TbTradesBinance[[#This Row],[Qtt]]),IF(TbTradesBinance[[#This Row],[Tipo]]="BUY",BA141-TbTradesBinance[[#This Row],[Qtt]]*TbTradesBinance[[#This Row],[Preço]],BA141+TbTradesBinance[[#This Row],[Qtt]]*TbTradesBinance[[#This Row],[Preço]])),BA141)-IF(TbTradesBinance[[#This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Row],[Tipo]]="DROP"),BA141+TbTradesBinance[[#This Row],[Qtt]],BA141-TbTradesBinance[[#This Row],[Qtt]]),IF(TbTradesBinance[[#This Row],[Tipo]]="BUY",BA141-TbTradesBinance[[#This Row],[Qtt]]*TbTradesBinance[[#This Row],[Preço]],BA141+TbTradesBinance[[#This Row],[Qtt]]*TbTradesBinance[[#This Row],[Preço]])),BA141)-IF(TbTradesBinance[[#This Row],[Moeda da Taxa]]=MID(BA$1,9,5),TbTradesBinance[[#This Row],[Taxa]],0),8)))</f>
        <v>0.10571</v>
      </c>
      <c r="BB142" s="145" cm="1">
        <f t="array" ref="BB142">IF(TbTradesBinance[[#This Row],[Tipo]]="EMPTY",0,BB141+IF(TbTradesBinance[[#This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Row],[Par]]))),$1:$1,0)),-(BA141-BA142)/BA141*BB141),0),0)+IF(TbTradesBinance[[#This Row],[Tipo]]="SELL",IF(ISNUMBER(FIND(MID(BB$1,10,5),TbTradesBinance[[#This Row],[Par]])),IF(FIND(MID(BB$1,10,5),TbTradesBinance[[#This Row],[Par]])=1, -(BA141-BA142)/BA141*BB141,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Row],[Par]])),(-(BA141-BA142)/BA141*BB141)+IF(TbTradesBinance[[#This Row],[Resultado]]&gt;0,0,TbTradesBinance[[#This Row],[Taxa]]),0),0))</f>
        <v>120.8257969142021</v>
      </c>
      <c r="BC142" s="145">
        <f t="shared" si="52"/>
        <v>1142.9930651234708</v>
      </c>
      <c r="BD14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Row],[Tipo]]="DROP"),BD141+TbTradesBinance[[#This Row],[Qtt]],BD141-TbTradesBinance[[#This Row],[Qtt]]),IF(TbTradesBinance[[#This Row],[Tipo]]="BUY",BD141-TbTradesBinance[[#This Row],[Qtt]]*TbTradesBinance[[#This Row],[Preço]],BD141+TbTradesBinance[[#This Row],[Qtt]]*TbTradesBinance[[#This Row],[Preço]])),BD141)-IF(TbTradesBinance[[#This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Row],[Tipo]]="DROP"),BD141+TbTradesBinance[[#This Row],[Qtt]],BD141-TbTradesBinance[[#This Row],[Qtt]]),IF(TbTradesBinance[[#This Row],[Tipo]]="BUY",BD141-TbTradesBinance[[#This Row],[Qtt]]*TbTradesBinance[[#This Row],[Preço]],BD141+TbTradesBinance[[#This Row],[Qtt]]*TbTradesBinance[[#This Row],[Preço]])),BD141)-IF(TbTradesBinance[[#This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Row],[Tipo]]="DROP"),BD141+TbTradesBinance[[#This Row],[Qtt]],BD141-TbTradesBinance[[#This Row],[Qtt]]),IF(TbTradesBinance[[#This Row],[Tipo]]="BUY",BD141-TbTradesBinance[[#This Row],[Qtt]]*TbTradesBinance[[#This Row],[Preço]],BD141+TbTradesBinance[[#This Row],[Qtt]]*TbTradesBinance[[#This Row],[Preço]])),BD141)-IF(TbTradesBinance[[#This Row],[Moeda da Taxa]]=MID(BD$1,9,5),TbTradesBinance[[#This Row],[Taxa]],0),8)))</f>
        <v>0</v>
      </c>
      <c r="BE142" s="145" cm="1">
        <f t="array" ref="BE142">IF(TbTradesBinance[[#This Row],[Tipo]]="EMPTY",0,BE141+IF(TbTradesBinance[[#This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Row],[Par]]))),$1:$1,0)),-(BD141-BD142)/BD141*BE141),0),0)+IF(TbTradesBinance[[#This Row],[Tipo]]="SELL",IF(ISNUMBER(FIND(MID(BE$1,10,5),TbTradesBinance[[#This Row],[Par]])),IF(FIND(MID(BE$1,10,5),TbTradesBinance[[#This Row],[Par]])=1, -(BD141-BD142)/BD141*BE141,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Row],[Par]])),(-(BD141-BD142)/BD141*BE141)+IF(TbTradesBinance[[#This Row],[Resultado]]&gt;0,0,TbTradesBinance[[#This Row],[Taxa]]),0),0))</f>
        <v>0</v>
      </c>
      <c r="BF142" s="145">
        <f t="shared" si="53"/>
        <v>0</v>
      </c>
      <c r="BG14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Row],[Tipo]]="DROP"),BG141+TbTradesBinance[[#This Row],[Qtt]],BG141-TbTradesBinance[[#This Row],[Qtt]]),IF(TbTradesBinance[[#This Row],[Tipo]]="BUY",BG141-TbTradesBinance[[#This Row],[Qtt]]*TbTradesBinance[[#This Row],[Preço]],BG141+TbTradesBinance[[#This Row],[Qtt]]*TbTradesBinance[[#This Row],[Preço]])),BG141)-IF(TbTradesBinance[[#This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Row],[Tipo]]="DROP"),BG141+TbTradesBinance[[#This Row],[Qtt]],BG141-TbTradesBinance[[#This Row],[Qtt]]),IF(TbTradesBinance[[#This Row],[Tipo]]="BUY",BG141-TbTradesBinance[[#This Row],[Qtt]]*TbTradesBinance[[#This Row],[Preço]],BG141+TbTradesBinance[[#This Row],[Qtt]]*TbTradesBinance[[#This Row],[Preço]])),BG141)-IF(TbTradesBinance[[#This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Row],[Tipo]]="DROP"),BG141+TbTradesBinance[[#This Row],[Qtt]],BG141-TbTradesBinance[[#This Row],[Qtt]]),IF(TbTradesBinance[[#This Row],[Tipo]]="BUY",BG141-TbTradesBinance[[#This Row],[Qtt]]*TbTradesBinance[[#This Row],[Preço]],BG141+TbTradesBinance[[#This Row],[Qtt]]*TbTradesBinance[[#This Row],[Preço]])),BG141)-IF(TbTradesBinance[[#This Row],[Moeda da Taxa]]=MID(BG$1,9,5),TbTradesBinance[[#This Row],[Taxa]],0),8)))</f>
        <v>0</v>
      </c>
      <c r="BH142" s="145" cm="1">
        <f t="array" ref="BH142">IF(TbTradesBinance[[#This Row],[Tipo]]="EMPTY",0,BH141+IF(TbTradesBinance[[#This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Row],[Par]]))),$1:$1,0)),-(BG141-BG142)/BG141*BH141),0),0)+IF(TbTradesBinance[[#This Row],[Tipo]]="SELL",IF(ISNUMBER(FIND(MID(BH$1,10,5),TbTradesBinance[[#This Row],[Par]])),IF(FIND(MID(BH$1,10,5),TbTradesBinance[[#This Row],[Par]])=1, -(BG141-BG142)/BG141*BH141,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Row],[Par]])),(-(BG141-BG142)/BG141*BH141)+IF(TbTradesBinance[[#This Row],[Resultado]]&gt;0,0,TbTradesBinance[[#This Row],[Taxa]]),0),0))</f>
        <v>0</v>
      </c>
      <c r="BI142" s="145">
        <f t="shared" si="54"/>
        <v>0</v>
      </c>
      <c r="BJ14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Row],[Tipo]]="DROP"),BJ141+TbTradesBinance[[#This Row],[Qtt]],BJ141-TbTradesBinance[[#This Row],[Qtt]]),IF(TbTradesBinance[[#This Row],[Tipo]]="BUY",BJ141-TbTradesBinance[[#This Row],[Qtt]]*TbTradesBinance[[#This Row],[Preço]],BJ141+TbTradesBinance[[#This Row],[Qtt]]*TbTradesBinance[[#This Row],[Preço]])),BJ141)-IF(TbTradesBinance[[#This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Row],[Tipo]]="DROP"),BJ141+TbTradesBinance[[#This Row],[Qtt]],BJ141-TbTradesBinance[[#This Row],[Qtt]]),IF(TbTradesBinance[[#This Row],[Tipo]]="BUY",BJ141-TbTradesBinance[[#This Row],[Qtt]]*TbTradesBinance[[#This Row],[Preço]],BJ141+TbTradesBinance[[#This Row],[Qtt]]*TbTradesBinance[[#This Row],[Preço]])),BJ141)-IF(TbTradesBinance[[#This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Row],[Tipo]]="DROP"),BJ141+TbTradesBinance[[#This Row],[Qtt]],BJ141-TbTradesBinance[[#This Row],[Qtt]]),IF(TbTradesBinance[[#This Row],[Tipo]]="BUY",BJ141-TbTradesBinance[[#This Row],[Qtt]]*TbTradesBinance[[#This Row],[Preço]],BJ141+TbTradesBinance[[#This Row],[Qtt]]*TbTradesBinance[[#This Row],[Preço]])),BJ141)-IF(TbTradesBinance[[#This Row],[Moeda da Taxa]]=MID(BJ$1,9,5),TbTradesBinance[[#This Row],[Taxa]],0),8)))</f>
        <v>1.3665699999999999E-3</v>
      </c>
      <c r="BK142" s="145" cm="1">
        <f t="array" ref="BK142">IF(TbTradesBinance[[#This Row],[Tipo]]="EMPTY",0,BK141+IF(TbTradesBinance[[#This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Row],[Par]]))),$1:$1,0)),-(BJ141-BJ142)/BJ141*BK141),0),0)+IF(TbTradesBinance[[#This Row],[Tipo]]="SELL",IF(ISNUMBER(FIND(MID(BK$1,10,5),TbTradesBinance[[#This Row],[Par]])),IF(FIND(MID(BK$1,10,5),TbTradesBinance[[#This Row],[Par]])=1, -(BJ141-BJ142)/BJ141*BK141,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Row],[Par]])),(-(BJ141-BJ142)/BJ141*BK141)+IF(TbTradesBinance[[#This Row],[Resultado]]&gt;0,0,TbTradesBinance[[#This Row],[Taxa]]),0),0))</f>
        <v>0</v>
      </c>
      <c r="BL142" s="145">
        <f t="shared" si="55"/>
        <v>0</v>
      </c>
      <c r="BM14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Row],[Tipo]]="DROP"),BM141+TbTradesBinance[[#This Row],[Qtt]],BM141-TbTradesBinance[[#This Row],[Qtt]]),IF(TbTradesBinance[[#This Row],[Tipo]]="BUY",BM141-TbTradesBinance[[#This Row],[Qtt]]*TbTradesBinance[[#This Row],[Preço]],BM141+TbTradesBinance[[#This Row],[Qtt]]*TbTradesBinance[[#This Row],[Preço]])),BM141)-IF(TbTradesBinance[[#This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Row],[Tipo]]="DROP"),BM141+TbTradesBinance[[#This Row],[Qtt]],BM141-TbTradesBinance[[#This Row],[Qtt]]),IF(TbTradesBinance[[#This Row],[Tipo]]="BUY",BM141-TbTradesBinance[[#This Row],[Qtt]]*TbTradesBinance[[#This Row],[Preço]],BM141+TbTradesBinance[[#This Row],[Qtt]]*TbTradesBinance[[#This Row],[Preço]])),BM141)-IF(TbTradesBinance[[#This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Row],[Tipo]]="DROP"),BM141+TbTradesBinance[[#This Row],[Qtt]],BM141-TbTradesBinance[[#This Row],[Qtt]]),IF(TbTradesBinance[[#This Row],[Tipo]]="BUY",BM141-TbTradesBinance[[#This Row],[Qtt]]*TbTradesBinance[[#This Row],[Preço]],BM141+TbTradesBinance[[#This Row],[Qtt]]*TbTradesBinance[[#This Row],[Preço]])),BM141)-IF(TbTradesBinance[[#This Row],[Moeda da Taxa]]=MID(BM$1,9,5),TbTradesBinance[[#This Row],[Taxa]],0),8)))</f>
        <v>0</v>
      </c>
      <c r="BN142" s="145" cm="1">
        <f t="array" ref="BN142">IF(TbTradesBinance[[#This Row],[Tipo]]="EMPTY",0,BN141+IF(TbTradesBinance[[#This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Row],[Par]]))),$1:$1,0)),-(BM141-BM142)/BM141*BN141),0),0)+IF(TbTradesBinance[[#This Row],[Tipo]]="SELL",IF(ISNUMBER(FIND(MID(BN$1,10,5),TbTradesBinance[[#This Row],[Par]])),IF(FIND(MID(BN$1,10,5),TbTradesBinance[[#This Row],[Par]])=1, -(BM141-BM142)/BM141*BN141,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Row],[Par]])),(-(BM141-BM142)/BM141*BN141)+IF(TbTradesBinance[[#This Row],[Resultado]]&gt;0,0,TbTradesBinance[[#This Row],[Taxa]]),0),0))</f>
        <v>0</v>
      </c>
      <c r="BO142" s="145">
        <f t="shared" si="56"/>
        <v>0</v>
      </c>
    </row>
    <row r="143" spans="2:67" x14ac:dyDescent="0.3">
      <c r="B143" s="51"/>
      <c r="C143" s="40">
        <f>TRUNC(IF(AND(TbTradesBinance[[#This Row],[Tipo]]="SEND",TbTradesBinance[[#This Row],[Par]]="BRL"),TbTradesBinance[[#This Row],[Qtt]]*(1-P141)-IF(TbTradesBinance[[#This Row],[Moeda da Taxa]]="BRL",TbTradesBinance[[#This Row],[Taxa]],0),0)+IF(AND(TbTradesBinance[[#This Row],[Tipo]]="BURN",TbTradesBinance[[#This Row],[Par]]="BRL"),-TbTradesBinance[[#This Row],[Qtt]]*P141,0),2)</f>
        <v>0</v>
      </c>
      <c r="D143" s="53">
        <v>44284.94253472222</v>
      </c>
      <c r="E143" s="37" t="s">
        <v>237</v>
      </c>
      <c r="F143" s="47" t="s">
        <v>140</v>
      </c>
      <c r="G143" s="38">
        <v>5.7830000000000004</v>
      </c>
      <c r="H143" s="38">
        <v>32.28</v>
      </c>
      <c r="I143" s="38">
        <v>0</v>
      </c>
      <c r="J143" s="37" t="s">
        <v>45</v>
      </c>
      <c r="K143" s="52">
        <v>1</v>
      </c>
      <c r="L143" s="40">
        <f t="shared" si="38"/>
        <v>5.78</v>
      </c>
      <c r="M143" s="40">
        <f>IF(OR(TbTradesBinance[[#This Row],[Tipo]]="BUY",TbTradesBinance[[#This Row],[Tipo]]="RECEIVE",TbTradesBinance[[#This Row],[Tipo]]="DROP"),L143*H143,-L143*H143)</f>
        <v>-186.57840000000002</v>
      </c>
      <c r="N14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Row],[Tipo]]="DROP"),N142+TbTradesBinance[[#This Row],[Qtt]],N142-TbTradesBinance[[#This Row],[Qtt]]),IF(TbTradesBinance[[#This Row],[Tipo]]="BUY",N142-TbTradesBinance[[#This Row],[Qtt]]*TbTradesBinance[[#This Row],[Preço]],N142+TbTradesBinance[[#This Row],[Qtt]]*TbTradesBinance[[#This Row],[Preço]])),N142)-IF(TbTradesBinance[[#This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Row],[Tipo]]="DROP"),N142+TbTradesBinance[[#This Row],[Qtt]],N142-TbTradesBinance[[#This Row],[Qtt]]),IF(TbTradesBinance[[#This Row],[Tipo]]="BUY",N142-TbTradesBinance[[#This Row],[Qtt]]*TbTradesBinance[[#This Row],[Preço]],N142+TbTradesBinance[[#This Row],[Qtt]]*TbTradesBinance[[#This Row],[Preço]])),N142)-IF(TbTradesBinance[[#This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Row],[Tipo]]="DROP"),N142+TbTradesBinance[[#This Row],[Qtt]],N142-TbTradesBinance[[#This Row],[Qtt]]),IF(TbTradesBinance[[#This Row],[Tipo]]="BUY",N142-TbTradesBinance[[#This Row],[Qtt]]*TbTradesBinance[[#This Row],[Preço]],N142+TbTradesBinance[[#This Row],[Qtt]]*TbTradesBinance[[#This Row],[Preço]])),N142)-IF(TbTradesBinance[[#This Row],[Moeda da Taxa]]=MID(N$1,9,5),TbTradesBinance[[#This Row],[Taxa]],0),8)))</f>
        <v>119932.10480417999</v>
      </c>
      <c r="O143" s="145" cm="1">
        <f t="array" ref="O143">IF(TbTradesBinance[[#This Row],[Tipo]]="EMPTY",0,O142+IF(TbTradesBinance[[#This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Row],[Par]]))),$1:$1,0)),-(N142-N143)/N142*O142),0),0)+IF(TbTradesBinance[[#This Row],[Tipo]]="SELL",IF(ISNUMBER(FIND(MID(O$1,10,5),TbTradesBinance[[#This Row],[Par]])),IF(FIND(MID(O$1,10,5),TbTradesBinance[[#This Row],[Par]])=1, -(N142-N143)/N142*O142,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Row],[Par]])),(-(N142-N143)/N142*O142)+IF(TbTradesBinance[[#This Row],[Resultado]]&gt;0,0,TbTradesBinance[[#This Row],[Taxa]]),0),0))</f>
        <v>120031.06990066743</v>
      </c>
      <c r="P143" s="145">
        <f t="shared" si="39"/>
        <v>1.0008251760164555</v>
      </c>
      <c r="Q14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Row],[Tipo]]="DROP"),Q142+TbTradesBinance[[#This Row],[Qtt]],Q142-TbTradesBinance[[#This Row],[Qtt]]),IF(TbTradesBinance[[#This Row],[Tipo]]="BUY",Q142-TbTradesBinance[[#This Row],[Qtt]]*TbTradesBinance[[#This Row],[Preço]],Q142+TbTradesBinance[[#This Row],[Qtt]]*TbTradesBinance[[#This Row],[Preço]])),Q142)-IF(TbTradesBinance[[#This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Row],[Tipo]]="DROP"),Q142+TbTradesBinance[[#This Row],[Qtt]],Q142-TbTradesBinance[[#This Row],[Qtt]]),IF(TbTradesBinance[[#This Row],[Tipo]]="BUY",Q142-TbTradesBinance[[#This Row],[Qtt]]*TbTradesBinance[[#This Row],[Preço]],Q142+TbTradesBinance[[#This Row],[Qtt]]*TbTradesBinance[[#This Row],[Preço]])),Q142)-IF(TbTradesBinance[[#This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Row],[Tipo]]="DROP"),Q142+TbTradesBinance[[#This Row],[Qtt]],Q142-TbTradesBinance[[#This Row],[Qtt]]),IF(TbTradesBinance[[#This Row],[Tipo]]="BUY",Q142-TbTradesBinance[[#This Row],[Qtt]]*TbTradesBinance[[#This Row],[Preço]],Q142+TbTradesBinance[[#This Row],[Qtt]]*TbTradesBinance[[#This Row],[Preço]])),Q142)-IF(TbTradesBinance[[#This Row],[Moeda da Taxa]]=MID(Q$1,9,5),TbTradesBinance[[#This Row],[Taxa]],0),8)))</f>
        <v>0</v>
      </c>
      <c r="R143" s="145" cm="1">
        <f t="array" ref="R143">IF(TbTradesBinance[[#This Row],[Tipo]]="EMPTY",0,R142+IF(TbTradesBinance[[#This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Row],[Par]]))),$1:$1,0)),-(Q142-Q143)/Q142*R142),0),0)+IF(TbTradesBinance[[#This Row],[Tipo]]="SELL",IF(ISNUMBER(FIND(MID(R$1,10,5),TbTradesBinance[[#This Row],[Par]])),IF(FIND(MID(R$1,10,5),TbTradesBinance[[#This Row],[Par]])=1, -(Q142-Q143)/Q142*R142,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Row],[Par]])),(-(Q142-Q143)/Q142*R142)+IF(TbTradesBinance[[#This Row],[Resultado]]&gt;0,0,TbTradesBinance[[#This Row],[Taxa]]),0),0))</f>
        <v>0</v>
      </c>
      <c r="S143" s="145">
        <f t="shared" si="40"/>
        <v>0</v>
      </c>
      <c r="T14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Row],[Tipo]]="DROP"),T142+TbTradesBinance[[#This Row],[Qtt]],T142-TbTradesBinance[[#This Row],[Qtt]]),IF(TbTradesBinance[[#This Row],[Tipo]]="BUY",T142-TbTradesBinance[[#This Row],[Qtt]]*TbTradesBinance[[#This Row],[Preço]],T142+TbTradesBinance[[#This Row],[Qtt]]*TbTradesBinance[[#This Row],[Preço]])),T142)-IF(TbTradesBinance[[#This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Row],[Tipo]]="DROP"),T142+TbTradesBinance[[#This Row],[Qtt]],T142-TbTradesBinance[[#This Row],[Qtt]]),IF(TbTradesBinance[[#This Row],[Tipo]]="BUY",T142-TbTradesBinance[[#This Row],[Qtt]]*TbTradesBinance[[#This Row],[Preço]],T142+TbTradesBinance[[#This Row],[Qtt]]*TbTradesBinance[[#This Row],[Preço]])),T142)-IF(TbTradesBinance[[#This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Row],[Tipo]]="DROP"),T142+TbTradesBinance[[#This Row],[Qtt]],T142-TbTradesBinance[[#This Row],[Qtt]]),IF(TbTradesBinance[[#This Row],[Tipo]]="BUY",T142-TbTradesBinance[[#This Row],[Qtt]]*TbTradesBinance[[#This Row],[Preço]],T142+TbTradesBinance[[#This Row],[Qtt]]*TbTradesBinance[[#This Row],[Preço]])),T142)-IF(TbTradesBinance[[#This Row],[Moeda da Taxa]]=MID(T$1,9,5),TbTradesBinance[[#This Row],[Taxa]],0),8)))</f>
        <v>219713.72000189999</v>
      </c>
      <c r="U143" s="145" cm="1">
        <f t="array" ref="U143">IF(TbTradesBinance[[#This Row],[Tipo]]="EMPTY",0,U142+IF(TbTradesBinance[[#This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Row],[Par]]))),$1:$1,0)),-(T142-T143)/T142*U142),0),0)+IF(TbTradesBinance[[#This Row],[Tipo]]="SELL",IF(ISNUMBER(FIND(MID(U$1,10,5),TbTradesBinance[[#This Row],[Par]])),IF(FIND(MID(U$1,10,5),TbTradesBinance[[#This Row],[Par]])=1, -(T142-T143)/T142*U142,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Row],[Par]])),(-(T142-T143)/T142*U142)+IF(TbTradesBinance[[#This Row],[Resultado]]&gt;0,0,TbTradesBinance[[#This Row],[Taxa]]),0),0))</f>
        <v>1461096.2409827893</v>
      </c>
      <c r="V143" s="145">
        <f t="shared" si="41"/>
        <v>6.6500000135182926</v>
      </c>
      <c r="W14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Row],[Tipo]]="DROP"),W142+TbTradesBinance[[#This Row],[Qtt]],W142-TbTradesBinance[[#This Row],[Qtt]]),IF(TbTradesBinance[[#This Row],[Tipo]]="BUY",W142-TbTradesBinance[[#This Row],[Qtt]]*TbTradesBinance[[#This Row],[Preço]],W142+TbTradesBinance[[#This Row],[Qtt]]*TbTradesBinance[[#This Row],[Preço]])),W142)-IF(TbTradesBinance[[#This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Row],[Tipo]]="DROP"),W142+TbTradesBinance[[#This Row],[Qtt]],W142-TbTradesBinance[[#This Row],[Qtt]]),IF(TbTradesBinance[[#This Row],[Tipo]]="BUY",W142-TbTradesBinance[[#This Row],[Qtt]]*TbTradesBinance[[#This Row],[Preço]],W142+TbTradesBinance[[#This Row],[Qtt]]*TbTradesBinance[[#This Row],[Preço]])),W142)-IF(TbTradesBinance[[#This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Row],[Tipo]]="DROP"),W142+TbTradesBinance[[#This Row],[Qtt]],W142-TbTradesBinance[[#This Row],[Qtt]]),IF(TbTradesBinance[[#This Row],[Tipo]]="BUY",W142-TbTradesBinance[[#This Row],[Qtt]]*TbTradesBinance[[#This Row],[Preço]],W142+TbTradesBinance[[#This Row],[Qtt]]*TbTradesBinance[[#This Row],[Preço]])),W142)-IF(TbTradesBinance[[#This Row],[Moeda da Taxa]]=MID(W$1,9,5),TbTradesBinance[[#This Row],[Taxa]],0),8)))</f>
        <v>3.2336000000000002E-4</v>
      </c>
      <c r="X143" s="145" cm="1">
        <f t="array" ref="X143">IF(TbTradesBinance[[#This Row],[Tipo]]="EMPTY",0,X142+IF(TbTradesBinance[[#This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Row],[Par]]))),$1:$1,0)),-(W142-W143)/W142*X142),0),0)+IF(TbTradesBinance[[#This Row],[Tipo]]="SELL",IF(ISNUMBER(FIND(MID(X$1,10,5),TbTradesBinance[[#This Row],[Par]])),IF(FIND(MID(X$1,10,5),TbTradesBinance[[#This Row],[Par]])=1, -(W142-W143)/W142*X142,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Row],[Par]])),(-(W142-W143)/W142*X142)+IF(TbTradesBinance[[#This Row],[Resultado]]&gt;0,0,TbTradesBinance[[#This Row],[Taxa]]),0),0))</f>
        <v>109.49359760304422</v>
      </c>
      <c r="Y143" s="145">
        <f t="shared" si="42"/>
        <v>338612.06581841974</v>
      </c>
      <c r="Z14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Row],[Tipo]]="DROP"),Z142+TbTradesBinance[[#This Row],[Qtt]],Z142-TbTradesBinance[[#This Row],[Qtt]]),IF(TbTradesBinance[[#This Row],[Tipo]]="BUY",Z142-TbTradesBinance[[#This Row],[Qtt]]*TbTradesBinance[[#This Row],[Preço]],Z142+TbTradesBinance[[#This Row],[Qtt]]*TbTradesBinance[[#This Row],[Preço]])),Z142)-IF(TbTradesBinance[[#This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Row],[Tipo]]="DROP"),Z142+TbTradesBinance[[#This Row],[Qtt]],Z142-TbTradesBinance[[#This Row],[Qtt]]),IF(TbTradesBinance[[#This Row],[Tipo]]="BUY",Z142-TbTradesBinance[[#This Row],[Qtt]]*TbTradesBinance[[#This Row],[Preço]],Z142+TbTradesBinance[[#This Row],[Qtt]]*TbTradesBinance[[#This Row],[Preço]])),Z142)-IF(TbTradesBinance[[#This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Row],[Tipo]]="DROP"),Z142+TbTradesBinance[[#This Row],[Qtt]],Z142-TbTradesBinance[[#This Row],[Qtt]]),IF(TbTradesBinance[[#This Row],[Tipo]]="BUY",Z142-TbTradesBinance[[#This Row],[Qtt]]*TbTradesBinance[[#This Row],[Preço]],Z142+TbTradesBinance[[#This Row],[Qtt]]*TbTradesBinance[[#This Row],[Preço]])),Z142)-IF(TbTradesBinance[[#This Row],[Moeda da Taxa]]=MID(Z$1,9,5),TbTradesBinance[[#This Row],[Taxa]],0),8)))</f>
        <v>0</v>
      </c>
      <c r="AA143" s="145" cm="1">
        <f t="array" ref="AA143">IF(TbTradesBinance[[#This Row],[Tipo]]="EMPTY",0,AA142+IF(TbTradesBinance[[#This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Row],[Par]]))),$1:$1,0)),-(Z142-Z143)/Z142*AA142),0),0)+IF(TbTradesBinance[[#This Row],[Tipo]]="SELL",IF(ISNUMBER(FIND(MID(AA$1,10,5),TbTradesBinance[[#This Row],[Par]])),IF(FIND(MID(AA$1,10,5),TbTradesBinance[[#This Row],[Par]])=1, -(Z142-Z143)/Z142*AA142,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Row],[Par]])),(-(Z142-Z143)/Z142*AA142)+IF(TbTradesBinance[[#This Row],[Resultado]]&gt;0,0,TbTradesBinance[[#This Row],[Taxa]]),0),0))</f>
        <v>0</v>
      </c>
      <c r="AB143" s="145">
        <f t="shared" si="43"/>
        <v>0</v>
      </c>
      <c r="AC14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Row],[Tipo]]="DROP"),AC142+TbTradesBinance[[#This Row],[Qtt]],AC142-TbTradesBinance[[#This Row],[Qtt]]),IF(TbTradesBinance[[#This Row],[Tipo]]="BUY",AC142-TbTradesBinance[[#This Row],[Qtt]]*TbTradesBinance[[#This Row],[Preço]],AC142+TbTradesBinance[[#This Row],[Qtt]]*TbTradesBinance[[#This Row],[Preço]])),AC142)-IF(TbTradesBinance[[#This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Row],[Tipo]]="DROP"),AC142+TbTradesBinance[[#This Row],[Qtt]],AC142-TbTradesBinance[[#This Row],[Qtt]]),IF(TbTradesBinance[[#This Row],[Tipo]]="BUY",AC142-TbTradesBinance[[#This Row],[Qtt]]*TbTradesBinance[[#This Row],[Preço]],AC142+TbTradesBinance[[#This Row],[Qtt]]*TbTradesBinance[[#This Row],[Preço]])),AC142)-IF(TbTradesBinance[[#This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Row],[Tipo]]="DROP"),AC142+TbTradesBinance[[#This Row],[Qtt]],AC142-TbTradesBinance[[#This Row],[Qtt]]),IF(TbTradesBinance[[#This Row],[Tipo]]="BUY",AC142-TbTradesBinance[[#This Row],[Qtt]]*TbTradesBinance[[#This Row],[Preço]],AC142+TbTradesBinance[[#This Row],[Qtt]]*TbTradesBinance[[#This Row],[Preço]])),AC142)-IF(TbTradesBinance[[#This Row],[Moeda da Taxa]]=MID(AC$1,9,5),TbTradesBinance[[#This Row],[Taxa]],0),8)))</f>
        <v>0</v>
      </c>
      <c r="AD143" s="145" cm="1">
        <f t="array" ref="AD143">IF(TbTradesBinance[[#This Row],[Tipo]]="EMPTY",0,AD142+IF(TbTradesBinance[[#This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Row],[Par]]))),$1:$1,0)),-(AC142-AC143)/AC142*AD142),0),0)+IF(TbTradesBinance[[#This Row],[Tipo]]="SELL",IF(ISNUMBER(FIND(MID(AD$1,10,5),TbTradesBinance[[#This Row],[Par]])),IF(FIND(MID(AD$1,10,5),TbTradesBinance[[#This Row],[Par]])=1, -(AC142-AC143)/AC142*AD142,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Row],[Par]])),(-(AC142-AC143)/AC142*AD142)+IF(TbTradesBinance[[#This Row],[Resultado]]&gt;0,0,TbTradesBinance[[#This Row],[Taxa]]),0),0))</f>
        <v>0</v>
      </c>
      <c r="AE143" s="145">
        <f t="shared" si="44"/>
        <v>0</v>
      </c>
      <c r="AF14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Row],[Tipo]]="DROP"),AF142+TbTradesBinance[[#This Row],[Qtt]],AF142-TbTradesBinance[[#This Row],[Qtt]]),IF(TbTradesBinance[[#This Row],[Tipo]]="BUY",AF142-TbTradesBinance[[#This Row],[Qtt]]*TbTradesBinance[[#This Row],[Preço]],AF142+TbTradesBinance[[#This Row],[Qtt]]*TbTradesBinance[[#This Row],[Preço]])),AF142)-IF(TbTradesBinance[[#This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Row],[Tipo]]="DROP"),AF142+TbTradesBinance[[#This Row],[Qtt]],AF142-TbTradesBinance[[#This Row],[Qtt]]),IF(TbTradesBinance[[#This Row],[Tipo]]="BUY",AF142-TbTradesBinance[[#This Row],[Qtt]]*TbTradesBinance[[#This Row],[Preço]],AF142+TbTradesBinance[[#This Row],[Qtt]]*TbTradesBinance[[#This Row],[Preço]])),AF142)-IF(TbTradesBinance[[#This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Row],[Tipo]]="DROP"),AF142+TbTradesBinance[[#This Row],[Qtt]],AF142-TbTradesBinance[[#This Row],[Qtt]]),IF(TbTradesBinance[[#This Row],[Tipo]]="BUY",AF142-TbTradesBinance[[#This Row],[Qtt]]*TbTradesBinance[[#This Row],[Preço]],AF142+TbTradesBinance[[#This Row],[Qtt]]*TbTradesBinance[[#This Row],[Preço]])),AF142)-IF(TbTradesBinance[[#This Row],[Moeda da Taxa]]=MID(AF$1,9,5),TbTradesBinance[[#This Row],[Taxa]],0),8)))</f>
        <v>0</v>
      </c>
      <c r="AG143" s="145" cm="1">
        <f t="array" ref="AG143">IF(TbTradesBinance[[#This Row],[Tipo]]="EMPTY",0,AG142+IF(TbTradesBinance[[#This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Row],[Par]]))),$1:$1,0)),-(AF142-AF143)/AF142*AG142),0),0)+IF(TbTradesBinance[[#This Row],[Tipo]]="SELL",IF(ISNUMBER(FIND(MID(AG$1,10,5),TbTradesBinance[[#This Row],[Par]])),IF(FIND(MID(AG$1,10,5),TbTradesBinance[[#This Row],[Par]])=1, -(AF142-AF143)/AF142*AG142,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Row],[Par]])),(-(AF142-AF143)/AF142*AG142)+IF(TbTradesBinance[[#This Row],[Resultado]]&gt;0,0,TbTradesBinance[[#This Row],[Taxa]]),0),0))</f>
        <v>0</v>
      </c>
      <c r="AH143" s="145">
        <f t="shared" si="45"/>
        <v>0</v>
      </c>
      <c r="AI14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Row],[Tipo]]="DROP"),AI142+TbTradesBinance[[#This Row],[Qtt]],AI142-TbTradesBinance[[#This Row],[Qtt]]),IF(TbTradesBinance[[#This Row],[Tipo]]="BUY",AI142-TbTradesBinance[[#This Row],[Qtt]]*TbTradesBinance[[#This Row],[Preço]],AI142+TbTradesBinance[[#This Row],[Qtt]]*TbTradesBinance[[#This Row],[Preço]])),AI142)-IF(TbTradesBinance[[#This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Row],[Tipo]]="DROP"),AI142+TbTradesBinance[[#This Row],[Qtt]],AI142-TbTradesBinance[[#This Row],[Qtt]]),IF(TbTradesBinance[[#This Row],[Tipo]]="BUY",AI142-TbTradesBinance[[#This Row],[Qtt]]*TbTradesBinance[[#This Row],[Preço]],AI142+TbTradesBinance[[#This Row],[Qtt]]*TbTradesBinance[[#This Row],[Preço]])),AI142)-IF(TbTradesBinance[[#This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Row],[Tipo]]="DROP"),AI142+TbTradesBinance[[#This Row],[Qtt]],AI142-TbTradesBinance[[#This Row],[Qtt]]),IF(TbTradesBinance[[#This Row],[Tipo]]="BUY",AI142-TbTradesBinance[[#This Row],[Qtt]]*TbTradesBinance[[#This Row],[Preço]],AI142+TbTradesBinance[[#This Row],[Qtt]]*TbTradesBinance[[#This Row],[Preço]])),AI142)-IF(TbTradesBinance[[#This Row],[Moeda da Taxa]]=MID(AI$1,9,5),TbTradesBinance[[#This Row],[Taxa]],0),8)))</f>
        <v>0</v>
      </c>
      <c r="AJ143" s="145" cm="1">
        <f t="array" ref="AJ143">IF(TbTradesBinance[[#This Row],[Tipo]]="EMPTY",0,AJ142+IF(TbTradesBinance[[#This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Row],[Par]]))),$1:$1,0)),-(AI142-AI143)/AI142*AJ142),0),0)+IF(TbTradesBinance[[#This Row],[Tipo]]="SELL",IF(ISNUMBER(FIND(MID(AJ$1,10,5),TbTradesBinance[[#This Row],[Par]])),IF(FIND(MID(AJ$1,10,5),TbTradesBinance[[#This Row],[Par]])=1, -(AI142-AI143)/AI142*AJ142,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Row],[Par]])),(-(AI142-AI143)/AI142*AJ142)+IF(TbTradesBinance[[#This Row],[Resultado]]&gt;0,0,TbTradesBinance[[#This Row],[Taxa]]),0),0))</f>
        <v>0</v>
      </c>
      <c r="AK143" s="145">
        <f t="shared" si="46"/>
        <v>0</v>
      </c>
      <c r="AL14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Row],[Tipo]]="DROP"),AL142+TbTradesBinance[[#This Row],[Qtt]],AL142-TbTradesBinance[[#This Row],[Qtt]]),IF(TbTradesBinance[[#This Row],[Tipo]]="BUY",AL142-TbTradesBinance[[#This Row],[Qtt]]*TbTradesBinance[[#This Row],[Preço]],AL142+TbTradesBinance[[#This Row],[Qtt]]*TbTradesBinance[[#This Row],[Preço]])),AL142)-IF(TbTradesBinance[[#This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Row],[Tipo]]="DROP"),AL142+TbTradesBinance[[#This Row],[Qtt]],AL142-TbTradesBinance[[#This Row],[Qtt]]),IF(TbTradesBinance[[#This Row],[Tipo]]="BUY",AL142-TbTradesBinance[[#This Row],[Qtt]]*TbTradesBinance[[#This Row],[Preço]],AL142+TbTradesBinance[[#This Row],[Qtt]]*TbTradesBinance[[#This Row],[Preço]])),AL142)-IF(TbTradesBinance[[#This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Row],[Tipo]]="DROP"),AL142+TbTradesBinance[[#This Row],[Qtt]],AL142-TbTradesBinance[[#This Row],[Qtt]]),IF(TbTradesBinance[[#This Row],[Tipo]]="BUY",AL142-TbTradesBinance[[#This Row],[Qtt]]*TbTradesBinance[[#This Row],[Preço]],AL142+TbTradesBinance[[#This Row],[Qtt]]*TbTradesBinance[[#This Row],[Preço]])),AL142)-IF(TbTradesBinance[[#This Row],[Moeda da Taxa]]=MID(AL$1,9,5),TbTradesBinance[[#This Row],[Taxa]],0),8)))</f>
        <v>0</v>
      </c>
      <c r="AM143" s="145" cm="1">
        <f t="array" ref="AM143">IF(TbTradesBinance[[#This Row],[Tipo]]="EMPTY",0,AM142+IF(TbTradesBinance[[#This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Row],[Par]]))),$1:$1,0)),-(AL142-AL143)/AL142*AM142),0),0)+IF(TbTradesBinance[[#This Row],[Tipo]]="SELL",IF(ISNUMBER(FIND(MID(AM$1,10,5),TbTradesBinance[[#This Row],[Par]])),IF(FIND(MID(AM$1,10,5),TbTradesBinance[[#This Row],[Par]])=1, -(AL142-AL143)/AL142*AM142,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Row],[Par]])),(-(AL142-AL143)/AL142*AM142)+IF(TbTradesBinance[[#This Row],[Resultado]]&gt;0,0,TbTradesBinance[[#This Row],[Taxa]]),0),0))</f>
        <v>0</v>
      </c>
      <c r="AN143" s="145">
        <f t="shared" si="47"/>
        <v>0</v>
      </c>
      <c r="AO14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Row],[Tipo]]="DROP"),AO142+TbTradesBinance[[#This Row],[Qtt]],AO142-TbTradesBinance[[#This Row],[Qtt]]),IF(TbTradesBinance[[#This Row],[Tipo]]="BUY",AO142-TbTradesBinance[[#This Row],[Qtt]]*TbTradesBinance[[#This Row],[Preço]],AO142+TbTradesBinance[[#This Row],[Qtt]]*TbTradesBinance[[#This Row],[Preço]])),AO142)-IF(TbTradesBinance[[#This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Row],[Tipo]]="DROP"),AO142+TbTradesBinance[[#This Row],[Qtt]],AO142-TbTradesBinance[[#This Row],[Qtt]]),IF(TbTradesBinance[[#This Row],[Tipo]]="BUY",AO142-TbTradesBinance[[#This Row],[Qtt]]*TbTradesBinance[[#This Row],[Preço]],AO142+TbTradesBinance[[#This Row],[Qtt]]*TbTradesBinance[[#This Row],[Preço]])),AO142)-IF(TbTradesBinance[[#This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Row],[Tipo]]="DROP"),AO142+TbTradesBinance[[#This Row],[Qtt]],AO142-TbTradesBinance[[#This Row],[Qtt]]),IF(TbTradesBinance[[#This Row],[Tipo]]="BUY",AO142-TbTradesBinance[[#This Row],[Qtt]]*TbTradesBinance[[#This Row],[Preço]],AO142+TbTradesBinance[[#This Row],[Qtt]]*TbTradesBinance[[#This Row],[Preço]])),AO142)-IF(TbTradesBinance[[#This Row],[Moeda da Taxa]]=MID(AO$1,9,5),TbTradesBinance[[#This Row],[Taxa]],0),8)))</f>
        <v>3.7310980000000001E-2</v>
      </c>
      <c r="AP143" s="145" cm="1">
        <f t="array" ref="AP143">IF(TbTradesBinance[[#This Row],[Tipo]]="EMPTY",0,AP142+IF(TbTradesBinance[[#This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Row],[Par]]))),$1:$1,0)),-(AO142-AO143)/AO142*AP142),0),0)+IF(TbTradesBinance[[#This Row],[Tipo]]="SELL",IF(ISNUMBER(FIND(MID(AP$1,10,5),TbTradesBinance[[#This Row],[Par]])),IF(FIND(MID(AP$1,10,5),TbTradesBinance[[#This Row],[Par]])=1, -(AO142-AO143)/AO142*AP142,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Row],[Par]])),(-(AO142-AO143)/AO142*AP142)+IF(TbTradesBinance[[#This Row],[Resultado]]&gt;0,0,TbTradesBinance[[#This Row],[Taxa]]),0),0))</f>
        <v>57.065298020032813</v>
      </c>
      <c r="AQ143" s="145">
        <f t="shared" si="48"/>
        <v>1529.4505268967155</v>
      </c>
      <c r="AR14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Row],[Tipo]]="DROP"),AR142+TbTradesBinance[[#This Row],[Qtt]],AR142-TbTradesBinance[[#This Row],[Qtt]]),IF(TbTradesBinance[[#This Row],[Tipo]]="BUY",AR142-TbTradesBinance[[#This Row],[Qtt]]*TbTradesBinance[[#This Row],[Preço]],AR142+TbTradesBinance[[#This Row],[Qtt]]*TbTradesBinance[[#This Row],[Preço]])),AR142)-IF(TbTradesBinance[[#This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Row],[Tipo]]="DROP"),AR142+TbTradesBinance[[#This Row],[Qtt]],AR142-TbTradesBinance[[#This Row],[Qtt]]),IF(TbTradesBinance[[#This Row],[Tipo]]="BUY",AR142-TbTradesBinance[[#This Row],[Qtt]]*TbTradesBinance[[#This Row],[Preço]],AR142+TbTradesBinance[[#This Row],[Qtt]]*TbTradesBinance[[#This Row],[Preço]])),AR142)-IF(TbTradesBinance[[#This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Row],[Tipo]]="DROP"),AR142+TbTradesBinance[[#This Row],[Qtt]],AR142-TbTradesBinance[[#This Row],[Qtt]]),IF(TbTradesBinance[[#This Row],[Tipo]]="BUY",AR142-TbTradesBinance[[#This Row],[Qtt]]*TbTradesBinance[[#This Row],[Preço]],AR142+TbTradesBinance[[#This Row],[Qtt]]*TbTradesBinance[[#This Row],[Preço]])),AR142)-IF(TbTradesBinance[[#This Row],[Moeda da Taxa]]=MID(AR$1,9,5),TbTradesBinance[[#This Row],[Taxa]],0),8)))</f>
        <v>0</v>
      </c>
      <c r="AS143" s="145" cm="1">
        <f t="array" ref="AS143">IF(TbTradesBinance[[#This Row],[Tipo]]="EMPTY",0,AS142+IF(TbTradesBinance[[#This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Row],[Par]]))),$1:$1,0)),-(AR142-AR143)/AR142*AS142),0),0)+IF(TbTradesBinance[[#This Row],[Tipo]]="SELL",IF(ISNUMBER(FIND(MID(AS$1,10,5),TbTradesBinance[[#This Row],[Par]])),IF(FIND(MID(AS$1,10,5),TbTradesBinance[[#This Row],[Par]])=1, -(AR142-AR143)/AR142*AS142,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Row],[Par]])),(-(AR142-AR143)/AR142*AS142)+IF(TbTradesBinance[[#This Row],[Resultado]]&gt;0,0,TbTradesBinance[[#This Row],[Taxa]]),0),0))</f>
        <v>0</v>
      </c>
      <c r="AT143" s="145">
        <f t="shared" si="49"/>
        <v>0</v>
      </c>
      <c r="AU14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Row],[Tipo]]="DROP"),AU142+TbTradesBinance[[#This Row],[Qtt]],AU142-TbTradesBinance[[#This Row],[Qtt]]),IF(TbTradesBinance[[#This Row],[Tipo]]="BUY",AU142-TbTradesBinance[[#This Row],[Qtt]]*TbTradesBinance[[#This Row],[Preço]],AU142+TbTradesBinance[[#This Row],[Qtt]]*TbTradesBinance[[#This Row],[Preço]])),AU142)-IF(TbTradesBinance[[#This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Row],[Tipo]]="DROP"),AU142+TbTradesBinance[[#This Row],[Qtt]],AU142-TbTradesBinance[[#This Row],[Qtt]]),IF(TbTradesBinance[[#This Row],[Tipo]]="BUY",AU142-TbTradesBinance[[#This Row],[Qtt]]*TbTradesBinance[[#This Row],[Preço]],AU142+TbTradesBinance[[#This Row],[Qtt]]*TbTradesBinance[[#This Row],[Preço]])),AU142)-IF(TbTradesBinance[[#This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Row],[Tipo]]="DROP"),AU142+TbTradesBinance[[#This Row],[Qtt]],AU142-TbTradesBinance[[#This Row],[Qtt]]),IF(TbTradesBinance[[#This Row],[Tipo]]="BUY",AU142-TbTradesBinance[[#This Row],[Qtt]]*TbTradesBinance[[#This Row],[Preço]],AU142+TbTradesBinance[[#This Row],[Qtt]]*TbTradesBinance[[#This Row],[Preço]])),AU142)-IF(TbTradesBinance[[#This Row],[Moeda da Taxa]]=MID(AU$1,9,5),TbTradesBinance[[#This Row],[Taxa]],0),8)))</f>
        <v>0</v>
      </c>
      <c r="AV143" s="145" cm="1">
        <f t="array" ref="AV143">IF(TbTradesBinance[[#This Row],[Tipo]]="EMPTY",0,AV142+IF(TbTradesBinance[[#This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Row],[Par]]))),$1:$1,0)),-(AU142-AU143)/AU142*AV142),0),0)+IF(TbTradesBinance[[#This Row],[Tipo]]="SELL",IF(ISNUMBER(FIND(MID(AV$1,10,5),TbTradesBinance[[#This Row],[Par]])),IF(FIND(MID(AV$1,10,5),TbTradesBinance[[#This Row],[Par]])=1, -(AU142-AU143)/AU142*AV142,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Row],[Par]])),(-(AU142-AU143)/AU142*AV142)+IF(TbTradesBinance[[#This Row],[Resultado]]&gt;0,0,TbTradesBinance[[#This Row],[Taxa]]),0),0))</f>
        <v>0</v>
      </c>
      <c r="AW143" s="145">
        <f t="shared" si="50"/>
        <v>0</v>
      </c>
      <c r="AX14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Row],[Tipo]]="DROP"),AX142+TbTradesBinance[[#This Row],[Qtt]],AX142-TbTradesBinance[[#This Row],[Qtt]]),IF(TbTradesBinance[[#This Row],[Tipo]]="BUY",AX142-TbTradesBinance[[#This Row],[Qtt]]*TbTradesBinance[[#This Row],[Preço]],AX142+TbTradesBinance[[#This Row],[Qtt]]*TbTradesBinance[[#This Row],[Preço]])),AX142)-IF(TbTradesBinance[[#This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Row],[Tipo]]="DROP"),AX142+TbTradesBinance[[#This Row],[Qtt]],AX142-TbTradesBinance[[#This Row],[Qtt]]),IF(TbTradesBinance[[#This Row],[Tipo]]="BUY",AX142-TbTradesBinance[[#This Row],[Qtt]]*TbTradesBinance[[#This Row],[Preço]],AX142+TbTradesBinance[[#This Row],[Qtt]]*TbTradesBinance[[#This Row],[Preço]])),AX142)-IF(TbTradesBinance[[#This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Row],[Tipo]]="DROP"),AX142+TbTradesBinance[[#This Row],[Qtt]],AX142-TbTradesBinance[[#This Row],[Qtt]]),IF(TbTradesBinance[[#This Row],[Tipo]]="BUY",AX142-TbTradesBinance[[#This Row],[Qtt]]*TbTradesBinance[[#This Row],[Preço]],AX142+TbTradesBinance[[#This Row],[Qtt]]*TbTradesBinance[[#This Row],[Preço]])),AX142)-IF(TbTradesBinance[[#This Row],[Moeda da Taxa]]=MID(AX$1,9,5),TbTradesBinance[[#This Row],[Taxa]],0),8)))</f>
        <v>0.85636999999999996</v>
      </c>
      <c r="AY143" s="145" cm="1">
        <f t="array" ref="AY143">IF(TbTradesBinance[[#This Row],[Tipo]]="EMPTY",0,AY142+IF(TbTradesBinance[[#This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Row],[Par]]))),$1:$1,0)),-(AX142-AX143)/AX142*AY142),0),0)+IF(TbTradesBinance[[#This Row],[Tipo]]="SELL",IF(ISNUMBER(FIND(MID(AY$1,10,5),TbTradesBinance[[#This Row],[Par]])),IF(FIND(MID(AY$1,10,5),TbTradesBinance[[#This Row],[Par]])=1, -(AX142-AX143)/AX142*AY142,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Row],[Par]])),(-(AX142-AX143)/AX142*AY142)+IF(TbTradesBinance[[#This Row],[Resultado]]&gt;0,0,TbTradesBinance[[#This Row],[Taxa]]),0),0))</f>
        <v>131.82971181780295</v>
      </c>
      <c r="AZ143" s="145">
        <f t="shared" si="51"/>
        <v>153.94013314081874</v>
      </c>
      <c r="BA14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Row],[Tipo]]="DROP"),BA142+TbTradesBinance[[#This Row],[Qtt]],BA142-TbTradesBinance[[#This Row],[Qtt]]),IF(TbTradesBinance[[#This Row],[Tipo]]="BUY",BA142-TbTradesBinance[[#This Row],[Qtt]]*TbTradesBinance[[#This Row],[Preço]],BA142+TbTradesBinance[[#This Row],[Qtt]]*TbTradesBinance[[#This Row],[Preço]])),BA142)-IF(TbTradesBinance[[#This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Row],[Tipo]]="DROP"),BA142+TbTradesBinance[[#This Row],[Qtt]],BA142-TbTradesBinance[[#This Row],[Qtt]]),IF(TbTradesBinance[[#This Row],[Tipo]]="BUY",BA142-TbTradesBinance[[#This Row],[Qtt]]*TbTradesBinance[[#This Row],[Preço]],BA142+TbTradesBinance[[#This Row],[Qtt]]*TbTradesBinance[[#This Row],[Preço]])),BA142)-IF(TbTradesBinance[[#This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Row],[Tipo]]="DROP"),BA142+TbTradesBinance[[#This Row],[Qtt]],BA142-TbTradesBinance[[#This Row],[Qtt]]),IF(TbTradesBinance[[#This Row],[Tipo]]="BUY",BA142-TbTradesBinance[[#This Row],[Qtt]]*TbTradesBinance[[#This Row],[Preço]],BA142+TbTradesBinance[[#This Row],[Qtt]]*TbTradesBinance[[#This Row],[Preço]])),BA142)-IF(TbTradesBinance[[#This Row],[Moeda da Taxa]]=MID(BA$1,9,5),TbTradesBinance[[#This Row],[Taxa]],0),8)))</f>
        <v>0.10571</v>
      </c>
      <c r="BB143" s="145" cm="1">
        <f t="array" ref="BB143">IF(TbTradesBinance[[#This Row],[Tipo]]="EMPTY",0,BB142+IF(TbTradesBinance[[#This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Row],[Par]]))),$1:$1,0)),-(BA142-BA143)/BA142*BB142),0),0)+IF(TbTradesBinance[[#This Row],[Tipo]]="SELL",IF(ISNUMBER(FIND(MID(BB$1,10,5),TbTradesBinance[[#This Row],[Par]])),IF(FIND(MID(BB$1,10,5),TbTradesBinance[[#This Row],[Par]])=1, -(BA142-BA143)/BA142*BB142,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Row],[Par]])),(-(BA142-BA143)/BA142*BB142)+IF(TbTradesBinance[[#This Row],[Resultado]]&gt;0,0,TbTradesBinance[[#This Row],[Taxa]]),0),0))</f>
        <v>120.8257969142021</v>
      </c>
      <c r="BC143" s="145">
        <f t="shared" si="52"/>
        <v>1142.9930651234708</v>
      </c>
      <c r="BD14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Row],[Tipo]]="DROP"),BD142+TbTradesBinance[[#This Row],[Qtt]],BD142-TbTradesBinance[[#This Row],[Qtt]]),IF(TbTradesBinance[[#This Row],[Tipo]]="BUY",BD142-TbTradesBinance[[#This Row],[Qtt]]*TbTradesBinance[[#This Row],[Preço]],BD142+TbTradesBinance[[#This Row],[Qtt]]*TbTradesBinance[[#This Row],[Preço]])),BD142)-IF(TbTradesBinance[[#This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Row],[Tipo]]="DROP"),BD142+TbTradesBinance[[#This Row],[Qtt]],BD142-TbTradesBinance[[#This Row],[Qtt]]),IF(TbTradesBinance[[#This Row],[Tipo]]="BUY",BD142-TbTradesBinance[[#This Row],[Qtt]]*TbTradesBinance[[#This Row],[Preço]],BD142+TbTradesBinance[[#This Row],[Qtt]]*TbTradesBinance[[#This Row],[Preço]])),BD142)-IF(TbTradesBinance[[#This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Row],[Tipo]]="DROP"),BD142+TbTradesBinance[[#This Row],[Qtt]],BD142-TbTradesBinance[[#This Row],[Qtt]]),IF(TbTradesBinance[[#This Row],[Tipo]]="BUY",BD142-TbTradesBinance[[#This Row],[Qtt]]*TbTradesBinance[[#This Row],[Preço]],BD142+TbTradesBinance[[#This Row],[Qtt]]*TbTradesBinance[[#This Row],[Preço]])),BD142)-IF(TbTradesBinance[[#This Row],[Moeda da Taxa]]=MID(BD$1,9,5),TbTradesBinance[[#This Row],[Taxa]],0),8)))</f>
        <v>0</v>
      </c>
      <c r="BE143" s="145" cm="1">
        <f t="array" ref="BE143">IF(TbTradesBinance[[#This Row],[Tipo]]="EMPTY",0,BE142+IF(TbTradesBinance[[#This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Row],[Par]]))),$1:$1,0)),-(BD142-BD143)/BD142*BE142),0),0)+IF(TbTradesBinance[[#This Row],[Tipo]]="SELL",IF(ISNUMBER(FIND(MID(BE$1,10,5),TbTradesBinance[[#This Row],[Par]])),IF(FIND(MID(BE$1,10,5),TbTradesBinance[[#This Row],[Par]])=1, -(BD142-BD143)/BD142*BE142,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Row],[Par]])),(-(BD142-BD143)/BD142*BE142)+IF(TbTradesBinance[[#This Row],[Resultado]]&gt;0,0,TbTradesBinance[[#This Row],[Taxa]]),0),0))</f>
        <v>0</v>
      </c>
      <c r="BF143" s="145">
        <f t="shared" si="53"/>
        <v>0</v>
      </c>
      <c r="BG14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Row],[Tipo]]="DROP"),BG142+TbTradesBinance[[#This Row],[Qtt]],BG142-TbTradesBinance[[#This Row],[Qtt]]),IF(TbTradesBinance[[#This Row],[Tipo]]="BUY",BG142-TbTradesBinance[[#This Row],[Qtt]]*TbTradesBinance[[#This Row],[Preço]],BG142+TbTradesBinance[[#This Row],[Qtt]]*TbTradesBinance[[#This Row],[Preço]])),BG142)-IF(TbTradesBinance[[#This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Row],[Tipo]]="DROP"),BG142+TbTradesBinance[[#This Row],[Qtt]],BG142-TbTradesBinance[[#This Row],[Qtt]]),IF(TbTradesBinance[[#This Row],[Tipo]]="BUY",BG142-TbTradesBinance[[#This Row],[Qtt]]*TbTradesBinance[[#This Row],[Preço]],BG142+TbTradesBinance[[#This Row],[Qtt]]*TbTradesBinance[[#This Row],[Preço]])),BG142)-IF(TbTradesBinance[[#This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Row],[Tipo]]="DROP"),BG142+TbTradesBinance[[#This Row],[Qtt]],BG142-TbTradesBinance[[#This Row],[Qtt]]),IF(TbTradesBinance[[#This Row],[Tipo]]="BUY",BG142-TbTradesBinance[[#This Row],[Qtt]]*TbTradesBinance[[#This Row],[Preço]],BG142+TbTradesBinance[[#This Row],[Qtt]]*TbTradesBinance[[#This Row],[Preço]])),BG142)-IF(TbTradesBinance[[#This Row],[Moeda da Taxa]]=MID(BG$1,9,5),TbTradesBinance[[#This Row],[Taxa]],0),8)))</f>
        <v>0</v>
      </c>
      <c r="BH143" s="145" cm="1">
        <f t="array" ref="BH143">IF(TbTradesBinance[[#This Row],[Tipo]]="EMPTY",0,BH142+IF(TbTradesBinance[[#This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Row],[Par]]))),$1:$1,0)),-(BG142-BG143)/BG142*BH142),0),0)+IF(TbTradesBinance[[#This Row],[Tipo]]="SELL",IF(ISNUMBER(FIND(MID(BH$1,10,5),TbTradesBinance[[#This Row],[Par]])),IF(FIND(MID(BH$1,10,5),TbTradesBinance[[#This Row],[Par]])=1, -(BG142-BG143)/BG142*BH142,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Row],[Par]])),(-(BG142-BG143)/BG142*BH142)+IF(TbTradesBinance[[#This Row],[Resultado]]&gt;0,0,TbTradesBinance[[#This Row],[Taxa]]),0),0))</f>
        <v>0</v>
      </c>
      <c r="BI143" s="145">
        <f t="shared" si="54"/>
        <v>0</v>
      </c>
      <c r="BJ14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Row],[Tipo]]="DROP"),BJ142+TbTradesBinance[[#This Row],[Qtt]],BJ142-TbTradesBinance[[#This Row],[Qtt]]),IF(TbTradesBinance[[#This Row],[Tipo]]="BUY",BJ142-TbTradesBinance[[#This Row],[Qtt]]*TbTradesBinance[[#This Row],[Preço]],BJ142+TbTradesBinance[[#This Row],[Qtt]]*TbTradesBinance[[#This Row],[Preço]])),BJ142)-IF(TbTradesBinance[[#This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Row],[Tipo]]="DROP"),BJ142+TbTradesBinance[[#This Row],[Qtt]],BJ142-TbTradesBinance[[#This Row],[Qtt]]),IF(TbTradesBinance[[#This Row],[Tipo]]="BUY",BJ142-TbTradesBinance[[#This Row],[Qtt]]*TbTradesBinance[[#This Row],[Preço]],BJ142+TbTradesBinance[[#This Row],[Qtt]]*TbTradesBinance[[#This Row],[Preço]])),BJ142)-IF(TbTradesBinance[[#This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Row],[Tipo]]="DROP"),BJ142+TbTradesBinance[[#This Row],[Qtt]],BJ142-TbTradesBinance[[#This Row],[Qtt]]),IF(TbTradesBinance[[#This Row],[Tipo]]="BUY",BJ142-TbTradesBinance[[#This Row],[Qtt]]*TbTradesBinance[[#This Row],[Preço]],BJ142+TbTradesBinance[[#This Row],[Qtt]]*TbTradesBinance[[#This Row],[Preço]])),BJ142)-IF(TbTradesBinance[[#This Row],[Moeda da Taxa]]=MID(BJ$1,9,5),TbTradesBinance[[#This Row],[Taxa]],0),8)))</f>
        <v>1.3665699999999999E-3</v>
      </c>
      <c r="BK143" s="145" cm="1">
        <f t="array" ref="BK143">IF(TbTradesBinance[[#This Row],[Tipo]]="EMPTY",0,BK142+IF(TbTradesBinance[[#This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Row],[Par]]))),$1:$1,0)),-(BJ142-BJ143)/BJ142*BK142),0),0)+IF(TbTradesBinance[[#This Row],[Tipo]]="SELL",IF(ISNUMBER(FIND(MID(BK$1,10,5),TbTradesBinance[[#This Row],[Par]])),IF(FIND(MID(BK$1,10,5),TbTradesBinance[[#This Row],[Par]])=1, -(BJ142-BJ143)/BJ142*BK142,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Row],[Par]])),(-(BJ142-BJ143)/BJ142*BK142)+IF(TbTradesBinance[[#This Row],[Resultado]]&gt;0,0,TbTradesBinance[[#This Row],[Taxa]]),0),0))</f>
        <v>0</v>
      </c>
      <c r="BL143" s="145">
        <f t="shared" si="55"/>
        <v>0</v>
      </c>
      <c r="BM14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Row],[Tipo]]="DROP"),BM142+TbTradesBinance[[#This Row],[Qtt]],BM142-TbTradesBinance[[#This Row],[Qtt]]),IF(TbTradesBinance[[#This Row],[Tipo]]="BUY",BM142-TbTradesBinance[[#This Row],[Qtt]]*TbTradesBinance[[#This Row],[Preço]],BM142+TbTradesBinance[[#This Row],[Qtt]]*TbTradesBinance[[#This Row],[Preço]])),BM142)-IF(TbTradesBinance[[#This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Row],[Tipo]]="DROP"),BM142+TbTradesBinance[[#This Row],[Qtt]],BM142-TbTradesBinance[[#This Row],[Qtt]]),IF(TbTradesBinance[[#This Row],[Tipo]]="BUY",BM142-TbTradesBinance[[#This Row],[Qtt]]*TbTradesBinance[[#This Row],[Preço]],BM142+TbTradesBinance[[#This Row],[Qtt]]*TbTradesBinance[[#This Row],[Preço]])),BM142)-IF(TbTradesBinance[[#This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Row],[Tipo]]="DROP"),BM142+TbTradesBinance[[#This Row],[Qtt]],BM142-TbTradesBinance[[#This Row],[Qtt]]),IF(TbTradesBinance[[#This Row],[Tipo]]="BUY",BM142-TbTradesBinance[[#This Row],[Qtt]]*TbTradesBinance[[#This Row],[Preço]],BM142+TbTradesBinance[[#This Row],[Qtt]]*TbTradesBinance[[#This Row],[Preço]])),BM142)-IF(TbTradesBinance[[#This Row],[Moeda da Taxa]]=MID(BM$1,9,5),TbTradesBinance[[#This Row],[Taxa]],0),8)))</f>
        <v>0</v>
      </c>
      <c r="BN143" s="145" cm="1">
        <f t="array" ref="BN143">IF(TbTradesBinance[[#This Row],[Tipo]]="EMPTY",0,BN142+IF(TbTradesBinance[[#This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Row],[Par]]))),$1:$1,0)),-(BM142-BM143)/BM142*BN142),0),0)+IF(TbTradesBinance[[#This Row],[Tipo]]="SELL",IF(ISNUMBER(FIND(MID(BN$1,10,5),TbTradesBinance[[#This Row],[Par]])),IF(FIND(MID(BN$1,10,5),TbTradesBinance[[#This Row],[Par]])=1, -(BM142-BM143)/BM142*BN142,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Row],[Par]])),(-(BM142-BM143)/BM142*BN142)+IF(TbTradesBinance[[#This Row],[Resultado]]&gt;0,0,TbTradesBinance[[#This Row],[Taxa]]),0),0))</f>
        <v>0</v>
      </c>
      <c r="BO143" s="145">
        <f t="shared" si="56"/>
        <v>0</v>
      </c>
    </row>
    <row r="144" spans="2:67" x14ac:dyDescent="0.3">
      <c r="B144" s="51" t="s">
        <v>141</v>
      </c>
      <c r="C144" s="40">
        <f>TRUNC(IF(AND(TbTradesBinance[[#This Row],[Tipo]]="SEND",TbTradesBinance[[#This Row],[Par]]="BRL"),TbTradesBinance[[#This Row],[Qtt]]*(1-P142)-IF(TbTradesBinance[[#This Row],[Moeda da Taxa]]="BRL",TbTradesBinance[[#This Row],[Taxa]],0),0)+IF(AND(TbTradesBinance[[#This Row],[Tipo]]="BURN",TbTradesBinance[[#This Row],[Par]]="BRL"),-TbTradesBinance[[#This Row],[Qtt]]*P142,0),2)</f>
        <v>-0.08</v>
      </c>
      <c r="D144" s="53">
        <v>44284.984988425924</v>
      </c>
      <c r="E144" s="37" t="s">
        <v>50</v>
      </c>
      <c r="F144" s="47" t="s">
        <v>142</v>
      </c>
      <c r="G144" s="38">
        <v>1</v>
      </c>
      <c r="H144" s="38">
        <v>186.68</v>
      </c>
      <c r="I144" s="38">
        <v>0</v>
      </c>
      <c r="J144" s="37" t="s">
        <v>50</v>
      </c>
      <c r="K144" s="52">
        <v>1</v>
      </c>
      <c r="L144" s="40">
        <f t="shared" si="38"/>
        <v>1</v>
      </c>
      <c r="M144" s="40">
        <f>IF(OR(TbTradesBinance[[#This Row],[Tipo]]="BUY",TbTradesBinance[[#This Row],[Tipo]]="RECEIVE",TbTradesBinance[[#This Row],[Tipo]]="DROP"),L144*H144,-L144*H144)</f>
        <v>-186.68</v>
      </c>
      <c r="N14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Row],[Tipo]]="DROP"),N143+TbTradesBinance[[#This Row],[Qtt]],N143-TbTradesBinance[[#This Row],[Qtt]]),IF(TbTradesBinance[[#This Row],[Tipo]]="BUY",N143-TbTradesBinance[[#This Row],[Qtt]]*TbTradesBinance[[#This Row],[Preço]],N143+TbTradesBinance[[#This Row],[Qtt]]*TbTradesBinance[[#This Row],[Preço]])),N143)-IF(TbTradesBinance[[#This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Row],[Tipo]]="DROP"),N143+TbTradesBinance[[#This Row],[Qtt]],N143-TbTradesBinance[[#This Row],[Qtt]]),IF(TbTradesBinance[[#This Row],[Tipo]]="BUY",N143-TbTradesBinance[[#This Row],[Qtt]]*TbTradesBinance[[#This Row],[Preço]],N143+TbTradesBinance[[#This Row],[Qtt]]*TbTradesBinance[[#This Row],[Preço]])),N143)-IF(TbTradesBinance[[#This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Row],[Tipo]]="DROP"),N143+TbTradesBinance[[#This Row],[Qtt]],N143-TbTradesBinance[[#This Row],[Qtt]]),IF(TbTradesBinance[[#This Row],[Tipo]]="BUY",N143-TbTradesBinance[[#This Row],[Qtt]]*TbTradesBinance[[#This Row],[Preço]],N143+TbTradesBinance[[#This Row],[Qtt]]*TbTradesBinance[[#This Row],[Preço]])),N143)-IF(TbTradesBinance[[#This Row],[Moeda da Taxa]]=MID(N$1,9,5),TbTradesBinance[[#This Row],[Taxa]],0),8)))</f>
        <v>119745.42480418</v>
      </c>
      <c r="O144" s="145" cm="1">
        <f t="array" ref="O144">IF(TbTradesBinance[[#This Row],[Tipo]]="EMPTY",0,O143+IF(TbTradesBinance[[#This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Row],[Par]]))),$1:$1,0)),-(N143-N144)/N143*O143),0),0)+IF(TbTradesBinance[[#This Row],[Tipo]]="SELL",IF(ISNUMBER(FIND(MID(O$1,10,5),TbTradesBinance[[#This Row],[Par]])),IF(FIND(MID(O$1,10,5),TbTradesBinance[[#This Row],[Par]])=1, -(N143-N144)/N143*O143,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Row],[Par]])),(-(N143-N144)/N143*O143)+IF(TbTradesBinance[[#This Row],[Resultado]]&gt;0,0,TbTradesBinance[[#This Row],[Taxa]]),0),0))</f>
        <v>119844.23585680868</v>
      </c>
      <c r="P144" s="145">
        <f t="shared" si="39"/>
        <v>1.0008251760164555</v>
      </c>
      <c r="Q14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Row],[Tipo]]="DROP"),Q143+TbTradesBinance[[#This Row],[Qtt]],Q143-TbTradesBinance[[#This Row],[Qtt]]),IF(TbTradesBinance[[#This Row],[Tipo]]="BUY",Q143-TbTradesBinance[[#This Row],[Qtt]]*TbTradesBinance[[#This Row],[Preço]],Q143+TbTradesBinance[[#This Row],[Qtt]]*TbTradesBinance[[#This Row],[Preço]])),Q143)-IF(TbTradesBinance[[#This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Row],[Tipo]]="DROP"),Q143+TbTradesBinance[[#This Row],[Qtt]],Q143-TbTradesBinance[[#This Row],[Qtt]]),IF(TbTradesBinance[[#This Row],[Tipo]]="BUY",Q143-TbTradesBinance[[#This Row],[Qtt]]*TbTradesBinance[[#This Row],[Preço]],Q143+TbTradesBinance[[#This Row],[Qtt]]*TbTradesBinance[[#This Row],[Preço]])),Q143)-IF(TbTradesBinance[[#This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Row],[Tipo]]="DROP"),Q143+TbTradesBinance[[#This Row],[Qtt]],Q143-TbTradesBinance[[#This Row],[Qtt]]),IF(TbTradesBinance[[#This Row],[Tipo]]="BUY",Q143-TbTradesBinance[[#This Row],[Qtt]]*TbTradesBinance[[#This Row],[Preço]],Q143+TbTradesBinance[[#This Row],[Qtt]]*TbTradesBinance[[#This Row],[Preço]])),Q143)-IF(TbTradesBinance[[#This Row],[Moeda da Taxa]]=MID(Q$1,9,5),TbTradesBinance[[#This Row],[Taxa]],0),8)))</f>
        <v>0</v>
      </c>
      <c r="R144" s="145" cm="1">
        <f t="array" ref="R144">IF(TbTradesBinance[[#This Row],[Tipo]]="EMPTY",0,R143+IF(TbTradesBinance[[#This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Row],[Par]]))),$1:$1,0)),-(Q143-Q144)/Q143*R143),0),0)+IF(TbTradesBinance[[#This Row],[Tipo]]="SELL",IF(ISNUMBER(FIND(MID(R$1,10,5),TbTradesBinance[[#This Row],[Par]])),IF(FIND(MID(R$1,10,5),TbTradesBinance[[#This Row],[Par]])=1, -(Q143-Q144)/Q143*R143,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Row],[Par]])),(-(Q143-Q144)/Q143*R143)+IF(TbTradesBinance[[#This Row],[Resultado]]&gt;0,0,TbTradesBinance[[#This Row],[Taxa]]),0),0))</f>
        <v>0</v>
      </c>
      <c r="S144" s="145">
        <f t="shared" si="40"/>
        <v>0</v>
      </c>
      <c r="T14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Row],[Tipo]]="DROP"),T143+TbTradesBinance[[#This Row],[Qtt]],T143-TbTradesBinance[[#This Row],[Qtt]]),IF(TbTradesBinance[[#This Row],[Tipo]]="BUY",T143-TbTradesBinance[[#This Row],[Qtt]]*TbTradesBinance[[#This Row],[Preço]],T143+TbTradesBinance[[#This Row],[Qtt]]*TbTradesBinance[[#This Row],[Preço]])),T143)-IF(TbTradesBinance[[#This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Row],[Tipo]]="DROP"),T143+TbTradesBinance[[#This Row],[Qtt]],T143-TbTradesBinance[[#This Row],[Qtt]]),IF(TbTradesBinance[[#This Row],[Tipo]]="BUY",T143-TbTradesBinance[[#This Row],[Qtt]]*TbTradesBinance[[#This Row],[Preço]],T143+TbTradesBinance[[#This Row],[Qtt]]*TbTradesBinance[[#This Row],[Preço]])),T143)-IF(TbTradesBinance[[#This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Row],[Tipo]]="DROP"),T143+TbTradesBinance[[#This Row],[Qtt]],T143-TbTradesBinance[[#This Row],[Qtt]]),IF(TbTradesBinance[[#This Row],[Tipo]]="BUY",T143-TbTradesBinance[[#This Row],[Qtt]]*TbTradesBinance[[#This Row],[Preço]],T143+TbTradesBinance[[#This Row],[Qtt]]*TbTradesBinance[[#This Row],[Preço]])),T143)-IF(TbTradesBinance[[#This Row],[Moeda da Taxa]]=MID(T$1,9,5),TbTradesBinance[[#This Row],[Taxa]],0),8)))</f>
        <v>219713.72000189999</v>
      </c>
      <c r="U144" s="145" cm="1">
        <f t="array" ref="U144">IF(TbTradesBinance[[#This Row],[Tipo]]="EMPTY",0,U143+IF(TbTradesBinance[[#This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Row],[Par]]))),$1:$1,0)),-(T143-T144)/T143*U143),0),0)+IF(TbTradesBinance[[#This Row],[Tipo]]="SELL",IF(ISNUMBER(FIND(MID(U$1,10,5),TbTradesBinance[[#This Row],[Par]])),IF(FIND(MID(U$1,10,5),TbTradesBinance[[#This Row],[Par]])=1, -(T143-T144)/T143*U143,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Row],[Par]])),(-(T143-T144)/T143*U143)+IF(TbTradesBinance[[#This Row],[Resultado]]&gt;0,0,TbTradesBinance[[#This Row],[Taxa]]),0),0))</f>
        <v>1461096.2409827893</v>
      </c>
      <c r="V144" s="145">
        <f t="shared" si="41"/>
        <v>6.6500000135182926</v>
      </c>
      <c r="W14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Row],[Tipo]]="DROP"),W143+TbTradesBinance[[#This Row],[Qtt]],W143-TbTradesBinance[[#This Row],[Qtt]]),IF(TbTradesBinance[[#This Row],[Tipo]]="BUY",W143-TbTradesBinance[[#This Row],[Qtt]]*TbTradesBinance[[#This Row],[Preço]],W143+TbTradesBinance[[#This Row],[Qtt]]*TbTradesBinance[[#This Row],[Preço]])),W143)-IF(TbTradesBinance[[#This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Row],[Tipo]]="DROP"),W143+TbTradesBinance[[#This Row],[Qtt]],W143-TbTradesBinance[[#This Row],[Qtt]]),IF(TbTradesBinance[[#This Row],[Tipo]]="BUY",W143-TbTradesBinance[[#This Row],[Qtt]]*TbTradesBinance[[#This Row],[Preço]],W143+TbTradesBinance[[#This Row],[Qtt]]*TbTradesBinance[[#This Row],[Preço]])),W143)-IF(TbTradesBinance[[#This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Row],[Tipo]]="DROP"),W143+TbTradesBinance[[#This Row],[Qtt]],W143-TbTradesBinance[[#This Row],[Qtt]]),IF(TbTradesBinance[[#This Row],[Tipo]]="BUY",W143-TbTradesBinance[[#This Row],[Qtt]]*TbTradesBinance[[#This Row],[Preço]],W143+TbTradesBinance[[#This Row],[Qtt]]*TbTradesBinance[[#This Row],[Preço]])),W143)-IF(TbTradesBinance[[#This Row],[Moeda da Taxa]]=MID(W$1,9,5),TbTradesBinance[[#This Row],[Taxa]],0),8)))</f>
        <v>3.2336000000000002E-4</v>
      </c>
      <c r="X144" s="145" cm="1">
        <f t="array" ref="X144">IF(TbTradesBinance[[#This Row],[Tipo]]="EMPTY",0,X143+IF(TbTradesBinance[[#This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Row],[Par]]))),$1:$1,0)),-(W143-W144)/W143*X143),0),0)+IF(TbTradesBinance[[#This Row],[Tipo]]="SELL",IF(ISNUMBER(FIND(MID(X$1,10,5),TbTradesBinance[[#This Row],[Par]])),IF(FIND(MID(X$1,10,5),TbTradesBinance[[#This Row],[Par]])=1, -(W143-W144)/W143*X143,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Row],[Par]])),(-(W143-W144)/W143*X143)+IF(TbTradesBinance[[#This Row],[Resultado]]&gt;0,0,TbTradesBinance[[#This Row],[Taxa]]),0),0))</f>
        <v>109.49359760304422</v>
      </c>
      <c r="Y144" s="145">
        <f t="shared" si="42"/>
        <v>338612.06581841974</v>
      </c>
      <c r="Z14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Row],[Tipo]]="DROP"),Z143+TbTradesBinance[[#This Row],[Qtt]],Z143-TbTradesBinance[[#This Row],[Qtt]]),IF(TbTradesBinance[[#This Row],[Tipo]]="BUY",Z143-TbTradesBinance[[#This Row],[Qtt]]*TbTradesBinance[[#This Row],[Preço]],Z143+TbTradesBinance[[#This Row],[Qtt]]*TbTradesBinance[[#This Row],[Preço]])),Z143)-IF(TbTradesBinance[[#This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Row],[Tipo]]="DROP"),Z143+TbTradesBinance[[#This Row],[Qtt]],Z143-TbTradesBinance[[#This Row],[Qtt]]),IF(TbTradesBinance[[#This Row],[Tipo]]="BUY",Z143-TbTradesBinance[[#This Row],[Qtt]]*TbTradesBinance[[#This Row],[Preço]],Z143+TbTradesBinance[[#This Row],[Qtt]]*TbTradesBinance[[#This Row],[Preço]])),Z143)-IF(TbTradesBinance[[#This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Row],[Tipo]]="DROP"),Z143+TbTradesBinance[[#This Row],[Qtt]],Z143-TbTradesBinance[[#This Row],[Qtt]]),IF(TbTradesBinance[[#This Row],[Tipo]]="BUY",Z143-TbTradesBinance[[#This Row],[Qtt]]*TbTradesBinance[[#This Row],[Preço]],Z143+TbTradesBinance[[#This Row],[Qtt]]*TbTradesBinance[[#This Row],[Preço]])),Z143)-IF(TbTradesBinance[[#This Row],[Moeda da Taxa]]=MID(Z$1,9,5),TbTradesBinance[[#This Row],[Taxa]],0),8)))</f>
        <v>0</v>
      </c>
      <c r="AA144" s="145" cm="1">
        <f t="array" ref="AA144">IF(TbTradesBinance[[#This Row],[Tipo]]="EMPTY",0,AA143+IF(TbTradesBinance[[#This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Row],[Par]]))),$1:$1,0)),-(Z143-Z144)/Z143*AA143),0),0)+IF(TbTradesBinance[[#This Row],[Tipo]]="SELL",IF(ISNUMBER(FIND(MID(AA$1,10,5),TbTradesBinance[[#This Row],[Par]])),IF(FIND(MID(AA$1,10,5),TbTradesBinance[[#This Row],[Par]])=1, -(Z143-Z144)/Z143*AA143,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Row],[Par]])),(-(Z143-Z144)/Z143*AA143)+IF(TbTradesBinance[[#This Row],[Resultado]]&gt;0,0,TbTradesBinance[[#This Row],[Taxa]]),0),0))</f>
        <v>0</v>
      </c>
      <c r="AB144" s="145">
        <f t="shared" si="43"/>
        <v>0</v>
      </c>
      <c r="AC14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Row],[Tipo]]="DROP"),AC143+TbTradesBinance[[#This Row],[Qtt]],AC143-TbTradesBinance[[#This Row],[Qtt]]),IF(TbTradesBinance[[#This Row],[Tipo]]="BUY",AC143-TbTradesBinance[[#This Row],[Qtt]]*TbTradesBinance[[#This Row],[Preço]],AC143+TbTradesBinance[[#This Row],[Qtt]]*TbTradesBinance[[#This Row],[Preço]])),AC143)-IF(TbTradesBinance[[#This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Row],[Tipo]]="DROP"),AC143+TbTradesBinance[[#This Row],[Qtt]],AC143-TbTradesBinance[[#This Row],[Qtt]]),IF(TbTradesBinance[[#This Row],[Tipo]]="BUY",AC143-TbTradesBinance[[#This Row],[Qtt]]*TbTradesBinance[[#This Row],[Preço]],AC143+TbTradesBinance[[#This Row],[Qtt]]*TbTradesBinance[[#This Row],[Preço]])),AC143)-IF(TbTradesBinance[[#This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Row],[Tipo]]="DROP"),AC143+TbTradesBinance[[#This Row],[Qtt]],AC143-TbTradesBinance[[#This Row],[Qtt]]),IF(TbTradesBinance[[#This Row],[Tipo]]="BUY",AC143-TbTradesBinance[[#This Row],[Qtt]]*TbTradesBinance[[#This Row],[Preço]],AC143+TbTradesBinance[[#This Row],[Qtt]]*TbTradesBinance[[#This Row],[Preço]])),AC143)-IF(TbTradesBinance[[#This Row],[Moeda da Taxa]]=MID(AC$1,9,5),TbTradesBinance[[#This Row],[Taxa]],0),8)))</f>
        <v>0</v>
      </c>
      <c r="AD144" s="145" cm="1">
        <f t="array" ref="AD144">IF(TbTradesBinance[[#This Row],[Tipo]]="EMPTY",0,AD143+IF(TbTradesBinance[[#This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Row],[Par]]))),$1:$1,0)),-(AC143-AC144)/AC143*AD143),0),0)+IF(TbTradesBinance[[#This Row],[Tipo]]="SELL",IF(ISNUMBER(FIND(MID(AD$1,10,5),TbTradesBinance[[#This Row],[Par]])),IF(FIND(MID(AD$1,10,5),TbTradesBinance[[#This Row],[Par]])=1, -(AC143-AC144)/AC143*AD143,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Row],[Par]])),(-(AC143-AC144)/AC143*AD143)+IF(TbTradesBinance[[#This Row],[Resultado]]&gt;0,0,TbTradesBinance[[#This Row],[Taxa]]),0),0))</f>
        <v>0</v>
      </c>
      <c r="AE144" s="145">
        <f t="shared" si="44"/>
        <v>0</v>
      </c>
      <c r="AF14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Row],[Tipo]]="DROP"),AF143+TbTradesBinance[[#This Row],[Qtt]],AF143-TbTradesBinance[[#This Row],[Qtt]]),IF(TbTradesBinance[[#This Row],[Tipo]]="BUY",AF143-TbTradesBinance[[#This Row],[Qtt]]*TbTradesBinance[[#This Row],[Preço]],AF143+TbTradesBinance[[#This Row],[Qtt]]*TbTradesBinance[[#This Row],[Preço]])),AF143)-IF(TbTradesBinance[[#This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Row],[Tipo]]="DROP"),AF143+TbTradesBinance[[#This Row],[Qtt]],AF143-TbTradesBinance[[#This Row],[Qtt]]),IF(TbTradesBinance[[#This Row],[Tipo]]="BUY",AF143-TbTradesBinance[[#This Row],[Qtt]]*TbTradesBinance[[#This Row],[Preço]],AF143+TbTradesBinance[[#This Row],[Qtt]]*TbTradesBinance[[#This Row],[Preço]])),AF143)-IF(TbTradesBinance[[#This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Row],[Tipo]]="DROP"),AF143+TbTradesBinance[[#This Row],[Qtt]],AF143-TbTradesBinance[[#This Row],[Qtt]]),IF(TbTradesBinance[[#This Row],[Tipo]]="BUY",AF143-TbTradesBinance[[#This Row],[Qtt]]*TbTradesBinance[[#This Row],[Preço]],AF143+TbTradesBinance[[#This Row],[Qtt]]*TbTradesBinance[[#This Row],[Preço]])),AF143)-IF(TbTradesBinance[[#This Row],[Moeda da Taxa]]=MID(AF$1,9,5),TbTradesBinance[[#This Row],[Taxa]],0),8)))</f>
        <v>0</v>
      </c>
      <c r="AG144" s="145" cm="1">
        <f t="array" ref="AG144">IF(TbTradesBinance[[#This Row],[Tipo]]="EMPTY",0,AG143+IF(TbTradesBinance[[#This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Row],[Par]]))),$1:$1,0)),-(AF143-AF144)/AF143*AG143),0),0)+IF(TbTradesBinance[[#This Row],[Tipo]]="SELL",IF(ISNUMBER(FIND(MID(AG$1,10,5),TbTradesBinance[[#This Row],[Par]])),IF(FIND(MID(AG$1,10,5),TbTradesBinance[[#This Row],[Par]])=1, -(AF143-AF144)/AF143*AG143,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Row],[Par]])),(-(AF143-AF144)/AF143*AG143)+IF(TbTradesBinance[[#This Row],[Resultado]]&gt;0,0,TbTradesBinance[[#This Row],[Taxa]]),0),0))</f>
        <v>0</v>
      </c>
      <c r="AH144" s="145">
        <f t="shared" si="45"/>
        <v>0</v>
      </c>
      <c r="AI14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Row],[Tipo]]="DROP"),AI143+TbTradesBinance[[#This Row],[Qtt]],AI143-TbTradesBinance[[#This Row],[Qtt]]),IF(TbTradesBinance[[#This Row],[Tipo]]="BUY",AI143-TbTradesBinance[[#This Row],[Qtt]]*TbTradesBinance[[#This Row],[Preço]],AI143+TbTradesBinance[[#This Row],[Qtt]]*TbTradesBinance[[#This Row],[Preço]])),AI143)-IF(TbTradesBinance[[#This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Row],[Tipo]]="DROP"),AI143+TbTradesBinance[[#This Row],[Qtt]],AI143-TbTradesBinance[[#This Row],[Qtt]]),IF(TbTradesBinance[[#This Row],[Tipo]]="BUY",AI143-TbTradesBinance[[#This Row],[Qtt]]*TbTradesBinance[[#This Row],[Preço]],AI143+TbTradesBinance[[#This Row],[Qtt]]*TbTradesBinance[[#This Row],[Preço]])),AI143)-IF(TbTradesBinance[[#This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Row],[Tipo]]="DROP"),AI143+TbTradesBinance[[#This Row],[Qtt]],AI143-TbTradesBinance[[#This Row],[Qtt]]),IF(TbTradesBinance[[#This Row],[Tipo]]="BUY",AI143-TbTradesBinance[[#This Row],[Qtt]]*TbTradesBinance[[#This Row],[Preço]],AI143+TbTradesBinance[[#This Row],[Qtt]]*TbTradesBinance[[#This Row],[Preço]])),AI143)-IF(TbTradesBinance[[#This Row],[Moeda da Taxa]]=MID(AI$1,9,5),TbTradesBinance[[#This Row],[Taxa]],0),8)))</f>
        <v>0</v>
      </c>
      <c r="AJ144" s="145" cm="1">
        <f t="array" ref="AJ144">IF(TbTradesBinance[[#This Row],[Tipo]]="EMPTY",0,AJ143+IF(TbTradesBinance[[#This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Row],[Par]]))),$1:$1,0)),-(AI143-AI144)/AI143*AJ143),0),0)+IF(TbTradesBinance[[#This Row],[Tipo]]="SELL",IF(ISNUMBER(FIND(MID(AJ$1,10,5),TbTradesBinance[[#This Row],[Par]])),IF(FIND(MID(AJ$1,10,5),TbTradesBinance[[#This Row],[Par]])=1, -(AI143-AI144)/AI143*AJ143,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Row],[Par]])),(-(AI143-AI144)/AI143*AJ143)+IF(TbTradesBinance[[#This Row],[Resultado]]&gt;0,0,TbTradesBinance[[#This Row],[Taxa]]),0),0))</f>
        <v>0</v>
      </c>
      <c r="AK144" s="145">
        <f t="shared" si="46"/>
        <v>0</v>
      </c>
      <c r="AL14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Row],[Tipo]]="DROP"),AL143+TbTradesBinance[[#This Row],[Qtt]],AL143-TbTradesBinance[[#This Row],[Qtt]]),IF(TbTradesBinance[[#This Row],[Tipo]]="BUY",AL143-TbTradesBinance[[#This Row],[Qtt]]*TbTradesBinance[[#This Row],[Preço]],AL143+TbTradesBinance[[#This Row],[Qtt]]*TbTradesBinance[[#This Row],[Preço]])),AL143)-IF(TbTradesBinance[[#This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Row],[Tipo]]="DROP"),AL143+TbTradesBinance[[#This Row],[Qtt]],AL143-TbTradesBinance[[#This Row],[Qtt]]),IF(TbTradesBinance[[#This Row],[Tipo]]="BUY",AL143-TbTradesBinance[[#This Row],[Qtt]]*TbTradesBinance[[#This Row],[Preço]],AL143+TbTradesBinance[[#This Row],[Qtt]]*TbTradesBinance[[#This Row],[Preço]])),AL143)-IF(TbTradesBinance[[#This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Row],[Tipo]]="DROP"),AL143+TbTradesBinance[[#This Row],[Qtt]],AL143-TbTradesBinance[[#This Row],[Qtt]]),IF(TbTradesBinance[[#This Row],[Tipo]]="BUY",AL143-TbTradesBinance[[#This Row],[Qtt]]*TbTradesBinance[[#This Row],[Preço]],AL143+TbTradesBinance[[#This Row],[Qtt]]*TbTradesBinance[[#This Row],[Preço]])),AL143)-IF(TbTradesBinance[[#This Row],[Moeda da Taxa]]=MID(AL$1,9,5),TbTradesBinance[[#This Row],[Taxa]],0),8)))</f>
        <v>0</v>
      </c>
      <c r="AM144" s="145" cm="1">
        <f t="array" ref="AM144">IF(TbTradesBinance[[#This Row],[Tipo]]="EMPTY",0,AM143+IF(TbTradesBinance[[#This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Row],[Par]]))),$1:$1,0)),-(AL143-AL144)/AL143*AM143),0),0)+IF(TbTradesBinance[[#This Row],[Tipo]]="SELL",IF(ISNUMBER(FIND(MID(AM$1,10,5),TbTradesBinance[[#This Row],[Par]])),IF(FIND(MID(AM$1,10,5),TbTradesBinance[[#This Row],[Par]])=1, -(AL143-AL144)/AL143*AM143,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Row],[Par]])),(-(AL143-AL144)/AL143*AM143)+IF(TbTradesBinance[[#This Row],[Resultado]]&gt;0,0,TbTradesBinance[[#This Row],[Taxa]]),0),0))</f>
        <v>0</v>
      </c>
      <c r="AN144" s="145">
        <f t="shared" si="47"/>
        <v>0</v>
      </c>
      <c r="AO14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Row],[Tipo]]="DROP"),AO143+TbTradesBinance[[#This Row],[Qtt]],AO143-TbTradesBinance[[#This Row],[Qtt]]),IF(TbTradesBinance[[#This Row],[Tipo]]="BUY",AO143-TbTradesBinance[[#This Row],[Qtt]]*TbTradesBinance[[#This Row],[Preço]],AO143+TbTradesBinance[[#This Row],[Qtt]]*TbTradesBinance[[#This Row],[Preço]])),AO143)-IF(TbTradesBinance[[#This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Row],[Tipo]]="DROP"),AO143+TbTradesBinance[[#This Row],[Qtt]],AO143-TbTradesBinance[[#This Row],[Qtt]]),IF(TbTradesBinance[[#This Row],[Tipo]]="BUY",AO143-TbTradesBinance[[#This Row],[Qtt]]*TbTradesBinance[[#This Row],[Preço]],AO143+TbTradesBinance[[#This Row],[Qtt]]*TbTradesBinance[[#This Row],[Preço]])),AO143)-IF(TbTradesBinance[[#This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Row],[Tipo]]="DROP"),AO143+TbTradesBinance[[#This Row],[Qtt]],AO143-TbTradesBinance[[#This Row],[Qtt]]),IF(TbTradesBinance[[#This Row],[Tipo]]="BUY",AO143-TbTradesBinance[[#This Row],[Qtt]]*TbTradesBinance[[#This Row],[Preço]],AO143+TbTradesBinance[[#This Row],[Qtt]]*TbTradesBinance[[#This Row],[Preço]])),AO143)-IF(TbTradesBinance[[#This Row],[Moeda da Taxa]]=MID(AO$1,9,5),TbTradesBinance[[#This Row],[Taxa]],0),8)))</f>
        <v>3.7310980000000001E-2</v>
      </c>
      <c r="AP144" s="145" cm="1">
        <f t="array" ref="AP144">IF(TbTradesBinance[[#This Row],[Tipo]]="EMPTY",0,AP143+IF(TbTradesBinance[[#This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Row],[Par]]))),$1:$1,0)),-(AO143-AO144)/AO143*AP143),0),0)+IF(TbTradesBinance[[#This Row],[Tipo]]="SELL",IF(ISNUMBER(FIND(MID(AP$1,10,5),TbTradesBinance[[#This Row],[Par]])),IF(FIND(MID(AP$1,10,5),TbTradesBinance[[#This Row],[Par]])=1, -(AO143-AO144)/AO143*AP143,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Row],[Par]])),(-(AO143-AO144)/AO143*AP143)+IF(TbTradesBinance[[#This Row],[Resultado]]&gt;0,0,TbTradesBinance[[#This Row],[Taxa]]),0),0))</f>
        <v>57.065298020032813</v>
      </c>
      <c r="AQ144" s="145">
        <f t="shared" si="48"/>
        <v>1529.4505268967155</v>
      </c>
      <c r="AR14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Row],[Tipo]]="DROP"),AR143+TbTradesBinance[[#This Row],[Qtt]],AR143-TbTradesBinance[[#This Row],[Qtt]]),IF(TbTradesBinance[[#This Row],[Tipo]]="BUY",AR143-TbTradesBinance[[#This Row],[Qtt]]*TbTradesBinance[[#This Row],[Preço]],AR143+TbTradesBinance[[#This Row],[Qtt]]*TbTradesBinance[[#This Row],[Preço]])),AR143)-IF(TbTradesBinance[[#This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Row],[Tipo]]="DROP"),AR143+TbTradesBinance[[#This Row],[Qtt]],AR143-TbTradesBinance[[#This Row],[Qtt]]),IF(TbTradesBinance[[#This Row],[Tipo]]="BUY",AR143-TbTradesBinance[[#This Row],[Qtt]]*TbTradesBinance[[#This Row],[Preço]],AR143+TbTradesBinance[[#This Row],[Qtt]]*TbTradesBinance[[#This Row],[Preço]])),AR143)-IF(TbTradesBinance[[#This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Row],[Tipo]]="DROP"),AR143+TbTradesBinance[[#This Row],[Qtt]],AR143-TbTradesBinance[[#This Row],[Qtt]]),IF(TbTradesBinance[[#This Row],[Tipo]]="BUY",AR143-TbTradesBinance[[#This Row],[Qtt]]*TbTradesBinance[[#This Row],[Preço]],AR143+TbTradesBinance[[#This Row],[Qtt]]*TbTradesBinance[[#This Row],[Preço]])),AR143)-IF(TbTradesBinance[[#This Row],[Moeda da Taxa]]=MID(AR$1,9,5),TbTradesBinance[[#This Row],[Taxa]],0),8)))</f>
        <v>0</v>
      </c>
      <c r="AS144" s="145" cm="1">
        <f t="array" ref="AS144">IF(TbTradesBinance[[#This Row],[Tipo]]="EMPTY",0,AS143+IF(TbTradesBinance[[#This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Row],[Par]]))),$1:$1,0)),-(AR143-AR144)/AR143*AS143),0),0)+IF(TbTradesBinance[[#This Row],[Tipo]]="SELL",IF(ISNUMBER(FIND(MID(AS$1,10,5),TbTradesBinance[[#This Row],[Par]])),IF(FIND(MID(AS$1,10,5),TbTradesBinance[[#This Row],[Par]])=1, -(AR143-AR144)/AR143*AS143,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Row],[Par]])),(-(AR143-AR144)/AR143*AS143)+IF(TbTradesBinance[[#This Row],[Resultado]]&gt;0,0,TbTradesBinance[[#This Row],[Taxa]]),0),0))</f>
        <v>0</v>
      </c>
      <c r="AT144" s="145">
        <f t="shared" si="49"/>
        <v>0</v>
      </c>
      <c r="AU14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Row],[Tipo]]="DROP"),AU143+TbTradesBinance[[#This Row],[Qtt]],AU143-TbTradesBinance[[#This Row],[Qtt]]),IF(TbTradesBinance[[#This Row],[Tipo]]="BUY",AU143-TbTradesBinance[[#This Row],[Qtt]]*TbTradesBinance[[#This Row],[Preço]],AU143+TbTradesBinance[[#This Row],[Qtt]]*TbTradesBinance[[#This Row],[Preço]])),AU143)-IF(TbTradesBinance[[#This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Row],[Tipo]]="DROP"),AU143+TbTradesBinance[[#This Row],[Qtt]],AU143-TbTradesBinance[[#This Row],[Qtt]]),IF(TbTradesBinance[[#This Row],[Tipo]]="BUY",AU143-TbTradesBinance[[#This Row],[Qtt]]*TbTradesBinance[[#This Row],[Preço]],AU143+TbTradesBinance[[#This Row],[Qtt]]*TbTradesBinance[[#This Row],[Preço]])),AU143)-IF(TbTradesBinance[[#This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Row],[Tipo]]="DROP"),AU143+TbTradesBinance[[#This Row],[Qtt]],AU143-TbTradesBinance[[#This Row],[Qtt]]),IF(TbTradesBinance[[#This Row],[Tipo]]="BUY",AU143-TbTradesBinance[[#This Row],[Qtt]]*TbTradesBinance[[#This Row],[Preço]],AU143+TbTradesBinance[[#This Row],[Qtt]]*TbTradesBinance[[#This Row],[Preço]])),AU143)-IF(TbTradesBinance[[#This Row],[Moeda da Taxa]]=MID(AU$1,9,5),TbTradesBinance[[#This Row],[Taxa]],0),8)))</f>
        <v>0</v>
      </c>
      <c r="AV144" s="145" cm="1">
        <f t="array" ref="AV144">IF(TbTradesBinance[[#This Row],[Tipo]]="EMPTY",0,AV143+IF(TbTradesBinance[[#This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Row],[Par]]))),$1:$1,0)),-(AU143-AU144)/AU143*AV143),0),0)+IF(TbTradesBinance[[#This Row],[Tipo]]="SELL",IF(ISNUMBER(FIND(MID(AV$1,10,5),TbTradesBinance[[#This Row],[Par]])),IF(FIND(MID(AV$1,10,5),TbTradesBinance[[#This Row],[Par]])=1, -(AU143-AU144)/AU143*AV143,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Row],[Par]])),(-(AU143-AU144)/AU143*AV143)+IF(TbTradesBinance[[#This Row],[Resultado]]&gt;0,0,TbTradesBinance[[#This Row],[Taxa]]),0),0))</f>
        <v>0</v>
      </c>
      <c r="AW144" s="145">
        <f t="shared" si="50"/>
        <v>0</v>
      </c>
      <c r="AX14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Row],[Tipo]]="DROP"),AX143+TbTradesBinance[[#This Row],[Qtt]],AX143-TbTradesBinance[[#This Row],[Qtt]]),IF(TbTradesBinance[[#This Row],[Tipo]]="BUY",AX143-TbTradesBinance[[#This Row],[Qtt]]*TbTradesBinance[[#This Row],[Preço]],AX143+TbTradesBinance[[#This Row],[Qtt]]*TbTradesBinance[[#This Row],[Preço]])),AX143)-IF(TbTradesBinance[[#This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Row],[Tipo]]="DROP"),AX143+TbTradesBinance[[#This Row],[Qtt]],AX143-TbTradesBinance[[#This Row],[Qtt]]),IF(TbTradesBinance[[#This Row],[Tipo]]="BUY",AX143-TbTradesBinance[[#This Row],[Qtt]]*TbTradesBinance[[#This Row],[Preço]],AX143+TbTradesBinance[[#This Row],[Qtt]]*TbTradesBinance[[#This Row],[Preço]])),AX143)-IF(TbTradesBinance[[#This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Row],[Tipo]]="DROP"),AX143+TbTradesBinance[[#This Row],[Qtt]],AX143-TbTradesBinance[[#This Row],[Qtt]]),IF(TbTradesBinance[[#This Row],[Tipo]]="BUY",AX143-TbTradesBinance[[#This Row],[Qtt]]*TbTradesBinance[[#This Row],[Preço]],AX143+TbTradesBinance[[#This Row],[Qtt]]*TbTradesBinance[[#This Row],[Preço]])),AX143)-IF(TbTradesBinance[[#This Row],[Moeda da Taxa]]=MID(AX$1,9,5),TbTradesBinance[[#This Row],[Taxa]],0),8)))</f>
        <v>0.85636999999999996</v>
      </c>
      <c r="AY144" s="145" cm="1">
        <f t="array" ref="AY144">IF(TbTradesBinance[[#This Row],[Tipo]]="EMPTY",0,AY143+IF(TbTradesBinance[[#This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Row],[Par]]))),$1:$1,0)),-(AX143-AX144)/AX143*AY143),0),0)+IF(TbTradesBinance[[#This Row],[Tipo]]="SELL",IF(ISNUMBER(FIND(MID(AY$1,10,5),TbTradesBinance[[#This Row],[Par]])),IF(FIND(MID(AY$1,10,5),TbTradesBinance[[#This Row],[Par]])=1, -(AX143-AX144)/AX143*AY143,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Row],[Par]])),(-(AX143-AX144)/AX143*AY143)+IF(TbTradesBinance[[#This Row],[Resultado]]&gt;0,0,TbTradesBinance[[#This Row],[Taxa]]),0),0))</f>
        <v>131.82971181780295</v>
      </c>
      <c r="AZ144" s="145">
        <f t="shared" si="51"/>
        <v>153.94013314081874</v>
      </c>
      <c r="BA14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Row],[Tipo]]="DROP"),BA143+TbTradesBinance[[#This Row],[Qtt]],BA143-TbTradesBinance[[#This Row],[Qtt]]),IF(TbTradesBinance[[#This Row],[Tipo]]="BUY",BA143-TbTradesBinance[[#This Row],[Qtt]]*TbTradesBinance[[#This Row],[Preço]],BA143+TbTradesBinance[[#This Row],[Qtt]]*TbTradesBinance[[#This Row],[Preço]])),BA143)-IF(TbTradesBinance[[#This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Row],[Tipo]]="DROP"),BA143+TbTradesBinance[[#This Row],[Qtt]],BA143-TbTradesBinance[[#This Row],[Qtt]]),IF(TbTradesBinance[[#This Row],[Tipo]]="BUY",BA143-TbTradesBinance[[#This Row],[Qtt]]*TbTradesBinance[[#This Row],[Preço]],BA143+TbTradesBinance[[#This Row],[Qtt]]*TbTradesBinance[[#This Row],[Preço]])),BA143)-IF(TbTradesBinance[[#This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Row],[Tipo]]="DROP"),BA143+TbTradesBinance[[#This Row],[Qtt]],BA143-TbTradesBinance[[#This Row],[Qtt]]),IF(TbTradesBinance[[#This Row],[Tipo]]="BUY",BA143-TbTradesBinance[[#This Row],[Qtt]]*TbTradesBinance[[#This Row],[Preço]],BA143+TbTradesBinance[[#This Row],[Qtt]]*TbTradesBinance[[#This Row],[Preço]])),BA143)-IF(TbTradesBinance[[#This Row],[Moeda da Taxa]]=MID(BA$1,9,5),TbTradesBinance[[#This Row],[Taxa]],0),8)))</f>
        <v>0.10571</v>
      </c>
      <c r="BB144" s="145" cm="1">
        <f t="array" ref="BB144">IF(TbTradesBinance[[#This Row],[Tipo]]="EMPTY",0,BB143+IF(TbTradesBinance[[#This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Row],[Par]]))),$1:$1,0)),-(BA143-BA144)/BA143*BB143),0),0)+IF(TbTradesBinance[[#This Row],[Tipo]]="SELL",IF(ISNUMBER(FIND(MID(BB$1,10,5),TbTradesBinance[[#This Row],[Par]])),IF(FIND(MID(BB$1,10,5),TbTradesBinance[[#This Row],[Par]])=1, -(BA143-BA144)/BA143*BB143,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Row],[Par]])),(-(BA143-BA144)/BA143*BB143)+IF(TbTradesBinance[[#This Row],[Resultado]]&gt;0,0,TbTradesBinance[[#This Row],[Taxa]]),0),0))</f>
        <v>120.8257969142021</v>
      </c>
      <c r="BC144" s="145">
        <f t="shared" si="52"/>
        <v>1142.9930651234708</v>
      </c>
      <c r="BD14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Row],[Tipo]]="DROP"),BD143+TbTradesBinance[[#This Row],[Qtt]],BD143-TbTradesBinance[[#This Row],[Qtt]]),IF(TbTradesBinance[[#This Row],[Tipo]]="BUY",BD143-TbTradesBinance[[#This Row],[Qtt]]*TbTradesBinance[[#This Row],[Preço]],BD143+TbTradesBinance[[#This Row],[Qtt]]*TbTradesBinance[[#This Row],[Preço]])),BD143)-IF(TbTradesBinance[[#This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Row],[Tipo]]="DROP"),BD143+TbTradesBinance[[#This Row],[Qtt]],BD143-TbTradesBinance[[#This Row],[Qtt]]),IF(TbTradesBinance[[#This Row],[Tipo]]="BUY",BD143-TbTradesBinance[[#This Row],[Qtt]]*TbTradesBinance[[#This Row],[Preço]],BD143+TbTradesBinance[[#This Row],[Qtt]]*TbTradesBinance[[#This Row],[Preço]])),BD143)-IF(TbTradesBinance[[#This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Row],[Tipo]]="DROP"),BD143+TbTradesBinance[[#This Row],[Qtt]],BD143-TbTradesBinance[[#This Row],[Qtt]]),IF(TbTradesBinance[[#This Row],[Tipo]]="BUY",BD143-TbTradesBinance[[#This Row],[Qtt]]*TbTradesBinance[[#This Row],[Preço]],BD143+TbTradesBinance[[#This Row],[Qtt]]*TbTradesBinance[[#This Row],[Preço]])),BD143)-IF(TbTradesBinance[[#This Row],[Moeda da Taxa]]=MID(BD$1,9,5),TbTradesBinance[[#This Row],[Taxa]],0),8)))</f>
        <v>0</v>
      </c>
      <c r="BE144" s="145" cm="1">
        <f t="array" ref="BE144">IF(TbTradesBinance[[#This Row],[Tipo]]="EMPTY",0,BE143+IF(TbTradesBinance[[#This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Row],[Par]]))),$1:$1,0)),-(BD143-BD144)/BD143*BE143),0),0)+IF(TbTradesBinance[[#This Row],[Tipo]]="SELL",IF(ISNUMBER(FIND(MID(BE$1,10,5),TbTradesBinance[[#This Row],[Par]])),IF(FIND(MID(BE$1,10,5),TbTradesBinance[[#This Row],[Par]])=1, -(BD143-BD144)/BD143*BE143,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Row],[Par]])),(-(BD143-BD144)/BD143*BE143)+IF(TbTradesBinance[[#This Row],[Resultado]]&gt;0,0,TbTradesBinance[[#This Row],[Taxa]]),0),0))</f>
        <v>0</v>
      </c>
      <c r="BF144" s="145">
        <f t="shared" si="53"/>
        <v>0</v>
      </c>
      <c r="BG14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Row],[Tipo]]="DROP"),BG143+TbTradesBinance[[#This Row],[Qtt]],BG143-TbTradesBinance[[#This Row],[Qtt]]),IF(TbTradesBinance[[#This Row],[Tipo]]="BUY",BG143-TbTradesBinance[[#This Row],[Qtt]]*TbTradesBinance[[#This Row],[Preço]],BG143+TbTradesBinance[[#This Row],[Qtt]]*TbTradesBinance[[#This Row],[Preço]])),BG143)-IF(TbTradesBinance[[#This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Row],[Tipo]]="DROP"),BG143+TbTradesBinance[[#This Row],[Qtt]],BG143-TbTradesBinance[[#This Row],[Qtt]]),IF(TbTradesBinance[[#This Row],[Tipo]]="BUY",BG143-TbTradesBinance[[#This Row],[Qtt]]*TbTradesBinance[[#This Row],[Preço]],BG143+TbTradesBinance[[#This Row],[Qtt]]*TbTradesBinance[[#This Row],[Preço]])),BG143)-IF(TbTradesBinance[[#This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Row],[Tipo]]="DROP"),BG143+TbTradesBinance[[#This Row],[Qtt]],BG143-TbTradesBinance[[#This Row],[Qtt]]),IF(TbTradesBinance[[#This Row],[Tipo]]="BUY",BG143-TbTradesBinance[[#This Row],[Qtt]]*TbTradesBinance[[#This Row],[Preço]],BG143+TbTradesBinance[[#This Row],[Qtt]]*TbTradesBinance[[#This Row],[Preço]])),BG143)-IF(TbTradesBinance[[#This Row],[Moeda da Taxa]]=MID(BG$1,9,5),TbTradesBinance[[#This Row],[Taxa]],0),8)))</f>
        <v>0</v>
      </c>
      <c r="BH144" s="145" cm="1">
        <f t="array" ref="BH144">IF(TbTradesBinance[[#This Row],[Tipo]]="EMPTY",0,BH143+IF(TbTradesBinance[[#This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Row],[Par]]))),$1:$1,0)),-(BG143-BG144)/BG143*BH143),0),0)+IF(TbTradesBinance[[#This Row],[Tipo]]="SELL",IF(ISNUMBER(FIND(MID(BH$1,10,5),TbTradesBinance[[#This Row],[Par]])),IF(FIND(MID(BH$1,10,5),TbTradesBinance[[#This Row],[Par]])=1, -(BG143-BG144)/BG143*BH143,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Row],[Par]])),(-(BG143-BG144)/BG143*BH143)+IF(TbTradesBinance[[#This Row],[Resultado]]&gt;0,0,TbTradesBinance[[#This Row],[Taxa]]),0),0))</f>
        <v>0</v>
      </c>
      <c r="BI144" s="145">
        <f t="shared" si="54"/>
        <v>0</v>
      </c>
      <c r="BJ14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Row],[Tipo]]="DROP"),BJ143+TbTradesBinance[[#This Row],[Qtt]],BJ143-TbTradesBinance[[#This Row],[Qtt]]),IF(TbTradesBinance[[#This Row],[Tipo]]="BUY",BJ143-TbTradesBinance[[#This Row],[Qtt]]*TbTradesBinance[[#This Row],[Preço]],BJ143+TbTradesBinance[[#This Row],[Qtt]]*TbTradesBinance[[#This Row],[Preço]])),BJ143)-IF(TbTradesBinance[[#This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Row],[Tipo]]="DROP"),BJ143+TbTradesBinance[[#This Row],[Qtt]],BJ143-TbTradesBinance[[#This Row],[Qtt]]),IF(TbTradesBinance[[#This Row],[Tipo]]="BUY",BJ143-TbTradesBinance[[#This Row],[Qtt]]*TbTradesBinance[[#This Row],[Preço]],BJ143+TbTradesBinance[[#This Row],[Qtt]]*TbTradesBinance[[#This Row],[Preço]])),BJ143)-IF(TbTradesBinance[[#This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Row],[Tipo]]="DROP"),BJ143+TbTradesBinance[[#This Row],[Qtt]],BJ143-TbTradesBinance[[#This Row],[Qtt]]),IF(TbTradesBinance[[#This Row],[Tipo]]="BUY",BJ143-TbTradesBinance[[#This Row],[Qtt]]*TbTradesBinance[[#This Row],[Preço]],BJ143+TbTradesBinance[[#This Row],[Qtt]]*TbTradesBinance[[#This Row],[Preço]])),BJ143)-IF(TbTradesBinance[[#This Row],[Moeda da Taxa]]=MID(BJ$1,9,5),TbTradesBinance[[#This Row],[Taxa]],0),8)))</f>
        <v>1.3665699999999999E-3</v>
      </c>
      <c r="BK144" s="145" cm="1">
        <f t="array" ref="BK144">IF(TbTradesBinance[[#This Row],[Tipo]]="EMPTY",0,BK143+IF(TbTradesBinance[[#This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Row],[Par]]))),$1:$1,0)),-(BJ143-BJ144)/BJ143*BK143),0),0)+IF(TbTradesBinance[[#This Row],[Tipo]]="SELL",IF(ISNUMBER(FIND(MID(BK$1,10,5),TbTradesBinance[[#This Row],[Par]])),IF(FIND(MID(BK$1,10,5),TbTradesBinance[[#This Row],[Par]])=1, -(BJ143-BJ144)/BJ143*BK143,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Row],[Par]])),(-(BJ143-BJ144)/BJ143*BK143)+IF(TbTradesBinance[[#This Row],[Resultado]]&gt;0,0,TbTradesBinance[[#This Row],[Taxa]]),0),0))</f>
        <v>0</v>
      </c>
      <c r="BL144" s="145">
        <f t="shared" si="55"/>
        <v>0</v>
      </c>
      <c r="BM14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Row],[Tipo]]="DROP"),BM143+TbTradesBinance[[#This Row],[Qtt]],BM143-TbTradesBinance[[#This Row],[Qtt]]),IF(TbTradesBinance[[#This Row],[Tipo]]="BUY",BM143-TbTradesBinance[[#This Row],[Qtt]]*TbTradesBinance[[#This Row],[Preço]],BM143+TbTradesBinance[[#This Row],[Qtt]]*TbTradesBinance[[#This Row],[Preço]])),BM143)-IF(TbTradesBinance[[#This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Row],[Tipo]]="DROP"),BM143+TbTradesBinance[[#This Row],[Qtt]],BM143-TbTradesBinance[[#This Row],[Qtt]]),IF(TbTradesBinance[[#This Row],[Tipo]]="BUY",BM143-TbTradesBinance[[#This Row],[Qtt]]*TbTradesBinance[[#This Row],[Preço]],BM143+TbTradesBinance[[#This Row],[Qtt]]*TbTradesBinance[[#This Row],[Preço]])),BM143)-IF(TbTradesBinance[[#This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Row],[Tipo]]="DROP"),BM143+TbTradesBinance[[#This Row],[Qtt]],BM143-TbTradesBinance[[#This Row],[Qtt]]),IF(TbTradesBinance[[#This Row],[Tipo]]="BUY",BM143-TbTradesBinance[[#This Row],[Qtt]]*TbTradesBinance[[#This Row],[Preço]],BM143+TbTradesBinance[[#This Row],[Qtt]]*TbTradesBinance[[#This Row],[Preço]])),BM143)-IF(TbTradesBinance[[#This Row],[Moeda da Taxa]]=MID(BM$1,9,5),TbTradesBinance[[#This Row],[Taxa]],0),8)))</f>
        <v>0</v>
      </c>
      <c r="BN144" s="145" cm="1">
        <f t="array" ref="BN144">IF(TbTradesBinance[[#This Row],[Tipo]]="EMPTY",0,BN143+IF(TbTradesBinance[[#This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Row],[Par]]))),$1:$1,0)),-(BM143-BM144)/BM143*BN143),0),0)+IF(TbTradesBinance[[#This Row],[Tipo]]="SELL",IF(ISNUMBER(FIND(MID(BN$1,10,5),TbTradesBinance[[#This Row],[Par]])),IF(FIND(MID(BN$1,10,5),TbTradesBinance[[#This Row],[Par]])=1, -(BM143-BM144)/BM143*BN143,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Row],[Par]])),(-(BM143-BM144)/BM143*BN143)+IF(TbTradesBinance[[#This Row],[Resultado]]&gt;0,0,TbTradesBinance[[#This Row],[Taxa]]),0),0))</f>
        <v>0</v>
      </c>
      <c r="BO144" s="145">
        <f t="shared" si="56"/>
        <v>0</v>
      </c>
    </row>
    <row r="145" spans="2:67" x14ac:dyDescent="0.3">
      <c r="B145" s="51"/>
      <c r="C145" s="40">
        <f>TRUNC(IF(AND(TbTradesBinance[[#This Row],[Tipo]]="SEND",TbTradesBinance[[#This Row],[Par]]="BRL"),TbTradesBinance[[#This Row],[Qtt]]*(1-P143)-IF(TbTradesBinance[[#This Row],[Moeda da Taxa]]="BRL",TbTradesBinance[[#This Row],[Taxa]],0),0)+IF(AND(TbTradesBinance[[#This Row],[Tipo]]="BURN",TbTradesBinance[[#This Row],[Par]]="BRL"),-TbTradesBinance[[#This Row],[Qtt]]*P143,0),2)</f>
        <v>0</v>
      </c>
      <c r="D145" s="53">
        <v>44292.362881944442</v>
      </c>
      <c r="E145" s="37" t="s">
        <v>259</v>
      </c>
      <c r="F145" s="47" t="s">
        <v>140</v>
      </c>
      <c r="G145" s="38">
        <v>231.48</v>
      </c>
      <c r="H145" s="38">
        <v>6.5540000000000001E-2</v>
      </c>
      <c r="I145" s="38">
        <v>2.8649999999999998E-5</v>
      </c>
      <c r="J145" s="37" t="s">
        <v>45</v>
      </c>
      <c r="K145" s="52">
        <v>5.6</v>
      </c>
      <c r="L145" s="40">
        <f t="shared" si="38"/>
        <v>1296.28</v>
      </c>
      <c r="M145" s="40">
        <f>IF(OR(TbTradesBinance[[#This Row],[Tipo]]="BUY",TbTradesBinance[[#This Row],[Tipo]]="RECEIVE",TbTradesBinance[[#This Row],[Tipo]]="DROP"),L145*H145,-L145*H145)</f>
        <v>-84.958191200000002</v>
      </c>
      <c r="N14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Row],[Tipo]]="DROP"),N144+TbTradesBinance[[#This Row],[Qtt]],N144-TbTradesBinance[[#This Row],[Qtt]]),IF(TbTradesBinance[[#This Row],[Tipo]]="BUY",N144-TbTradesBinance[[#This Row],[Qtt]]*TbTradesBinance[[#This Row],[Preço]],N144+TbTradesBinance[[#This Row],[Qtt]]*TbTradesBinance[[#This Row],[Preço]])),N144)-IF(TbTradesBinance[[#This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Row],[Tipo]]="DROP"),N144+TbTradesBinance[[#This Row],[Qtt]],N144-TbTradesBinance[[#This Row],[Qtt]]),IF(TbTradesBinance[[#This Row],[Tipo]]="BUY",N144-TbTradesBinance[[#This Row],[Qtt]]*TbTradesBinance[[#This Row],[Preço]],N144+TbTradesBinance[[#This Row],[Qtt]]*TbTradesBinance[[#This Row],[Preço]])),N144)-IF(TbTradesBinance[[#This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Row],[Tipo]]="DROP"),N144+TbTradesBinance[[#This Row],[Qtt]],N144-TbTradesBinance[[#This Row],[Qtt]]),IF(TbTradesBinance[[#This Row],[Tipo]]="BUY",N144-TbTradesBinance[[#This Row],[Qtt]]*TbTradesBinance[[#This Row],[Preço]],N144+TbTradesBinance[[#This Row],[Qtt]]*TbTradesBinance[[#This Row],[Preço]])),N144)-IF(TbTradesBinance[[#This Row],[Moeda da Taxa]]=MID(N$1,9,5),TbTradesBinance[[#This Row],[Taxa]],0),8)))</f>
        <v>119745.42480418</v>
      </c>
      <c r="O145" s="145" cm="1">
        <f t="array" ref="O145">IF(TbTradesBinance[[#This Row],[Tipo]]="EMPTY",0,O144+IF(TbTradesBinance[[#This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Row],[Par]]))),$1:$1,0)),-(N144-N145)/N144*O144),0),0)+IF(TbTradesBinance[[#This Row],[Tipo]]="SELL",IF(ISNUMBER(FIND(MID(O$1,10,5),TbTradesBinance[[#This Row],[Par]])),IF(FIND(MID(O$1,10,5),TbTradesBinance[[#This Row],[Par]])=1, -(N144-N145)/N144*O144,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Row],[Par]])),(-(N144-N145)/N144*O144)+IF(TbTradesBinance[[#This Row],[Resultado]]&gt;0,0,TbTradesBinance[[#This Row],[Taxa]]),0),0))</f>
        <v>119844.23585680868</v>
      </c>
      <c r="P145" s="145">
        <f t="shared" si="39"/>
        <v>1.0008251760164555</v>
      </c>
      <c r="Q14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Row],[Tipo]]="DROP"),Q144+TbTradesBinance[[#This Row],[Qtt]],Q144-TbTradesBinance[[#This Row],[Qtt]]),IF(TbTradesBinance[[#This Row],[Tipo]]="BUY",Q144-TbTradesBinance[[#This Row],[Qtt]]*TbTradesBinance[[#This Row],[Preço]],Q144+TbTradesBinance[[#This Row],[Qtt]]*TbTradesBinance[[#This Row],[Preço]])),Q144)-IF(TbTradesBinance[[#This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Row],[Tipo]]="DROP"),Q144+TbTradesBinance[[#This Row],[Qtt]],Q144-TbTradesBinance[[#This Row],[Qtt]]),IF(TbTradesBinance[[#This Row],[Tipo]]="BUY",Q144-TbTradesBinance[[#This Row],[Qtt]]*TbTradesBinance[[#This Row],[Preço]],Q144+TbTradesBinance[[#This Row],[Qtt]]*TbTradesBinance[[#This Row],[Preço]])),Q144)-IF(TbTradesBinance[[#This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Row],[Tipo]]="DROP"),Q144+TbTradesBinance[[#This Row],[Qtt]],Q144-TbTradesBinance[[#This Row],[Qtt]]),IF(TbTradesBinance[[#This Row],[Tipo]]="BUY",Q144-TbTradesBinance[[#This Row],[Qtt]]*TbTradesBinance[[#This Row],[Preço]],Q144+TbTradesBinance[[#This Row],[Qtt]]*TbTradesBinance[[#This Row],[Preço]])),Q144)-IF(TbTradesBinance[[#This Row],[Moeda da Taxa]]=MID(Q$1,9,5),TbTradesBinance[[#This Row],[Taxa]],0),8)))</f>
        <v>15.1711992</v>
      </c>
      <c r="R145" s="145" cm="1">
        <f t="array" ref="R145">IF(TbTradesBinance[[#This Row],[Tipo]]="EMPTY",0,R144+IF(TbTradesBinance[[#This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Row],[Par]]))),$1:$1,0)),-(Q144-Q145)/Q144*R144),0),0)+IF(TbTradesBinance[[#This Row],[Tipo]]="SELL",IF(ISNUMBER(FIND(MID(R$1,10,5),TbTradesBinance[[#This Row],[Par]])),IF(FIND(MID(R$1,10,5),TbTradesBinance[[#This Row],[Par]])=1, -(Q144-Q145)/Q144*R144,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Row],[Par]])),(-(Q144-Q145)/Q144*R144)+IF(TbTradesBinance[[#This Row],[Resultado]]&gt;0,0,TbTradesBinance[[#This Row],[Taxa]]),0),0))</f>
        <v>74.911765488192273</v>
      </c>
      <c r="S145" s="145">
        <f t="shared" si="40"/>
        <v>4.9377616430079092</v>
      </c>
      <c r="T14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Row],[Tipo]]="DROP"),T144+TbTradesBinance[[#This Row],[Qtt]],T144-TbTradesBinance[[#This Row],[Qtt]]),IF(TbTradesBinance[[#This Row],[Tipo]]="BUY",T144-TbTradesBinance[[#This Row],[Qtt]]*TbTradesBinance[[#This Row],[Preço]],T144+TbTradesBinance[[#This Row],[Qtt]]*TbTradesBinance[[#This Row],[Preço]])),T144)-IF(TbTradesBinance[[#This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Row],[Tipo]]="DROP"),T144+TbTradesBinance[[#This Row],[Qtt]],T144-TbTradesBinance[[#This Row],[Qtt]]),IF(TbTradesBinance[[#This Row],[Tipo]]="BUY",T144-TbTradesBinance[[#This Row],[Qtt]]*TbTradesBinance[[#This Row],[Preço]],T144+TbTradesBinance[[#This Row],[Qtt]]*TbTradesBinance[[#This Row],[Preço]])),T144)-IF(TbTradesBinance[[#This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Row],[Tipo]]="DROP"),T144+TbTradesBinance[[#This Row],[Qtt]],T144-TbTradesBinance[[#This Row],[Qtt]]),IF(TbTradesBinance[[#This Row],[Tipo]]="BUY",T144-TbTradesBinance[[#This Row],[Qtt]]*TbTradesBinance[[#This Row],[Preço]],T144+TbTradesBinance[[#This Row],[Qtt]]*TbTradesBinance[[#This Row],[Preço]])),T144)-IF(TbTradesBinance[[#This Row],[Moeda da Taxa]]=MID(T$1,9,5),TbTradesBinance[[#This Row],[Taxa]],0),8)))</f>
        <v>219713.72000189999</v>
      </c>
      <c r="U145" s="145" cm="1">
        <f t="array" ref="U145">IF(TbTradesBinance[[#This Row],[Tipo]]="EMPTY",0,U144+IF(TbTradesBinance[[#This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Row],[Par]]))),$1:$1,0)),-(T144-T145)/T144*U144),0),0)+IF(TbTradesBinance[[#This Row],[Tipo]]="SELL",IF(ISNUMBER(FIND(MID(U$1,10,5),TbTradesBinance[[#This Row],[Par]])),IF(FIND(MID(U$1,10,5),TbTradesBinance[[#This Row],[Par]])=1, -(T144-T145)/T144*U144,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Row],[Par]])),(-(T144-T145)/T144*U144)+IF(TbTradesBinance[[#This Row],[Resultado]]&gt;0,0,TbTradesBinance[[#This Row],[Taxa]]),0),0))</f>
        <v>1461096.2409827893</v>
      </c>
      <c r="V145" s="145">
        <f t="shared" si="41"/>
        <v>6.6500000135182926</v>
      </c>
      <c r="W14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Row],[Tipo]]="DROP"),W144+TbTradesBinance[[#This Row],[Qtt]],W144-TbTradesBinance[[#This Row],[Qtt]]),IF(TbTradesBinance[[#This Row],[Tipo]]="BUY",W144-TbTradesBinance[[#This Row],[Qtt]]*TbTradesBinance[[#This Row],[Preço]],W144+TbTradesBinance[[#This Row],[Qtt]]*TbTradesBinance[[#This Row],[Preço]])),W144)-IF(TbTradesBinance[[#This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Row],[Tipo]]="DROP"),W144+TbTradesBinance[[#This Row],[Qtt]],W144-TbTradesBinance[[#This Row],[Qtt]]),IF(TbTradesBinance[[#This Row],[Tipo]]="BUY",W144-TbTradesBinance[[#This Row],[Qtt]]*TbTradesBinance[[#This Row],[Preço]],W144+TbTradesBinance[[#This Row],[Qtt]]*TbTradesBinance[[#This Row],[Preço]])),W144)-IF(TbTradesBinance[[#This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Row],[Tipo]]="DROP"),W144+TbTradesBinance[[#This Row],[Qtt]],W144-TbTradesBinance[[#This Row],[Qtt]]),IF(TbTradesBinance[[#This Row],[Tipo]]="BUY",W144-TbTradesBinance[[#This Row],[Qtt]]*TbTradesBinance[[#This Row],[Preço]],W144+TbTradesBinance[[#This Row],[Qtt]]*TbTradesBinance[[#This Row],[Preço]])),W144)-IF(TbTradesBinance[[#This Row],[Moeda da Taxa]]=MID(W$1,9,5),TbTradesBinance[[#This Row],[Taxa]],0),8)))</f>
        <v>3.2336000000000002E-4</v>
      </c>
      <c r="X145" s="145" cm="1">
        <f t="array" ref="X145">IF(TbTradesBinance[[#This Row],[Tipo]]="EMPTY",0,X144+IF(TbTradesBinance[[#This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Row],[Par]]))),$1:$1,0)),-(W144-W145)/W144*X144),0),0)+IF(TbTradesBinance[[#This Row],[Tipo]]="SELL",IF(ISNUMBER(FIND(MID(X$1,10,5),TbTradesBinance[[#This Row],[Par]])),IF(FIND(MID(X$1,10,5),TbTradesBinance[[#This Row],[Par]])=1, -(W144-W145)/W144*X144,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Row],[Par]])),(-(W144-W145)/W144*X144)+IF(TbTradesBinance[[#This Row],[Resultado]]&gt;0,0,TbTradesBinance[[#This Row],[Taxa]]),0),0))</f>
        <v>109.49359760304422</v>
      </c>
      <c r="Y145" s="145">
        <f t="shared" si="42"/>
        <v>338612.06581841974</v>
      </c>
      <c r="Z14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Row],[Tipo]]="DROP"),Z144+TbTradesBinance[[#This Row],[Qtt]],Z144-TbTradesBinance[[#This Row],[Qtt]]),IF(TbTradesBinance[[#This Row],[Tipo]]="BUY",Z144-TbTradesBinance[[#This Row],[Qtt]]*TbTradesBinance[[#This Row],[Preço]],Z144+TbTradesBinance[[#This Row],[Qtt]]*TbTradesBinance[[#This Row],[Preço]])),Z144)-IF(TbTradesBinance[[#This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Row],[Tipo]]="DROP"),Z144+TbTradesBinance[[#This Row],[Qtt]],Z144-TbTradesBinance[[#This Row],[Qtt]]),IF(TbTradesBinance[[#This Row],[Tipo]]="BUY",Z144-TbTradesBinance[[#This Row],[Qtt]]*TbTradesBinance[[#This Row],[Preço]],Z144+TbTradesBinance[[#This Row],[Qtt]]*TbTradesBinance[[#This Row],[Preço]])),Z144)-IF(TbTradesBinance[[#This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Row],[Tipo]]="DROP"),Z144+TbTradesBinance[[#This Row],[Qtt]],Z144-TbTradesBinance[[#This Row],[Qtt]]),IF(TbTradesBinance[[#This Row],[Tipo]]="BUY",Z144-TbTradesBinance[[#This Row],[Qtt]]*TbTradesBinance[[#This Row],[Preço]],Z144+TbTradesBinance[[#This Row],[Qtt]]*TbTradesBinance[[#This Row],[Preço]])),Z144)-IF(TbTradesBinance[[#This Row],[Moeda da Taxa]]=MID(Z$1,9,5),TbTradesBinance[[#This Row],[Taxa]],0),8)))</f>
        <v>0</v>
      </c>
      <c r="AA145" s="145" cm="1">
        <f t="array" ref="AA145">IF(TbTradesBinance[[#This Row],[Tipo]]="EMPTY",0,AA144+IF(TbTradesBinance[[#This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Row],[Par]]))),$1:$1,0)),-(Z144-Z145)/Z144*AA144),0),0)+IF(TbTradesBinance[[#This Row],[Tipo]]="SELL",IF(ISNUMBER(FIND(MID(AA$1,10,5),TbTradesBinance[[#This Row],[Par]])),IF(FIND(MID(AA$1,10,5),TbTradesBinance[[#This Row],[Par]])=1, -(Z144-Z145)/Z144*AA144,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Row],[Par]])),(-(Z144-Z145)/Z144*AA144)+IF(TbTradesBinance[[#This Row],[Resultado]]&gt;0,0,TbTradesBinance[[#This Row],[Taxa]]),0),0))</f>
        <v>0</v>
      </c>
      <c r="AB145" s="145">
        <f t="shared" si="43"/>
        <v>0</v>
      </c>
      <c r="AC14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Row],[Tipo]]="DROP"),AC144+TbTradesBinance[[#This Row],[Qtt]],AC144-TbTradesBinance[[#This Row],[Qtt]]),IF(TbTradesBinance[[#This Row],[Tipo]]="BUY",AC144-TbTradesBinance[[#This Row],[Qtt]]*TbTradesBinance[[#This Row],[Preço]],AC144+TbTradesBinance[[#This Row],[Qtt]]*TbTradesBinance[[#This Row],[Preço]])),AC144)-IF(TbTradesBinance[[#This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Row],[Tipo]]="DROP"),AC144+TbTradesBinance[[#This Row],[Qtt]],AC144-TbTradesBinance[[#This Row],[Qtt]]),IF(TbTradesBinance[[#This Row],[Tipo]]="BUY",AC144-TbTradesBinance[[#This Row],[Qtt]]*TbTradesBinance[[#This Row],[Preço]],AC144+TbTradesBinance[[#This Row],[Qtt]]*TbTradesBinance[[#This Row],[Preço]])),AC144)-IF(TbTradesBinance[[#This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Row],[Tipo]]="DROP"),AC144+TbTradesBinance[[#This Row],[Qtt]],AC144-TbTradesBinance[[#This Row],[Qtt]]),IF(TbTradesBinance[[#This Row],[Tipo]]="BUY",AC144-TbTradesBinance[[#This Row],[Qtt]]*TbTradesBinance[[#This Row],[Preço]],AC144+TbTradesBinance[[#This Row],[Qtt]]*TbTradesBinance[[#This Row],[Preço]])),AC144)-IF(TbTradesBinance[[#This Row],[Moeda da Taxa]]=MID(AC$1,9,5),TbTradesBinance[[#This Row],[Taxa]],0),8)))</f>
        <v>0</v>
      </c>
      <c r="AD145" s="145" cm="1">
        <f t="array" ref="AD145">IF(TbTradesBinance[[#This Row],[Tipo]]="EMPTY",0,AD144+IF(TbTradesBinance[[#This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Row],[Par]]))),$1:$1,0)),-(AC144-AC145)/AC144*AD144),0),0)+IF(TbTradesBinance[[#This Row],[Tipo]]="SELL",IF(ISNUMBER(FIND(MID(AD$1,10,5),TbTradesBinance[[#This Row],[Par]])),IF(FIND(MID(AD$1,10,5),TbTradesBinance[[#This Row],[Par]])=1, -(AC144-AC145)/AC144*AD144,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Row],[Par]])),(-(AC144-AC145)/AC144*AD144)+IF(TbTradesBinance[[#This Row],[Resultado]]&gt;0,0,TbTradesBinance[[#This Row],[Taxa]]),0),0))</f>
        <v>0</v>
      </c>
      <c r="AE145" s="145">
        <f t="shared" si="44"/>
        <v>0</v>
      </c>
      <c r="AF14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Row],[Tipo]]="DROP"),AF144+TbTradesBinance[[#This Row],[Qtt]],AF144-TbTradesBinance[[#This Row],[Qtt]]),IF(TbTradesBinance[[#This Row],[Tipo]]="BUY",AF144-TbTradesBinance[[#This Row],[Qtt]]*TbTradesBinance[[#This Row],[Preço]],AF144+TbTradesBinance[[#This Row],[Qtt]]*TbTradesBinance[[#This Row],[Preço]])),AF144)-IF(TbTradesBinance[[#This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Row],[Tipo]]="DROP"),AF144+TbTradesBinance[[#This Row],[Qtt]],AF144-TbTradesBinance[[#This Row],[Qtt]]),IF(TbTradesBinance[[#This Row],[Tipo]]="BUY",AF144-TbTradesBinance[[#This Row],[Qtt]]*TbTradesBinance[[#This Row],[Preço]],AF144+TbTradesBinance[[#This Row],[Qtt]]*TbTradesBinance[[#This Row],[Preço]])),AF144)-IF(TbTradesBinance[[#This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Row],[Tipo]]="DROP"),AF144+TbTradesBinance[[#This Row],[Qtt]],AF144-TbTradesBinance[[#This Row],[Qtt]]),IF(TbTradesBinance[[#This Row],[Tipo]]="BUY",AF144-TbTradesBinance[[#This Row],[Qtt]]*TbTradesBinance[[#This Row],[Preço]],AF144+TbTradesBinance[[#This Row],[Qtt]]*TbTradesBinance[[#This Row],[Preço]])),AF144)-IF(TbTradesBinance[[#This Row],[Moeda da Taxa]]=MID(AF$1,9,5),TbTradesBinance[[#This Row],[Taxa]],0),8)))</f>
        <v>0</v>
      </c>
      <c r="AG145" s="145" cm="1">
        <f t="array" ref="AG145">IF(TbTradesBinance[[#This Row],[Tipo]]="EMPTY",0,AG144+IF(TbTradesBinance[[#This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Row],[Par]]))),$1:$1,0)),-(AF144-AF145)/AF144*AG144),0),0)+IF(TbTradesBinance[[#This Row],[Tipo]]="SELL",IF(ISNUMBER(FIND(MID(AG$1,10,5),TbTradesBinance[[#This Row],[Par]])),IF(FIND(MID(AG$1,10,5),TbTradesBinance[[#This Row],[Par]])=1, -(AF144-AF145)/AF144*AG144,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Row],[Par]])),(-(AF144-AF145)/AF144*AG144)+IF(TbTradesBinance[[#This Row],[Resultado]]&gt;0,0,TbTradesBinance[[#This Row],[Taxa]]),0),0))</f>
        <v>0</v>
      </c>
      <c r="AH145" s="145">
        <f t="shared" si="45"/>
        <v>0</v>
      </c>
      <c r="AI14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Row],[Tipo]]="DROP"),AI144+TbTradesBinance[[#This Row],[Qtt]],AI144-TbTradesBinance[[#This Row],[Qtt]]),IF(TbTradesBinance[[#This Row],[Tipo]]="BUY",AI144-TbTradesBinance[[#This Row],[Qtt]]*TbTradesBinance[[#This Row],[Preço]],AI144+TbTradesBinance[[#This Row],[Qtt]]*TbTradesBinance[[#This Row],[Preço]])),AI144)-IF(TbTradesBinance[[#This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Row],[Tipo]]="DROP"),AI144+TbTradesBinance[[#This Row],[Qtt]],AI144-TbTradesBinance[[#This Row],[Qtt]]),IF(TbTradesBinance[[#This Row],[Tipo]]="BUY",AI144-TbTradesBinance[[#This Row],[Qtt]]*TbTradesBinance[[#This Row],[Preço]],AI144+TbTradesBinance[[#This Row],[Qtt]]*TbTradesBinance[[#This Row],[Preço]])),AI144)-IF(TbTradesBinance[[#This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Row],[Tipo]]="DROP"),AI144+TbTradesBinance[[#This Row],[Qtt]],AI144-TbTradesBinance[[#This Row],[Qtt]]),IF(TbTradesBinance[[#This Row],[Tipo]]="BUY",AI144-TbTradesBinance[[#This Row],[Qtt]]*TbTradesBinance[[#This Row],[Preço]],AI144+TbTradesBinance[[#This Row],[Qtt]]*TbTradesBinance[[#This Row],[Preço]])),AI144)-IF(TbTradesBinance[[#This Row],[Moeda da Taxa]]=MID(AI$1,9,5),TbTradesBinance[[#This Row],[Taxa]],0),8)))</f>
        <v>0</v>
      </c>
      <c r="AJ145" s="145" cm="1">
        <f t="array" ref="AJ145">IF(TbTradesBinance[[#This Row],[Tipo]]="EMPTY",0,AJ144+IF(TbTradesBinance[[#This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Row],[Par]]))),$1:$1,0)),-(AI144-AI145)/AI144*AJ144),0),0)+IF(TbTradesBinance[[#This Row],[Tipo]]="SELL",IF(ISNUMBER(FIND(MID(AJ$1,10,5),TbTradesBinance[[#This Row],[Par]])),IF(FIND(MID(AJ$1,10,5),TbTradesBinance[[#This Row],[Par]])=1, -(AI144-AI145)/AI144*AJ144,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Row],[Par]])),(-(AI144-AI145)/AI144*AJ144)+IF(TbTradesBinance[[#This Row],[Resultado]]&gt;0,0,TbTradesBinance[[#This Row],[Taxa]]),0),0))</f>
        <v>0</v>
      </c>
      <c r="AK145" s="145">
        <f t="shared" si="46"/>
        <v>0</v>
      </c>
      <c r="AL14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Row],[Tipo]]="DROP"),AL144+TbTradesBinance[[#This Row],[Qtt]],AL144-TbTradesBinance[[#This Row],[Qtt]]),IF(TbTradesBinance[[#This Row],[Tipo]]="BUY",AL144-TbTradesBinance[[#This Row],[Qtt]]*TbTradesBinance[[#This Row],[Preço]],AL144+TbTradesBinance[[#This Row],[Qtt]]*TbTradesBinance[[#This Row],[Preço]])),AL144)-IF(TbTradesBinance[[#This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Row],[Tipo]]="DROP"),AL144+TbTradesBinance[[#This Row],[Qtt]],AL144-TbTradesBinance[[#This Row],[Qtt]]),IF(TbTradesBinance[[#This Row],[Tipo]]="BUY",AL144-TbTradesBinance[[#This Row],[Qtt]]*TbTradesBinance[[#This Row],[Preço]],AL144+TbTradesBinance[[#This Row],[Qtt]]*TbTradesBinance[[#This Row],[Preço]])),AL144)-IF(TbTradesBinance[[#This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Row],[Tipo]]="DROP"),AL144+TbTradesBinance[[#This Row],[Qtt]],AL144-TbTradesBinance[[#This Row],[Qtt]]),IF(TbTradesBinance[[#This Row],[Tipo]]="BUY",AL144-TbTradesBinance[[#This Row],[Qtt]]*TbTradesBinance[[#This Row],[Preço]],AL144+TbTradesBinance[[#This Row],[Qtt]]*TbTradesBinance[[#This Row],[Preço]])),AL144)-IF(TbTradesBinance[[#This Row],[Moeda da Taxa]]=MID(AL$1,9,5),TbTradesBinance[[#This Row],[Taxa]],0),8)))</f>
        <v>0</v>
      </c>
      <c r="AM145" s="145" cm="1">
        <f t="array" ref="AM145">IF(TbTradesBinance[[#This Row],[Tipo]]="EMPTY",0,AM144+IF(TbTradesBinance[[#This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Row],[Par]]))),$1:$1,0)),-(AL144-AL145)/AL144*AM144),0),0)+IF(TbTradesBinance[[#This Row],[Tipo]]="SELL",IF(ISNUMBER(FIND(MID(AM$1,10,5),TbTradesBinance[[#This Row],[Par]])),IF(FIND(MID(AM$1,10,5),TbTradesBinance[[#This Row],[Par]])=1, -(AL144-AL145)/AL144*AM144,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Row],[Par]])),(-(AL144-AL145)/AL144*AM144)+IF(TbTradesBinance[[#This Row],[Resultado]]&gt;0,0,TbTradesBinance[[#This Row],[Taxa]]),0),0))</f>
        <v>0</v>
      </c>
      <c r="AN145" s="145">
        <f t="shared" si="47"/>
        <v>0</v>
      </c>
      <c r="AO14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Row],[Tipo]]="DROP"),AO144+TbTradesBinance[[#This Row],[Qtt]],AO144-TbTradesBinance[[#This Row],[Qtt]]),IF(TbTradesBinance[[#This Row],[Tipo]]="BUY",AO144-TbTradesBinance[[#This Row],[Qtt]]*TbTradesBinance[[#This Row],[Preço]],AO144+TbTradesBinance[[#This Row],[Qtt]]*TbTradesBinance[[#This Row],[Preço]])),AO144)-IF(TbTradesBinance[[#This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Row],[Tipo]]="DROP"),AO144+TbTradesBinance[[#This Row],[Qtt]],AO144-TbTradesBinance[[#This Row],[Qtt]]),IF(TbTradesBinance[[#This Row],[Tipo]]="BUY",AO144-TbTradesBinance[[#This Row],[Qtt]]*TbTradesBinance[[#This Row],[Preço]],AO144+TbTradesBinance[[#This Row],[Qtt]]*TbTradesBinance[[#This Row],[Preço]])),AO144)-IF(TbTradesBinance[[#This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Row],[Tipo]]="DROP"),AO144+TbTradesBinance[[#This Row],[Qtt]],AO144-TbTradesBinance[[#This Row],[Qtt]]),IF(TbTradesBinance[[#This Row],[Tipo]]="BUY",AO144-TbTradesBinance[[#This Row],[Qtt]]*TbTradesBinance[[#This Row],[Preço]],AO144+TbTradesBinance[[#This Row],[Qtt]]*TbTradesBinance[[#This Row],[Preço]])),AO144)-IF(TbTradesBinance[[#This Row],[Moeda da Taxa]]=MID(AO$1,9,5),TbTradesBinance[[#This Row],[Taxa]],0),8)))</f>
        <v>3.7282330000000002E-2</v>
      </c>
      <c r="AP145" s="145" cm="1">
        <f t="array" ref="AP145">IF(TbTradesBinance[[#This Row],[Tipo]]="EMPTY",0,AP144+IF(TbTradesBinance[[#This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Row],[Par]]))),$1:$1,0)),-(AO144-AO145)/AO144*AP144),0),0)+IF(TbTradesBinance[[#This Row],[Tipo]]="SELL",IF(ISNUMBER(FIND(MID(AP$1,10,5),TbTradesBinance[[#This Row],[Par]])),IF(FIND(MID(AP$1,10,5),TbTradesBinance[[#This Row],[Par]])=1, -(AO144-AO145)/AO144*AP144,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Row],[Par]])),(-(AO144-AO145)/AO144*AP144)+IF(TbTradesBinance[[#This Row],[Resultado]]&gt;0,0,TbTradesBinance[[#This Row],[Taxa]]),0),0))</f>
        <v>57.065298020032813</v>
      </c>
      <c r="AQ145" s="145">
        <f t="shared" si="48"/>
        <v>1530.6258492973161</v>
      </c>
      <c r="AR14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Row],[Tipo]]="DROP"),AR144+TbTradesBinance[[#This Row],[Qtt]],AR144-TbTradesBinance[[#This Row],[Qtt]]),IF(TbTradesBinance[[#This Row],[Tipo]]="BUY",AR144-TbTradesBinance[[#This Row],[Qtt]]*TbTradesBinance[[#This Row],[Preço]],AR144+TbTradesBinance[[#This Row],[Qtt]]*TbTradesBinance[[#This Row],[Preço]])),AR144)-IF(TbTradesBinance[[#This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Row],[Tipo]]="DROP"),AR144+TbTradesBinance[[#This Row],[Qtt]],AR144-TbTradesBinance[[#This Row],[Qtt]]),IF(TbTradesBinance[[#This Row],[Tipo]]="BUY",AR144-TbTradesBinance[[#This Row],[Qtt]]*TbTradesBinance[[#This Row],[Preço]],AR144+TbTradesBinance[[#This Row],[Qtt]]*TbTradesBinance[[#This Row],[Preço]])),AR144)-IF(TbTradesBinance[[#This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Row],[Tipo]]="DROP"),AR144+TbTradesBinance[[#This Row],[Qtt]],AR144-TbTradesBinance[[#This Row],[Qtt]]),IF(TbTradesBinance[[#This Row],[Tipo]]="BUY",AR144-TbTradesBinance[[#This Row],[Qtt]]*TbTradesBinance[[#This Row],[Preço]],AR144+TbTradesBinance[[#This Row],[Qtt]]*TbTradesBinance[[#This Row],[Preço]])),AR144)-IF(TbTradesBinance[[#This Row],[Moeda da Taxa]]=MID(AR$1,9,5),TbTradesBinance[[#This Row],[Taxa]],0),8)))</f>
        <v>0</v>
      </c>
      <c r="AS145" s="145" cm="1">
        <f t="array" ref="AS145">IF(TbTradesBinance[[#This Row],[Tipo]]="EMPTY",0,AS144+IF(TbTradesBinance[[#This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Row],[Par]]))),$1:$1,0)),-(AR144-AR145)/AR144*AS144),0),0)+IF(TbTradesBinance[[#This Row],[Tipo]]="SELL",IF(ISNUMBER(FIND(MID(AS$1,10,5),TbTradesBinance[[#This Row],[Par]])),IF(FIND(MID(AS$1,10,5),TbTradesBinance[[#This Row],[Par]])=1, -(AR144-AR145)/AR144*AS144,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Row],[Par]])),(-(AR144-AR145)/AR144*AS144)+IF(TbTradesBinance[[#This Row],[Resultado]]&gt;0,0,TbTradesBinance[[#This Row],[Taxa]]),0),0))</f>
        <v>0</v>
      </c>
      <c r="AT145" s="145">
        <f t="shared" si="49"/>
        <v>0</v>
      </c>
      <c r="AU14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Row],[Tipo]]="DROP"),AU144+TbTradesBinance[[#This Row],[Qtt]],AU144-TbTradesBinance[[#This Row],[Qtt]]),IF(TbTradesBinance[[#This Row],[Tipo]]="BUY",AU144-TbTradesBinance[[#This Row],[Qtt]]*TbTradesBinance[[#This Row],[Preço]],AU144+TbTradesBinance[[#This Row],[Qtt]]*TbTradesBinance[[#This Row],[Preço]])),AU144)-IF(TbTradesBinance[[#This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Row],[Tipo]]="DROP"),AU144+TbTradesBinance[[#This Row],[Qtt]],AU144-TbTradesBinance[[#This Row],[Qtt]]),IF(TbTradesBinance[[#This Row],[Tipo]]="BUY",AU144-TbTradesBinance[[#This Row],[Qtt]]*TbTradesBinance[[#This Row],[Preço]],AU144+TbTradesBinance[[#This Row],[Qtt]]*TbTradesBinance[[#This Row],[Preço]])),AU144)-IF(TbTradesBinance[[#This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Row],[Tipo]]="DROP"),AU144+TbTradesBinance[[#This Row],[Qtt]],AU144-TbTradesBinance[[#This Row],[Qtt]]),IF(TbTradesBinance[[#This Row],[Tipo]]="BUY",AU144-TbTradesBinance[[#This Row],[Qtt]]*TbTradesBinance[[#This Row],[Preço]],AU144+TbTradesBinance[[#This Row],[Qtt]]*TbTradesBinance[[#This Row],[Preço]])),AU144)-IF(TbTradesBinance[[#This Row],[Moeda da Taxa]]=MID(AU$1,9,5),TbTradesBinance[[#This Row],[Taxa]],0),8)))</f>
        <v>0</v>
      </c>
      <c r="AV145" s="145" cm="1">
        <f t="array" ref="AV145">IF(TbTradesBinance[[#This Row],[Tipo]]="EMPTY",0,AV144+IF(TbTradesBinance[[#This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Row],[Par]]))),$1:$1,0)),-(AU144-AU145)/AU144*AV144),0),0)+IF(TbTradesBinance[[#This Row],[Tipo]]="SELL",IF(ISNUMBER(FIND(MID(AV$1,10,5),TbTradesBinance[[#This Row],[Par]])),IF(FIND(MID(AV$1,10,5),TbTradesBinance[[#This Row],[Par]])=1, -(AU144-AU145)/AU144*AV144,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Row],[Par]])),(-(AU144-AU145)/AU144*AV144)+IF(TbTradesBinance[[#This Row],[Resultado]]&gt;0,0,TbTradesBinance[[#This Row],[Taxa]]),0),0))</f>
        <v>0</v>
      </c>
      <c r="AW145" s="145">
        <f t="shared" si="50"/>
        <v>0</v>
      </c>
      <c r="AX14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Row],[Tipo]]="DROP"),AX144+TbTradesBinance[[#This Row],[Qtt]],AX144-TbTradesBinance[[#This Row],[Qtt]]),IF(TbTradesBinance[[#This Row],[Tipo]]="BUY",AX144-TbTradesBinance[[#This Row],[Qtt]]*TbTradesBinance[[#This Row],[Preço]],AX144+TbTradesBinance[[#This Row],[Qtt]]*TbTradesBinance[[#This Row],[Preço]])),AX144)-IF(TbTradesBinance[[#This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Row],[Tipo]]="DROP"),AX144+TbTradesBinance[[#This Row],[Qtt]],AX144-TbTradesBinance[[#This Row],[Qtt]]),IF(TbTradesBinance[[#This Row],[Tipo]]="BUY",AX144-TbTradesBinance[[#This Row],[Qtt]]*TbTradesBinance[[#This Row],[Preço]],AX144+TbTradesBinance[[#This Row],[Qtt]]*TbTradesBinance[[#This Row],[Preço]])),AX144)-IF(TbTradesBinance[[#This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Row],[Tipo]]="DROP"),AX144+TbTradesBinance[[#This Row],[Qtt]],AX144-TbTradesBinance[[#This Row],[Qtt]]),IF(TbTradesBinance[[#This Row],[Tipo]]="BUY",AX144-TbTradesBinance[[#This Row],[Qtt]]*TbTradesBinance[[#This Row],[Preço]],AX144+TbTradesBinance[[#This Row],[Qtt]]*TbTradesBinance[[#This Row],[Preço]])),AX144)-IF(TbTradesBinance[[#This Row],[Moeda da Taxa]]=MID(AX$1,9,5),TbTradesBinance[[#This Row],[Taxa]],0),8)))</f>
        <v>0.85636999999999996</v>
      </c>
      <c r="AY145" s="145" cm="1">
        <f t="array" ref="AY145">IF(TbTradesBinance[[#This Row],[Tipo]]="EMPTY",0,AY144+IF(TbTradesBinance[[#This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Row],[Par]]))),$1:$1,0)),-(AX144-AX145)/AX144*AY144),0),0)+IF(TbTradesBinance[[#This Row],[Tipo]]="SELL",IF(ISNUMBER(FIND(MID(AY$1,10,5),TbTradesBinance[[#This Row],[Par]])),IF(FIND(MID(AY$1,10,5),TbTradesBinance[[#This Row],[Par]])=1, -(AX144-AX145)/AX144*AY144,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Row],[Par]])),(-(AX144-AX145)/AX144*AY144)+IF(TbTradesBinance[[#This Row],[Resultado]]&gt;0,0,TbTradesBinance[[#This Row],[Taxa]]),0),0))</f>
        <v>131.82971181780295</v>
      </c>
      <c r="AZ145" s="145">
        <f t="shared" si="51"/>
        <v>153.94013314081874</v>
      </c>
      <c r="BA14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Row],[Tipo]]="DROP"),BA144+TbTradesBinance[[#This Row],[Qtt]],BA144-TbTradesBinance[[#This Row],[Qtt]]),IF(TbTradesBinance[[#This Row],[Tipo]]="BUY",BA144-TbTradesBinance[[#This Row],[Qtt]]*TbTradesBinance[[#This Row],[Preço]],BA144+TbTradesBinance[[#This Row],[Qtt]]*TbTradesBinance[[#This Row],[Preço]])),BA144)-IF(TbTradesBinance[[#This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Row],[Tipo]]="DROP"),BA144+TbTradesBinance[[#This Row],[Qtt]],BA144-TbTradesBinance[[#This Row],[Qtt]]),IF(TbTradesBinance[[#This Row],[Tipo]]="BUY",BA144-TbTradesBinance[[#This Row],[Qtt]]*TbTradesBinance[[#This Row],[Preço]],BA144+TbTradesBinance[[#This Row],[Qtt]]*TbTradesBinance[[#This Row],[Preço]])),BA144)-IF(TbTradesBinance[[#This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Row],[Tipo]]="DROP"),BA144+TbTradesBinance[[#This Row],[Qtt]],BA144-TbTradesBinance[[#This Row],[Qtt]]),IF(TbTradesBinance[[#This Row],[Tipo]]="BUY",BA144-TbTradesBinance[[#This Row],[Qtt]]*TbTradesBinance[[#This Row],[Preço]],BA144+TbTradesBinance[[#This Row],[Qtt]]*TbTradesBinance[[#This Row],[Preço]])),BA144)-IF(TbTradesBinance[[#This Row],[Moeda da Taxa]]=MID(BA$1,9,5),TbTradesBinance[[#This Row],[Taxa]],0),8)))</f>
        <v>4.0169999999999997E-2</v>
      </c>
      <c r="BB145" s="145" cm="1">
        <f t="array" ref="BB145">IF(TbTradesBinance[[#This Row],[Tipo]]="EMPTY",0,BB144+IF(TbTradesBinance[[#This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Row],[Par]]))),$1:$1,0)),-(BA144-BA145)/BA144*BB144),0),0)+IF(TbTradesBinance[[#This Row],[Tipo]]="SELL",IF(ISNUMBER(FIND(MID(BB$1,10,5),TbTradesBinance[[#This Row],[Par]])),IF(FIND(MID(BB$1,10,5),TbTradesBinance[[#This Row],[Par]])=1, -(BA144-BA145)/BA144*BB144,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Row],[Par]])),(-(BA144-BA145)/BA144*BB144)+IF(TbTradesBinance[[#This Row],[Resultado]]&gt;0,0,TbTradesBinance[[#This Row],[Taxa]]),0),0))</f>
        <v>45.914031426009828</v>
      </c>
      <c r="BC145" s="145">
        <f t="shared" si="52"/>
        <v>1142.9930651234711</v>
      </c>
      <c r="BD14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Row],[Tipo]]="DROP"),BD144+TbTradesBinance[[#This Row],[Qtt]],BD144-TbTradesBinance[[#This Row],[Qtt]]),IF(TbTradesBinance[[#This Row],[Tipo]]="BUY",BD144-TbTradesBinance[[#This Row],[Qtt]]*TbTradesBinance[[#This Row],[Preço]],BD144+TbTradesBinance[[#This Row],[Qtt]]*TbTradesBinance[[#This Row],[Preço]])),BD144)-IF(TbTradesBinance[[#This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Row],[Tipo]]="DROP"),BD144+TbTradesBinance[[#This Row],[Qtt]],BD144-TbTradesBinance[[#This Row],[Qtt]]),IF(TbTradesBinance[[#This Row],[Tipo]]="BUY",BD144-TbTradesBinance[[#This Row],[Qtt]]*TbTradesBinance[[#This Row],[Preço]],BD144+TbTradesBinance[[#This Row],[Qtt]]*TbTradesBinance[[#This Row],[Preço]])),BD144)-IF(TbTradesBinance[[#This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Row],[Tipo]]="DROP"),BD144+TbTradesBinance[[#This Row],[Qtt]],BD144-TbTradesBinance[[#This Row],[Qtt]]),IF(TbTradesBinance[[#This Row],[Tipo]]="BUY",BD144-TbTradesBinance[[#This Row],[Qtt]]*TbTradesBinance[[#This Row],[Preço]],BD144+TbTradesBinance[[#This Row],[Qtt]]*TbTradesBinance[[#This Row],[Preço]])),BD144)-IF(TbTradesBinance[[#This Row],[Moeda da Taxa]]=MID(BD$1,9,5),TbTradesBinance[[#This Row],[Taxa]],0),8)))</f>
        <v>0</v>
      </c>
      <c r="BE145" s="145" cm="1">
        <f t="array" ref="BE145">IF(TbTradesBinance[[#This Row],[Tipo]]="EMPTY",0,BE144+IF(TbTradesBinance[[#This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Row],[Par]]))),$1:$1,0)),-(BD144-BD145)/BD144*BE144),0),0)+IF(TbTradesBinance[[#This Row],[Tipo]]="SELL",IF(ISNUMBER(FIND(MID(BE$1,10,5),TbTradesBinance[[#This Row],[Par]])),IF(FIND(MID(BE$1,10,5),TbTradesBinance[[#This Row],[Par]])=1, -(BD144-BD145)/BD144*BE144,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Row],[Par]])),(-(BD144-BD145)/BD144*BE144)+IF(TbTradesBinance[[#This Row],[Resultado]]&gt;0,0,TbTradesBinance[[#This Row],[Taxa]]),0),0))</f>
        <v>0</v>
      </c>
      <c r="BF145" s="145">
        <f t="shared" si="53"/>
        <v>0</v>
      </c>
      <c r="BG14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Row],[Tipo]]="DROP"),BG144+TbTradesBinance[[#This Row],[Qtt]],BG144-TbTradesBinance[[#This Row],[Qtt]]),IF(TbTradesBinance[[#This Row],[Tipo]]="BUY",BG144-TbTradesBinance[[#This Row],[Qtt]]*TbTradesBinance[[#This Row],[Preço]],BG144+TbTradesBinance[[#This Row],[Qtt]]*TbTradesBinance[[#This Row],[Preço]])),BG144)-IF(TbTradesBinance[[#This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Row],[Tipo]]="DROP"),BG144+TbTradesBinance[[#This Row],[Qtt]],BG144-TbTradesBinance[[#This Row],[Qtt]]),IF(TbTradesBinance[[#This Row],[Tipo]]="BUY",BG144-TbTradesBinance[[#This Row],[Qtt]]*TbTradesBinance[[#This Row],[Preço]],BG144+TbTradesBinance[[#This Row],[Qtt]]*TbTradesBinance[[#This Row],[Preço]])),BG144)-IF(TbTradesBinance[[#This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Row],[Tipo]]="DROP"),BG144+TbTradesBinance[[#This Row],[Qtt]],BG144-TbTradesBinance[[#This Row],[Qtt]]),IF(TbTradesBinance[[#This Row],[Tipo]]="BUY",BG144-TbTradesBinance[[#This Row],[Qtt]]*TbTradesBinance[[#This Row],[Preço]],BG144+TbTradesBinance[[#This Row],[Qtt]]*TbTradesBinance[[#This Row],[Preço]])),BG144)-IF(TbTradesBinance[[#This Row],[Moeda da Taxa]]=MID(BG$1,9,5),TbTradesBinance[[#This Row],[Taxa]],0),8)))</f>
        <v>0</v>
      </c>
      <c r="BH145" s="145" cm="1">
        <f t="array" ref="BH145">IF(TbTradesBinance[[#This Row],[Tipo]]="EMPTY",0,BH144+IF(TbTradesBinance[[#This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Row],[Par]]))),$1:$1,0)),-(BG144-BG145)/BG144*BH144),0),0)+IF(TbTradesBinance[[#This Row],[Tipo]]="SELL",IF(ISNUMBER(FIND(MID(BH$1,10,5),TbTradesBinance[[#This Row],[Par]])),IF(FIND(MID(BH$1,10,5),TbTradesBinance[[#This Row],[Par]])=1, -(BG144-BG145)/BG144*BH144,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Row],[Par]])),(-(BG144-BG145)/BG144*BH144)+IF(TbTradesBinance[[#This Row],[Resultado]]&gt;0,0,TbTradesBinance[[#This Row],[Taxa]]),0),0))</f>
        <v>0</v>
      </c>
      <c r="BI145" s="145">
        <f t="shared" si="54"/>
        <v>0</v>
      </c>
      <c r="BJ14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Row],[Tipo]]="DROP"),BJ144+TbTradesBinance[[#This Row],[Qtt]],BJ144-TbTradesBinance[[#This Row],[Qtt]]),IF(TbTradesBinance[[#This Row],[Tipo]]="BUY",BJ144-TbTradesBinance[[#This Row],[Qtt]]*TbTradesBinance[[#This Row],[Preço]],BJ144+TbTradesBinance[[#This Row],[Qtt]]*TbTradesBinance[[#This Row],[Preço]])),BJ144)-IF(TbTradesBinance[[#This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Row],[Tipo]]="DROP"),BJ144+TbTradesBinance[[#This Row],[Qtt]],BJ144-TbTradesBinance[[#This Row],[Qtt]]),IF(TbTradesBinance[[#This Row],[Tipo]]="BUY",BJ144-TbTradesBinance[[#This Row],[Qtt]]*TbTradesBinance[[#This Row],[Preço]],BJ144+TbTradesBinance[[#This Row],[Qtt]]*TbTradesBinance[[#This Row],[Preço]])),BJ144)-IF(TbTradesBinance[[#This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Row],[Tipo]]="DROP"),BJ144+TbTradesBinance[[#This Row],[Qtt]],BJ144-TbTradesBinance[[#This Row],[Qtt]]),IF(TbTradesBinance[[#This Row],[Tipo]]="BUY",BJ144-TbTradesBinance[[#This Row],[Qtt]]*TbTradesBinance[[#This Row],[Preço]],BJ144+TbTradesBinance[[#This Row],[Qtt]]*TbTradesBinance[[#This Row],[Preço]])),BJ144)-IF(TbTradesBinance[[#This Row],[Moeda da Taxa]]=MID(BJ$1,9,5),TbTradesBinance[[#This Row],[Taxa]],0),8)))</f>
        <v>1.3665699999999999E-3</v>
      </c>
      <c r="BK145" s="145" cm="1">
        <f t="array" ref="BK145">IF(TbTradesBinance[[#This Row],[Tipo]]="EMPTY",0,BK144+IF(TbTradesBinance[[#This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Row],[Par]]))),$1:$1,0)),-(BJ144-BJ145)/BJ144*BK144),0),0)+IF(TbTradesBinance[[#This Row],[Tipo]]="SELL",IF(ISNUMBER(FIND(MID(BK$1,10,5),TbTradesBinance[[#This Row],[Par]])),IF(FIND(MID(BK$1,10,5),TbTradesBinance[[#This Row],[Par]])=1, -(BJ144-BJ145)/BJ144*BK144,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Row],[Par]])),(-(BJ144-BJ145)/BJ144*BK144)+IF(TbTradesBinance[[#This Row],[Resultado]]&gt;0,0,TbTradesBinance[[#This Row],[Taxa]]),0),0))</f>
        <v>0</v>
      </c>
      <c r="BL145" s="145">
        <f t="shared" si="55"/>
        <v>0</v>
      </c>
      <c r="BM14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Row],[Tipo]]="DROP"),BM144+TbTradesBinance[[#This Row],[Qtt]],BM144-TbTradesBinance[[#This Row],[Qtt]]),IF(TbTradesBinance[[#This Row],[Tipo]]="BUY",BM144-TbTradesBinance[[#This Row],[Qtt]]*TbTradesBinance[[#This Row],[Preço]],BM144+TbTradesBinance[[#This Row],[Qtt]]*TbTradesBinance[[#This Row],[Preço]])),BM144)-IF(TbTradesBinance[[#This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Row],[Tipo]]="DROP"),BM144+TbTradesBinance[[#This Row],[Qtt]],BM144-TbTradesBinance[[#This Row],[Qtt]]),IF(TbTradesBinance[[#This Row],[Tipo]]="BUY",BM144-TbTradesBinance[[#This Row],[Qtt]]*TbTradesBinance[[#This Row],[Preço]],BM144+TbTradesBinance[[#This Row],[Qtt]]*TbTradesBinance[[#This Row],[Preço]])),BM144)-IF(TbTradesBinance[[#This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Row],[Tipo]]="DROP"),BM144+TbTradesBinance[[#This Row],[Qtt]],BM144-TbTradesBinance[[#This Row],[Qtt]]),IF(TbTradesBinance[[#This Row],[Tipo]]="BUY",BM144-TbTradesBinance[[#This Row],[Qtt]]*TbTradesBinance[[#This Row],[Preço]],BM144+TbTradesBinance[[#This Row],[Qtt]]*TbTradesBinance[[#This Row],[Preço]])),BM144)-IF(TbTradesBinance[[#This Row],[Moeda da Taxa]]=MID(BM$1,9,5),TbTradesBinance[[#This Row],[Taxa]],0),8)))</f>
        <v>0</v>
      </c>
      <c r="BN145" s="145" cm="1">
        <f t="array" ref="BN145">IF(TbTradesBinance[[#This Row],[Tipo]]="EMPTY",0,BN144+IF(TbTradesBinance[[#This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Row],[Par]]))),$1:$1,0)),-(BM144-BM145)/BM144*BN144),0),0)+IF(TbTradesBinance[[#This Row],[Tipo]]="SELL",IF(ISNUMBER(FIND(MID(BN$1,10,5),TbTradesBinance[[#This Row],[Par]])),IF(FIND(MID(BN$1,10,5),TbTradesBinance[[#This Row],[Par]])=1, -(BM144-BM145)/BM144*BN144,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Row],[Par]])),(-(BM144-BM145)/BM144*BN144)+IF(TbTradesBinance[[#This Row],[Resultado]]&gt;0,0,TbTradesBinance[[#This Row],[Taxa]]),0),0))</f>
        <v>0</v>
      </c>
      <c r="BO145" s="145">
        <f t="shared" si="56"/>
        <v>0</v>
      </c>
    </row>
    <row r="146" spans="2:67" x14ac:dyDescent="0.3">
      <c r="B146" s="51"/>
      <c r="C146" s="40">
        <f>TRUNC(IF(AND(TbTradesBinance[[#This Row],[Tipo]]="SEND",TbTradesBinance[[#This Row],[Par]]="BRL"),TbTradesBinance[[#This Row],[Qtt]]*(1-P144)-IF(TbTradesBinance[[#This Row],[Moeda da Taxa]]="BRL",TbTradesBinance[[#This Row],[Taxa]],0),0)+IF(AND(TbTradesBinance[[#This Row],[Tipo]]="BURN",TbTradesBinance[[#This Row],[Par]]="BRL"),-TbTradesBinance[[#This Row],[Qtt]]*P144,0),2)</f>
        <v>0</v>
      </c>
      <c r="D146" s="53">
        <v>44296.053124999999</v>
      </c>
      <c r="E146" s="37" t="s">
        <v>138</v>
      </c>
      <c r="F146" s="47" t="s">
        <v>140</v>
      </c>
      <c r="G146" s="38">
        <v>340300</v>
      </c>
      <c r="H146" s="38">
        <v>4.8999999999999998E-5</v>
      </c>
      <c r="I146" s="38">
        <v>4.6800000000000001E-6</v>
      </c>
      <c r="J146" s="37" t="s">
        <v>45</v>
      </c>
      <c r="K146" s="52">
        <v>1</v>
      </c>
      <c r="L146" s="40">
        <f t="shared" si="38"/>
        <v>340300</v>
      </c>
      <c r="M146" s="40">
        <f>IF(OR(TbTradesBinance[[#This Row],[Tipo]]="BUY",TbTradesBinance[[#This Row],[Tipo]]="RECEIVE",TbTradesBinance[[#This Row],[Tipo]]="DROP"),L146*H146,-L146*H146)</f>
        <v>-16.674699999999998</v>
      </c>
      <c r="N14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Row],[Tipo]]="DROP"),N145+TbTradesBinance[[#This Row],[Qtt]],N145-TbTradesBinance[[#This Row],[Qtt]]),IF(TbTradesBinance[[#This Row],[Tipo]]="BUY",N145-TbTradesBinance[[#This Row],[Qtt]]*TbTradesBinance[[#This Row],[Preço]],N145+TbTradesBinance[[#This Row],[Qtt]]*TbTradesBinance[[#This Row],[Preço]])),N145)-IF(TbTradesBinance[[#This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Row],[Tipo]]="DROP"),N145+TbTradesBinance[[#This Row],[Qtt]],N145-TbTradesBinance[[#This Row],[Qtt]]),IF(TbTradesBinance[[#This Row],[Tipo]]="BUY",N145-TbTradesBinance[[#This Row],[Qtt]]*TbTradesBinance[[#This Row],[Preço]],N145+TbTradesBinance[[#This Row],[Qtt]]*TbTradesBinance[[#This Row],[Preço]])),N145)-IF(TbTradesBinance[[#This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Row],[Tipo]]="DROP"),N145+TbTradesBinance[[#This Row],[Qtt]],N145-TbTradesBinance[[#This Row],[Qtt]]),IF(TbTradesBinance[[#This Row],[Tipo]]="BUY",N145-TbTradesBinance[[#This Row],[Qtt]]*TbTradesBinance[[#This Row],[Preço]],N145+TbTradesBinance[[#This Row],[Qtt]]*TbTradesBinance[[#This Row],[Preço]])),N145)-IF(TbTradesBinance[[#This Row],[Moeda da Taxa]]=MID(N$1,9,5),TbTradesBinance[[#This Row],[Taxa]],0),8)))</f>
        <v>119762.09950418001</v>
      </c>
      <c r="O146" s="145" cm="1">
        <f t="array" ref="O146">IF(TbTradesBinance[[#This Row],[Tipo]]="EMPTY",0,O145+IF(TbTradesBinance[[#This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Row],[Par]]))),$1:$1,0)),-(N145-N146)/N145*O145),0),0)+IF(TbTradesBinance[[#This Row],[Tipo]]="SELL",IF(ISNUMBER(FIND(MID(O$1,10,5),TbTradesBinance[[#This Row],[Par]])),IF(FIND(MID(O$1,10,5),TbTradesBinance[[#This Row],[Par]])=1, -(N145-N146)/N145*O145,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Row],[Par]])),(-(N145-N146)/N145*O145)+IF(TbTradesBinance[[#This Row],[Resultado]]&gt;0,0,TbTradesBinance[[#This Row],[Taxa]]),0),0))</f>
        <v>119860.82784803378</v>
      </c>
      <c r="P146" s="145">
        <f t="shared" si="39"/>
        <v>1.000824370516737</v>
      </c>
      <c r="Q14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Row],[Tipo]]="DROP"),Q145+TbTradesBinance[[#This Row],[Qtt]],Q145-TbTradesBinance[[#This Row],[Qtt]]),IF(TbTradesBinance[[#This Row],[Tipo]]="BUY",Q145-TbTradesBinance[[#This Row],[Qtt]]*TbTradesBinance[[#This Row],[Preço]],Q145+TbTradesBinance[[#This Row],[Qtt]]*TbTradesBinance[[#This Row],[Preço]])),Q145)-IF(TbTradesBinance[[#This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Row],[Tipo]]="DROP"),Q145+TbTradesBinance[[#This Row],[Qtt]],Q145-TbTradesBinance[[#This Row],[Qtt]]),IF(TbTradesBinance[[#This Row],[Tipo]]="BUY",Q145-TbTradesBinance[[#This Row],[Qtt]]*TbTradesBinance[[#This Row],[Preço]],Q145+TbTradesBinance[[#This Row],[Qtt]]*TbTradesBinance[[#This Row],[Preço]])),Q145)-IF(TbTradesBinance[[#This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Row],[Tipo]]="DROP"),Q145+TbTradesBinance[[#This Row],[Qtt]],Q145-TbTradesBinance[[#This Row],[Qtt]]),IF(TbTradesBinance[[#This Row],[Tipo]]="BUY",Q145-TbTradesBinance[[#This Row],[Qtt]]*TbTradesBinance[[#This Row],[Preço]],Q145+TbTradesBinance[[#This Row],[Qtt]]*TbTradesBinance[[#This Row],[Preço]])),Q145)-IF(TbTradesBinance[[#This Row],[Moeda da Taxa]]=MID(Q$1,9,5),TbTradesBinance[[#This Row],[Taxa]],0),8)))</f>
        <v>15.1711992</v>
      </c>
      <c r="R146" s="145" cm="1">
        <f t="array" ref="R146">IF(TbTradesBinance[[#This Row],[Tipo]]="EMPTY",0,R145+IF(TbTradesBinance[[#This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Row],[Par]]))),$1:$1,0)),-(Q145-Q146)/Q145*R145),0),0)+IF(TbTradesBinance[[#This Row],[Tipo]]="SELL",IF(ISNUMBER(FIND(MID(R$1,10,5),TbTradesBinance[[#This Row],[Par]])),IF(FIND(MID(R$1,10,5),TbTradesBinance[[#This Row],[Par]])=1, -(Q145-Q146)/Q145*R145,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Row],[Par]])),(-(Q145-Q146)/Q145*R145)+IF(TbTradesBinance[[#This Row],[Resultado]]&gt;0,0,TbTradesBinance[[#This Row],[Taxa]]),0),0))</f>
        <v>74.911765488192273</v>
      </c>
      <c r="S146" s="145">
        <f t="shared" si="40"/>
        <v>4.9377616430079092</v>
      </c>
      <c r="T14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Row],[Tipo]]="DROP"),T145+TbTradesBinance[[#This Row],[Qtt]],T145-TbTradesBinance[[#This Row],[Qtt]]),IF(TbTradesBinance[[#This Row],[Tipo]]="BUY",T145-TbTradesBinance[[#This Row],[Qtt]]*TbTradesBinance[[#This Row],[Preço]],T145+TbTradesBinance[[#This Row],[Qtt]]*TbTradesBinance[[#This Row],[Preço]])),T145)-IF(TbTradesBinance[[#This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Row],[Tipo]]="DROP"),T145+TbTradesBinance[[#This Row],[Qtt]],T145-TbTradesBinance[[#This Row],[Qtt]]),IF(TbTradesBinance[[#This Row],[Tipo]]="BUY",T145-TbTradesBinance[[#This Row],[Qtt]]*TbTradesBinance[[#This Row],[Preço]],T145+TbTradesBinance[[#This Row],[Qtt]]*TbTradesBinance[[#This Row],[Preço]])),T145)-IF(TbTradesBinance[[#This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Row],[Tipo]]="DROP"),T145+TbTradesBinance[[#This Row],[Qtt]],T145-TbTradesBinance[[#This Row],[Qtt]]),IF(TbTradesBinance[[#This Row],[Tipo]]="BUY",T145-TbTradesBinance[[#This Row],[Qtt]]*TbTradesBinance[[#This Row],[Preço]],T145+TbTradesBinance[[#This Row],[Qtt]]*TbTradesBinance[[#This Row],[Preço]])),T145)-IF(TbTradesBinance[[#This Row],[Moeda da Taxa]]=MID(T$1,9,5),TbTradesBinance[[#This Row],[Taxa]],0),8)))</f>
        <v>219713.72000189999</v>
      </c>
      <c r="U146" s="145" cm="1">
        <f t="array" ref="U146">IF(TbTradesBinance[[#This Row],[Tipo]]="EMPTY",0,U145+IF(TbTradesBinance[[#This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Row],[Par]]))),$1:$1,0)),-(T145-T146)/T145*U145),0),0)+IF(TbTradesBinance[[#This Row],[Tipo]]="SELL",IF(ISNUMBER(FIND(MID(U$1,10,5),TbTradesBinance[[#This Row],[Par]])),IF(FIND(MID(U$1,10,5),TbTradesBinance[[#This Row],[Par]])=1, -(T145-T146)/T145*U145,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Row],[Par]])),(-(T145-T146)/T145*U145)+IF(TbTradesBinance[[#This Row],[Resultado]]&gt;0,0,TbTradesBinance[[#This Row],[Taxa]]),0),0))</f>
        <v>1461096.2409827893</v>
      </c>
      <c r="V146" s="145">
        <f t="shared" si="41"/>
        <v>6.6500000135182926</v>
      </c>
      <c r="W14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Row],[Tipo]]="DROP"),W145+TbTradesBinance[[#This Row],[Qtt]],W145-TbTradesBinance[[#This Row],[Qtt]]),IF(TbTradesBinance[[#This Row],[Tipo]]="BUY",W145-TbTradesBinance[[#This Row],[Qtt]]*TbTradesBinance[[#This Row],[Preço]],W145+TbTradesBinance[[#This Row],[Qtt]]*TbTradesBinance[[#This Row],[Preço]])),W145)-IF(TbTradesBinance[[#This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Row],[Tipo]]="DROP"),W145+TbTradesBinance[[#This Row],[Qtt]],W145-TbTradesBinance[[#This Row],[Qtt]]),IF(TbTradesBinance[[#This Row],[Tipo]]="BUY",W145-TbTradesBinance[[#This Row],[Qtt]]*TbTradesBinance[[#This Row],[Preço]],W145+TbTradesBinance[[#This Row],[Qtt]]*TbTradesBinance[[#This Row],[Preço]])),W145)-IF(TbTradesBinance[[#This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Row],[Tipo]]="DROP"),W145+TbTradesBinance[[#This Row],[Qtt]],W145-TbTradesBinance[[#This Row],[Qtt]]),IF(TbTradesBinance[[#This Row],[Tipo]]="BUY",W145-TbTradesBinance[[#This Row],[Qtt]]*TbTradesBinance[[#This Row],[Preço]],W145+TbTradesBinance[[#This Row],[Qtt]]*TbTradesBinance[[#This Row],[Preço]])),W145)-IF(TbTradesBinance[[#This Row],[Moeda da Taxa]]=MID(W$1,9,5),TbTradesBinance[[#This Row],[Taxa]],0),8)))</f>
        <v>2.7436000000000002E-4</v>
      </c>
      <c r="X146" s="145" cm="1">
        <f t="array" ref="X146">IF(TbTradesBinance[[#This Row],[Tipo]]="EMPTY",0,X145+IF(TbTradesBinance[[#This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Row],[Par]]))),$1:$1,0)),-(W145-W146)/W145*X145),0),0)+IF(TbTradesBinance[[#This Row],[Tipo]]="SELL",IF(ISNUMBER(FIND(MID(X$1,10,5),TbTradesBinance[[#This Row],[Par]])),IF(FIND(MID(X$1,10,5),TbTradesBinance[[#This Row],[Par]])=1, -(W145-W146)/W145*X145,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Row],[Par]])),(-(W145-W146)/W145*X145)+IF(TbTradesBinance[[#This Row],[Resultado]]&gt;0,0,TbTradesBinance[[#This Row],[Taxa]]),0),0))</f>
        <v>92.901606377941647</v>
      </c>
      <c r="Y146" s="145">
        <f t="shared" si="42"/>
        <v>338612.06581841974</v>
      </c>
      <c r="Z14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Row],[Tipo]]="DROP"),Z145+TbTradesBinance[[#This Row],[Qtt]],Z145-TbTradesBinance[[#This Row],[Qtt]]),IF(TbTradesBinance[[#This Row],[Tipo]]="BUY",Z145-TbTradesBinance[[#This Row],[Qtt]]*TbTradesBinance[[#This Row],[Preço]],Z145+TbTradesBinance[[#This Row],[Qtt]]*TbTradesBinance[[#This Row],[Preço]])),Z145)-IF(TbTradesBinance[[#This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Row],[Tipo]]="DROP"),Z145+TbTradesBinance[[#This Row],[Qtt]],Z145-TbTradesBinance[[#This Row],[Qtt]]),IF(TbTradesBinance[[#This Row],[Tipo]]="BUY",Z145-TbTradesBinance[[#This Row],[Qtt]]*TbTradesBinance[[#This Row],[Preço]],Z145+TbTradesBinance[[#This Row],[Qtt]]*TbTradesBinance[[#This Row],[Preço]])),Z145)-IF(TbTradesBinance[[#This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Row],[Tipo]]="DROP"),Z145+TbTradesBinance[[#This Row],[Qtt]],Z145-TbTradesBinance[[#This Row],[Qtt]]),IF(TbTradesBinance[[#This Row],[Tipo]]="BUY",Z145-TbTradesBinance[[#This Row],[Qtt]]*TbTradesBinance[[#This Row],[Preço]],Z145+TbTradesBinance[[#This Row],[Qtt]]*TbTradesBinance[[#This Row],[Preço]])),Z145)-IF(TbTradesBinance[[#This Row],[Moeda da Taxa]]=MID(Z$1,9,5),TbTradesBinance[[#This Row],[Taxa]],0),8)))</f>
        <v>0</v>
      </c>
      <c r="AA146" s="145" cm="1">
        <f t="array" ref="AA146">IF(TbTradesBinance[[#This Row],[Tipo]]="EMPTY",0,AA145+IF(TbTradesBinance[[#This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Row],[Par]]))),$1:$1,0)),-(Z145-Z146)/Z145*AA145),0),0)+IF(TbTradesBinance[[#This Row],[Tipo]]="SELL",IF(ISNUMBER(FIND(MID(AA$1,10,5),TbTradesBinance[[#This Row],[Par]])),IF(FIND(MID(AA$1,10,5),TbTradesBinance[[#This Row],[Par]])=1, -(Z145-Z146)/Z145*AA145,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Row],[Par]])),(-(Z145-Z146)/Z145*AA145)+IF(TbTradesBinance[[#This Row],[Resultado]]&gt;0,0,TbTradesBinance[[#This Row],[Taxa]]),0),0))</f>
        <v>0</v>
      </c>
      <c r="AB146" s="145">
        <f t="shared" si="43"/>
        <v>0</v>
      </c>
      <c r="AC14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Row],[Tipo]]="DROP"),AC145+TbTradesBinance[[#This Row],[Qtt]],AC145-TbTradesBinance[[#This Row],[Qtt]]),IF(TbTradesBinance[[#This Row],[Tipo]]="BUY",AC145-TbTradesBinance[[#This Row],[Qtt]]*TbTradesBinance[[#This Row],[Preço]],AC145+TbTradesBinance[[#This Row],[Qtt]]*TbTradesBinance[[#This Row],[Preço]])),AC145)-IF(TbTradesBinance[[#This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Row],[Tipo]]="DROP"),AC145+TbTradesBinance[[#This Row],[Qtt]],AC145-TbTradesBinance[[#This Row],[Qtt]]),IF(TbTradesBinance[[#This Row],[Tipo]]="BUY",AC145-TbTradesBinance[[#This Row],[Qtt]]*TbTradesBinance[[#This Row],[Preço]],AC145+TbTradesBinance[[#This Row],[Qtt]]*TbTradesBinance[[#This Row],[Preço]])),AC145)-IF(TbTradesBinance[[#This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Row],[Tipo]]="DROP"),AC145+TbTradesBinance[[#This Row],[Qtt]],AC145-TbTradesBinance[[#This Row],[Qtt]]),IF(TbTradesBinance[[#This Row],[Tipo]]="BUY",AC145-TbTradesBinance[[#This Row],[Qtt]]*TbTradesBinance[[#This Row],[Preço]],AC145+TbTradesBinance[[#This Row],[Qtt]]*TbTradesBinance[[#This Row],[Preço]])),AC145)-IF(TbTradesBinance[[#This Row],[Moeda da Taxa]]=MID(AC$1,9,5),TbTradesBinance[[#This Row],[Taxa]],0),8)))</f>
        <v>0</v>
      </c>
      <c r="AD146" s="145" cm="1">
        <f t="array" ref="AD146">IF(TbTradesBinance[[#This Row],[Tipo]]="EMPTY",0,AD145+IF(TbTradesBinance[[#This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Row],[Par]]))),$1:$1,0)),-(AC145-AC146)/AC145*AD145),0),0)+IF(TbTradesBinance[[#This Row],[Tipo]]="SELL",IF(ISNUMBER(FIND(MID(AD$1,10,5),TbTradesBinance[[#This Row],[Par]])),IF(FIND(MID(AD$1,10,5),TbTradesBinance[[#This Row],[Par]])=1, -(AC145-AC146)/AC145*AD145,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Row],[Par]])),(-(AC145-AC146)/AC145*AD145)+IF(TbTradesBinance[[#This Row],[Resultado]]&gt;0,0,TbTradesBinance[[#This Row],[Taxa]]),0),0))</f>
        <v>0</v>
      </c>
      <c r="AE146" s="145">
        <f t="shared" si="44"/>
        <v>0</v>
      </c>
      <c r="AF14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Row],[Tipo]]="DROP"),AF145+TbTradesBinance[[#This Row],[Qtt]],AF145-TbTradesBinance[[#This Row],[Qtt]]),IF(TbTradesBinance[[#This Row],[Tipo]]="BUY",AF145-TbTradesBinance[[#This Row],[Qtt]]*TbTradesBinance[[#This Row],[Preço]],AF145+TbTradesBinance[[#This Row],[Qtt]]*TbTradesBinance[[#This Row],[Preço]])),AF145)-IF(TbTradesBinance[[#This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Row],[Tipo]]="DROP"),AF145+TbTradesBinance[[#This Row],[Qtt]],AF145-TbTradesBinance[[#This Row],[Qtt]]),IF(TbTradesBinance[[#This Row],[Tipo]]="BUY",AF145-TbTradesBinance[[#This Row],[Qtt]]*TbTradesBinance[[#This Row],[Preço]],AF145+TbTradesBinance[[#This Row],[Qtt]]*TbTradesBinance[[#This Row],[Preço]])),AF145)-IF(TbTradesBinance[[#This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Row],[Tipo]]="DROP"),AF145+TbTradesBinance[[#This Row],[Qtt]],AF145-TbTradesBinance[[#This Row],[Qtt]]),IF(TbTradesBinance[[#This Row],[Tipo]]="BUY",AF145-TbTradesBinance[[#This Row],[Qtt]]*TbTradesBinance[[#This Row],[Preço]],AF145+TbTradesBinance[[#This Row],[Qtt]]*TbTradesBinance[[#This Row],[Preço]])),AF145)-IF(TbTradesBinance[[#This Row],[Moeda da Taxa]]=MID(AF$1,9,5),TbTradesBinance[[#This Row],[Taxa]],0),8)))</f>
        <v>0</v>
      </c>
      <c r="AG146" s="145" cm="1">
        <f t="array" ref="AG146">IF(TbTradesBinance[[#This Row],[Tipo]]="EMPTY",0,AG145+IF(TbTradesBinance[[#This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Row],[Par]]))),$1:$1,0)),-(AF145-AF146)/AF145*AG145),0),0)+IF(TbTradesBinance[[#This Row],[Tipo]]="SELL",IF(ISNUMBER(FIND(MID(AG$1,10,5),TbTradesBinance[[#This Row],[Par]])),IF(FIND(MID(AG$1,10,5),TbTradesBinance[[#This Row],[Par]])=1, -(AF145-AF146)/AF145*AG145,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Row],[Par]])),(-(AF145-AF146)/AF145*AG145)+IF(TbTradesBinance[[#This Row],[Resultado]]&gt;0,0,TbTradesBinance[[#This Row],[Taxa]]),0),0))</f>
        <v>0</v>
      </c>
      <c r="AH146" s="145">
        <f t="shared" si="45"/>
        <v>0</v>
      </c>
      <c r="AI14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Row],[Tipo]]="DROP"),AI145+TbTradesBinance[[#This Row],[Qtt]],AI145-TbTradesBinance[[#This Row],[Qtt]]),IF(TbTradesBinance[[#This Row],[Tipo]]="BUY",AI145-TbTradesBinance[[#This Row],[Qtt]]*TbTradesBinance[[#This Row],[Preço]],AI145+TbTradesBinance[[#This Row],[Qtt]]*TbTradesBinance[[#This Row],[Preço]])),AI145)-IF(TbTradesBinance[[#This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Row],[Tipo]]="DROP"),AI145+TbTradesBinance[[#This Row],[Qtt]],AI145-TbTradesBinance[[#This Row],[Qtt]]),IF(TbTradesBinance[[#This Row],[Tipo]]="BUY",AI145-TbTradesBinance[[#This Row],[Qtt]]*TbTradesBinance[[#This Row],[Preço]],AI145+TbTradesBinance[[#This Row],[Qtt]]*TbTradesBinance[[#This Row],[Preço]])),AI145)-IF(TbTradesBinance[[#This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Row],[Tipo]]="DROP"),AI145+TbTradesBinance[[#This Row],[Qtt]],AI145-TbTradesBinance[[#This Row],[Qtt]]),IF(TbTradesBinance[[#This Row],[Tipo]]="BUY",AI145-TbTradesBinance[[#This Row],[Qtt]]*TbTradesBinance[[#This Row],[Preço]],AI145+TbTradesBinance[[#This Row],[Qtt]]*TbTradesBinance[[#This Row],[Preço]])),AI145)-IF(TbTradesBinance[[#This Row],[Moeda da Taxa]]=MID(AI$1,9,5),TbTradesBinance[[#This Row],[Taxa]],0),8)))</f>
        <v>0</v>
      </c>
      <c r="AJ146" s="145" cm="1">
        <f t="array" ref="AJ146">IF(TbTradesBinance[[#This Row],[Tipo]]="EMPTY",0,AJ145+IF(TbTradesBinance[[#This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Row],[Par]]))),$1:$1,0)),-(AI145-AI146)/AI145*AJ145),0),0)+IF(TbTradesBinance[[#This Row],[Tipo]]="SELL",IF(ISNUMBER(FIND(MID(AJ$1,10,5),TbTradesBinance[[#This Row],[Par]])),IF(FIND(MID(AJ$1,10,5),TbTradesBinance[[#This Row],[Par]])=1, -(AI145-AI146)/AI145*AJ145,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Row],[Par]])),(-(AI145-AI146)/AI145*AJ145)+IF(TbTradesBinance[[#This Row],[Resultado]]&gt;0,0,TbTradesBinance[[#This Row],[Taxa]]),0),0))</f>
        <v>0</v>
      </c>
      <c r="AK146" s="145">
        <f t="shared" si="46"/>
        <v>0</v>
      </c>
      <c r="AL14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Row],[Tipo]]="DROP"),AL145+TbTradesBinance[[#This Row],[Qtt]],AL145-TbTradesBinance[[#This Row],[Qtt]]),IF(TbTradesBinance[[#This Row],[Tipo]]="BUY",AL145-TbTradesBinance[[#This Row],[Qtt]]*TbTradesBinance[[#This Row],[Preço]],AL145+TbTradesBinance[[#This Row],[Qtt]]*TbTradesBinance[[#This Row],[Preço]])),AL145)-IF(TbTradesBinance[[#This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Row],[Tipo]]="DROP"),AL145+TbTradesBinance[[#This Row],[Qtt]],AL145-TbTradesBinance[[#This Row],[Qtt]]),IF(TbTradesBinance[[#This Row],[Tipo]]="BUY",AL145-TbTradesBinance[[#This Row],[Qtt]]*TbTradesBinance[[#This Row],[Preço]],AL145+TbTradesBinance[[#This Row],[Qtt]]*TbTradesBinance[[#This Row],[Preço]])),AL145)-IF(TbTradesBinance[[#This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Row],[Tipo]]="DROP"),AL145+TbTradesBinance[[#This Row],[Qtt]],AL145-TbTradesBinance[[#This Row],[Qtt]]),IF(TbTradesBinance[[#This Row],[Tipo]]="BUY",AL145-TbTradesBinance[[#This Row],[Qtt]]*TbTradesBinance[[#This Row],[Preço]],AL145+TbTradesBinance[[#This Row],[Qtt]]*TbTradesBinance[[#This Row],[Preço]])),AL145)-IF(TbTradesBinance[[#This Row],[Moeda da Taxa]]=MID(AL$1,9,5),TbTradesBinance[[#This Row],[Taxa]],0),8)))</f>
        <v>0</v>
      </c>
      <c r="AM146" s="145" cm="1">
        <f t="array" ref="AM146">IF(TbTradesBinance[[#This Row],[Tipo]]="EMPTY",0,AM145+IF(TbTradesBinance[[#This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Row],[Par]]))),$1:$1,0)),-(AL145-AL146)/AL145*AM145),0),0)+IF(TbTradesBinance[[#This Row],[Tipo]]="SELL",IF(ISNUMBER(FIND(MID(AM$1,10,5),TbTradesBinance[[#This Row],[Par]])),IF(FIND(MID(AM$1,10,5),TbTradesBinance[[#This Row],[Par]])=1, -(AL145-AL146)/AL145*AM145,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Row],[Par]])),(-(AL145-AL146)/AL145*AM145)+IF(TbTradesBinance[[#This Row],[Resultado]]&gt;0,0,TbTradesBinance[[#This Row],[Taxa]]),0),0))</f>
        <v>0</v>
      </c>
      <c r="AN146" s="145">
        <f t="shared" si="47"/>
        <v>0</v>
      </c>
      <c r="AO14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Row],[Tipo]]="DROP"),AO145+TbTradesBinance[[#This Row],[Qtt]],AO145-TbTradesBinance[[#This Row],[Qtt]]),IF(TbTradesBinance[[#This Row],[Tipo]]="BUY",AO145-TbTradesBinance[[#This Row],[Qtt]]*TbTradesBinance[[#This Row],[Preço]],AO145+TbTradesBinance[[#This Row],[Qtt]]*TbTradesBinance[[#This Row],[Preço]])),AO145)-IF(TbTradesBinance[[#This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Row],[Tipo]]="DROP"),AO145+TbTradesBinance[[#This Row],[Qtt]],AO145-TbTradesBinance[[#This Row],[Qtt]]),IF(TbTradesBinance[[#This Row],[Tipo]]="BUY",AO145-TbTradesBinance[[#This Row],[Qtt]]*TbTradesBinance[[#This Row],[Preço]],AO145+TbTradesBinance[[#This Row],[Qtt]]*TbTradesBinance[[#This Row],[Preço]])),AO145)-IF(TbTradesBinance[[#This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Row],[Tipo]]="DROP"),AO145+TbTradesBinance[[#This Row],[Qtt]],AO145-TbTradesBinance[[#This Row],[Qtt]]),IF(TbTradesBinance[[#This Row],[Tipo]]="BUY",AO145-TbTradesBinance[[#This Row],[Qtt]]*TbTradesBinance[[#This Row],[Preço]],AO145+TbTradesBinance[[#This Row],[Qtt]]*TbTradesBinance[[#This Row],[Preço]])),AO145)-IF(TbTradesBinance[[#This Row],[Moeda da Taxa]]=MID(AO$1,9,5),TbTradesBinance[[#This Row],[Taxa]],0),8)))</f>
        <v>3.7277650000000002E-2</v>
      </c>
      <c r="AP146" s="145" cm="1">
        <f t="array" ref="AP146">IF(TbTradesBinance[[#This Row],[Tipo]]="EMPTY",0,AP145+IF(TbTradesBinance[[#This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Row],[Par]]))),$1:$1,0)),-(AO145-AO146)/AO145*AP145),0),0)+IF(TbTradesBinance[[#This Row],[Tipo]]="SELL",IF(ISNUMBER(FIND(MID(AP$1,10,5),TbTradesBinance[[#This Row],[Par]])),IF(FIND(MID(AP$1,10,5),TbTradesBinance[[#This Row],[Par]])=1, -(AO145-AO146)/AO145*AP145,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Row],[Par]])),(-(AO145-AO146)/AO145*AP145)+IF(TbTradesBinance[[#This Row],[Resultado]]&gt;0,0,TbTradesBinance[[#This Row],[Taxa]]),0),0))</f>
        <v>57.065298020032813</v>
      </c>
      <c r="AQ146" s="145">
        <f t="shared" si="48"/>
        <v>1530.8180107928695</v>
      </c>
      <c r="AR14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Row],[Tipo]]="DROP"),AR145+TbTradesBinance[[#This Row],[Qtt]],AR145-TbTradesBinance[[#This Row],[Qtt]]),IF(TbTradesBinance[[#This Row],[Tipo]]="BUY",AR145-TbTradesBinance[[#This Row],[Qtt]]*TbTradesBinance[[#This Row],[Preço]],AR145+TbTradesBinance[[#This Row],[Qtt]]*TbTradesBinance[[#This Row],[Preço]])),AR145)-IF(TbTradesBinance[[#This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Row],[Tipo]]="DROP"),AR145+TbTradesBinance[[#This Row],[Qtt]],AR145-TbTradesBinance[[#This Row],[Qtt]]),IF(TbTradesBinance[[#This Row],[Tipo]]="BUY",AR145-TbTradesBinance[[#This Row],[Qtt]]*TbTradesBinance[[#This Row],[Preço]],AR145+TbTradesBinance[[#This Row],[Qtt]]*TbTradesBinance[[#This Row],[Preço]])),AR145)-IF(TbTradesBinance[[#This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Row],[Tipo]]="DROP"),AR145+TbTradesBinance[[#This Row],[Qtt]],AR145-TbTradesBinance[[#This Row],[Qtt]]),IF(TbTradesBinance[[#This Row],[Tipo]]="BUY",AR145-TbTradesBinance[[#This Row],[Qtt]]*TbTradesBinance[[#This Row],[Preço]],AR145+TbTradesBinance[[#This Row],[Qtt]]*TbTradesBinance[[#This Row],[Preço]])),AR145)-IF(TbTradesBinance[[#This Row],[Moeda da Taxa]]=MID(AR$1,9,5),TbTradesBinance[[#This Row],[Taxa]],0),8)))</f>
        <v>0</v>
      </c>
      <c r="AS146" s="145" cm="1">
        <f t="array" ref="AS146">IF(TbTradesBinance[[#This Row],[Tipo]]="EMPTY",0,AS145+IF(TbTradesBinance[[#This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Row],[Par]]))),$1:$1,0)),-(AR145-AR146)/AR145*AS145),0),0)+IF(TbTradesBinance[[#This Row],[Tipo]]="SELL",IF(ISNUMBER(FIND(MID(AS$1,10,5),TbTradesBinance[[#This Row],[Par]])),IF(FIND(MID(AS$1,10,5),TbTradesBinance[[#This Row],[Par]])=1, -(AR145-AR146)/AR145*AS145,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Row],[Par]])),(-(AR145-AR146)/AR145*AS145)+IF(TbTradesBinance[[#This Row],[Resultado]]&gt;0,0,TbTradesBinance[[#This Row],[Taxa]]),0),0))</f>
        <v>0</v>
      </c>
      <c r="AT146" s="145">
        <f t="shared" si="49"/>
        <v>0</v>
      </c>
      <c r="AU14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Row],[Tipo]]="DROP"),AU145+TbTradesBinance[[#This Row],[Qtt]],AU145-TbTradesBinance[[#This Row],[Qtt]]),IF(TbTradesBinance[[#This Row],[Tipo]]="BUY",AU145-TbTradesBinance[[#This Row],[Qtt]]*TbTradesBinance[[#This Row],[Preço]],AU145+TbTradesBinance[[#This Row],[Qtt]]*TbTradesBinance[[#This Row],[Preço]])),AU145)-IF(TbTradesBinance[[#This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Row],[Tipo]]="DROP"),AU145+TbTradesBinance[[#This Row],[Qtt]],AU145-TbTradesBinance[[#This Row],[Qtt]]),IF(TbTradesBinance[[#This Row],[Tipo]]="BUY",AU145-TbTradesBinance[[#This Row],[Qtt]]*TbTradesBinance[[#This Row],[Preço]],AU145+TbTradesBinance[[#This Row],[Qtt]]*TbTradesBinance[[#This Row],[Preço]])),AU145)-IF(TbTradesBinance[[#This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Row],[Tipo]]="DROP"),AU145+TbTradesBinance[[#This Row],[Qtt]],AU145-TbTradesBinance[[#This Row],[Qtt]]),IF(TbTradesBinance[[#This Row],[Tipo]]="BUY",AU145-TbTradesBinance[[#This Row],[Qtt]]*TbTradesBinance[[#This Row],[Preço]],AU145+TbTradesBinance[[#This Row],[Qtt]]*TbTradesBinance[[#This Row],[Preço]])),AU145)-IF(TbTradesBinance[[#This Row],[Moeda da Taxa]]=MID(AU$1,9,5),TbTradesBinance[[#This Row],[Taxa]],0),8)))</f>
        <v>0</v>
      </c>
      <c r="AV146" s="145" cm="1">
        <f t="array" ref="AV146">IF(TbTradesBinance[[#This Row],[Tipo]]="EMPTY",0,AV145+IF(TbTradesBinance[[#This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Row],[Par]]))),$1:$1,0)),-(AU145-AU146)/AU145*AV145),0),0)+IF(TbTradesBinance[[#This Row],[Tipo]]="SELL",IF(ISNUMBER(FIND(MID(AV$1,10,5),TbTradesBinance[[#This Row],[Par]])),IF(FIND(MID(AV$1,10,5),TbTradesBinance[[#This Row],[Par]])=1, -(AU145-AU146)/AU145*AV145,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Row],[Par]])),(-(AU145-AU146)/AU145*AV145)+IF(TbTradesBinance[[#This Row],[Resultado]]&gt;0,0,TbTradesBinance[[#This Row],[Taxa]]),0),0))</f>
        <v>0</v>
      </c>
      <c r="AW146" s="145">
        <f t="shared" si="50"/>
        <v>0</v>
      </c>
      <c r="AX14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Row],[Tipo]]="DROP"),AX145+TbTradesBinance[[#This Row],[Qtt]],AX145-TbTradesBinance[[#This Row],[Qtt]]),IF(TbTradesBinance[[#This Row],[Tipo]]="BUY",AX145-TbTradesBinance[[#This Row],[Qtt]]*TbTradesBinance[[#This Row],[Preço]],AX145+TbTradesBinance[[#This Row],[Qtt]]*TbTradesBinance[[#This Row],[Preço]])),AX145)-IF(TbTradesBinance[[#This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Row],[Tipo]]="DROP"),AX145+TbTradesBinance[[#This Row],[Qtt]],AX145-TbTradesBinance[[#This Row],[Qtt]]),IF(TbTradesBinance[[#This Row],[Tipo]]="BUY",AX145-TbTradesBinance[[#This Row],[Qtt]]*TbTradesBinance[[#This Row],[Preço]],AX145+TbTradesBinance[[#This Row],[Qtt]]*TbTradesBinance[[#This Row],[Preço]])),AX145)-IF(TbTradesBinance[[#This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Row],[Tipo]]="DROP"),AX145+TbTradesBinance[[#This Row],[Qtt]],AX145-TbTradesBinance[[#This Row],[Qtt]]),IF(TbTradesBinance[[#This Row],[Tipo]]="BUY",AX145-TbTradesBinance[[#This Row],[Qtt]]*TbTradesBinance[[#This Row],[Preço]],AX145+TbTradesBinance[[#This Row],[Qtt]]*TbTradesBinance[[#This Row],[Preço]])),AX145)-IF(TbTradesBinance[[#This Row],[Moeda da Taxa]]=MID(AX$1,9,5),TbTradesBinance[[#This Row],[Taxa]],0),8)))</f>
        <v>0.85636999999999996</v>
      </c>
      <c r="AY146" s="145" cm="1">
        <f t="array" ref="AY146">IF(TbTradesBinance[[#This Row],[Tipo]]="EMPTY",0,AY145+IF(TbTradesBinance[[#This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Row],[Par]]))),$1:$1,0)),-(AX145-AX146)/AX145*AY145),0),0)+IF(TbTradesBinance[[#This Row],[Tipo]]="SELL",IF(ISNUMBER(FIND(MID(AY$1,10,5),TbTradesBinance[[#This Row],[Par]])),IF(FIND(MID(AY$1,10,5),TbTradesBinance[[#This Row],[Par]])=1, -(AX145-AX146)/AX145*AY145,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Row],[Par]])),(-(AX145-AX146)/AX145*AY145)+IF(TbTradesBinance[[#This Row],[Resultado]]&gt;0,0,TbTradesBinance[[#This Row],[Taxa]]),0),0))</f>
        <v>131.82971181780295</v>
      </c>
      <c r="AZ146" s="145">
        <f t="shared" si="51"/>
        <v>153.94013314081874</v>
      </c>
      <c r="BA14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Row],[Tipo]]="DROP"),BA145+TbTradesBinance[[#This Row],[Qtt]],BA145-TbTradesBinance[[#This Row],[Qtt]]),IF(TbTradesBinance[[#This Row],[Tipo]]="BUY",BA145-TbTradesBinance[[#This Row],[Qtt]]*TbTradesBinance[[#This Row],[Preço]],BA145+TbTradesBinance[[#This Row],[Qtt]]*TbTradesBinance[[#This Row],[Preço]])),BA145)-IF(TbTradesBinance[[#This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Row],[Tipo]]="DROP"),BA145+TbTradesBinance[[#This Row],[Qtt]],BA145-TbTradesBinance[[#This Row],[Qtt]]),IF(TbTradesBinance[[#This Row],[Tipo]]="BUY",BA145-TbTradesBinance[[#This Row],[Qtt]]*TbTradesBinance[[#This Row],[Preço]],BA145+TbTradesBinance[[#This Row],[Qtt]]*TbTradesBinance[[#This Row],[Preço]])),BA145)-IF(TbTradesBinance[[#This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Row],[Tipo]]="DROP"),BA145+TbTradesBinance[[#This Row],[Qtt]],BA145-TbTradesBinance[[#This Row],[Qtt]]),IF(TbTradesBinance[[#This Row],[Tipo]]="BUY",BA145-TbTradesBinance[[#This Row],[Qtt]]*TbTradesBinance[[#This Row],[Preço]],BA145+TbTradesBinance[[#This Row],[Qtt]]*TbTradesBinance[[#This Row],[Preço]])),BA145)-IF(TbTradesBinance[[#This Row],[Moeda da Taxa]]=MID(BA$1,9,5),TbTradesBinance[[#This Row],[Taxa]],0),8)))</f>
        <v>4.0169999999999997E-2</v>
      </c>
      <c r="BB146" s="145" cm="1">
        <f t="array" ref="BB146">IF(TbTradesBinance[[#This Row],[Tipo]]="EMPTY",0,BB145+IF(TbTradesBinance[[#This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Row],[Par]]))),$1:$1,0)),-(BA145-BA146)/BA145*BB145),0),0)+IF(TbTradesBinance[[#This Row],[Tipo]]="SELL",IF(ISNUMBER(FIND(MID(BB$1,10,5),TbTradesBinance[[#This Row],[Par]])),IF(FIND(MID(BB$1,10,5),TbTradesBinance[[#This Row],[Par]])=1, -(BA145-BA146)/BA145*BB145,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Row],[Par]])),(-(BA145-BA146)/BA145*BB145)+IF(TbTradesBinance[[#This Row],[Resultado]]&gt;0,0,TbTradesBinance[[#This Row],[Taxa]]),0),0))</f>
        <v>45.914031426009828</v>
      </c>
      <c r="BC146" s="145">
        <f t="shared" si="52"/>
        <v>1142.9930651234711</v>
      </c>
      <c r="BD14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Row],[Tipo]]="DROP"),BD145+TbTradesBinance[[#This Row],[Qtt]],BD145-TbTradesBinance[[#This Row],[Qtt]]),IF(TbTradesBinance[[#This Row],[Tipo]]="BUY",BD145-TbTradesBinance[[#This Row],[Qtt]]*TbTradesBinance[[#This Row],[Preço]],BD145+TbTradesBinance[[#This Row],[Qtt]]*TbTradesBinance[[#This Row],[Preço]])),BD145)-IF(TbTradesBinance[[#This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Row],[Tipo]]="DROP"),BD145+TbTradesBinance[[#This Row],[Qtt]],BD145-TbTradesBinance[[#This Row],[Qtt]]),IF(TbTradesBinance[[#This Row],[Tipo]]="BUY",BD145-TbTradesBinance[[#This Row],[Qtt]]*TbTradesBinance[[#This Row],[Preço]],BD145+TbTradesBinance[[#This Row],[Qtt]]*TbTradesBinance[[#This Row],[Preço]])),BD145)-IF(TbTradesBinance[[#This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Row],[Tipo]]="DROP"),BD145+TbTradesBinance[[#This Row],[Qtt]],BD145-TbTradesBinance[[#This Row],[Qtt]]),IF(TbTradesBinance[[#This Row],[Tipo]]="BUY",BD145-TbTradesBinance[[#This Row],[Qtt]]*TbTradesBinance[[#This Row],[Preço]],BD145+TbTradesBinance[[#This Row],[Qtt]]*TbTradesBinance[[#This Row],[Preço]])),BD145)-IF(TbTradesBinance[[#This Row],[Moeda da Taxa]]=MID(BD$1,9,5),TbTradesBinance[[#This Row],[Taxa]],0),8)))</f>
        <v>0</v>
      </c>
      <c r="BE146" s="145" cm="1">
        <f t="array" ref="BE146">IF(TbTradesBinance[[#This Row],[Tipo]]="EMPTY",0,BE145+IF(TbTradesBinance[[#This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Row],[Par]]))),$1:$1,0)),-(BD145-BD146)/BD145*BE145),0),0)+IF(TbTradesBinance[[#This Row],[Tipo]]="SELL",IF(ISNUMBER(FIND(MID(BE$1,10,5),TbTradesBinance[[#This Row],[Par]])),IF(FIND(MID(BE$1,10,5),TbTradesBinance[[#This Row],[Par]])=1, -(BD145-BD146)/BD145*BE145,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Row],[Par]])),(-(BD145-BD146)/BD145*BE145)+IF(TbTradesBinance[[#This Row],[Resultado]]&gt;0,0,TbTradesBinance[[#This Row],[Taxa]]),0),0))</f>
        <v>0</v>
      </c>
      <c r="BF146" s="145">
        <f t="shared" si="53"/>
        <v>0</v>
      </c>
      <c r="BG14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Row],[Tipo]]="DROP"),BG145+TbTradesBinance[[#This Row],[Qtt]],BG145-TbTradesBinance[[#This Row],[Qtt]]),IF(TbTradesBinance[[#This Row],[Tipo]]="BUY",BG145-TbTradesBinance[[#This Row],[Qtt]]*TbTradesBinance[[#This Row],[Preço]],BG145+TbTradesBinance[[#This Row],[Qtt]]*TbTradesBinance[[#This Row],[Preço]])),BG145)-IF(TbTradesBinance[[#This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Row],[Tipo]]="DROP"),BG145+TbTradesBinance[[#This Row],[Qtt]],BG145-TbTradesBinance[[#This Row],[Qtt]]),IF(TbTradesBinance[[#This Row],[Tipo]]="BUY",BG145-TbTradesBinance[[#This Row],[Qtt]]*TbTradesBinance[[#This Row],[Preço]],BG145+TbTradesBinance[[#This Row],[Qtt]]*TbTradesBinance[[#This Row],[Preço]])),BG145)-IF(TbTradesBinance[[#This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Row],[Tipo]]="DROP"),BG145+TbTradesBinance[[#This Row],[Qtt]],BG145-TbTradesBinance[[#This Row],[Qtt]]),IF(TbTradesBinance[[#This Row],[Tipo]]="BUY",BG145-TbTradesBinance[[#This Row],[Qtt]]*TbTradesBinance[[#This Row],[Preço]],BG145+TbTradesBinance[[#This Row],[Qtt]]*TbTradesBinance[[#This Row],[Preço]])),BG145)-IF(TbTradesBinance[[#This Row],[Moeda da Taxa]]=MID(BG$1,9,5),TbTradesBinance[[#This Row],[Taxa]],0),8)))</f>
        <v>0</v>
      </c>
      <c r="BH146" s="145" cm="1">
        <f t="array" ref="BH146">IF(TbTradesBinance[[#This Row],[Tipo]]="EMPTY",0,BH145+IF(TbTradesBinance[[#This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Row],[Par]]))),$1:$1,0)),-(BG145-BG146)/BG145*BH145),0),0)+IF(TbTradesBinance[[#This Row],[Tipo]]="SELL",IF(ISNUMBER(FIND(MID(BH$1,10,5),TbTradesBinance[[#This Row],[Par]])),IF(FIND(MID(BH$1,10,5),TbTradesBinance[[#This Row],[Par]])=1, -(BG145-BG146)/BG145*BH145,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Row],[Par]])),(-(BG145-BG146)/BG145*BH145)+IF(TbTradesBinance[[#This Row],[Resultado]]&gt;0,0,TbTradesBinance[[#This Row],[Taxa]]),0),0))</f>
        <v>0</v>
      </c>
      <c r="BI146" s="145">
        <f t="shared" si="54"/>
        <v>0</v>
      </c>
      <c r="BJ14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Row],[Tipo]]="DROP"),BJ145+TbTradesBinance[[#This Row],[Qtt]],BJ145-TbTradesBinance[[#This Row],[Qtt]]),IF(TbTradesBinance[[#This Row],[Tipo]]="BUY",BJ145-TbTradesBinance[[#This Row],[Qtt]]*TbTradesBinance[[#This Row],[Preço]],BJ145+TbTradesBinance[[#This Row],[Qtt]]*TbTradesBinance[[#This Row],[Preço]])),BJ145)-IF(TbTradesBinance[[#This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Row],[Tipo]]="DROP"),BJ145+TbTradesBinance[[#This Row],[Qtt]],BJ145-TbTradesBinance[[#This Row],[Qtt]]),IF(TbTradesBinance[[#This Row],[Tipo]]="BUY",BJ145-TbTradesBinance[[#This Row],[Qtt]]*TbTradesBinance[[#This Row],[Preço]],BJ145+TbTradesBinance[[#This Row],[Qtt]]*TbTradesBinance[[#This Row],[Preço]])),BJ145)-IF(TbTradesBinance[[#This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Row],[Tipo]]="DROP"),BJ145+TbTradesBinance[[#This Row],[Qtt]],BJ145-TbTradesBinance[[#This Row],[Qtt]]),IF(TbTradesBinance[[#This Row],[Tipo]]="BUY",BJ145-TbTradesBinance[[#This Row],[Qtt]]*TbTradesBinance[[#This Row],[Preço]],BJ145+TbTradesBinance[[#This Row],[Qtt]]*TbTradesBinance[[#This Row],[Preço]])),BJ145)-IF(TbTradesBinance[[#This Row],[Moeda da Taxa]]=MID(BJ$1,9,5),TbTradesBinance[[#This Row],[Taxa]],0),8)))</f>
        <v>1.3665699999999999E-3</v>
      </c>
      <c r="BK146" s="145" cm="1">
        <f t="array" ref="BK146">IF(TbTradesBinance[[#This Row],[Tipo]]="EMPTY",0,BK145+IF(TbTradesBinance[[#This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Row],[Par]]))),$1:$1,0)),-(BJ145-BJ146)/BJ145*BK145),0),0)+IF(TbTradesBinance[[#This Row],[Tipo]]="SELL",IF(ISNUMBER(FIND(MID(BK$1,10,5),TbTradesBinance[[#This Row],[Par]])),IF(FIND(MID(BK$1,10,5),TbTradesBinance[[#This Row],[Par]])=1, -(BJ145-BJ146)/BJ145*BK145,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Row],[Par]])),(-(BJ145-BJ146)/BJ145*BK145)+IF(TbTradesBinance[[#This Row],[Resultado]]&gt;0,0,TbTradesBinance[[#This Row],[Taxa]]),0),0))</f>
        <v>0</v>
      </c>
      <c r="BL146" s="145">
        <f t="shared" si="55"/>
        <v>0</v>
      </c>
      <c r="BM14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Row],[Tipo]]="DROP"),BM145+TbTradesBinance[[#This Row],[Qtt]],BM145-TbTradesBinance[[#This Row],[Qtt]]),IF(TbTradesBinance[[#This Row],[Tipo]]="BUY",BM145-TbTradesBinance[[#This Row],[Qtt]]*TbTradesBinance[[#This Row],[Preço]],BM145+TbTradesBinance[[#This Row],[Qtt]]*TbTradesBinance[[#This Row],[Preço]])),BM145)-IF(TbTradesBinance[[#This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Row],[Tipo]]="DROP"),BM145+TbTradesBinance[[#This Row],[Qtt]],BM145-TbTradesBinance[[#This Row],[Qtt]]),IF(TbTradesBinance[[#This Row],[Tipo]]="BUY",BM145-TbTradesBinance[[#This Row],[Qtt]]*TbTradesBinance[[#This Row],[Preço]],BM145+TbTradesBinance[[#This Row],[Qtt]]*TbTradesBinance[[#This Row],[Preço]])),BM145)-IF(TbTradesBinance[[#This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Row],[Tipo]]="DROP"),BM145+TbTradesBinance[[#This Row],[Qtt]],BM145-TbTradesBinance[[#This Row],[Qtt]]),IF(TbTradesBinance[[#This Row],[Tipo]]="BUY",BM145-TbTradesBinance[[#This Row],[Qtt]]*TbTradesBinance[[#This Row],[Preço]],BM145+TbTradesBinance[[#This Row],[Qtt]]*TbTradesBinance[[#This Row],[Preço]])),BM145)-IF(TbTradesBinance[[#This Row],[Moeda da Taxa]]=MID(BM$1,9,5),TbTradesBinance[[#This Row],[Taxa]],0),8)))</f>
        <v>0</v>
      </c>
      <c r="BN146" s="145" cm="1">
        <f t="array" ref="BN146">IF(TbTradesBinance[[#This Row],[Tipo]]="EMPTY",0,BN145+IF(TbTradesBinance[[#This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Row],[Par]]))),$1:$1,0)),-(BM145-BM146)/BM145*BN145),0),0)+IF(TbTradesBinance[[#This Row],[Tipo]]="SELL",IF(ISNUMBER(FIND(MID(BN$1,10,5),TbTradesBinance[[#This Row],[Par]])),IF(FIND(MID(BN$1,10,5),TbTradesBinance[[#This Row],[Par]])=1, -(BM145-BM146)/BM145*BN145,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Row],[Par]])),(-(BM145-BM146)/BM145*BN145)+IF(TbTradesBinance[[#This Row],[Resultado]]&gt;0,0,TbTradesBinance[[#This Row],[Taxa]]),0),0))</f>
        <v>0</v>
      </c>
      <c r="BO146" s="145">
        <f t="shared" si="56"/>
        <v>0</v>
      </c>
    </row>
    <row r="147" spans="2:67" x14ac:dyDescent="0.3">
      <c r="B147" s="51"/>
      <c r="C147" s="40">
        <f>TRUNC(IF(AND(TbTradesBinance[[#This Row],[Tipo]]="SEND",TbTradesBinance[[#This Row],[Par]]="BRL"),TbTradesBinance[[#This Row],[Qtt]]*(1-P145)-IF(TbTradesBinance[[#This Row],[Moeda da Taxa]]="BRL",TbTradesBinance[[#This Row],[Taxa]],0),0)+IF(AND(TbTradesBinance[[#This Row],[Tipo]]="BURN",TbTradesBinance[[#This Row],[Par]]="BRL"),-TbTradesBinance[[#This Row],[Qtt]]*P145,0),2)</f>
        <v>0</v>
      </c>
      <c r="D147" s="53">
        <v>44296.053136574075</v>
      </c>
      <c r="E147" s="37" t="s">
        <v>138</v>
      </c>
      <c r="F147" s="47" t="s">
        <v>140</v>
      </c>
      <c r="G147" s="38">
        <v>340300</v>
      </c>
      <c r="H147" s="38">
        <v>1.1E-4</v>
      </c>
      <c r="I147" s="38">
        <v>1.0499999999999999E-5</v>
      </c>
      <c r="J147" s="37" t="s">
        <v>45</v>
      </c>
      <c r="K147" s="52">
        <v>1</v>
      </c>
      <c r="L147" s="40">
        <f t="shared" si="38"/>
        <v>340300</v>
      </c>
      <c r="M147" s="40">
        <f>IF(OR(TbTradesBinance[[#This Row],[Tipo]]="BUY",TbTradesBinance[[#This Row],[Tipo]]="RECEIVE",TbTradesBinance[[#This Row],[Tipo]]="DROP"),L147*H147,-L147*H147)</f>
        <v>-37.433</v>
      </c>
      <c r="N14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Row],[Tipo]]="DROP"),N146+TbTradesBinance[[#This Row],[Qtt]],N146-TbTradesBinance[[#This Row],[Qtt]]),IF(TbTradesBinance[[#This Row],[Tipo]]="BUY",N146-TbTradesBinance[[#This Row],[Qtt]]*TbTradesBinance[[#This Row],[Preço]],N146+TbTradesBinance[[#This Row],[Qtt]]*TbTradesBinance[[#This Row],[Preço]])),N146)-IF(TbTradesBinance[[#This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Row],[Tipo]]="DROP"),N146+TbTradesBinance[[#This Row],[Qtt]],N146-TbTradesBinance[[#This Row],[Qtt]]),IF(TbTradesBinance[[#This Row],[Tipo]]="BUY",N146-TbTradesBinance[[#This Row],[Qtt]]*TbTradesBinance[[#This Row],[Preço]],N146+TbTradesBinance[[#This Row],[Qtt]]*TbTradesBinance[[#This Row],[Preço]])),N146)-IF(TbTradesBinance[[#This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Row],[Tipo]]="DROP"),N146+TbTradesBinance[[#This Row],[Qtt]],N146-TbTradesBinance[[#This Row],[Qtt]]),IF(TbTradesBinance[[#This Row],[Tipo]]="BUY",N146-TbTradesBinance[[#This Row],[Qtt]]*TbTradesBinance[[#This Row],[Preço]],N146+TbTradesBinance[[#This Row],[Qtt]]*TbTradesBinance[[#This Row],[Preço]])),N146)-IF(TbTradesBinance[[#This Row],[Moeda da Taxa]]=MID(N$1,9,5),TbTradesBinance[[#This Row],[Taxa]],0),8)))</f>
        <v>119799.53250418</v>
      </c>
      <c r="O147" s="145" cm="1">
        <f t="array" ref="O147">IF(TbTradesBinance[[#This Row],[Tipo]]="EMPTY",0,O146+IF(TbTradesBinance[[#This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Row],[Par]]))),$1:$1,0)),-(N146-N147)/N146*O146),0),0)+IF(TbTradesBinance[[#This Row],[Tipo]]="SELL",IF(ISNUMBER(FIND(MID(O$1,10,5),TbTradesBinance[[#This Row],[Par]])),IF(FIND(MID(O$1,10,5),TbTradesBinance[[#This Row],[Par]])=1, -(N146-N147)/N146*O146,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Row],[Par]])),(-(N146-N147)/N146*O146)+IF(TbTradesBinance[[#This Row],[Resultado]]&gt;0,0,TbTradesBinance[[#This Row],[Taxa]]),0),0))</f>
        <v>119898.0751752738</v>
      </c>
      <c r="P147" s="145">
        <f t="shared" si="39"/>
        <v>1.0008225630687697</v>
      </c>
      <c r="Q14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Row],[Tipo]]="DROP"),Q146+TbTradesBinance[[#This Row],[Qtt]],Q146-TbTradesBinance[[#This Row],[Qtt]]),IF(TbTradesBinance[[#This Row],[Tipo]]="BUY",Q146-TbTradesBinance[[#This Row],[Qtt]]*TbTradesBinance[[#This Row],[Preço]],Q146+TbTradesBinance[[#This Row],[Qtt]]*TbTradesBinance[[#This Row],[Preço]])),Q146)-IF(TbTradesBinance[[#This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Row],[Tipo]]="DROP"),Q146+TbTradesBinance[[#This Row],[Qtt]],Q146-TbTradesBinance[[#This Row],[Qtt]]),IF(TbTradesBinance[[#This Row],[Tipo]]="BUY",Q146-TbTradesBinance[[#This Row],[Qtt]]*TbTradesBinance[[#This Row],[Preço]],Q146+TbTradesBinance[[#This Row],[Qtt]]*TbTradesBinance[[#This Row],[Preço]])),Q146)-IF(TbTradesBinance[[#This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Row],[Tipo]]="DROP"),Q146+TbTradesBinance[[#This Row],[Qtt]],Q146-TbTradesBinance[[#This Row],[Qtt]]),IF(TbTradesBinance[[#This Row],[Tipo]]="BUY",Q146-TbTradesBinance[[#This Row],[Qtt]]*TbTradesBinance[[#This Row],[Preço]],Q146+TbTradesBinance[[#This Row],[Qtt]]*TbTradesBinance[[#This Row],[Preço]])),Q146)-IF(TbTradesBinance[[#This Row],[Moeda da Taxa]]=MID(Q$1,9,5),TbTradesBinance[[#This Row],[Taxa]],0),8)))</f>
        <v>15.1711992</v>
      </c>
      <c r="R147" s="145" cm="1">
        <f t="array" ref="R147">IF(TbTradesBinance[[#This Row],[Tipo]]="EMPTY",0,R146+IF(TbTradesBinance[[#This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Row],[Par]]))),$1:$1,0)),-(Q146-Q147)/Q146*R146),0),0)+IF(TbTradesBinance[[#This Row],[Tipo]]="SELL",IF(ISNUMBER(FIND(MID(R$1,10,5),TbTradesBinance[[#This Row],[Par]])),IF(FIND(MID(R$1,10,5),TbTradesBinance[[#This Row],[Par]])=1, -(Q146-Q147)/Q146*R146,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Row],[Par]])),(-(Q146-Q147)/Q146*R146)+IF(TbTradesBinance[[#This Row],[Resultado]]&gt;0,0,TbTradesBinance[[#This Row],[Taxa]]),0),0))</f>
        <v>74.911765488192273</v>
      </c>
      <c r="S147" s="145">
        <f t="shared" si="40"/>
        <v>4.9377616430079092</v>
      </c>
      <c r="T14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Row],[Tipo]]="DROP"),T146+TbTradesBinance[[#This Row],[Qtt]],T146-TbTradesBinance[[#This Row],[Qtt]]),IF(TbTradesBinance[[#This Row],[Tipo]]="BUY",T146-TbTradesBinance[[#This Row],[Qtt]]*TbTradesBinance[[#This Row],[Preço]],T146+TbTradesBinance[[#This Row],[Qtt]]*TbTradesBinance[[#This Row],[Preço]])),T146)-IF(TbTradesBinance[[#This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Row],[Tipo]]="DROP"),T146+TbTradesBinance[[#This Row],[Qtt]],T146-TbTradesBinance[[#This Row],[Qtt]]),IF(TbTradesBinance[[#This Row],[Tipo]]="BUY",T146-TbTradesBinance[[#This Row],[Qtt]]*TbTradesBinance[[#This Row],[Preço]],T146+TbTradesBinance[[#This Row],[Qtt]]*TbTradesBinance[[#This Row],[Preço]])),T146)-IF(TbTradesBinance[[#This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Row],[Tipo]]="DROP"),T146+TbTradesBinance[[#This Row],[Qtt]],T146-TbTradesBinance[[#This Row],[Qtt]]),IF(TbTradesBinance[[#This Row],[Tipo]]="BUY",T146-TbTradesBinance[[#This Row],[Qtt]]*TbTradesBinance[[#This Row],[Preço]],T146+TbTradesBinance[[#This Row],[Qtt]]*TbTradesBinance[[#This Row],[Preço]])),T146)-IF(TbTradesBinance[[#This Row],[Moeda da Taxa]]=MID(T$1,9,5),TbTradesBinance[[#This Row],[Taxa]],0),8)))</f>
        <v>219713.72000189999</v>
      </c>
      <c r="U147" s="145" cm="1">
        <f t="array" ref="U147">IF(TbTradesBinance[[#This Row],[Tipo]]="EMPTY",0,U146+IF(TbTradesBinance[[#This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Row],[Par]]))),$1:$1,0)),-(T146-T147)/T146*U146),0),0)+IF(TbTradesBinance[[#This Row],[Tipo]]="SELL",IF(ISNUMBER(FIND(MID(U$1,10,5),TbTradesBinance[[#This Row],[Par]])),IF(FIND(MID(U$1,10,5),TbTradesBinance[[#This Row],[Par]])=1, -(T146-T147)/T146*U146,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Row],[Par]])),(-(T146-T147)/T146*U146)+IF(TbTradesBinance[[#This Row],[Resultado]]&gt;0,0,TbTradesBinance[[#This Row],[Taxa]]),0),0))</f>
        <v>1461096.2409827893</v>
      </c>
      <c r="V147" s="145">
        <f t="shared" si="41"/>
        <v>6.6500000135182926</v>
      </c>
      <c r="W14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Row],[Tipo]]="DROP"),W146+TbTradesBinance[[#This Row],[Qtt]],W146-TbTradesBinance[[#This Row],[Qtt]]),IF(TbTradesBinance[[#This Row],[Tipo]]="BUY",W146-TbTradesBinance[[#This Row],[Qtt]]*TbTradesBinance[[#This Row],[Preço]],W146+TbTradesBinance[[#This Row],[Qtt]]*TbTradesBinance[[#This Row],[Preço]])),W146)-IF(TbTradesBinance[[#This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Row],[Tipo]]="DROP"),W146+TbTradesBinance[[#This Row],[Qtt]],W146-TbTradesBinance[[#This Row],[Qtt]]),IF(TbTradesBinance[[#This Row],[Tipo]]="BUY",W146-TbTradesBinance[[#This Row],[Qtt]]*TbTradesBinance[[#This Row],[Preço]],W146+TbTradesBinance[[#This Row],[Qtt]]*TbTradesBinance[[#This Row],[Preço]])),W146)-IF(TbTradesBinance[[#This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Row],[Tipo]]="DROP"),W146+TbTradesBinance[[#This Row],[Qtt]],W146-TbTradesBinance[[#This Row],[Qtt]]),IF(TbTradesBinance[[#This Row],[Tipo]]="BUY",W146-TbTradesBinance[[#This Row],[Qtt]]*TbTradesBinance[[#This Row],[Preço]],W146+TbTradesBinance[[#This Row],[Qtt]]*TbTradesBinance[[#This Row],[Preço]])),W146)-IF(TbTradesBinance[[#This Row],[Moeda da Taxa]]=MID(W$1,9,5),TbTradesBinance[[#This Row],[Taxa]],0),8)))</f>
        <v>1.6436000000000001E-4</v>
      </c>
      <c r="X147" s="145" cm="1">
        <f t="array" ref="X147">IF(TbTradesBinance[[#This Row],[Tipo]]="EMPTY",0,X146+IF(TbTradesBinance[[#This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Row],[Par]]))),$1:$1,0)),-(W146-W147)/W146*X146),0),0)+IF(TbTradesBinance[[#This Row],[Tipo]]="SELL",IF(ISNUMBER(FIND(MID(X$1,10,5),TbTradesBinance[[#This Row],[Par]])),IF(FIND(MID(X$1,10,5),TbTradesBinance[[#This Row],[Par]])=1, -(W146-W147)/W146*X146,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Row],[Par]])),(-(W146-W147)/W146*X146)+IF(TbTradesBinance[[#This Row],[Resultado]]&gt;0,0,TbTradesBinance[[#This Row],[Taxa]]),0),0))</f>
        <v>55.654279137915474</v>
      </c>
      <c r="Y147" s="145">
        <f t="shared" si="42"/>
        <v>338612.06581841974</v>
      </c>
      <c r="Z14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Row],[Tipo]]="DROP"),Z146+TbTradesBinance[[#This Row],[Qtt]],Z146-TbTradesBinance[[#This Row],[Qtt]]),IF(TbTradesBinance[[#This Row],[Tipo]]="BUY",Z146-TbTradesBinance[[#This Row],[Qtt]]*TbTradesBinance[[#This Row],[Preço]],Z146+TbTradesBinance[[#This Row],[Qtt]]*TbTradesBinance[[#This Row],[Preço]])),Z146)-IF(TbTradesBinance[[#This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Row],[Tipo]]="DROP"),Z146+TbTradesBinance[[#This Row],[Qtt]],Z146-TbTradesBinance[[#This Row],[Qtt]]),IF(TbTradesBinance[[#This Row],[Tipo]]="BUY",Z146-TbTradesBinance[[#This Row],[Qtt]]*TbTradesBinance[[#This Row],[Preço]],Z146+TbTradesBinance[[#This Row],[Qtt]]*TbTradesBinance[[#This Row],[Preço]])),Z146)-IF(TbTradesBinance[[#This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Row],[Tipo]]="DROP"),Z146+TbTradesBinance[[#This Row],[Qtt]],Z146-TbTradesBinance[[#This Row],[Qtt]]),IF(TbTradesBinance[[#This Row],[Tipo]]="BUY",Z146-TbTradesBinance[[#This Row],[Qtt]]*TbTradesBinance[[#This Row],[Preço]],Z146+TbTradesBinance[[#This Row],[Qtt]]*TbTradesBinance[[#This Row],[Preço]])),Z146)-IF(TbTradesBinance[[#This Row],[Moeda da Taxa]]=MID(Z$1,9,5),TbTradesBinance[[#This Row],[Taxa]],0),8)))</f>
        <v>0</v>
      </c>
      <c r="AA147" s="145" cm="1">
        <f t="array" ref="AA147">IF(TbTradesBinance[[#This Row],[Tipo]]="EMPTY",0,AA146+IF(TbTradesBinance[[#This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Row],[Par]]))),$1:$1,0)),-(Z146-Z147)/Z146*AA146),0),0)+IF(TbTradesBinance[[#This Row],[Tipo]]="SELL",IF(ISNUMBER(FIND(MID(AA$1,10,5),TbTradesBinance[[#This Row],[Par]])),IF(FIND(MID(AA$1,10,5),TbTradesBinance[[#This Row],[Par]])=1, -(Z146-Z147)/Z146*AA146,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Row],[Par]])),(-(Z146-Z147)/Z146*AA146)+IF(TbTradesBinance[[#This Row],[Resultado]]&gt;0,0,TbTradesBinance[[#This Row],[Taxa]]),0),0))</f>
        <v>0</v>
      </c>
      <c r="AB147" s="145">
        <f t="shared" si="43"/>
        <v>0</v>
      </c>
      <c r="AC14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Row],[Tipo]]="DROP"),AC146+TbTradesBinance[[#This Row],[Qtt]],AC146-TbTradesBinance[[#This Row],[Qtt]]),IF(TbTradesBinance[[#This Row],[Tipo]]="BUY",AC146-TbTradesBinance[[#This Row],[Qtt]]*TbTradesBinance[[#This Row],[Preço]],AC146+TbTradesBinance[[#This Row],[Qtt]]*TbTradesBinance[[#This Row],[Preço]])),AC146)-IF(TbTradesBinance[[#This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Row],[Tipo]]="DROP"),AC146+TbTradesBinance[[#This Row],[Qtt]],AC146-TbTradesBinance[[#This Row],[Qtt]]),IF(TbTradesBinance[[#This Row],[Tipo]]="BUY",AC146-TbTradesBinance[[#This Row],[Qtt]]*TbTradesBinance[[#This Row],[Preço]],AC146+TbTradesBinance[[#This Row],[Qtt]]*TbTradesBinance[[#This Row],[Preço]])),AC146)-IF(TbTradesBinance[[#This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Row],[Tipo]]="DROP"),AC146+TbTradesBinance[[#This Row],[Qtt]],AC146-TbTradesBinance[[#This Row],[Qtt]]),IF(TbTradesBinance[[#This Row],[Tipo]]="BUY",AC146-TbTradesBinance[[#This Row],[Qtt]]*TbTradesBinance[[#This Row],[Preço]],AC146+TbTradesBinance[[#This Row],[Qtt]]*TbTradesBinance[[#This Row],[Preço]])),AC146)-IF(TbTradesBinance[[#This Row],[Moeda da Taxa]]=MID(AC$1,9,5),TbTradesBinance[[#This Row],[Taxa]],0),8)))</f>
        <v>0</v>
      </c>
      <c r="AD147" s="145" cm="1">
        <f t="array" ref="AD147">IF(TbTradesBinance[[#This Row],[Tipo]]="EMPTY",0,AD146+IF(TbTradesBinance[[#This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Row],[Par]]))),$1:$1,0)),-(AC146-AC147)/AC146*AD146),0),0)+IF(TbTradesBinance[[#This Row],[Tipo]]="SELL",IF(ISNUMBER(FIND(MID(AD$1,10,5),TbTradesBinance[[#This Row],[Par]])),IF(FIND(MID(AD$1,10,5),TbTradesBinance[[#This Row],[Par]])=1, -(AC146-AC147)/AC146*AD146,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Row],[Par]])),(-(AC146-AC147)/AC146*AD146)+IF(TbTradesBinance[[#This Row],[Resultado]]&gt;0,0,TbTradesBinance[[#This Row],[Taxa]]),0),0))</f>
        <v>0</v>
      </c>
      <c r="AE147" s="145">
        <f t="shared" si="44"/>
        <v>0</v>
      </c>
      <c r="AF14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Row],[Tipo]]="DROP"),AF146+TbTradesBinance[[#This Row],[Qtt]],AF146-TbTradesBinance[[#This Row],[Qtt]]),IF(TbTradesBinance[[#This Row],[Tipo]]="BUY",AF146-TbTradesBinance[[#This Row],[Qtt]]*TbTradesBinance[[#This Row],[Preço]],AF146+TbTradesBinance[[#This Row],[Qtt]]*TbTradesBinance[[#This Row],[Preço]])),AF146)-IF(TbTradesBinance[[#This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Row],[Tipo]]="DROP"),AF146+TbTradesBinance[[#This Row],[Qtt]],AF146-TbTradesBinance[[#This Row],[Qtt]]),IF(TbTradesBinance[[#This Row],[Tipo]]="BUY",AF146-TbTradesBinance[[#This Row],[Qtt]]*TbTradesBinance[[#This Row],[Preço]],AF146+TbTradesBinance[[#This Row],[Qtt]]*TbTradesBinance[[#This Row],[Preço]])),AF146)-IF(TbTradesBinance[[#This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Row],[Tipo]]="DROP"),AF146+TbTradesBinance[[#This Row],[Qtt]],AF146-TbTradesBinance[[#This Row],[Qtt]]),IF(TbTradesBinance[[#This Row],[Tipo]]="BUY",AF146-TbTradesBinance[[#This Row],[Qtt]]*TbTradesBinance[[#This Row],[Preço]],AF146+TbTradesBinance[[#This Row],[Qtt]]*TbTradesBinance[[#This Row],[Preço]])),AF146)-IF(TbTradesBinance[[#This Row],[Moeda da Taxa]]=MID(AF$1,9,5),TbTradesBinance[[#This Row],[Taxa]],0),8)))</f>
        <v>0</v>
      </c>
      <c r="AG147" s="145" cm="1">
        <f t="array" ref="AG147">IF(TbTradesBinance[[#This Row],[Tipo]]="EMPTY",0,AG146+IF(TbTradesBinance[[#This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Row],[Par]]))),$1:$1,0)),-(AF146-AF147)/AF146*AG146),0),0)+IF(TbTradesBinance[[#This Row],[Tipo]]="SELL",IF(ISNUMBER(FIND(MID(AG$1,10,5),TbTradesBinance[[#This Row],[Par]])),IF(FIND(MID(AG$1,10,5),TbTradesBinance[[#This Row],[Par]])=1, -(AF146-AF147)/AF146*AG146,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Row],[Par]])),(-(AF146-AF147)/AF146*AG146)+IF(TbTradesBinance[[#This Row],[Resultado]]&gt;0,0,TbTradesBinance[[#This Row],[Taxa]]),0),0))</f>
        <v>0</v>
      </c>
      <c r="AH147" s="145">
        <f t="shared" si="45"/>
        <v>0</v>
      </c>
      <c r="AI14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Row],[Tipo]]="DROP"),AI146+TbTradesBinance[[#This Row],[Qtt]],AI146-TbTradesBinance[[#This Row],[Qtt]]),IF(TbTradesBinance[[#This Row],[Tipo]]="BUY",AI146-TbTradesBinance[[#This Row],[Qtt]]*TbTradesBinance[[#This Row],[Preço]],AI146+TbTradesBinance[[#This Row],[Qtt]]*TbTradesBinance[[#This Row],[Preço]])),AI146)-IF(TbTradesBinance[[#This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Row],[Tipo]]="DROP"),AI146+TbTradesBinance[[#This Row],[Qtt]],AI146-TbTradesBinance[[#This Row],[Qtt]]),IF(TbTradesBinance[[#This Row],[Tipo]]="BUY",AI146-TbTradesBinance[[#This Row],[Qtt]]*TbTradesBinance[[#This Row],[Preço]],AI146+TbTradesBinance[[#This Row],[Qtt]]*TbTradesBinance[[#This Row],[Preço]])),AI146)-IF(TbTradesBinance[[#This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Row],[Tipo]]="DROP"),AI146+TbTradesBinance[[#This Row],[Qtt]],AI146-TbTradesBinance[[#This Row],[Qtt]]),IF(TbTradesBinance[[#This Row],[Tipo]]="BUY",AI146-TbTradesBinance[[#This Row],[Qtt]]*TbTradesBinance[[#This Row],[Preço]],AI146+TbTradesBinance[[#This Row],[Qtt]]*TbTradesBinance[[#This Row],[Preço]])),AI146)-IF(TbTradesBinance[[#This Row],[Moeda da Taxa]]=MID(AI$1,9,5),TbTradesBinance[[#This Row],[Taxa]],0),8)))</f>
        <v>0</v>
      </c>
      <c r="AJ147" s="145" cm="1">
        <f t="array" ref="AJ147">IF(TbTradesBinance[[#This Row],[Tipo]]="EMPTY",0,AJ146+IF(TbTradesBinance[[#This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Row],[Par]]))),$1:$1,0)),-(AI146-AI147)/AI146*AJ146),0),0)+IF(TbTradesBinance[[#This Row],[Tipo]]="SELL",IF(ISNUMBER(FIND(MID(AJ$1,10,5),TbTradesBinance[[#This Row],[Par]])),IF(FIND(MID(AJ$1,10,5),TbTradesBinance[[#This Row],[Par]])=1, -(AI146-AI147)/AI146*AJ146,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Row],[Par]])),(-(AI146-AI147)/AI146*AJ146)+IF(TbTradesBinance[[#This Row],[Resultado]]&gt;0,0,TbTradesBinance[[#This Row],[Taxa]]),0),0))</f>
        <v>0</v>
      </c>
      <c r="AK147" s="145">
        <f t="shared" si="46"/>
        <v>0</v>
      </c>
      <c r="AL14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Row],[Tipo]]="DROP"),AL146+TbTradesBinance[[#This Row],[Qtt]],AL146-TbTradesBinance[[#This Row],[Qtt]]),IF(TbTradesBinance[[#This Row],[Tipo]]="BUY",AL146-TbTradesBinance[[#This Row],[Qtt]]*TbTradesBinance[[#This Row],[Preço]],AL146+TbTradesBinance[[#This Row],[Qtt]]*TbTradesBinance[[#This Row],[Preço]])),AL146)-IF(TbTradesBinance[[#This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Row],[Tipo]]="DROP"),AL146+TbTradesBinance[[#This Row],[Qtt]],AL146-TbTradesBinance[[#This Row],[Qtt]]),IF(TbTradesBinance[[#This Row],[Tipo]]="BUY",AL146-TbTradesBinance[[#This Row],[Qtt]]*TbTradesBinance[[#This Row],[Preço]],AL146+TbTradesBinance[[#This Row],[Qtt]]*TbTradesBinance[[#This Row],[Preço]])),AL146)-IF(TbTradesBinance[[#This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Row],[Tipo]]="DROP"),AL146+TbTradesBinance[[#This Row],[Qtt]],AL146-TbTradesBinance[[#This Row],[Qtt]]),IF(TbTradesBinance[[#This Row],[Tipo]]="BUY",AL146-TbTradesBinance[[#This Row],[Qtt]]*TbTradesBinance[[#This Row],[Preço]],AL146+TbTradesBinance[[#This Row],[Qtt]]*TbTradesBinance[[#This Row],[Preço]])),AL146)-IF(TbTradesBinance[[#This Row],[Moeda da Taxa]]=MID(AL$1,9,5),TbTradesBinance[[#This Row],[Taxa]],0),8)))</f>
        <v>0</v>
      </c>
      <c r="AM147" s="145" cm="1">
        <f t="array" ref="AM147">IF(TbTradesBinance[[#This Row],[Tipo]]="EMPTY",0,AM146+IF(TbTradesBinance[[#This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Row],[Par]]))),$1:$1,0)),-(AL146-AL147)/AL146*AM146),0),0)+IF(TbTradesBinance[[#This Row],[Tipo]]="SELL",IF(ISNUMBER(FIND(MID(AM$1,10,5),TbTradesBinance[[#This Row],[Par]])),IF(FIND(MID(AM$1,10,5),TbTradesBinance[[#This Row],[Par]])=1, -(AL146-AL147)/AL146*AM146,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Row],[Par]])),(-(AL146-AL147)/AL146*AM146)+IF(TbTradesBinance[[#This Row],[Resultado]]&gt;0,0,TbTradesBinance[[#This Row],[Taxa]]),0),0))</f>
        <v>0</v>
      </c>
      <c r="AN147" s="145">
        <f t="shared" si="47"/>
        <v>0</v>
      </c>
      <c r="AO14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Row],[Tipo]]="DROP"),AO146+TbTradesBinance[[#This Row],[Qtt]],AO146-TbTradesBinance[[#This Row],[Qtt]]),IF(TbTradesBinance[[#This Row],[Tipo]]="BUY",AO146-TbTradesBinance[[#This Row],[Qtt]]*TbTradesBinance[[#This Row],[Preço]],AO146+TbTradesBinance[[#This Row],[Qtt]]*TbTradesBinance[[#This Row],[Preço]])),AO146)-IF(TbTradesBinance[[#This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Row],[Tipo]]="DROP"),AO146+TbTradesBinance[[#This Row],[Qtt]],AO146-TbTradesBinance[[#This Row],[Qtt]]),IF(TbTradesBinance[[#This Row],[Tipo]]="BUY",AO146-TbTradesBinance[[#This Row],[Qtt]]*TbTradesBinance[[#This Row],[Preço]],AO146+TbTradesBinance[[#This Row],[Qtt]]*TbTradesBinance[[#This Row],[Preço]])),AO146)-IF(TbTradesBinance[[#This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Row],[Tipo]]="DROP"),AO146+TbTradesBinance[[#This Row],[Qtt]],AO146-TbTradesBinance[[#This Row],[Qtt]]),IF(TbTradesBinance[[#This Row],[Tipo]]="BUY",AO146-TbTradesBinance[[#This Row],[Qtt]]*TbTradesBinance[[#This Row],[Preço]],AO146+TbTradesBinance[[#This Row],[Qtt]]*TbTradesBinance[[#This Row],[Preço]])),AO146)-IF(TbTradesBinance[[#This Row],[Moeda da Taxa]]=MID(AO$1,9,5),TbTradesBinance[[#This Row],[Taxa]],0),8)))</f>
        <v>3.7267149999999999E-2</v>
      </c>
      <c r="AP147" s="145" cm="1">
        <f t="array" ref="AP147">IF(TbTradesBinance[[#This Row],[Tipo]]="EMPTY",0,AP146+IF(TbTradesBinance[[#This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Row],[Par]]))),$1:$1,0)),-(AO146-AO147)/AO146*AP146),0),0)+IF(TbTradesBinance[[#This Row],[Tipo]]="SELL",IF(ISNUMBER(FIND(MID(AP$1,10,5),TbTradesBinance[[#This Row],[Par]])),IF(FIND(MID(AP$1,10,5),TbTradesBinance[[#This Row],[Par]])=1, -(AO146-AO147)/AO146*AP146,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Row],[Par]])),(-(AO146-AO147)/AO146*AP146)+IF(TbTradesBinance[[#This Row],[Resultado]]&gt;0,0,TbTradesBinance[[#This Row],[Taxa]]),0),0))</f>
        <v>57.065298020032813</v>
      </c>
      <c r="AQ147" s="145">
        <f t="shared" si="48"/>
        <v>1531.2493179658979</v>
      </c>
      <c r="AR14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Row],[Tipo]]="DROP"),AR146+TbTradesBinance[[#This Row],[Qtt]],AR146-TbTradesBinance[[#This Row],[Qtt]]),IF(TbTradesBinance[[#This Row],[Tipo]]="BUY",AR146-TbTradesBinance[[#This Row],[Qtt]]*TbTradesBinance[[#This Row],[Preço]],AR146+TbTradesBinance[[#This Row],[Qtt]]*TbTradesBinance[[#This Row],[Preço]])),AR146)-IF(TbTradesBinance[[#This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Row],[Tipo]]="DROP"),AR146+TbTradesBinance[[#This Row],[Qtt]],AR146-TbTradesBinance[[#This Row],[Qtt]]),IF(TbTradesBinance[[#This Row],[Tipo]]="BUY",AR146-TbTradesBinance[[#This Row],[Qtt]]*TbTradesBinance[[#This Row],[Preço]],AR146+TbTradesBinance[[#This Row],[Qtt]]*TbTradesBinance[[#This Row],[Preço]])),AR146)-IF(TbTradesBinance[[#This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Row],[Tipo]]="DROP"),AR146+TbTradesBinance[[#This Row],[Qtt]],AR146-TbTradesBinance[[#This Row],[Qtt]]),IF(TbTradesBinance[[#This Row],[Tipo]]="BUY",AR146-TbTradesBinance[[#This Row],[Qtt]]*TbTradesBinance[[#This Row],[Preço]],AR146+TbTradesBinance[[#This Row],[Qtt]]*TbTradesBinance[[#This Row],[Preço]])),AR146)-IF(TbTradesBinance[[#This Row],[Moeda da Taxa]]=MID(AR$1,9,5),TbTradesBinance[[#This Row],[Taxa]],0),8)))</f>
        <v>0</v>
      </c>
      <c r="AS147" s="145" cm="1">
        <f t="array" ref="AS147">IF(TbTradesBinance[[#This Row],[Tipo]]="EMPTY",0,AS146+IF(TbTradesBinance[[#This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Row],[Par]]))),$1:$1,0)),-(AR146-AR147)/AR146*AS146),0),0)+IF(TbTradesBinance[[#This Row],[Tipo]]="SELL",IF(ISNUMBER(FIND(MID(AS$1,10,5),TbTradesBinance[[#This Row],[Par]])),IF(FIND(MID(AS$1,10,5),TbTradesBinance[[#This Row],[Par]])=1, -(AR146-AR147)/AR146*AS146,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Row],[Par]])),(-(AR146-AR147)/AR146*AS146)+IF(TbTradesBinance[[#This Row],[Resultado]]&gt;0,0,TbTradesBinance[[#This Row],[Taxa]]),0),0))</f>
        <v>0</v>
      </c>
      <c r="AT147" s="145">
        <f t="shared" si="49"/>
        <v>0</v>
      </c>
      <c r="AU14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Row],[Tipo]]="DROP"),AU146+TbTradesBinance[[#This Row],[Qtt]],AU146-TbTradesBinance[[#This Row],[Qtt]]),IF(TbTradesBinance[[#This Row],[Tipo]]="BUY",AU146-TbTradesBinance[[#This Row],[Qtt]]*TbTradesBinance[[#This Row],[Preço]],AU146+TbTradesBinance[[#This Row],[Qtt]]*TbTradesBinance[[#This Row],[Preço]])),AU146)-IF(TbTradesBinance[[#This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Row],[Tipo]]="DROP"),AU146+TbTradesBinance[[#This Row],[Qtt]],AU146-TbTradesBinance[[#This Row],[Qtt]]),IF(TbTradesBinance[[#This Row],[Tipo]]="BUY",AU146-TbTradesBinance[[#This Row],[Qtt]]*TbTradesBinance[[#This Row],[Preço]],AU146+TbTradesBinance[[#This Row],[Qtt]]*TbTradesBinance[[#This Row],[Preço]])),AU146)-IF(TbTradesBinance[[#This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Row],[Tipo]]="DROP"),AU146+TbTradesBinance[[#This Row],[Qtt]],AU146-TbTradesBinance[[#This Row],[Qtt]]),IF(TbTradesBinance[[#This Row],[Tipo]]="BUY",AU146-TbTradesBinance[[#This Row],[Qtt]]*TbTradesBinance[[#This Row],[Preço]],AU146+TbTradesBinance[[#This Row],[Qtt]]*TbTradesBinance[[#This Row],[Preço]])),AU146)-IF(TbTradesBinance[[#This Row],[Moeda da Taxa]]=MID(AU$1,9,5),TbTradesBinance[[#This Row],[Taxa]],0),8)))</f>
        <v>0</v>
      </c>
      <c r="AV147" s="145" cm="1">
        <f t="array" ref="AV147">IF(TbTradesBinance[[#This Row],[Tipo]]="EMPTY",0,AV146+IF(TbTradesBinance[[#This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Row],[Par]]))),$1:$1,0)),-(AU146-AU147)/AU146*AV146),0),0)+IF(TbTradesBinance[[#This Row],[Tipo]]="SELL",IF(ISNUMBER(FIND(MID(AV$1,10,5),TbTradesBinance[[#This Row],[Par]])),IF(FIND(MID(AV$1,10,5),TbTradesBinance[[#This Row],[Par]])=1, -(AU146-AU147)/AU146*AV146,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Row],[Par]])),(-(AU146-AU147)/AU146*AV146)+IF(TbTradesBinance[[#This Row],[Resultado]]&gt;0,0,TbTradesBinance[[#This Row],[Taxa]]),0),0))</f>
        <v>0</v>
      </c>
      <c r="AW147" s="145">
        <f t="shared" si="50"/>
        <v>0</v>
      </c>
      <c r="AX14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Row],[Tipo]]="DROP"),AX146+TbTradesBinance[[#This Row],[Qtt]],AX146-TbTradesBinance[[#This Row],[Qtt]]),IF(TbTradesBinance[[#This Row],[Tipo]]="BUY",AX146-TbTradesBinance[[#This Row],[Qtt]]*TbTradesBinance[[#This Row],[Preço]],AX146+TbTradesBinance[[#This Row],[Qtt]]*TbTradesBinance[[#This Row],[Preço]])),AX146)-IF(TbTradesBinance[[#This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Row],[Tipo]]="DROP"),AX146+TbTradesBinance[[#This Row],[Qtt]],AX146-TbTradesBinance[[#This Row],[Qtt]]),IF(TbTradesBinance[[#This Row],[Tipo]]="BUY",AX146-TbTradesBinance[[#This Row],[Qtt]]*TbTradesBinance[[#This Row],[Preço]],AX146+TbTradesBinance[[#This Row],[Qtt]]*TbTradesBinance[[#This Row],[Preço]])),AX146)-IF(TbTradesBinance[[#This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Row],[Tipo]]="DROP"),AX146+TbTradesBinance[[#This Row],[Qtt]],AX146-TbTradesBinance[[#This Row],[Qtt]]),IF(TbTradesBinance[[#This Row],[Tipo]]="BUY",AX146-TbTradesBinance[[#This Row],[Qtt]]*TbTradesBinance[[#This Row],[Preço]],AX146+TbTradesBinance[[#This Row],[Qtt]]*TbTradesBinance[[#This Row],[Preço]])),AX146)-IF(TbTradesBinance[[#This Row],[Moeda da Taxa]]=MID(AX$1,9,5),TbTradesBinance[[#This Row],[Taxa]],0),8)))</f>
        <v>0.85636999999999996</v>
      </c>
      <c r="AY147" s="145" cm="1">
        <f t="array" ref="AY147">IF(TbTradesBinance[[#This Row],[Tipo]]="EMPTY",0,AY146+IF(TbTradesBinance[[#This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Row],[Par]]))),$1:$1,0)),-(AX146-AX147)/AX146*AY146),0),0)+IF(TbTradesBinance[[#This Row],[Tipo]]="SELL",IF(ISNUMBER(FIND(MID(AY$1,10,5),TbTradesBinance[[#This Row],[Par]])),IF(FIND(MID(AY$1,10,5),TbTradesBinance[[#This Row],[Par]])=1, -(AX146-AX147)/AX146*AY146,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Row],[Par]])),(-(AX146-AX147)/AX146*AY146)+IF(TbTradesBinance[[#This Row],[Resultado]]&gt;0,0,TbTradesBinance[[#This Row],[Taxa]]),0),0))</f>
        <v>131.82971181780295</v>
      </c>
      <c r="AZ147" s="145">
        <f t="shared" si="51"/>
        <v>153.94013314081874</v>
      </c>
      <c r="BA14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Row],[Tipo]]="DROP"),BA146+TbTradesBinance[[#This Row],[Qtt]],BA146-TbTradesBinance[[#This Row],[Qtt]]),IF(TbTradesBinance[[#This Row],[Tipo]]="BUY",BA146-TbTradesBinance[[#This Row],[Qtt]]*TbTradesBinance[[#This Row],[Preço]],BA146+TbTradesBinance[[#This Row],[Qtt]]*TbTradesBinance[[#This Row],[Preço]])),BA146)-IF(TbTradesBinance[[#This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Row],[Tipo]]="DROP"),BA146+TbTradesBinance[[#This Row],[Qtt]],BA146-TbTradesBinance[[#This Row],[Qtt]]),IF(TbTradesBinance[[#This Row],[Tipo]]="BUY",BA146-TbTradesBinance[[#This Row],[Qtt]]*TbTradesBinance[[#This Row],[Preço]],BA146+TbTradesBinance[[#This Row],[Qtt]]*TbTradesBinance[[#This Row],[Preço]])),BA146)-IF(TbTradesBinance[[#This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Row],[Tipo]]="DROP"),BA146+TbTradesBinance[[#This Row],[Qtt]],BA146-TbTradesBinance[[#This Row],[Qtt]]),IF(TbTradesBinance[[#This Row],[Tipo]]="BUY",BA146-TbTradesBinance[[#This Row],[Qtt]]*TbTradesBinance[[#This Row],[Preço]],BA146+TbTradesBinance[[#This Row],[Qtt]]*TbTradesBinance[[#This Row],[Preço]])),BA146)-IF(TbTradesBinance[[#This Row],[Moeda da Taxa]]=MID(BA$1,9,5),TbTradesBinance[[#This Row],[Taxa]],0),8)))</f>
        <v>4.0169999999999997E-2</v>
      </c>
      <c r="BB147" s="145" cm="1">
        <f t="array" ref="BB147">IF(TbTradesBinance[[#This Row],[Tipo]]="EMPTY",0,BB146+IF(TbTradesBinance[[#This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Row],[Par]]))),$1:$1,0)),-(BA146-BA147)/BA146*BB146),0),0)+IF(TbTradesBinance[[#This Row],[Tipo]]="SELL",IF(ISNUMBER(FIND(MID(BB$1,10,5),TbTradesBinance[[#This Row],[Par]])),IF(FIND(MID(BB$1,10,5),TbTradesBinance[[#This Row],[Par]])=1, -(BA146-BA147)/BA146*BB146,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Row],[Par]])),(-(BA146-BA147)/BA146*BB146)+IF(TbTradesBinance[[#This Row],[Resultado]]&gt;0,0,TbTradesBinance[[#This Row],[Taxa]]),0),0))</f>
        <v>45.914031426009828</v>
      </c>
      <c r="BC147" s="145">
        <f t="shared" si="52"/>
        <v>1142.9930651234711</v>
      </c>
      <c r="BD14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Row],[Tipo]]="DROP"),BD146+TbTradesBinance[[#This Row],[Qtt]],BD146-TbTradesBinance[[#This Row],[Qtt]]),IF(TbTradesBinance[[#This Row],[Tipo]]="BUY",BD146-TbTradesBinance[[#This Row],[Qtt]]*TbTradesBinance[[#This Row],[Preço]],BD146+TbTradesBinance[[#This Row],[Qtt]]*TbTradesBinance[[#This Row],[Preço]])),BD146)-IF(TbTradesBinance[[#This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Row],[Tipo]]="DROP"),BD146+TbTradesBinance[[#This Row],[Qtt]],BD146-TbTradesBinance[[#This Row],[Qtt]]),IF(TbTradesBinance[[#This Row],[Tipo]]="BUY",BD146-TbTradesBinance[[#This Row],[Qtt]]*TbTradesBinance[[#This Row],[Preço]],BD146+TbTradesBinance[[#This Row],[Qtt]]*TbTradesBinance[[#This Row],[Preço]])),BD146)-IF(TbTradesBinance[[#This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Row],[Tipo]]="DROP"),BD146+TbTradesBinance[[#This Row],[Qtt]],BD146-TbTradesBinance[[#This Row],[Qtt]]),IF(TbTradesBinance[[#This Row],[Tipo]]="BUY",BD146-TbTradesBinance[[#This Row],[Qtt]]*TbTradesBinance[[#This Row],[Preço]],BD146+TbTradesBinance[[#This Row],[Qtt]]*TbTradesBinance[[#This Row],[Preço]])),BD146)-IF(TbTradesBinance[[#This Row],[Moeda da Taxa]]=MID(BD$1,9,5),TbTradesBinance[[#This Row],[Taxa]],0),8)))</f>
        <v>0</v>
      </c>
      <c r="BE147" s="145" cm="1">
        <f t="array" ref="BE147">IF(TbTradesBinance[[#This Row],[Tipo]]="EMPTY",0,BE146+IF(TbTradesBinance[[#This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Row],[Par]]))),$1:$1,0)),-(BD146-BD147)/BD146*BE146),0),0)+IF(TbTradesBinance[[#This Row],[Tipo]]="SELL",IF(ISNUMBER(FIND(MID(BE$1,10,5),TbTradesBinance[[#This Row],[Par]])),IF(FIND(MID(BE$1,10,5),TbTradesBinance[[#This Row],[Par]])=1, -(BD146-BD147)/BD146*BE146,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Row],[Par]])),(-(BD146-BD147)/BD146*BE146)+IF(TbTradesBinance[[#This Row],[Resultado]]&gt;0,0,TbTradesBinance[[#This Row],[Taxa]]),0),0))</f>
        <v>0</v>
      </c>
      <c r="BF147" s="145">
        <f t="shared" si="53"/>
        <v>0</v>
      </c>
      <c r="BG14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Row],[Tipo]]="DROP"),BG146+TbTradesBinance[[#This Row],[Qtt]],BG146-TbTradesBinance[[#This Row],[Qtt]]),IF(TbTradesBinance[[#This Row],[Tipo]]="BUY",BG146-TbTradesBinance[[#This Row],[Qtt]]*TbTradesBinance[[#This Row],[Preço]],BG146+TbTradesBinance[[#This Row],[Qtt]]*TbTradesBinance[[#This Row],[Preço]])),BG146)-IF(TbTradesBinance[[#This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Row],[Tipo]]="DROP"),BG146+TbTradesBinance[[#This Row],[Qtt]],BG146-TbTradesBinance[[#This Row],[Qtt]]),IF(TbTradesBinance[[#This Row],[Tipo]]="BUY",BG146-TbTradesBinance[[#This Row],[Qtt]]*TbTradesBinance[[#This Row],[Preço]],BG146+TbTradesBinance[[#This Row],[Qtt]]*TbTradesBinance[[#This Row],[Preço]])),BG146)-IF(TbTradesBinance[[#This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Row],[Tipo]]="DROP"),BG146+TbTradesBinance[[#This Row],[Qtt]],BG146-TbTradesBinance[[#This Row],[Qtt]]),IF(TbTradesBinance[[#This Row],[Tipo]]="BUY",BG146-TbTradesBinance[[#This Row],[Qtt]]*TbTradesBinance[[#This Row],[Preço]],BG146+TbTradesBinance[[#This Row],[Qtt]]*TbTradesBinance[[#This Row],[Preço]])),BG146)-IF(TbTradesBinance[[#This Row],[Moeda da Taxa]]=MID(BG$1,9,5),TbTradesBinance[[#This Row],[Taxa]],0),8)))</f>
        <v>0</v>
      </c>
      <c r="BH147" s="145" cm="1">
        <f t="array" ref="BH147">IF(TbTradesBinance[[#This Row],[Tipo]]="EMPTY",0,BH146+IF(TbTradesBinance[[#This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Row],[Par]]))),$1:$1,0)),-(BG146-BG147)/BG146*BH146),0),0)+IF(TbTradesBinance[[#This Row],[Tipo]]="SELL",IF(ISNUMBER(FIND(MID(BH$1,10,5),TbTradesBinance[[#This Row],[Par]])),IF(FIND(MID(BH$1,10,5),TbTradesBinance[[#This Row],[Par]])=1, -(BG146-BG147)/BG146*BH146,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Row],[Par]])),(-(BG146-BG147)/BG146*BH146)+IF(TbTradesBinance[[#This Row],[Resultado]]&gt;0,0,TbTradesBinance[[#This Row],[Taxa]]),0),0))</f>
        <v>0</v>
      </c>
      <c r="BI147" s="145">
        <f t="shared" si="54"/>
        <v>0</v>
      </c>
      <c r="BJ14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Row],[Tipo]]="DROP"),BJ146+TbTradesBinance[[#This Row],[Qtt]],BJ146-TbTradesBinance[[#This Row],[Qtt]]),IF(TbTradesBinance[[#This Row],[Tipo]]="BUY",BJ146-TbTradesBinance[[#This Row],[Qtt]]*TbTradesBinance[[#This Row],[Preço]],BJ146+TbTradesBinance[[#This Row],[Qtt]]*TbTradesBinance[[#This Row],[Preço]])),BJ146)-IF(TbTradesBinance[[#This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Row],[Tipo]]="DROP"),BJ146+TbTradesBinance[[#This Row],[Qtt]],BJ146-TbTradesBinance[[#This Row],[Qtt]]),IF(TbTradesBinance[[#This Row],[Tipo]]="BUY",BJ146-TbTradesBinance[[#This Row],[Qtt]]*TbTradesBinance[[#This Row],[Preço]],BJ146+TbTradesBinance[[#This Row],[Qtt]]*TbTradesBinance[[#This Row],[Preço]])),BJ146)-IF(TbTradesBinance[[#This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Row],[Tipo]]="DROP"),BJ146+TbTradesBinance[[#This Row],[Qtt]],BJ146-TbTradesBinance[[#This Row],[Qtt]]),IF(TbTradesBinance[[#This Row],[Tipo]]="BUY",BJ146-TbTradesBinance[[#This Row],[Qtt]]*TbTradesBinance[[#This Row],[Preço]],BJ146+TbTradesBinance[[#This Row],[Qtt]]*TbTradesBinance[[#This Row],[Preço]])),BJ146)-IF(TbTradesBinance[[#This Row],[Moeda da Taxa]]=MID(BJ$1,9,5),TbTradesBinance[[#This Row],[Taxa]],0),8)))</f>
        <v>1.3665699999999999E-3</v>
      </c>
      <c r="BK147" s="145" cm="1">
        <f t="array" ref="BK147">IF(TbTradesBinance[[#This Row],[Tipo]]="EMPTY",0,BK146+IF(TbTradesBinance[[#This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Row],[Par]]))),$1:$1,0)),-(BJ146-BJ147)/BJ146*BK146),0),0)+IF(TbTradesBinance[[#This Row],[Tipo]]="SELL",IF(ISNUMBER(FIND(MID(BK$1,10,5),TbTradesBinance[[#This Row],[Par]])),IF(FIND(MID(BK$1,10,5),TbTradesBinance[[#This Row],[Par]])=1, -(BJ146-BJ147)/BJ146*BK146,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Row],[Par]])),(-(BJ146-BJ147)/BJ146*BK146)+IF(TbTradesBinance[[#This Row],[Resultado]]&gt;0,0,TbTradesBinance[[#This Row],[Taxa]]),0),0))</f>
        <v>0</v>
      </c>
      <c r="BL147" s="145">
        <f t="shared" si="55"/>
        <v>0</v>
      </c>
      <c r="BM14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Row],[Tipo]]="DROP"),BM146+TbTradesBinance[[#This Row],[Qtt]],BM146-TbTradesBinance[[#This Row],[Qtt]]),IF(TbTradesBinance[[#This Row],[Tipo]]="BUY",BM146-TbTradesBinance[[#This Row],[Qtt]]*TbTradesBinance[[#This Row],[Preço]],BM146+TbTradesBinance[[#This Row],[Qtt]]*TbTradesBinance[[#This Row],[Preço]])),BM146)-IF(TbTradesBinance[[#This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Row],[Tipo]]="DROP"),BM146+TbTradesBinance[[#This Row],[Qtt]],BM146-TbTradesBinance[[#This Row],[Qtt]]),IF(TbTradesBinance[[#This Row],[Tipo]]="BUY",BM146-TbTradesBinance[[#This Row],[Qtt]]*TbTradesBinance[[#This Row],[Preço]],BM146+TbTradesBinance[[#This Row],[Qtt]]*TbTradesBinance[[#This Row],[Preço]])),BM146)-IF(TbTradesBinance[[#This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Row],[Tipo]]="DROP"),BM146+TbTradesBinance[[#This Row],[Qtt]],BM146-TbTradesBinance[[#This Row],[Qtt]]),IF(TbTradesBinance[[#This Row],[Tipo]]="BUY",BM146-TbTradesBinance[[#This Row],[Qtt]]*TbTradesBinance[[#This Row],[Preço]],BM146+TbTradesBinance[[#This Row],[Qtt]]*TbTradesBinance[[#This Row],[Preço]])),BM146)-IF(TbTradesBinance[[#This Row],[Moeda da Taxa]]=MID(BM$1,9,5),TbTradesBinance[[#This Row],[Taxa]],0),8)))</f>
        <v>0</v>
      </c>
      <c r="BN147" s="145" cm="1">
        <f t="array" ref="BN147">IF(TbTradesBinance[[#This Row],[Tipo]]="EMPTY",0,BN146+IF(TbTradesBinance[[#This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Row],[Par]]))),$1:$1,0)),-(BM146-BM147)/BM146*BN146),0),0)+IF(TbTradesBinance[[#This Row],[Tipo]]="SELL",IF(ISNUMBER(FIND(MID(BN$1,10,5),TbTradesBinance[[#This Row],[Par]])),IF(FIND(MID(BN$1,10,5),TbTradesBinance[[#This Row],[Par]])=1, -(BM146-BM147)/BM146*BN146,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Row],[Par]])),(-(BM146-BM147)/BM146*BN146)+IF(TbTradesBinance[[#This Row],[Resultado]]&gt;0,0,TbTradesBinance[[#This Row],[Taxa]]),0),0))</f>
        <v>0</v>
      </c>
      <c r="BO147" s="145">
        <f t="shared" si="56"/>
        <v>0</v>
      </c>
    </row>
    <row r="148" spans="2:67" x14ac:dyDescent="0.3">
      <c r="B148" s="51"/>
      <c r="C148" s="40">
        <f>TRUNC(IF(AND(TbTradesBinance[[#This Row],[Tipo]]="SEND",TbTradesBinance[[#This Row],[Par]]="BRL"),TbTradesBinance[[#This Row],[Qtt]]*(1-P146)-IF(TbTradesBinance[[#This Row],[Moeda da Taxa]]="BRL",TbTradesBinance[[#This Row],[Taxa]],0),0)+IF(AND(TbTradesBinance[[#This Row],[Tipo]]="BURN",TbTradesBinance[[#This Row],[Par]]="BRL"),-TbTradesBinance[[#This Row],[Qtt]]*P146,0),2)</f>
        <v>0</v>
      </c>
      <c r="D148" s="53">
        <v>44296.870046296295</v>
      </c>
      <c r="E148" s="37" t="s">
        <v>259</v>
      </c>
      <c r="F148" s="47" t="s">
        <v>140</v>
      </c>
      <c r="G148" s="38">
        <v>253.55</v>
      </c>
      <c r="H148" s="38">
        <v>4.0169999999999997E-2</v>
      </c>
      <c r="I148" s="38">
        <v>1.6209999999999999E-5</v>
      </c>
      <c r="J148" s="37" t="s">
        <v>45</v>
      </c>
      <c r="K148" s="52">
        <v>5.6</v>
      </c>
      <c r="L148" s="40">
        <f t="shared" si="38"/>
        <v>1419.88</v>
      </c>
      <c r="M148" s="40">
        <f>IF(OR(TbTradesBinance[[#This Row],[Tipo]]="BUY",TbTradesBinance[[#This Row],[Tipo]]="RECEIVE",TbTradesBinance[[#This Row],[Tipo]]="DROP"),L148*H148,-L148*H148)</f>
        <v>-57.036579600000003</v>
      </c>
      <c r="N14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Row],[Tipo]]="DROP"),N147+TbTradesBinance[[#This Row],[Qtt]],N147-TbTradesBinance[[#This Row],[Qtt]]),IF(TbTradesBinance[[#This Row],[Tipo]]="BUY",N147-TbTradesBinance[[#This Row],[Qtt]]*TbTradesBinance[[#This Row],[Preço]],N147+TbTradesBinance[[#This Row],[Qtt]]*TbTradesBinance[[#This Row],[Preço]])),N147)-IF(TbTradesBinance[[#This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Row],[Tipo]]="DROP"),N147+TbTradesBinance[[#This Row],[Qtt]],N147-TbTradesBinance[[#This Row],[Qtt]]),IF(TbTradesBinance[[#This Row],[Tipo]]="BUY",N147-TbTradesBinance[[#This Row],[Qtt]]*TbTradesBinance[[#This Row],[Preço]],N147+TbTradesBinance[[#This Row],[Qtt]]*TbTradesBinance[[#This Row],[Preço]])),N147)-IF(TbTradesBinance[[#This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Row],[Tipo]]="DROP"),N147+TbTradesBinance[[#This Row],[Qtt]],N147-TbTradesBinance[[#This Row],[Qtt]]),IF(TbTradesBinance[[#This Row],[Tipo]]="BUY",N147-TbTradesBinance[[#This Row],[Qtt]]*TbTradesBinance[[#This Row],[Preço]],N147+TbTradesBinance[[#This Row],[Qtt]]*TbTradesBinance[[#This Row],[Preço]])),N147)-IF(TbTradesBinance[[#This Row],[Moeda da Taxa]]=MID(N$1,9,5),TbTradesBinance[[#This Row],[Taxa]],0),8)))</f>
        <v>119799.53250418</v>
      </c>
      <c r="O148" s="145" cm="1">
        <f t="array" ref="O148">IF(TbTradesBinance[[#This Row],[Tipo]]="EMPTY",0,O147+IF(TbTradesBinance[[#This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Row],[Par]]))),$1:$1,0)),-(N147-N148)/N147*O147),0),0)+IF(TbTradesBinance[[#This Row],[Tipo]]="SELL",IF(ISNUMBER(FIND(MID(O$1,10,5),TbTradesBinance[[#This Row],[Par]])),IF(FIND(MID(O$1,10,5),TbTradesBinance[[#This Row],[Par]])=1, -(N147-N148)/N147*O147,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Row],[Par]])),(-(N147-N148)/N147*O147)+IF(TbTradesBinance[[#This Row],[Resultado]]&gt;0,0,TbTradesBinance[[#This Row],[Taxa]]),0),0))</f>
        <v>119898.0751752738</v>
      </c>
      <c r="P148" s="145">
        <f t="shared" si="39"/>
        <v>1.0008225630687697</v>
      </c>
      <c r="Q14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Row],[Tipo]]="DROP"),Q147+TbTradesBinance[[#This Row],[Qtt]],Q147-TbTradesBinance[[#This Row],[Qtt]]),IF(TbTradesBinance[[#This Row],[Tipo]]="BUY",Q147-TbTradesBinance[[#This Row],[Qtt]]*TbTradesBinance[[#This Row],[Preço]],Q147+TbTradesBinance[[#This Row],[Qtt]]*TbTradesBinance[[#This Row],[Preço]])),Q147)-IF(TbTradesBinance[[#This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Row],[Tipo]]="DROP"),Q147+TbTradesBinance[[#This Row],[Qtt]],Q147-TbTradesBinance[[#This Row],[Qtt]]),IF(TbTradesBinance[[#This Row],[Tipo]]="BUY",Q147-TbTradesBinance[[#This Row],[Qtt]]*TbTradesBinance[[#This Row],[Preço]],Q147+TbTradesBinance[[#This Row],[Qtt]]*TbTradesBinance[[#This Row],[Preço]])),Q147)-IF(TbTradesBinance[[#This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Row],[Tipo]]="DROP"),Q147+TbTradesBinance[[#This Row],[Qtt]],Q147-TbTradesBinance[[#This Row],[Qtt]]),IF(TbTradesBinance[[#This Row],[Tipo]]="BUY",Q147-TbTradesBinance[[#This Row],[Qtt]]*TbTradesBinance[[#This Row],[Preço]],Q147+TbTradesBinance[[#This Row],[Qtt]]*TbTradesBinance[[#This Row],[Preço]])),Q147)-IF(TbTradesBinance[[#This Row],[Moeda da Taxa]]=MID(Q$1,9,5),TbTradesBinance[[#This Row],[Taxa]],0),8)))</f>
        <v>25.356302700000001</v>
      </c>
      <c r="R148" s="145" cm="1">
        <f t="array" ref="R148">IF(TbTradesBinance[[#This Row],[Tipo]]="EMPTY",0,R147+IF(TbTradesBinance[[#This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Row],[Par]]))),$1:$1,0)),-(Q147-Q148)/Q147*R147),0),0)+IF(TbTradesBinance[[#This Row],[Tipo]]="SELL",IF(ISNUMBER(FIND(MID(R$1,10,5),TbTradesBinance[[#This Row],[Par]])),IF(FIND(MID(R$1,10,5),TbTradesBinance[[#This Row],[Par]])=1, -(Q147-Q148)/Q147*R147,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Row],[Par]])),(-(Q147-Q148)/Q147*R147)+IF(TbTradesBinance[[#This Row],[Resultado]]&gt;0,0,TbTradesBinance[[#This Row],[Taxa]]),0),0))</f>
        <v>120.8257969142021</v>
      </c>
      <c r="S148" s="145">
        <f t="shared" si="40"/>
        <v>4.7651188875498836</v>
      </c>
      <c r="T14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Row],[Tipo]]="DROP"),T147+TbTradesBinance[[#This Row],[Qtt]],T147-TbTradesBinance[[#This Row],[Qtt]]),IF(TbTradesBinance[[#This Row],[Tipo]]="BUY",T147-TbTradesBinance[[#This Row],[Qtt]]*TbTradesBinance[[#This Row],[Preço]],T147+TbTradesBinance[[#This Row],[Qtt]]*TbTradesBinance[[#This Row],[Preço]])),T147)-IF(TbTradesBinance[[#This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Row],[Tipo]]="DROP"),T147+TbTradesBinance[[#This Row],[Qtt]],T147-TbTradesBinance[[#This Row],[Qtt]]),IF(TbTradesBinance[[#This Row],[Tipo]]="BUY",T147-TbTradesBinance[[#This Row],[Qtt]]*TbTradesBinance[[#This Row],[Preço]],T147+TbTradesBinance[[#This Row],[Qtt]]*TbTradesBinance[[#This Row],[Preço]])),T147)-IF(TbTradesBinance[[#This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Row],[Tipo]]="DROP"),T147+TbTradesBinance[[#This Row],[Qtt]],T147-TbTradesBinance[[#This Row],[Qtt]]),IF(TbTradesBinance[[#This Row],[Tipo]]="BUY",T147-TbTradesBinance[[#This Row],[Qtt]]*TbTradesBinance[[#This Row],[Preço]],T147+TbTradesBinance[[#This Row],[Qtt]]*TbTradesBinance[[#This Row],[Preço]])),T147)-IF(TbTradesBinance[[#This Row],[Moeda da Taxa]]=MID(T$1,9,5),TbTradesBinance[[#This Row],[Taxa]],0),8)))</f>
        <v>219713.72000189999</v>
      </c>
      <c r="U148" s="145" cm="1">
        <f t="array" ref="U148">IF(TbTradesBinance[[#This Row],[Tipo]]="EMPTY",0,U147+IF(TbTradesBinance[[#This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Row],[Par]]))),$1:$1,0)),-(T147-T148)/T147*U147),0),0)+IF(TbTradesBinance[[#This Row],[Tipo]]="SELL",IF(ISNUMBER(FIND(MID(U$1,10,5),TbTradesBinance[[#This Row],[Par]])),IF(FIND(MID(U$1,10,5),TbTradesBinance[[#This Row],[Par]])=1, -(T147-T148)/T147*U147,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Row],[Par]])),(-(T147-T148)/T147*U147)+IF(TbTradesBinance[[#This Row],[Resultado]]&gt;0,0,TbTradesBinance[[#This Row],[Taxa]]),0),0))</f>
        <v>1461096.2409827893</v>
      </c>
      <c r="V148" s="145">
        <f t="shared" si="41"/>
        <v>6.6500000135182926</v>
      </c>
      <c r="W14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Row],[Tipo]]="DROP"),W147+TbTradesBinance[[#This Row],[Qtt]],W147-TbTradesBinance[[#This Row],[Qtt]]),IF(TbTradesBinance[[#This Row],[Tipo]]="BUY",W147-TbTradesBinance[[#This Row],[Qtt]]*TbTradesBinance[[#This Row],[Preço]],W147+TbTradesBinance[[#This Row],[Qtt]]*TbTradesBinance[[#This Row],[Preço]])),W147)-IF(TbTradesBinance[[#This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Row],[Tipo]]="DROP"),W147+TbTradesBinance[[#This Row],[Qtt]],W147-TbTradesBinance[[#This Row],[Qtt]]),IF(TbTradesBinance[[#This Row],[Tipo]]="BUY",W147-TbTradesBinance[[#This Row],[Qtt]]*TbTradesBinance[[#This Row],[Preço]],W147+TbTradesBinance[[#This Row],[Qtt]]*TbTradesBinance[[#This Row],[Preço]])),W147)-IF(TbTradesBinance[[#This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Row],[Tipo]]="DROP"),W147+TbTradesBinance[[#This Row],[Qtt]],W147-TbTradesBinance[[#This Row],[Qtt]]),IF(TbTradesBinance[[#This Row],[Tipo]]="BUY",W147-TbTradesBinance[[#This Row],[Qtt]]*TbTradesBinance[[#This Row],[Preço]],W147+TbTradesBinance[[#This Row],[Qtt]]*TbTradesBinance[[#This Row],[Preço]])),W147)-IF(TbTradesBinance[[#This Row],[Moeda da Taxa]]=MID(W$1,9,5),TbTradesBinance[[#This Row],[Taxa]],0),8)))</f>
        <v>1.6436000000000001E-4</v>
      </c>
      <c r="X148" s="145" cm="1">
        <f t="array" ref="X148">IF(TbTradesBinance[[#This Row],[Tipo]]="EMPTY",0,X147+IF(TbTradesBinance[[#This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Row],[Par]]))),$1:$1,0)),-(W147-W148)/W147*X147),0),0)+IF(TbTradesBinance[[#This Row],[Tipo]]="SELL",IF(ISNUMBER(FIND(MID(X$1,10,5),TbTradesBinance[[#This Row],[Par]])),IF(FIND(MID(X$1,10,5),TbTradesBinance[[#This Row],[Par]])=1, -(W147-W148)/W147*X147,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Row],[Par]])),(-(W147-W148)/W147*X147)+IF(TbTradesBinance[[#This Row],[Resultado]]&gt;0,0,TbTradesBinance[[#This Row],[Taxa]]),0),0))</f>
        <v>55.654279137915474</v>
      </c>
      <c r="Y148" s="145">
        <f t="shared" si="42"/>
        <v>338612.06581841974</v>
      </c>
      <c r="Z14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Row],[Tipo]]="DROP"),Z147+TbTradesBinance[[#This Row],[Qtt]],Z147-TbTradesBinance[[#This Row],[Qtt]]),IF(TbTradesBinance[[#This Row],[Tipo]]="BUY",Z147-TbTradesBinance[[#This Row],[Qtt]]*TbTradesBinance[[#This Row],[Preço]],Z147+TbTradesBinance[[#This Row],[Qtt]]*TbTradesBinance[[#This Row],[Preço]])),Z147)-IF(TbTradesBinance[[#This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Row],[Tipo]]="DROP"),Z147+TbTradesBinance[[#This Row],[Qtt]],Z147-TbTradesBinance[[#This Row],[Qtt]]),IF(TbTradesBinance[[#This Row],[Tipo]]="BUY",Z147-TbTradesBinance[[#This Row],[Qtt]]*TbTradesBinance[[#This Row],[Preço]],Z147+TbTradesBinance[[#This Row],[Qtt]]*TbTradesBinance[[#This Row],[Preço]])),Z147)-IF(TbTradesBinance[[#This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Row],[Tipo]]="DROP"),Z147+TbTradesBinance[[#This Row],[Qtt]],Z147-TbTradesBinance[[#This Row],[Qtt]]),IF(TbTradesBinance[[#This Row],[Tipo]]="BUY",Z147-TbTradesBinance[[#This Row],[Qtt]]*TbTradesBinance[[#This Row],[Preço]],Z147+TbTradesBinance[[#This Row],[Qtt]]*TbTradesBinance[[#This Row],[Preço]])),Z147)-IF(TbTradesBinance[[#This Row],[Moeda da Taxa]]=MID(Z$1,9,5),TbTradesBinance[[#This Row],[Taxa]],0),8)))</f>
        <v>0</v>
      </c>
      <c r="AA148" s="145" cm="1">
        <f t="array" ref="AA148">IF(TbTradesBinance[[#This Row],[Tipo]]="EMPTY",0,AA147+IF(TbTradesBinance[[#This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Row],[Par]]))),$1:$1,0)),-(Z147-Z148)/Z147*AA147),0),0)+IF(TbTradesBinance[[#This Row],[Tipo]]="SELL",IF(ISNUMBER(FIND(MID(AA$1,10,5),TbTradesBinance[[#This Row],[Par]])),IF(FIND(MID(AA$1,10,5),TbTradesBinance[[#This Row],[Par]])=1, -(Z147-Z148)/Z147*AA147,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Row],[Par]])),(-(Z147-Z148)/Z147*AA147)+IF(TbTradesBinance[[#This Row],[Resultado]]&gt;0,0,TbTradesBinance[[#This Row],[Taxa]]),0),0))</f>
        <v>0</v>
      </c>
      <c r="AB148" s="145">
        <f t="shared" si="43"/>
        <v>0</v>
      </c>
      <c r="AC14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Row],[Tipo]]="DROP"),AC147+TbTradesBinance[[#This Row],[Qtt]],AC147-TbTradesBinance[[#This Row],[Qtt]]),IF(TbTradesBinance[[#This Row],[Tipo]]="BUY",AC147-TbTradesBinance[[#This Row],[Qtt]]*TbTradesBinance[[#This Row],[Preço]],AC147+TbTradesBinance[[#This Row],[Qtt]]*TbTradesBinance[[#This Row],[Preço]])),AC147)-IF(TbTradesBinance[[#This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Row],[Tipo]]="DROP"),AC147+TbTradesBinance[[#This Row],[Qtt]],AC147-TbTradesBinance[[#This Row],[Qtt]]),IF(TbTradesBinance[[#This Row],[Tipo]]="BUY",AC147-TbTradesBinance[[#This Row],[Qtt]]*TbTradesBinance[[#This Row],[Preço]],AC147+TbTradesBinance[[#This Row],[Qtt]]*TbTradesBinance[[#This Row],[Preço]])),AC147)-IF(TbTradesBinance[[#This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Row],[Tipo]]="DROP"),AC147+TbTradesBinance[[#This Row],[Qtt]],AC147-TbTradesBinance[[#This Row],[Qtt]]),IF(TbTradesBinance[[#This Row],[Tipo]]="BUY",AC147-TbTradesBinance[[#This Row],[Qtt]]*TbTradesBinance[[#This Row],[Preço]],AC147+TbTradesBinance[[#This Row],[Qtt]]*TbTradesBinance[[#This Row],[Preço]])),AC147)-IF(TbTradesBinance[[#This Row],[Moeda da Taxa]]=MID(AC$1,9,5),TbTradesBinance[[#This Row],[Taxa]],0),8)))</f>
        <v>0</v>
      </c>
      <c r="AD148" s="145" cm="1">
        <f t="array" ref="AD148">IF(TbTradesBinance[[#This Row],[Tipo]]="EMPTY",0,AD147+IF(TbTradesBinance[[#This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Row],[Par]]))),$1:$1,0)),-(AC147-AC148)/AC147*AD147),0),0)+IF(TbTradesBinance[[#This Row],[Tipo]]="SELL",IF(ISNUMBER(FIND(MID(AD$1,10,5),TbTradesBinance[[#This Row],[Par]])),IF(FIND(MID(AD$1,10,5),TbTradesBinance[[#This Row],[Par]])=1, -(AC147-AC148)/AC147*AD147,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Row],[Par]])),(-(AC147-AC148)/AC147*AD147)+IF(TbTradesBinance[[#This Row],[Resultado]]&gt;0,0,TbTradesBinance[[#This Row],[Taxa]]),0),0))</f>
        <v>0</v>
      </c>
      <c r="AE148" s="145">
        <f t="shared" si="44"/>
        <v>0</v>
      </c>
      <c r="AF14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Row],[Tipo]]="DROP"),AF147+TbTradesBinance[[#This Row],[Qtt]],AF147-TbTradesBinance[[#This Row],[Qtt]]),IF(TbTradesBinance[[#This Row],[Tipo]]="BUY",AF147-TbTradesBinance[[#This Row],[Qtt]]*TbTradesBinance[[#This Row],[Preço]],AF147+TbTradesBinance[[#This Row],[Qtt]]*TbTradesBinance[[#This Row],[Preço]])),AF147)-IF(TbTradesBinance[[#This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Row],[Tipo]]="DROP"),AF147+TbTradesBinance[[#This Row],[Qtt]],AF147-TbTradesBinance[[#This Row],[Qtt]]),IF(TbTradesBinance[[#This Row],[Tipo]]="BUY",AF147-TbTradesBinance[[#This Row],[Qtt]]*TbTradesBinance[[#This Row],[Preço]],AF147+TbTradesBinance[[#This Row],[Qtt]]*TbTradesBinance[[#This Row],[Preço]])),AF147)-IF(TbTradesBinance[[#This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Row],[Tipo]]="DROP"),AF147+TbTradesBinance[[#This Row],[Qtt]],AF147-TbTradesBinance[[#This Row],[Qtt]]),IF(TbTradesBinance[[#This Row],[Tipo]]="BUY",AF147-TbTradesBinance[[#This Row],[Qtt]]*TbTradesBinance[[#This Row],[Preço]],AF147+TbTradesBinance[[#This Row],[Qtt]]*TbTradesBinance[[#This Row],[Preço]])),AF147)-IF(TbTradesBinance[[#This Row],[Moeda da Taxa]]=MID(AF$1,9,5),TbTradesBinance[[#This Row],[Taxa]],0),8)))</f>
        <v>0</v>
      </c>
      <c r="AG148" s="145" cm="1">
        <f t="array" ref="AG148">IF(TbTradesBinance[[#This Row],[Tipo]]="EMPTY",0,AG147+IF(TbTradesBinance[[#This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Row],[Par]]))),$1:$1,0)),-(AF147-AF148)/AF147*AG147),0),0)+IF(TbTradesBinance[[#This Row],[Tipo]]="SELL",IF(ISNUMBER(FIND(MID(AG$1,10,5),TbTradesBinance[[#This Row],[Par]])),IF(FIND(MID(AG$1,10,5),TbTradesBinance[[#This Row],[Par]])=1, -(AF147-AF148)/AF147*AG147,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Row],[Par]])),(-(AF147-AF148)/AF147*AG147)+IF(TbTradesBinance[[#This Row],[Resultado]]&gt;0,0,TbTradesBinance[[#This Row],[Taxa]]),0),0))</f>
        <v>0</v>
      </c>
      <c r="AH148" s="145">
        <f t="shared" si="45"/>
        <v>0</v>
      </c>
      <c r="AI14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Row],[Tipo]]="DROP"),AI147+TbTradesBinance[[#This Row],[Qtt]],AI147-TbTradesBinance[[#This Row],[Qtt]]),IF(TbTradesBinance[[#This Row],[Tipo]]="BUY",AI147-TbTradesBinance[[#This Row],[Qtt]]*TbTradesBinance[[#This Row],[Preço]],AI147+TbTradesBinance[[#This Row],[Qtt]]*TbTradesBinance[[#This Row],[Preço]])),AI147)-IF(TbTradesBinance[[#This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Row],[Tipo]]="DROP"),AI147+TbTradesBinance[[#This Row],[Qtt]],AI147-TbTradesBinance[[#This Row],[Qtt]]),IF(TbTradesBinance[[#This Row],[Tipo]]="BUY",AI147-TbTradesBinance[[#This Row],[Qtt]]*TbTradesBinance[[#This Row],[Preço]],AI147+TbTradesBinance[[#This Row],[Qtt]]*TbTradesBinance[[#This Row],[Preço]])),AI147)-IF(TbTradesBinance[[#This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Row],[Tipo]]="DROP"),AI147+TbTradesBinance[[#This Row],[Qtt]],AI147-TbTradesBinance[[#This Row],[Qtt]]),IF(TbTradesBinance[[#This Row],[Tipo]]="BUY",AI147-TbTradesBinance[[#This Row],[Qtt]]*TbTradesBinance[[#This Row],[Preço]],AI147+TbTradesBinance[[#This Row],[Qtt]]*TbTradesBinance[[#This Row],[Preço]])),AI147)-IF(TbTradesBinance[[#This Row],[Moeda da Taxa]]=MID(AI$1,9,5),TbTradesBinance[[#This Row],[Taxa]],0),8)))</f>
        <v>0</v>
      </c>
      <c r="AJ148" s="145" cm="1">
        <f t="array" ref="AJ148">IF(TbTradesBinance[[#This Row],[Tipo]]="EMPTY",0,AJ147+IF(TbTradesBinance[[#This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Row],[Par]]))),$1:$1,0)),-(AI147-AI148)/AI147*AJ147),0),0)+IF(TbTradesBinance[[#This Row],[Tipo]]="SELL",IF(ISNUMBER(FIND(MID(AJ$1,10,5),TbTradesBinance[[#This Row],[Par]])),IF(FIND(MID(AJ$1,10,5),TbTradesBinance[[#This Row],[Par]])=1, -(AI147-AI148)/AI147*AJ147,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Row],[Par]])),(-(AI147-AI148)/AI147*AJ147)+IF(TbTradesBinance[[#This Row],[Resultado]]&gt;0,0,TbTradesBinance[[#This Row],[Taxa]]),0),0))</f>
        <v>0</v>
      </c>
      <c r="AK148" s="145">
        <f t="shared" si="46"/>
        <v>0</v>
      </c>
      <c r="AL14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Row],[Tipo]]="DROP"),AL147+TbTradesBinance[[#This Row],[Qtt]],AL147-TbTradesBinance[[#This Row],[Qtt]]),IF(TbTradesBinance[[#This Row],[Tipo]]="BUY",AL147-TbTradesBinance[[#This Row],[Qtt]]*TbTradesBinance[[#This Row],[Preço]],AL147+TbTradesBinance[[#This Row],[Qtt]]*TbTradesBinance[[#This Row],[Preço]])),AL147)-IF(TbTradesBinance[[#This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Row],[Tipo]]="DROP"),AL147+TbTradesBinance[[#This Row],[Qtt]],AL147-TbTradesBinance[[#This Row],[Qtt]]),IF(TbTradesBinance[[#This Row],[Tipo]]="BUY",AL147-TbTradesBinance[[#This Row],[Qtt]]*TbTradesBinance[[#This Row],[Preço]],AL147+TbTradesBinance[[#This Row],[Qtt]]*TbTradesBinance[[#This Row],[Preço]])),AL147)-IF(TbTradesBinance[[#This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Row],[Tipo]]="DROP"),AL147+TbTradesBinance[[#This Row],[Qtt]],AL147-TbTradesBinance[[#This Row],[Qtt]]),IF(TbTradesBinance[[#This Row],[Tipo]]="BUY",AL147-TbTradesBinance[[#This Row],[Qtt]]*TbTradesBinance[[#This Row],[Preço]],AL147+TbTradesBinance[[#This Row],[Qtt]]*TbTradesBinance[[#This Row],[Preço]])),AL147)-IF(TbTradesBinance[[#This Row],[Moeda da Taxa]]=MID(AL$1,9,5),TbTradesBinance[[#This Row],[Taxa]],0),8)))</f>
        <v>0</v>
      </c>
      <c r="AM148" s="145" cm="1">
        <f t="array" ref="AM148">IF(TbTradesBinance[[#This Row],[Tipo]]="EMPTY",0,AM147+IF(TbTradesBinance[[#This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Row],[Par]]))),$1:$1,0)),-(AL147-AL148)/AL147*AM147),0),0)+IF(TbTradesBinance[[#This Row],[Tipo]]="SELL",IF(ISNUMBER(FIND(MID(AM$1,10,5),TbTradesBinance[[#This Row],[Par]])),IF(FIND(MID(AM$1,10,5),TbTradesBinance[[#This Row],[Par]])=1, -(AL147-AL148)/AL147*AM147,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Row],[Par]])),(-(AL147-AL148)/AL147*AM147)+IF(TbTradesBinance[[#This Row],[Resultado]]&gt;0,0,TbTradesBinance[[#This Row],[Taxa]]),0),0))</f>
        <v>0</v>
      </c>
      <c r="AN148" s="145">
        <f t="shared" si="47"/>
        <v>0</v>
      </c>
      <c r="AO14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Row],[Tipo]]="DROP"),AO147+TbTradesBinance[[#This Row],[Qtt]],AO147-TbTradesBinance[[#This Row],[Qtt]]),IF(TbTradesBinance[[#This Row],[Tipo]]="BUY",AO147-TbTradesBinance[[#This Row],[Qtt]]*TbTradesBinance[[#This Row],[Preço]],AO147+TbTradesBinance[[#This Row],[Qtt]]*TbTradesBinance[[#This Row],[Preço]])),AO147)-IF(TbTradesBinance[[#This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Row],[Tipo]]="DROP"),AO147+TbTradesBinance[[#This Row],[Qtt]],AO147-TbTradesBinance[[#This Row],[Qtt]]),IF(TbTradesBinance[[#This Row],[Tipo]]="BUY",AO147-TbTradesBinance[[#This Row],[Qtt]]*TbTradesBinance[[#This Row],[Preço]],AO147+TbTradesBinance[[#This Row],[Qtt]]*TbTradesBinance[[#This Row],[Preço]])),AO147)-IF(TbTradesBinance[[#This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Row],[Tipo]]="DROP"),AO147+TbTradesBinance[[#This Row],[Qtt]],AO147-TbTradesBinance[[#This Row],[Qtt]]),IF(TbTradesBinance[[#This Row],[Tipo]]="BUY",AO147-TbTradesBinance[[#This Row],[Qtt]]*TbTradesBinance[[#This Row],[Preço]],AO147+TbTradesBinance[[#This Row],[Qtt]]*TbTradesBinance[[#This Row],[Preço]])),AO147)-IF(TbTradesBinance[[#This Row],[Moeda da Taxa]]=MID(AO$1,9,5),TbTradesBinance[[#This Row],[Taxa]],0),8)))</f>
        <v>3.7250940000000003E-2</v>
      </c>
      <c r="AP148" s="145" cm="1">
        <f t="array" ref="AP148">IF(TbTradesBinance[[#This Row],[Tipo]]="EMPTY",0,AP147+IF(TbTradesBinance[[#This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Row],[Par]]))),$1:$1,0)),-(AO147-AO148)/AO147*AP147),0),0)+IF(TbTradesBinance[[#This Row],[Tipo]]="SELL",IF(ISNUMBER(FIND(MID(AP$1,10,5),TbTradesBinance[[#This Row],[Par]])),IF(FIND(MID(AP$1,10,5),TbTradesBinance[[#This Row],[Par]])=1, -(AO147-AO148)/AO147*AP147,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Row],[Par]])),(-(AO147-AO148)/AO147*AP147)+IF(TbTradesBinance[[#This Row],[Resultado]]&gt;0,0,TbTradesBinance[[#This Row],[Taxa]]),0),0))</f>
        <v>57.065298020032813</v>
      </c>
      <c r="AQ148" s="145">
        <f t="shared" si="48"/>
        <v>1531.9156515253792</v>
      </c>
      <c r="AR14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Row],[Tipo]]="DROP"),AR147+TbTradesBinance[[#This Row],[Qtt]],AR147-TbTradesBinance[[#This Row],[Qtt]]),IF(TbTradesBinance[[#This Row],[Tipo]]="BUY",AR147-TbTradesBinance[[#This Row],[Qtt]]*TbTradesBinance[[#This Row],[Preço]],AR147+TbTradesBinance[[#This Row],[Qtt]]*TbTradesBinance[[#This Row],[Preço]])),AR147)-IF(TbTradesBinance[[#This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Row],[Tipo]]="DROP"),AR147+TbTradesBinance[[#This Row],[Qtt]],AR147-TbTradesBinance[[#This Row],[Qtt]]),IF(TbTradesBinance[[#This Row],[Tipo]]="BUY",AR147-TbTradesBinance[[#This Row],[Qtt]]*TbTradesBinance[[#This Row],[Preço]],AR147+TbTradesBinance[[#This Row],[Qtt]]*TbTradesBinance[[#This Row],[Preço]])),AR147)-IF(TbTradesBinance[[#This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Row],[Tipo]]="DROP"),AR147+TbTradesBinance[[#This Row],[Qtt]],AR147-TbTradesBinance[[#This Row],[Qtt]]),IF(TbTradesBinance[[#This Row],[Tipo]]="BUY",AR147-TbTradesBinance[[#This Row],[Qtt]]*TbTradesBinance[[#This Row],[Preço]],AR147+TbTradesBinance[[#This Row],[Qtt]]*TbTradesBinance[[#This Row],[Preço]])),AR147)-IF(TbTradesBinance[[#This Row],[Moeda da Taxa]]=MID(AR$1,9,5),TbTradesBinance[[#This Row],[Taxa]],0),8)))</f>
        <v>0</v>
      </c>
      <c r="AS148" s="145" cm="1">
        <f t="array" ref="AS148">IF(TbTradesBinance[[#This Row],[Tipo]]="EMPTY",0,AS147+IF(TbTradesBinance[[#This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Row],[Par]]))),$1:$1,0)),-(AR147-AR148)/AR147*AS147),0),0)+IF(TbTradesBinance[[#This Row],[Tipo]]="SELL",IF(ISNUMBER(FIND(MID(AS$1,10,5),TbTradesBinance[[#This Row],[Par]])),IF(FIND(MID(AS$1,10,5),TbTradesBinance[[#This Row],[Par]])=1, -(AR147-AR148)/AR147*AS147,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Row],[Par]])),(-(AR147-AR148)/AR147*AS147)+IF(TbTradesBinance[[#This Row],[Resultado]]&gt;0,0,TbTradesBinance[[#This Row],[Taxa]]),0),0))</f>
        <v>0</v>
      </c>
      <c r="AT148" s="145">
        <f t="shared" si="49"/>
        <v>0</v>
      </c>
      <c r="AU14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Row],[Tipo]]="DROP"),AU147+TbTradesBinance[[#This Row],[Qtt]],AU147-TbTradesBinance[[#This Row],[Qtt]]),IF(TbTradesBinance[[#This Row],[Tipo]]="BUY",AU147-TbTradesBinance[[#This Row],[Qtt]]*TbTradesBinance[[#This Row],[Preço]],AU147+TbTradesBinance[[#This Row],[Qtt]]*TbTradesBinance[[#This Row],[Preço]])),AU147)-IF(TbTradesBinance[[#This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Row],[Tipo]]="DROP"),AU147+TbTradesBinance[[#This Row],[Qtt]],AU147-TbTradesBinance[[#This Row],[Qtt]]),IF(TbTradesBinance[[#This Row],[Tipo]]="BUY",AU147-TbTradesBinance[[#This Row],[Qtt]]*TbTradesBinance[[#This Row],[Preço]],AU147+TbTradesBinance[[#This Row],[Qtt]]*TbTradesBinance[[#This Row],[Preço]])),AU147)-IF(TbTradesBinance[[#This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Row],[Tipo]]="DROP"),AU147+TbTradesBinance[[#This Row],[Qtt]],AU147-TbTradesBinance[[#This Row],[Qtt]]),IF(TbTradesBinance[[#This Row],[Tipo]]="BUY",AU147-TbTradesBinance[[#This Row],[Qtt]]*TbTradesBinance[[#This Row],[Preço]],AU147+TbTradesBinance[[#This Row],[Qtt]]*TbTradesBinance[[#This Row],[Preço]])),AU147)-IF(TbTradesBinance[[#This Row],[Moeda da Taxa]]=MID(AU$1,9,5),TbTradesBinance[[#This Row],[Taxa]],0),8)))</f>
        <v>0</v>
      </c>
      <c r="AV148" s="145" cm="1">
        <f t="array" ref="AV148">IF(TbTradesBinance[[#This Row],[Tipo]]="EMPTY",0,AV147+IF(TbTradesBinance[[#This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Row],[Par]]))),$1:$1,0)),-(AU147-AU148)/AU147*AV147),0),0)+IF(TbTradesBinance[[#This Row],[Tipo]]="SELL",IF(ISNUMBER(FIND(MID(AV$1,10,5),TbTradesBinance[[#This Row],[Par]])),IF(FIND(MID(AV$1,10,5),TbTradesBinance[[#This Row],[Par]])=1, -(AU147-AU148)/AU147*AV147,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Row],[Par]])),(-(AU147-AU148)/AU147*AV147)+IF(TbTradesBinance[[#This Row],[Resultado]]&gt;0,0,TbTradesBinance[[#This Row],[Taxa]]),0),0))</f>
        <v>0</v>
      </c>
      <c r="AW148" s="145">
        <f t="shared" si="50"/>
        <v>0</v>
      </c>
      <c r="AX14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Row],[Tipo]]="DROP"),AX147+TbTradesBinance[[#This Row],[Qtt]],AX147-TbTradesBinance[[#This Row],[Qtt]]),IF(TbTradesBinance[[#This Row],[Tipo]]="BUY",AX147-TbTradesBinance[[#This Row],[Qtt]]*TbTradesBinance[[#This Row],[Preço]],AX147+TbTradesBinance[[#This Row],[Qtt]]*TbTradesBinance[[#This Row],[Preço]])),AX147)-IF(TbTradesBinance[[#This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Row],[Tipo]]="DROP"),AX147+TbTradesBinance[[#This Row],[Qtt]],AX147-TbTradesBinance[[#This Row],[Qtt]]),IF(TbTradesBinance[[#This Row],[Tipo]]="BUY",AX147-TbTradesBinance[[#This Row],[Qtt]]*TbTradesBinance[[#This Row],[Preço]],AX147+TbTradesBinance[[#This Row],[Qtt]]*TbTradesBinance[[#This Row],[Preço]])),AX147)-IF(TbTradesBinance[[#This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Row],[Tipo]]="DROP"),AX147+TbTradesBinance[[#This Row],[Qtt]],AX147-TbTradesBinance[[#This Row],[Qtt]]),IF(TbTradesBinance[[#This Row],[Tipo]]="BUY",AX147-TbTradesBinance[[#This Row],[Qtt]]*TbTradesBinance[[#This Row],[Preço]],AX147+TbTradesBinance[[#This Row],[Qtt]]*TbTradesBinance[[#This Row],[Preço]])),AX147)-IF(TbTradesBinance[[#This Row],[Moeda da Taxa]]=MID(AX$1,9,5),TbTradesBinance[[#This Row],[Taxa]],0),8)))</f>
        <v>0.85636999999999996</v>
      </c>
      <c r="AY148" s="145" cm="1">
        <f t="array" ref="AY148">IF(TbTradesBinance[[#This Row],[Tipo]]="EMPTY",0,AY147+IF(TbTradesBinance[[#This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Row],[Par]]))),$1:$1,0)),-(AX147-AX148)/AX147*AY147),0),0)+IF(TbTradesBinance[[#This Row],[Tipo]]="SELL",IF(ISNUMBER(FIND(MID(AY$1,10,5),TbTradesBinance[[#This Row],[Par]])),IF(FIND(MID(AY$1,10,5),TbTradesBinance[[#This Row],[Par]])=1, -(AX147-AX148)/AX147*AY147,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Row],[Par]])),(-(AX147-AX148)/AX147*AY147)+IF(TbTradesBinance[[#This Row],[Resultado]]&gt;0,0,TbTradesBinance[[#This Row],[Taxa]]),0),0))</f>
        <v>131.82971181780295</v>
      </c>
      <c r="AZ148" s="145">
        <f t="shared" si="51"/>
        <v>153.94013314081874</v>
      </c>
      <c r="BA14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Row],[Tipo]]="DROP"),BA147+TbTradesBinance[[#This Row],[Qtt]],BA147-TbTradesBinance[[#This Row],[Qtt]]),IF(TbTradesBinance[[#This Row],[Tipo]]="BUY",BA147-TbTradesBinance[[#This Row],[Qtt]]*TbTradesBinance[[#This Row],[Preço]],BA147+TbTradesBinance[[#This Row],[Qtt]]*TbTradesBinance[[#This Row],[Preço]])),BA147)-IF(TbTradesBinance[[#This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Row],[Tipo]]="DROP"),BA147+TbTradesBinance[[#This Row],[Qtt]],BA147-TbTradesBinance[[#This Row],[Qtt]]),IF(TbTradesBinance[[#This Row],[Tipo]]="BUY",BA147-TbTradesBinance[[#This Row],[Qtt]]*TbTradesBinance[[#This Row],[Preço]],BA147+TbTradesBinance[[#This Row],[Qtt]]*TbTradesBinance[[#This Row],[Preço]])),BA147)-IF(TbTradesBinance[[#This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Row],[Tipo]]="DROP"),BA147+TbTradesBinance[[#This Row],[Qtt]],BA147-TbTradesBinance[[#This Row],[Qtt]]),IF(TbTradesBinance[[#This Row],[Tipo]]="BUY",BA147-TbTradesBinance[[#This Row],[Qtt]]*TbTradesBinance[[#This Row],[Preço]],BA147+TbTradesBinance[[#This Row],[Qtt]]*TbTradesBinance[[#This Row],[Preço]])),BA147)-IF(TbTradesBinance[[#This Row],[Moeda da Taxa]]=MID(BA$1,9,5),TbTradesBinance[[#This Row],[Taxa]],0),8)))</f>
        <v>0</v>
      </c>
      <c r="BB148" s="145" cm="1">
        <f t="array" ref="BB148">IF(TbTradesBinance[[#This Row],[Tipo]]="EMPTY",0,BB147+IF(TbTradesBinance[[#This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Row],[Par]]))),$1:$1,0)),-(BA147-BA148)/BA147*BB147),0),0)+IF(TbTradesBinance[[#This Row],[Tipo]]="SELL",IF(ISNUMBER(FIND(MID(BB$1,10,5),TbTradesBinance[[#This Row],[Par]])),IF(FIND(MID(BB$1,10,5),TbTradesBinance[[#This Row],[Par]])=1, -(BA147-BA148)/BA147*BB147,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Row],[Par]])),(-(BA147-BA148)/BA147*BB147)+IF(TbTradesBinance[[#This Row],[Resultado]]&gt;0,0,TbTradesBinance[[#This Row],[Taxa]]),0),0))</f>
        <v>0</v>
      </c>
      <c r="BC148" s="145">
        <f t="shared" si="52"/>
        <v>0</v>
      </c>
      <c r="BD14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Row],[Tipo]]="DROP"),BD147+TbTradesBinance[[#This Row],[Qtt]],BD147-TbTradesBinance[[#This Row],[Qtt]]),IF(TbTradesBinance[[#This Row],[Tipo]]="BUY",BD147-TbTradesBinance[[#This Row],[Qtt]]*TbTradesBinance[[#This Row],[Preço]],BD147+TbTradesBinance[[#This Row],[Qtt]]*TbTradesBinance[[#This Row],[Preço]])),BD147)-IF(TbTradesBinance[[#This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Row],[Tipo]]="DROP"),BD147+TbTradesBinance[[#This Row],[Qtt]],BD147-TbTradesBinance[[#This Row],[Qtt]]),IF(TbTradesBinance[[#This Row],[Tipo]]="BUY",BD147-TbTradesBinance[[#This Row],[Qtt]]*TbTradesBinance[[#This Row],[Preço]],BD147+TbTradesBinance[[#This Row],[Qtt]]*TbTradesBinance[[#This Row],[Preço]])),BD147)-IF(TbTradesBinance[[#This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Row],[Tipo]]="DROP"),BD147+TbTradesBinance[[#This Row],[Qtt]],BD147-TbTradesBinance[[#This Row],[Qtt]]),IF(TbTradesBinance[[#This Row],[Tipo]]="BUY",BD147-TbTradesBinance[[#This Row],[Qtt]]*TbTradesBinance[[#This Row],[Preço]],BD147+TbTradesBinance[[#This Row],[Qtt]]*TbTradesBinance[[#This Row],[Preço]])),BD147)-IF(TbTradesBinance[[#This Row],[Moeda da Taxa]]=MID(BD$1,9,5),TbTradesBinance[[#This Row],[Taxa]],0),8)))</f>
        <v>0</v>
      </c>
      <c r="BE148" s="145" cm="1">
        <f t="array" ref="BE148">IF(TbTradesBinance[[#This Row],[Tipo]]="EMPTY",0,BE147+IF(TbTradesBinance[[#This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Row],[Par]]))),$1:$1,0)),-(BD147-BD148)/BD147*BE147),0),0)+IF(TbTradesBinance[[#This Row],[Tipo]]="SELL",IF(ISNUMBER(FIND(MID(BE$1,10,5),TbTradesBinance[[#This Row],[Par]])),IF(FIND(MID(BE$1,10,5),TbTradesBinance[[#This Row],[Par]])=1, -(BD147-BD148)/BD147*BE147,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Row],[Par]])),(-(BD147-BD148)/BD147*BE147)+IF(TbTradesBinance[[#This Row],[Resultado]]&gt;0,0,TbTradesBinance[[#This Row],[Taxa]]),0),0))</f>
        <v>0</v>
      </c>
      <c r="BF148" s="145">
        <f t="shared" si="53"/>
        <v>0</v>
      </c>
      <c r="BG14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Row],[Tipo]]="DROP"),BG147+TbTradesBinance[[#This Row],[Qtt]],BG147-TbTradesBinance[[#This Row],[Qtt]]),IF(TbTradesBinance[[#This Row],[Tipo]]="BUY",BG147-TbTradesBinance[[#This Row],[Qtt]]*TbTradesBinance[[#This Row],[Preço]],BG147+TbTradesBinance[[#This Row],[Qtt]]*TbTradesBinance[[#This Row],[Preço]])),BG147)-IF(TbTradesBinance[[#This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Row],[Tipo]]="DROP"),BG147+TbTradesBinance[[#This Row],[Qtt]],BG147-TbTradesBinance[[#This Row],[Qtt]]),IF(TbTradesBinance[[#This Row],[Tipo]]="BUY",BG147-TbTradesBinance[[#This Row],[Qtt]]*TbTradesBinance[[#This Row],[Preço]],BG147+TbTradesBinance[[#This Row],[Qtt]]*TbTradesBinance[[#This Row],[Preço]])),BG147)-IF(TbTradesBinance[[#This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Row],[Tipo]]="DROP"),BG147+TbTradesBinance[[#This Row],[Qtt]],BG147-TbTradesBinance[[#This Row],[Qtt]]),IF(TbTradesBinance[[#This Row],[Tipo]]="BUY",BG147-TbTradesBinance[[#This Row],[Qtt]]*TbTradesBinance[[#This Row],[Preço]],BG147+TbTradesBinance[[#This Row],[Qtt]]*TbTradesBinance[[#This Row],[Preço]])),BG147)-IF(TbTradesBinance[[#This Row],[Moeda da Taxa]]=MID(BG$1,9,5),TbTradesBinance[[#This Row],[Taxa]],0),8)))</f>
        <v>0</v>
      </c>
      <c r="BH148" s="145" cm="1">
        <f t="array" ref="BH148">IF(TbTradesBinance[[#This Row],[Tipo]]="EMPTY",0,BH147+IF(TbTradesBinance[[#This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Row],[Par]]))),$1:$1,0)),-(BG147-BG148)/BG147*BH147),0),0)+IF(TbTradesBinance[[#This Row],[Tipo]]="SELL",IF(ISNUMBER(FIND(MID(BH$1,10,5),TbTradesBinance[[#This Row],[Par]])),IF(FIND(MID(BH$1,10,5),TbTradesBinance[[#This Row],[Par]])=1, -(BG147-BG148)/BG147*BH147,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Row],[Par]])),(-(BG147-BG148)/BG147*BH147)+IF(TbTradesBinance[[#This Row],[Resultado]]&gt;0,0,TbTradesBinance[[#This Row],[Taxa]]),0),0))</f>
        <v>0</v>
      </c>
      <c r="BI148" s="145">
        <f t="shared" si="54"/>
        <v>0</v>
      </c>
      <c r="BJ14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Row],[Tipo]]="DROP"),BJ147+TbTradesBinance[[#This Row],[Qtt]],BJ147-TbTradesBinance[[#This Row],[Qtt]]),IF(TbTradesBinance[[#This Row],[Tipo]]="BUY",BJ147-TbTradesBinance[[#This Row],[Qtt]]*TbTradesBinance[[#This Row],[Preço]],BJ147+TbTradesBinance[[#This Row],[Qtt]]*TbTradesBinance[[#This Row],[Preço]])),BJ147)-IF(TbTradesBinance[[#This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Row],[Tipo]]="DROP"),BJ147+TbTradesBinance[[#This Row],[Qtt]],BJ147-TbTradesBinance[[#This Row],[Qtt]]),IF(TbTradesBinance[[#This Row],[Tipo]]="BUY",BJ147-TbTradesBinance[[#This Row],[Qtt]]*TbTradesBinance[[#This Row],[Preço]],BJ147+TbTradesBinance[[#This Row],[Qtt]]*TbTradesBinance[[#This Row],[Preço]])),BJ147)-IF(TbTradesBinance[[#This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Row],[Tipo]]="DROP"),BJ147+TbTradesBinance[[#This Row],[Qtt]],BJ147-TbTradesBinance[[#This Row],[Qtt]]),IF(TbTradesBinance[[#This Row],[Tipo]]="BUY",BJ147-TbTradesBinance[[#This Row],[Qtt]]*TbTradesBinance[[#This Row],[Preço]],BJ147+TbTradesBinance[[#This Row],[Qtt]]*TbTradesBinance[[#This Row],[Preço]])),BJ147)-IF(TbTradesBinance[[#This Row],[Moeda da Taxa]]=MID(BJ$1,9,5),TbTradesBinance[[#This Row],[Taxa]],0),8)))</f>
        <v>1.3665699999999999E-3</v>
      </c>
      <c r="BK148" s="145" cm="1">
        <f t="array" ref="BK148">IF(TbTradesBinance[[#This Row],[Tipo]]="EMPTY",0,BK147+IF(TbTradesBinance[[#This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Row],[Par]]))),$1:$1,0)),-(BJ147-BJ148)/BJ147*BK147),0),0)+IF(TbTradesBinance[[#This Row],[Tipo]]="SELL",IF(ISNUMBER(FIND(MID(BK$1,10,5),TbTradesBinance[[#This Row],[Par]])),IF(FIND(MID(BK$1,10,5),TbTradesBinance[[#This Row],[Par]])=1, -(BJ147-BJ148)/BJ147*BK147,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Row],[Par]])),(-(BJ147-BJ148)/BJ147*BK147)+IF(TbTradesBinance[[#This Row],[Resultado]]&gt;0,0,TbTradesBinance[[#This Row],[Taxa]]),0),0))</f>
        <v>0</v>
      </c>
      <c r="BL148" s="145">
        <f t="shared" si="55"/>
        <v>0</v>
      </c>
      <c r="BM14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Row],[Tipo]]="DROP"),BM147+TbTradesBinance[[#This Row],[Qtt]],BM147-TbTradesBinance[[#This Row],[Qtt]]),IF(TbTradesBinance[[#This Row],[Tipo]]="BUY",BM147-TbTradesBinance[[#This Row],[Qtt]]*TbTradesBinance[[#This Row],[Preço]],BM147+TbTradesBinance[[#This Row],[Qtt]]*TbTradesBinance[[#This Row],[Preço]])),BM147)-IF(TbTradesBinance[[#This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Row],[Tipo]]="DROP"),BM147+TbTradesBinance[[#This Row],[Qtt]],BM147-TbTradesBinance[[#This Row],[Qtt]]),IF(TbTradesBinance[[#This Row],[Tipo]]="BUY",BM147-TbTradesBinance[[#This Row],[Qtt]]*TbTradesBinance[[#This Row],[Preço]],BM147+TbTradesBinance[[#This Row],[Qtt]]*TbTradesBinance[[#This Row],[Preço]])),BM147)-IF(TbTradesBinance[[#This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Row],[Tipo]]="DROP"),BM147+TbTradesBinance[[#This Row],[Qtt]],BM147-TbTradesBinance[[#This Row],[Qtt]]),IF(TbTradesBinance[[#This Row],[Tipo]]="BUY",BM147-TbTradesBinance[[#This Row],[Qtt]]*TbTradesBinance[[#This Row],[Preço]],BM147+TbTradesBinance[[#This Row],[Qtt]]*TbTradesBinance[[#This Row],[Preço]])),BM147)-IF(TbTradesBinance[[#This Row],[Moeda da Taxa]]=MID(BM$1,9,5),TbTradesBinance[[#This Row],[Taxa]],0),8)))</f>
        <v>0</v>
      </c>
      <c r="BN148" s="145" cm="1">
        <f t="array" ref="BN148">IF(TbTradesBinance[[#This Row],[Tipo]]="EMPTY",0,BN147+IF(TbTradesBinance[[#This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Row],[Par]]))),$1:$1,0)),-(BM147-BM148)/BM147*BN147),0),0)+IF(TbTradesBinance[[#This Row],[Tipo]]="SELL",IF(ISNUMBER(FIND(MID(BN$1,10,5),TbTradesBinance[[#This Row],[Par]])),IF(FIND(MID(BN$1,10,5),TbTradesBinance[[#This Row],[Par]])=1, -(BM147-BM148)/BM147*BN147,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Row],[Par]])),(-(BM147-BM148)/BM147*BN147)+IF(TbTradesBinance[[#This Row],[Resultado]]&gt;0,0,TbTradesBinance[[#This Row],[Taxa]]),0),0))</f>
        <v>0</v>
      </c>
      <c r="BO148" s="145">
        <f t="shared" si="56"/>
        <v>0</v>
      </c>
    </row>
    <row r="149" spans="2:67" x14ac:dyDescent="0.3">
      <c r="B149" s="51"/>
      <c r="C149" s="40">
        <f>TRUNC(IF(AND(TbTradesBinance[[#This Row],[Tipo]]="SEND",TbTradesBinance[[#This Row],[Par]]="BRL"),TbTradesBinance[[#This Row],[Qtt]]*(1-P147)-IF(TbTradesBinance[[#This Row],[Moeda da Taxa]]="BRL",TbTradesBinance[[#This Row],[Taxa]],0),0)+IF(AND(TbTradesBinance[[#This Row],[Tipo]]="BURN",TbTradesBinance[[#This Row],[Par]]="BRL"),-TbTradesBinance[[#This Row],[Qtt]]*P147,0),2)</f>
        <v>0</v>
      </c>
      <c r="D149" s="53">
        <v>44299.579108796293</v>
      </c>
      <c r="E149" s="37" t="s">
        <v>143</v>
      </c>
      <c r="F149" s="47" t="s">
        <v>140</v>
      </c>
      <c r="G149" s="38">
        <v>202</v>
      </c>
      <c r="H149" s="38">
        <v>0.61739999999999995</v>
      </c>
      <c r="I149" s="38">
        <v>2.9130000000000001E-5</v>
      </c>
      <c r="J149" s="37" t="s">
        <v>45</v>
      </c>
      <c r="K149" s="52">
        <v>1</v>
      </c>
      <c r="L149" s="40">
        <f t="shared" si="38"/>
        <v>202</v>
      </c>
      <c r="M149" s="40">
        <f>IF(OR(TbTradesBinance[[#This Row],[Tipo]]="BUY",TbTradesBinance[[#This Row],[Tipo]]="RECEIVE",TbTradesBinance[[#This Row],[Tipo]]="DROP"),L149*H149,-L149*H149)</f>
        <v>-124.7148</v>
      </c>
      <c r="N14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Row],[Tipo]]="DROP"),N148+TbTradesBinance[[#This Row],[Qtt]],N148-TbTradesBinance[[#This Row],[Qtt]]),IF(TbTradesBinance[[#This Row],[Tipo]]="BUY",N148-TbTradesBinance[[#This Row],[Qtt]]*TbTradesBinance[[#This Row],[Preço]],N148+TbTradesBinance[[#This Row],[Qtt]]*TbTradesBinance[[#This Row],[Preço]])),N148)-IF(TbTradesBinance[[#This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Row],[Tipo]]="DROP"),N148+TbTradesBinance[[#This Row],[Qtt]],N148-TbTradesBinance[[#This Row],[Qtt]]),IF(TbTradesBinance[[#This Row],[Tipo]]="BUY",N148-TbTradesBinance[[#This Row],[Qtt]]*TbTradesBinance[[#This Row],[Preço]],N148+TbTradesBinance[[#This Row],[Qtt]]*TbTradesBinance[[#This Row],[Preço]])),N148)-IF(TbTradesBinance[[#This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Row],[Tipo]]="DROP"),N148+TbTradesBinance[[#This Row],[Qtt]],N148-TbTradesBinance[[#This Row],[Qtt]]),IF(TbTradesBinance[[#This Row],[Tipo]]="BUY",N148-TbTradesBinance[[#This Row],[Qtt]]*TbTradesBinance[[#This Row],[Preço]],N148+TbTradesBinance[[#This Row],[Qtt]]*TbTradesBinance[[#This Row],[Preço]])),N148)-IF(TbTradesBinance[[#This Row],[Moeda da Taxa]]=MID(N$1,9,5),TbTradesBinance[[#This Row],[Taxa]],0),8)))</f>
        <v>119924.24730418</v>
      </c>
      <c r="O149" s="145" cm="1">
        <f t="array" ref="O149">IF(TbTradesBinance[[#This Row],[Tipo]]="EMPTY",0,O148+IF(TbTradesBinance[[#This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Row],[Par]]))),$1:$1,0)),-(N148-N149)/N148*O148),0),0)+IF(TbTradesBinance[[#This Row],[Tipo]]="SELL",IF(ISNUMBER(FIND(MID(O$1,10,5),TbTradesBinance[[#This Row],[Par]])),IF(FIND(MID(O$1,10,5),TbTradesBinance[[#This Row],[Par]])=1, -(N148-N149)/N148*O148,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Row],[Par]])),(-(N148-N149)/N148*O148)+IF(TbTradesBinance[[#This Row],[Resultado]]&gt;0,0,TbTradesBinance[[#This Row],[Taxa]]),0),0))</f>
        <v>119993.11781347494</v>
      </c>
      <c r="P149" s="145">
        <f t="shared" si="39"/>
        <v>1.0005742834401141</v>
      </c>
      <c r="Q14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Row],[Tipo]]="DROP"),Q148+TbTradesBinance[[#This Row],[Qtt]],Q148-TbTradesBinance[[#This Row],[Qtt]]),IF(TbTradesBinance[[#This Row],[Tipo]]="BUY",Q148-TbTradesBinance[[#This Row],[Qtt]]*TbTradesBinance[[#This Row],[Preço]],Q148+TbTradesBinance[[#This Row],[Qtt]]*TbTradesBinance[[#This Row],[Preço]])),Q148)-IF(TbTradesBinance[[#This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Row],[Tipo]]="DROP"),Q148+TbTradesBinance[[#This Row],[Qtt]],Q148-TbTradesBinance[[#This Row],[Qtt]]),IF(TbTradesBinance[[#This Row],[Tipo]]="BUY",Q148-TbTradesBinance[[#This Row],[Qtt]]*TbTradesBinance[[#This Row],[Preço]],Q148+TbTradesBinance[[#This Row],[Qtt]]*TbTradesBinance[[#This Row],[Preço]])),Q148)-IF(TbTradesBinance[[#This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Row],[Tipo]]="DROP"),Q148+TbTradesBinance[[#This Row],[Qtt]],Q148-TbTradesBinance[[#This Row],[Qtt]]),IF(TbTradesBinance[[#This Row],[Tipo]]="BUY",Q148-TbTradesBinance[[#This Row],[Qtt]]*TbTradesBinance[[#This Row],[Preço]],Q148+TbTradesBinance[[#This Row],[Qtt]]*TbTradesBinance[[#This Row],[Preço]])),Q148)-IF(TbTradesBinance[[#This Row],[Moeda da Taxa]]=MID(Q$1,9,5),TbTradesBinance[[#This Row],[Taxa]],0),8)))</f>
        <v>25.356302700000001</v>
      </c>
      <c r="R149" s="145" cm="1">
        <f t="array" ref="R149">IF(TbTradesBinance[[#This Row],[Tipo]]="EMPTY",0,R148+IF(TbTradesBinance[[#This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Row],[Par]]))),$1:$1,0)),-(Q148-Q149)/Q148*R148),0),0)+IF(TbTradesBinance[[#This Row],[Tipo]]="SELL",IF(ISNUMBER(FIND(MID(R$1,10,5),TbTradesBinance[[#This Row],[Par]])),IF(FIND(MID(R$1,10,5),TbTradesBinance[[#This Row],[Par]])=1, -(Q148-Q149)/Q148*R148,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Row],[Par]])),(-(Q148-Q149)/Q148*R148)+IF(TbTradesBinance[[#This Row],[Resultado]]&gt;0,0,TbTradesBinance[[#This Row],[Taxa]]),0),0))</f>
        <v>120.8257969142021</v>
      </c>
      <c r="S149" s="145">
        <f t="shared" si="40"/>
        <v>4.7651188875498836</v>
      </c>
      <c r="T14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Row],[Tipo]]="DROP"),T148+TbTradesBinance[[#This Row],[Qtt]],T148-TbTradesBinance[[#This Row],[Qtt]]),IF(TbTradesBinance[[#This Row],[Tipo]]="BUY",T148-TbTradesBinance[[#This Row],[Qtt]]*TbTradesBinance[[#This Row],[Preço]],T148+TbTradesBinance[[#This Row],[Qtt]]*TbTradesBinance[[#This Row],[Preço]])),T148)-IF(TbTradesBinance[[#This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Row],[Tipo]]="DROP"),T148+TbTradesBinance[[#This Row],[Qtt]],T148-TbTradesBinance[[#This Row],[Qtt]]),IF(TbTradesBinance[[#This Row],[Tipo]]="BUY",T148-TbTradesBinance[[#This Row],[Qtt]]*TbTradesBinance[[#This Row],[Preço]],T148+TbTradesBinance[[#This Row],[Qtt]]*TbTradesBinance[[#This Row],[Preço]])),T148)-IF(TbTradesBinance[[#This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Row],[Tipo]]="DROP"),T148+TbTradesBinance[[#This Row],[Qtt]],T148-TbTradesBinance[[#This Row],[Qtt]]),IF(TbTradesBinance[[#This Row],[Tipo]]="BUY",T148-TbTradesBinance[[#This Row],[Qtt]]*TbTradesBinance[[#This Row],[Preço]],T148+TbTradesBinance[[#This Row],[Qtt]]*TbTradesBinance[[#This Row],[Preço]])),T148)-IF(TbTradesBinance[[#This Row],[Moeda da Taxa]]=MID(T$1,9,5),TbTradesBinance[[#This Row],[Taxa]],0),8)))</f>
        <v>219713.72000189999</v>
      </c>
      <c r="U149" s="145" cm="1">
        <f t="array" ref="U149">IF(TbTradesBinance[[#This Row],[Tipo]]="EMPTY",0,U148+IF(TbTradesBinance[[#This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Row],[Par]]))),$1:$1,0)),-(T148-T149)/T148*U148),0),0)+IF(TbTradesBinance[[#This Row],[Tipo]]="SELL",IF(ISNUMBER(FIND(MID(U$1,10,5),TbTradesBinance[[#This Row],[Par]])),IF(FIND(MID(U$1,10,5),TbTradesBinance[[#This Row],[Par]])=1, -(T148-T149)/T148*U148,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Row],[Par]])),(-(T148-T149)/T148*U148)+IF(TbTradesBinance[[#This Row],[Resultado]]&gt;0,0,TbTradesBinance[[#This Row],[Taxa]]),0),0))</f>
        <v>1461096.2409827893</v>
      </c>
      <c r="V149" s="145">
        <f t="shared" si="41"/>
        <v>6.6500000135182926</v>
      </c>
      <c r="W14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Row],[Tipo]]="DROP"),W148+TbTradesBinance[[#This Row],[Qtt]],W148-TbTradesBinance[[#This Row],[Qtt]]),IF(TbTradesBinance[[#This Row],[Tipo]]="BUY",W148-TbTradesBinance[[#This Row],[Qtt]]*TbTradesBinance[[#This Row],[Preço]],W148+TbTradesBinance[[#This Row],[Qtt]]*TbTradesBinance[[#This Row],[Preço]])),W148)-IF(TbTradesBinance[[#This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Row],[Tipo]]="DROP"),W148+TbTradesBinance[[#This Row],[Qtt]],W148-TbTradesBinance[[#This Row],[Qtt]]),IF(TbTradesBinance[[#This Row],[Tipo]]="BUY",W148-TbTradesBinance[[#This Row],[Qtt]]*TbTradesBinance[[#This Row],[Preço]],W148+TbTradesBinance[[#This Row],[Qtt]]*TbTradesBinance[[#This Row],[Preço]])),W148)-IF(TbTradesBinance[[#This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Row],[Tipo]]="DROP"),W148+TbTradesBinance[[#This Row],[Qtt]],W148-TbTradesBinance[[#This Row],[Qtt]]),IF(TbTradesBinance[[#This Row],[Tipo]]="BUY",W148-TbTradesBinance[[#This Row],[Qtt]]*TbTradesBinance[[#This Row],[Preço]],W148+TbTradesBinance[[#This Row],[Qtt]]*TbTradesBinance[[#This Row],[Preço]])),W148)-IF(TbTradesBinance[[#This Row],[Moeda da Taxa]]=MID(W$1,9,5),TbTradesBinance[[#This Row],[Taxa]],0),8)))</f>
        <v>1.6436000000000001E-4</v>
      </c>
      <c r="X149" s="145" cm="1">
        <f t="array" ref="X149">IF(TbTradesBinance[[#This Row],[Tipo]]="EMPTY",0,X148+IF(TbTradesBinance[[#This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Row],[Par]]))),$1:$1,0)),-(W148-W149)/W148*X148),0),0)+IF(TbTradesBinance[[#This Row],[Tipo]]="SELL",IF(ISNUMBER(FIND(MID(X$1,10,5),TbTradesBinance[[#This Row],[Par]])),IF(FIND(MID(X$1,10,5),TbTradesBinance[[#This Row],[Par]])=1, -(W148-W149)/W148*X148,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Row],[Par]])),(-(W148-W149)/W148*X148)+IF(TbTradesBinance[[#This Row],[Resultado]]&gt;0,0,TbTradesBinance[[#This Row],[Taxa]]),0),0))</f>
        <v>55.654279137915474</v>
      </c>
      <c r="Y149" s="145">
        <f t="shared" si="42"/>
        <v>338612.06581841974</v>
      </c>
      <c r="Z14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Row],[Tipo]]="DROP"),Z148+TbTradesBinance[[#This Row],[Qtt]],Z148-TbTradesBinance[[#This Row],[Qtt]]),IF(TbTradesBinance[[#This Row],[Tipo]]="BUY",Z148-TbTradesBinance[[#This Row],[Qtt]]*TbTradesBinance[[#This Row],[Preço]],Z148+TbTradesBinance[[#This Row],[Qtt]]*TbTradesBinance[[#This Row],[Preço]])),Z148)-IF(TbTradesBinance[[#This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Row],[Tipo]]="DROP"),Z148+TbTradesBinance[[#This Row],[Qtt]],Z148-TbTradesBinance[[#This Row],[Qtt]]),IF(TbTradesBinance[[#This Row],[Tipo]]="BUY",Z148-TbTradesBinance[[#This Row],[Qtt]]*TbTradesBinance[[#This Row],[Preço]],Z148+TbTradesBinance[[#This Row],[Qtt]]*TbTradesBinance[[#This Row],[Preço]])),Z148)-IF(TbTradesBinance[[#This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Row],[Tipo]]="DROP"),Z148+TbTradesBinance[[#This Row],[Qtt]],Z148-TbTradesBinance[[#This Row],[Qtt]]),IF(TbTradesBinance[[#This Row],[Tipo]]="BUY",Z148-TbTradesBinance[[#This Row],[Qtt]]*TbTradesBinance[[#This Row],[Preço]],Z148+TbTradesBinance[[#This Row],[Qtt]]*TbTradesBinance[[#This Row],[Preço]])),Z148)-IF(TbTradesBinance[[#This Row],[Moeda da Taxa]]=MID(Z$1,9,5),TbTradesBinance[[#This Row],[Taxa]],0),8)))</f>
        <v>0</v>
      </c>
      <c r="AA149" s="145" cm="1">
        <f t="array" ref="AA149">IF(TbTradesBinance[[#This Row],[Tipo]]="EMPTY",0,AA148+IF(TbTradesBinance[[#This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Row],[Par]]))),$1:$1,0)),-(Z148-Z149)/Z148*AA148),0),0)+IF(TbTradesBinance[[#This Row],[Tipo]]="SELL",IF(ISNUMBER(FIND(MID(AA$1,10,5),TbTradesBinance[[#This Row],[Par]])),IF(FIND(MID(AA$1,10,5),TbTradesBinance[[#This Row],[Par]])=1, -(Z148-Z149)/Z148*AA148,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Row],[Par]])),(-(Z148-Z149)/Z148*AA148)+IF(TbTradesBinance[[#This Row],[Resultado]]&gt;0,0,TbTradesBinance[[#This Row],[Taxa]]),0),0))</f>
        <v>0</v>
      </c>
      <c r="AB149" s="145">
        <f t="shared" si="43"/>
        <v>0</v>
      </c>
      <c r="AC14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Row],[Tipo]]="DROP"),AC148+TbTradesBinance[[#This Row],[Qtt]],AC148-TbTradesBinance[[#This Row],[Qtt]]),IF(TbTradesBinance[[#This Row],[Tipo]]="BUY",AC148-TbTradesBinance[[#This Row],[Qtt]]*TbTradesBinance[[#This Row],[Preço]],AC148+TbTradesBinance[[#This Row],[Qtt]]*TbTradesBinance[[#This Row],[Preço]])),AC148)-IF(TbTradesBinance[[#This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Row],[Tipo]]="DROP"),AC148+TbTradesBinance[[#This Row],[Qtt]],AC148-TbTradesBinance[[#This Row],[Qtt]]),IF(TbTradesBinance[[#This Row],[Tipo]]="BUY",AC148-TbTradesBinance[[#This Row],[Qtt]]*TbTradesBinance[[#This Row],[Preço]],AC148+TbTradesBinance[[#This Row],[Qtt]]*TbTradesBinance[[#This Row],[Preço]])),AC148)-IF(TbTradesBinance[[#This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Row],[Tipo]]="DROP"),AC148+TbTradesBinance[[#This Row],[Qtt]],AC148-TbTradesBinance[[#This Row],[Qtt]]),IF(TbTradesBinance[[#This Row],[Tipo]]="BUY",AC148-TbTradesBinance[[#This Row],[Qtt]]*TbTradesBinance[[#This Row],[Preço]],AC148+TbTradesBinance[[#This Row],[Qtt]]*TbTradesBinance[[#This Row],[Preço]])),AC148)-IF(TbTradesBinance[[#This Row],[Moeda da Taxa]]=MID(AC$1,9,5),TbTradesBinance[[#This Row],[Taxa]],0),8)))</f>
        <v>0</v>
      </c>
      <c r="AD149" s="145" cm="1">
        <f t="array" ref="AD149">IF(TbTradesBinance[[#This Row],[Tipo]]="EMPTY",0,AD148+IF(TbTradesBinance[[#This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Row],[Par]]))),$1:$1,0)),-(AC148-AC149)/AC148*AD148),0),0)+IF(TbTradesBinance[[#This Row],[Tipo]]="SELL",IF(ISNUMBER(FIND(MID(AD$1,10,5),TbTradesBinance[[#This Row],[Par]])),IF(FIND(MID(AD$1,10,5),TbTradesBinance[[#This Row],[Par]])=1, -(AC148-AC149)/AC148*AD148,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Row],[Par]])),(-(AC148-AC149)/AC148*AD148)+IF(TbTradesBinance[[#This Row],[Resultado]]&gt;0,0,TbTradesBinance[[#This Row],[Taxa]]),0),0))</f>
        <v>0</v>
      </c>
      <c r="AE149" s="145">
        <f t="shared" si="44"/>
        <v>0</v>
      </c>
      <c r="AF14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Row],[Tipo]]="DROP"),AF148+TbTradesBinance[[#This Row],[Qtt]],AF148-TbTradesBinance[[#This Row],[Qtt]]),IF(TbTradesBinance[[#This Row],[Tipo]]="BUY",AF148-TbTradesBinance[[#This Row],[Qtt]]*TbTradesBinance[[#This Row],[Preço]],AF148+TbTradesBinance[[#This Row],[Qtt]]*TbTradesBinance[[#This Row],[Preço]])),AF148)-IF(TbTradesBinance[[#This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Row],[Tipo]]="DROP"),AF148+TbTradesBinance[[#This Row],[Qtt]],AF148-TbTradesBinance[[#This Row],[Qtt]]),IF(TbTradesBinance[[#This Row],[Tipo]]="BUY",AF148-TbTradesBinance[[#This Row],[Qtt]]*TbTradesBinance[[#This Row],[Preço]],AF148+TbTradesBinance[[#This Row],[Qtt]]*TbTradesBinance[[#This Row],[Preço]])),AF148)-IF(TbTradesBinance[[#This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Row],[Tipo]]="DROP"),AF148+TbTradesBinance[[#This Row],[Qtt]],AF148-TbTradesBinance[[#This Row],[Qtt]]),IF(TbTradesBinance[[#This Row],[Tipo]]="BUY",AF148-TbTradesBinance[[#This Row],[Qtt]]*TbTradesBinance[[#This Row],[Preço]],AF148+TbTradesBinance[[#This Row],[Qtt]]*TbTradesBinance[[#This Row],[Preço]])),AF148)-IF(TbTradesBinance[[#This Row],[Moeda da Taxa]]=MID(AF$1,9,5),TbTradesBinance[[#This Row],[Taxa]],0),8)))</f>
        <v>0</v>
      </c>
      <c r="AG149" s="145" cm="1">
        <f t="array" ref="AG149">IF(TbTradesBinance[[#This Row],[Tipo]]="EMPTY",0,AG148+IF(TbTradesBinance[[#This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Row],[Par]]))),$1:$1,0)),-(AF148-AF149)/AF148*AG148),0),0)+IF(TbTradesBinance[[#This Row],[Tipo]]="SELL",IF(ISNUMBER(FIND(MID(AG$1,10,5),TbTradesBinance[[#This Row],[Par]])),IF(FIND(MID(AG$1,10,5),TbTradesBinance[[#This Row],[Par]])=1, -(AF148-AF149)/AF148*AG148,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Row],[Par]])),(-(AF148-AF149)/AF148*AG148)+IF(TbTradesBinance[[#This Row],[Resultado]]&gt;0,0,TbTradesBinance[[#This Row],[Taxa]]),0),0))</f>
        <v>0</v>
      </c>
      <c r="AH149" s="145">
        <f t="shared" si="45"/>
        <v>0</v>
      </c>
      <c r="AI14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Row],[Tipo]]="DROP"),AI148+TbTradesBinance[[#This Row],[Qtt]],AI148-TbTradesBinance[[#This Row],[Qtt]]),IF(TbTradesBinance[[#This Row],[Tipo]]="BUY",AI148-TbTradesBinance[[#This Row],[Qtt]]*TbTradesBinance[[#This Row],[Preço]],AI148+TbTradesBinance[[#This Row],[Qtt]]*TbTradesBinance[[#This Row],[Preço]])),AI148)-IF(TbTradesBinance[[#This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Row],[Tipo]]="DROP"),AI148+TbTradesBinance[[#This Row],[Qtt]],AI148-TbTradesBinance[[#This Row],[Qtt]]),IF(TbTradesBinance[[#This Row],[Tipo]]="BUY",AI148-TbTradesBinance[[#This Row],[Qtt]]*TbTradesBinance[[#This Row],[Preço]],AI148+TbTradesBinance[[#This Row],[Qtt]]*TbTradesBinance[[#This Row],[Preço]])),AI148)-IF(TbTradesBinance[[#This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Row],[Tipo]]="DROP"),AI148+TbTradesBinance[[#This Row],[Qtt]],AI148-TbTradesBinance[[#This Row],[Qtt]]),IF(TbTradesBinance[[#This Row],[Tipo]]="BUY",AI148-TbTradesBinance[[#This Row],[Qtt]]*TbTradesBinance[[#This Row],[Preço]],AI148+TbTradesBinance[[#This Row],[Qtt]]*TbTradesBinance[[#This Row],[Preço]])),AI148)-IF(TbTradesBinance[[#This Row],[Moeda da Taxa]]=MID(AI$1,9,5),TbTradesBinance[[#This Row],[Taxa]],0),8)))</f>
        <v>0</v>
      </c>
      <c r="AJ149" s="145" cm="1">
        <f t="array" ref="AJ149">IF(TbTradesBinance[[#This Row],[Tipo]]="EMPTY",0,AJ148+IF(TbTradesBinance[[#This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Row],[Par]]))),$1:$1,0)),-(AI148-AI149)/AI148*AJ148),0),0)+IF(TbTradesBinance[[#This Row],[Tipo]]="SELL",IF(ISNUMBER(FIND(MID(AJ$1,10,5),TbTradesBinance[[#This Row],[Par]])),IF(FIND(MID(AJ$1,10,5),TbTradesBinance[[#This Row],[Par]])=1, -(AI148-AI149)/AI148*AJ148,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Row],[Par]])),(-(AI148-AI149)/AI148*AJ148)+IF(TbTradesBinance[[#This Row],[Resultado]]&gt;0,0,TbTradesBinance[[#This Row],[Taxa]]),0),0))</f>
        <v>0</v>
      </c>
      <c r="AK149" s="145">
        <f t="shared" si="46"/>
        <v>0</v>
      </c>
      <c r="AL14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Row],[Tipo]]="DROP"),AL148+TbTradesBinance[[#This Row],[Qtt]],AL148-TbTradesBinance[[#This Row],[Qtt]]),IF(TbTradesBinance[[#This Row],[Tipo]]="BUY",AL148-TbTradesBinance[[#This Row],[Qtt]]*TbTradesBinance[[#This Row],[Preço]],AL148+TbTradesBinance[[#This Row],[Qtt]]*TbTradesBinance[[#This Row],[Preço]])),AL148)-IF(TbTradesBinance[[#This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Row],[Tipo]]="DROP"),AL148+TbTradesBinance[[#This Row],[Qtt]],AL148-TbTradesBinance[[#This Row],[Qtt]]),IF(TbTradesBinance[[#This Row],[Tipo]]="BUY",AL148-TbTradesBinance[[#This Row],[Qtt]]*TbTradesBinance[[#This Row],[Preço]],AL148+TbTradesBinance[[#This Row],[Qtt]]*TbTradesBinance[[#This Row],[Preço]])),AL148)-IF(TbTradesBinance[[#This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Row],[Tipo]]="DROP"),AL148+TbTradesBinance[[#This Row],[Qtt]],AL148-TbTradesBinance[[#This Row],[Qtt]]),IF(TbTradesBinance[[#This Row],[Tipo]]="BUY",AL148-TbTradesBinance[[#This Row],[Qtt]]*TbTradesBinance[[#This Row],[Preço]],AL148+TbTradesBinance[[#This Row],[Qtt]]*TbTradesBinance[[#This Row],[Preço]])),AL148)-IF(TbTradesBinance[[#This Row],[Moeda da Taxa]]=MID(AL$1,9,5),TbTradesBinance[[#This Row],[Taxa]],0),8)))</f>
        <v>0</v>
      </c>
      <c r="AM149" s="145" cm="1">
        <f t="array" ref="AM149">IF(TbTradesBinance[[#This Row],[Tipo]]="EMPTY",0,AM148+IF(TbTradesBinance[[#This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Row],[Par]]))),$1:$1,0)),-(AL148-AL149)/AL148*AM148),0),0)+IF(TbTradesBinance[[#This Row],[Tipo]]="SELL",IF(ISNUMBER(FIND(MID(AM$1,10,5),TbTradesBinance[[#This Row],[Par]])),IF(FIND(MID(AM$1,10,5),TbTradesBinance[[#This Row],[Par]])=1, -(AL148-AL149)/AL148*AM148,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Row],[Par]])),(-(AL148-AL149)/AL148*AM148)+IF(TbTradesBinance[[#This Row],[Resultado]]&gt;0,0,TbTradesBinance[[#This Row],[Taxa]]),0),0))</f>
        <v>0</v>
      </c>
      <c r="AN149" s="145">
        <f t="shared" si="47"/>
        <v>0</v>
      </c>
      <c r="AO14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Row],[Tipo]]="DROP"),AO148+TbTradesBinance[[#This Row],[Qtt]],AO148-TbTradesBinance[[#This Row],[Qtt]]),IF(TbTradesBinance[[#This Row],[Tipo]]="BUY",AO148-TbTradesBinance[[#This Row],[Qtt]]*TbTradesBinance[[#This Row],[Preço]],AO148+TbTradesBinance[[#This Row],[Qtt]]*TbTradesBinance[[#This Row],[Preço]])),AO148)-IF(TbTradesBinance[[#This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Row],[Tipo]]="DROP"),AO148+TbTradesBinance[[#This Row],[Qtt]],AO148-TbTradesBinance[[#This Row],[Qtt]]),IF(TbTradesBinance[[#This Row],[Tipo]]="BUY",AO148-TbTradesBinance[[#This Row],[Qtt]]*TbTradesBinance[[#This Row],[Preço]],AO148+TbTradesBinance[[#This Row],[Qtt]]*TbTradesBinance[[#This Row],[Preço]])),AO148)-IF(TbTradesBinance[[#This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Row],[Tipo]]="DROP"),AO148+TbTradesBinance[[#This Row],[Qtt]],AO148-TbTradesBinance[[#This Row],[Qtt]]),IF(TbTradesBinance[[#This Row],[Tipo]]="BUY",AO148-TbTradesBinance[[#This Row],[Qtt]]*TbTradesBinance[[#This Row],[Preço]],AO148+TbTradesBinance[[#This Row],[Qtt]]*TbTradesBinance[[#This Row],[Preço]])),AO148)-IF(TbTradesBinance[[#This Row],[Moeda da Taxa]]=MID(AO$1,9,5),TbTradesBinance[[#This Row],[Taxa]],0),8)))</f>
        <v>3.7221810000000001E-2</v>
      </c>
      <c r="AP149" s="145" cm="1">
        <f t="array" ref="AP149">IF(TbTradesBinance[[#This Row],[Tipo]]="EMPTY",0,AP148+IF(TbTradesBinance[[#This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Row],[Par]]))),$1:$1,0)),-(AO148-AO149)/AO148*AP148),0),0)+IF(TbTradesBinance[[#This Row],[Tipo]]="SELL",IF(ISNUMBER(FIND(MID(AP$1,10,5),TbTradesBinance[[#This Row],[Par]])),IF(FIND(MID(AP$1,10,5),TbTradesBinance[[#This Row],[Par]])=1, -(AO148-AO149)/AO148*AP148,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Row],[Par]])),(-(AO148-AO149)/AO148*AP148)+IF(TbTradesBinance[[#This Row],[Resultado]]&gt;0,0,TbTradesBinance[[#This Row],[Taxa]]),0),0))</f>
        <v>57.065298020032813</v>
      </c>
      <c r="AQ149" s="145">
        <f t="shared" si="48"/>
        <v>1533.1145374185944</v>
      </c>
      <c r="AR14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Row],[Tipo]]="DROP"),AR148+TbTradesBinance[[#This Row],[Qtt]],AR148-TbTradesBinance[[#This Row],[Qtt]]),IF(TbTradesBinance[[#This Row],[Tipo]]="BUY",AR148-TbTradesBinance[[#This Row],[Qtt]]*TbTradesBinance[[#This Row],[Preço]],AR148+TbTradesBinance[[#This Row],[Qtt]]*TbTradesBinance[[#This Row],[Preço]])),AR148)-IF(TbTradesBinance[[#This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Row],[Tipo]]="DROP"),AR148+TbTradesBinance[[#This Row],[Qtt]],AR148-TbTradesBinance[[#This Row],[Qtt]]),IF(TbTradesBinance[[#This Row],[Tipo]]="BUY",AR148-TbTradesBinance[[#This Row],[Qtt]]*TbTradesBinance[[#This Row],[Preço]],AR148+TbTradesBinance[[#This Row],[Qtt]]*TbTradesBinance[[#This Row],[Preço]])),AR148)-IF(TbTradesBinance[[#This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Row],[Tipo]]="DROP"),AR148+TbTradesBinance[[#This Row],[Qtt]],AR148-TbTradesBinance[[#This Row],[Qtt]]),IF(TbTradesBinance[[#This Row],[Tipo]]="BUY",AR148-TbTradesBinance[[#This Row],[Qtt]]*TbTradesBinance[[#This Row],[Preço]],AR148+TbTradesBinance[[#This Row],[Qtt]]*TbTradesBinance[[#This Row],[Preço]])),AR148)-IF(TbTradesBinance[[#This Row],[Moeda da Taxa]]=MID(AR$1,9,5),TbTradesBinance[[#This Row],[Taxa]],0),8)))</f>
        <v>0</v>
      </c>
      <c r="AS149" s="145" cm="1">
        <f t="array" ref="AS149">IF(TbTradesBinance[[#This Row],[Tipo]]="EMPTY",0,AS148+IF(TbTradesBinance[[#This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Row],[Par]]))),$1:$1,0)),-(AR148-AR149)/AR148*AS148),0),0)+IF(TbTradesBinance[[#This Row],[Tipo]]="SELL",IF(ISNUMBER(FIND(MID(AS$1,10,5),TbTradesBinance[[#This Row],[Par]])),IF(FIND(MID(AS$1,10,5),TbTradesBinance[[#This Row],[Par]])=1, -(AR148-AR149)/AR148*AS148,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Row],[Par]])),(-(AR148-AR149)/AR148*AS148)+IF(TbTradesBinance[[#This Row],[Resultado]]&gt;0,0,TbTradesBinance[[#This Row],[Taxa]]),0),0))</f>
        <v>0</v>
      </c>
      <c r="AT149" s="145">
        <f t="shared" si="49"/>
        <v>0</v>
      </c>
      <c r="AU14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Row],[Tipo]]="DROP"),AU148+TbTradesBinance[[#This Row],[Qtt]],AU148-TbTradesBinance[[#This Row],[Qtt]]),IF(TbTradesBinance[[#This Row],[Tipo]]="BUY",AU148-TbTradesBinance[[#This Row],[Qtt]]*TbTradesBinance[[#This Row],[Preço]],AU148+TbTradesBinance[[#This Row],[Qtt]]*TbTradesBinance[[#This Row],[Preço]])),AU148)-IF(TbTradesBinance[[#This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Row],[Tipo]]="DROP"),AU148+TbTradesBinance[[#This Row],[Qtt]],AU148-TbTradesBinance[[#This Row],[Qtt]]),IF(TbTradesBinance[[#This Row],[Tipo]]="BUY",AU148-TbTradesBinance[[#This Row],[Qtt]]*TbTradesBinance[[#This Row],[Preço]],AU148+TbTradesBinance[[#This Row],[Qtt]]*TbTradesBinance[[#This Row],[Preço]])),AU148)-IF(TbTradesBinance[[#This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Row],[Tipo]]="DROP"),AU148+TbTradesBinance[[#This Row],[Qtt]],AU148-TbTradesBinance[[#This Row],[Qtt]]),IF(TbTradesBinance[[#This Row],[Tipo]]="BUY",AU148-TbTradesBinance[[#This Row],[Qtt]]*TbTradesBinance[[#This Row],[Preço]],AU148+TbTradesBinance[[#This Row],[Qtt]]*TbTradesBinance[[#This Row],[Preço]])),AU148)-IF(TbTradesBinance[[#This Row],[Moeda da Taxa]]=MID(AU$1,9,5),TbTradesBinance[[#This Row],[Taxa]],0),8)))</f>
        <v>0</v>
      </c>
      <c r="AV149" s="145" cm="1">
        <f t="array" ref="AV149">IF(TbTradesBinance[[#This Row],[Tipo]]="EMPTY",0,AV148+IF(TbTradesBinance[[#This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Row],[Par]]))),$1:$1,0)),-(AU148-AU149)/AU148*AV148),0),0)+IF(TbTradesBinance[[#This Row],[Tipo]]="SELL",IF(ISNUMBER(FIND(MID(AV$1,10,5),TbTradesBinance[[#This Row],[Par]])),IF(FIND(MID(AV$1,10,5),TbTradesBinance[[#This Row],[Par]])=1, -(AU148-AU149)/AU148*AV148,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Row],[Par]])),(-(AU148-AU149)/AU148*AV148)+IF(TbTradesBinance[[#This Row],[Resultado]]&gt;0,0,TbTradesBinance[[#This Row],[Taxa]]),0),0))</f>
        <v>0</v>
      </c>
      <c r="AW149" s="145">
        <f t="shared" si="50"/>
        <v>0</v>
      </c>
      <c r="AX14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Row],[Tipo]]="DROP"),AX148+TbTradesBinance[[#This Row],[Qtt]],AX148-TbTradesBinance[[#This Row],[Qtt]]),IF(TbTradesBinance[[#This Row],[Tipo]]="BUY",AX148-TbTradesBinance[[#This Row],[Qtt]]*TbTradesBinance[[#This Row],[Preço]],AX148+TbTradesBinance[[#This Row],[Qtt]]*TbTradesBinance[[#This Row],[Preço]])),AX148)-IF(TbTradesBinance[[#This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Row],[Tipo]]="DROP"),AX148+TbTradesBinance[[#This Row],[Qtt]],AX148-TbTradesBinance[[#This Row],[Qtt]]),IF(TbTradesBinance[[#This Row],[Tipo]]="BUY",AX148-TbTradesBinance[[#This Row],[Qtt]]*TbTradesBinance[[#This Row],[Preço]],AX148+TbTradesBinance[[#This Row],[Qtt]]*TbTradesBinance[[#This Row],[Preço]])),AX148)-IF(TbTradesBinance[[#This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Row],[Tipo]]="DROP"),AX148+TbTradesBinance[[#This Row],[Qtt]],AX148-TbTradesBinance[[#This Row],[Qtt]]),IF(TbTradesBinance[[#This Row],[Tipo]]="BUY",AX148-TbTradesBinance[[#This Row],[Qtt]]*TbTradesBinance[[#This Row],[Preço]],AX148+TbTradesBinance[[#This Row],[Qtt]]*TbTradesBinance[[#This Row],[Preço]])),AX148)-IF(TbTradesBinance[[#This Row],[Moeda da Taxa]]=MID(AX$1,9,5),TbTradesBinance[[#This Row],[Taxa]],0),8)))</f>
        <v>0.23896999999999999</v>
      </c>
      <c r="AY149" s="145" cm="1">
        <f t="array" ref="AY149">IF(TbTradesBinance[[#This Row],[Tipo]]="EMPTY",0,AY148+IF(TbTradesBinance[[#This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Row],[Par]]))),$1:$1,0)),-(AX148-AX149)/AX148*AY148),0),0)+IF(TbTradesBinance[[#This Row],[Tipo]]="SELL",IF(ISNUMBER(FIND(MID(AY$1,10,5),TbTradesBinance[[#This Row],[Par]])),IF(FIND(MID(AY$1,10,5),TbTradesBinance[[#This Row],[Par]])=1, -(AX148-AX149)/AX148*AY148,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Row],[Par]])),(-(AX148-AX149)/AX148*AY148)+IF(TbTradesBinance[[#This Row],[Resultado]]&gt;0,0,TbTradesBinance[[#This Row],[Taxa]]),0),0))</f>
        <v>36.787073616661445</v>
      </c>
      <c r="AZ149" s="145">
        <f t="shared" si="51"/>
        <v>153.94013314081872</v>
      </c>
      <c r="BA14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Row],[Tipo]]="DROP"),BA148+TbTradesBinance[[#This Row],[Qtt]],BA148-TbTradesBinance[[#This Row],[Qtt]]),IF(TbTradesBinance[[#This Row],[Tipo]]="BUY",BA148-TbTradesBinance[[#This Row],[Qtt]]*TbTradesBinance[[#This Row],[Preço]],BA148+TbTradesBinance[[#This Row],[Qtt]]*TbTradesBinance[[#This Row],[Preço]])),BA148)-IF(TbTradesBinance[[#This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Row],[Tipo]]="DROP"),BA148+TbTradesBinance[[#This Row],[Qtt]],BA148-TbTradesBinance[[#This Row],[Qtt]]),IF(TbTradesBinance[[#This Row],[Tipo]]="BUY",BA148-TbTradesBinance[[#This Row],[Qtt]]*TbTradesBinance[[#This Row],[Preço]],BA148+TbTradesBinance[[#This Row],[Qtt]]*TbTradesBinance[[#This Row],[Preço]])),BA148)-IF(TbTradesBinance[[#This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Row],[Tipo]]="DROP"),BA148+TbTradesBinance[[#This Row],[Qtt]],BA148-TbTradesBinance[[#This Row],[Qtt]]),IF(TbTradesBinance[[#This Row],[Tipo]]="BUY",BA148-TbTradesBinance[[#This Row],[Qtt]]*TbTradesBinance[[#This Row],[Preço]],BA148+TbTradesBinance[[#This Row],[Qtt]]*TbTradesBinance[[#This Row],[Preço]])),BA148)-IF(TbTradesBinance[[#This Row],[Moeda da Taxa]]=MID(BA$1,9,5),TbTradesBinance[[#This Row],[Taxa]],0),8)))</f>
        <v>0</v>
      </c>
      <c r="BB149" s="145" cm="1">
        <f t="array" ref="BB149">IF(TbTradesBinance[[#This Row],[Tipo]]="EMPTY",0,BB148+IF(TbTradesBinance[[#This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Row],[Par]]))),$1:$1,0)),-(BA148-BA149)/BA148*BB148),0),0)+IF(TbTradesBinance[[#This Row],[Tipo]]="SELL",IF(ISNUMBER(FIND(MID(BB$1,10,5),TbTradesBinance[[#This Row],[Par]])),IF(FIND(MID(BB$1,10,5),TbTradesBinance[[#This Row],[Par]])=1, -(BA148-BA149)/BA148*BB148,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Row],[Par]])),(-(BA148-BA149)/BA148*BB148)+IF(TbTradesBinance[[#This Row],[Resultado]]&gt;0,0,TbTradesBinance[[#This Row],[Taxa]]),0),0))</f>
        <v>0</v>
      </c>
      <c r="BC149" s="145">
        <f t="shared" si="52"/>
        <v>0</v>
      </c>
      <c r="BD14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Row],[Tipo]]="DROP"),BD148+TbTradesBinance[[#This Row],[Qtt]],BD148-TbTradesBinance[[#This Row],[Qtt]]),IF(TbTradesBinance[[#This Row],[Tipo]]="BUY",BD148-TbTradesBinance[[#This Row],[Qtt]]*TbTradesBinance[[#This Row],[Preço]],BD148+TbTradesBinance[[#This Row],[Qtt]]*TbTradesBinance[[#This Row],[Preço]])),BD148)-IF(TbTradesBinance[[#This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Row],[Tipo]]="DROP"),BD148+TbTradesBinance[[#This Row],[Qtt]],BD148-TbTradesBinance[[#This Row],[Qtt]]),IF(TbTradesBinance[[#This Row],[Tipo]]="BUY",BD148-TbTradesBinance[[#This Row],[Qtt]]*TbTradesBinance[[#This Row],[Preço]],BD148+TbTradesBinance[[#This Row],[Qtt]]*TbTradesBinance[[#This Row],[Preço]])),BD148)-IF(TbTradesBinance[[#This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Row],[Tipo]]="DROP"),BD148+TbTradesBinance[[#This Row],[Qtt]],BD148-TbTradesBinance[[#This Row],[Qtt]]),IF(TbTradesBinance[[#This Row],[Tipo]]="BUY",BD148-TbTradesBinance[[#This Row],[Qtt]]*TbTradesBinance[[#This Row],[Preço]],BD148+TbTradesBinance[[#This Row],[Qtt]]*TbTradesBinance[[#This Row],[Preço]])),BD148)-IF(TbTradesBinance[[#This Row],[Moeda da Taxa]]=MID(BD$1,9,5),TbTradesBinance[[#This Row],[Taxa]],0),8)))</f>
        <v>0</v>
      </c>
      <c r="BE149" s="145" cm="1">
        <f t="array" ref="BE149">IF(TbTradesBinance[[#This Row],[Tipo]]="EMPTY",0,BE148+IF(TbTradesBinance[[#This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Row],[Par]]))),$1:$1,0)),-(BD148-BD149)/BD148*BE148),0),0)+IF(TbTradesBinance[[#This Row],[Tipo]]="SELL",IF(ISNUMBER(FIND(MID(BE$1,10,5),TbTradesBinance[[#This Row],[Par]])),IF(FIND(MID(BE$1,10,5),TbTradesBinance[[#This Row],[Par]])=1, -(BD148-BD149)/BD148*BE148,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Row],[Par]])),(-(BD148-BD149)/BD148*BE148)+IF(TbTradesBinance[[#This Row],[Resultado]]&gt;0,0,TbTradesBinance[[#This Row],[Taxa]]),0),0))</f>
        <v>0</v>
      </c>
      <c r="BF149" s="145">
        <f t="shared" si="53"/>
        <v>0</v>
      </c>
      <c r="BG14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Row],[Tipo]]="DROP"),BG148+TbTradesBinance[[#This Row],[Qtt]],BG148-TbTradesBinance[[#This Row],[Qtt]]),IF(TbTradesBinance[[#This Row],[Tipo]]="BUY",BG148-TbTradesBinance[[#This Row],[Qtt]]*TbTradesBinance[[#This Row],[Preço]],BG148+TbTradesBinance[[#This Row],[Qtt]]*TbTradesBinance[[#This Row],[Preço]])),BG148)-IF(TbTradesBinance[[#This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Row],[Tipo]]="DROP"),BG148+TbTradesBinance[[#This Row],[Qtt]],BG148-TbTradesBinance[[#This Row],[Qtt]]),IF(TbTradesBinance[[#This Row],[Tipo]]="BUY",BG148-TbTradesBinance[[#This Row],[Qtt]]*TbTradesBinance[[#This Row],[Preço]],BG148+TbTradesBinance[[#This Row],[Qtt]]*TbTradesBinance[[#This Row],[Preço]])),BG148)-IF(TbTradesBinance[[#This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Row],[Tipo]]="DROP"),BG148+TbTradesBinance[[#This Row],[Qtt]],BG148-TbTradesBinance[[#This Row],[Qtt]]),IF(TbTradesBinance[[#This Row],[Tipo]]="BUY",BG148-TbTradesBinance[[#This Row],[Qtt]]*TbTradesBinance[[#This Row],[Preço]],BG148+TbTradesBinance[[#This Row],[Qtt]]*TbTradesBinance[[#This Row],[Preço]])),BG148)-IF(TbTradesBinance[[#This Row],[Moeda da Taxa]]=MID(BG$1,9,5),TbTradesBinance[[#This Row],[Taxa]],0),8)))</f>
        <v>0</v>
      </c>
      <c r="BH149" s="145" cm="1">
        <f t="array" ref="BH149">IF(TbTradesBinance[[#This Row],[Tipo]]="EMPTY",0,BH148+IF(TbTradesBinance[[#This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Row],[Par]]))),$1:$1,0)),-(BG148-BG149)/BG148*BH148),0),0)+IF(TbTradesBinance[[#This Row],[Tipo]]="SELL",IF(ISNUMBER(FIND(MID(BH$1,10,5),TbTradesBinance[[#This Row],[Par]])),IF(FIND(MID(BH$1,10,5),TbTradesBinance[[#This Row],[Par]])=1, -(BG148-BG149)/BG148*BH148,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Row],[Par]])),(-(BG148-BG149)/BG148*BH148)+IF(TbTradesBinance[[#This Row],[Resultado]]&gt;0,0,TbTradesBinance[[#This Row],[Taxa]]),0),0))</f>
        <v>0</v>
      </c>
      <c r="BI149" s="145">
        <f t="shared" si="54"/>
        <v>0</v>
      </c>
      <c r="BJ14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Row],[Tipo]]="DROP"),BJ148+TbTradesBinance[[#This Row],[Qtt]],BJ148-TbTradesBinance[[#This Row],[Qtt]]),IF(TbTradesBinance[[#This Row],[Tipo]]="BUY",BJ148-TbTradesBinance[[#This Row],[Qtt]]*TbTradesBinance[[#This Row],[Preço]],BJ148+TbTradesBinance[[#This Row],[Qtt]]*TbTradesBinance[[#This Row],[Preço]])),BJ148)-IF(TbTradesBinance[[#This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Row],[Tipo]]="DROP"),BJ148+TbTradesBinance[[#This Row],[Qtt]],BJ148-TbTradesBinance[[#This Row],[Qtt]]),IF(TbTradesBinance[[#This Row],[Tipo]]="BUY",BJ148-TbTradesBinance[[#This Row],[Qtt]]*TbTradesBinance[[#This Row],[Preço]],BJ148+TbTradesBinance[[#This Row],[Qtt]]*TbTradesBinance[[#This Row],[Preço]])),BJ148)-IF(TbTradesBinance[[#This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Row],[Tipo]]="DROP"),BJ148+TbTradesBinance[[#This Row],[Qtt]],BJ148-TbTradesBinance[[#This Row],[Qtt]]),IF(TbTradesBinance[[#This Row],[Tipo]]="BUY",BJ148-TbTradesBinance[[#This Row],[Qtt]]*TbTradesBinance[[#This Row],[Preço]],BJ148+TbTradesBinance[[#This Row],[Qtt]]*TbTradesBinance[[#This Row],[Preço]])),BJ148)-IF(TbTradesBinance[[#This Row],[Moeda da Taxa]]=MID(BJ$1,9,5),TbTradesBinance[[#This Row],[Taxa]],0),8)))</f>
        <v>1.3665699999999999E-3</v>
      </c>
      <c r="BK149" s="145" cm="1">
        <f t="array" ref="BK149">IF(TbTradesBinance[[#This Row],[Tipo]]="EMPTY",0,BK148+IF(TbTradesBinance[[#This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Row],[Par]]))),$1:$1,0)),-(BJ148-BJ149)/BJ148*BK148),0),0)+IF(TbTradesBinance[[#This Row],[Tipo]]="SELL",IF(ISNUMBER(FIND(MID(BK$1,10,5),TbTradesBinance[[#This Row],[Par]])),IF(FIND(MID(BK$1,10,5),TbTradesBinance[[#This Row],[Par]])=1, -(BJ148-BJ149)/BJ148*BK148,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Row],[Par]])),(-(BJ148-BJ149)/BJ148*BK148)+IF(TbTradesBinance[[#This Row],[Resultado]]&gt;0,0,TbTradesBinance[[#This Row],[Taxa]]),0),0))</f>
        <v>0</v>
      </c>
      <c r="BL149" s="145">
        <f t="shared" si="55"/>
        <v>0</v>
      </c>
      <c r="BM14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Row],[Tipo]]="DROP"),BM148+TbTradesBinance[[#This Row],[Qtt]],BM148-TbTradesBinance[[#This Row],[Qtt]]),IF(TbTradesBinance[[#This Row],[Tipo]]="BUY",BM148-TbTradesBinance[[#This Row],[Qtt]]*TbTradesBinance[[#This Row],[Preço]],BM148+TbTradesBinance[[#This Row],[Qtt]]*TbTradesBinance[[#This Row],[Preço]])),BM148)-IF(TbTradesBinance[[#This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Row],[Tipo]]="DROP"),BM148+TbTradesBinance[[#This Row],[Qtt]],BM148-TbTradesBinance[[#This Row],[Qtt]]),IF(TbTradesBinance[[#This Row],[Tipo]]="BUY",BM148-TbTradesBinance[[#This Row],[Qtt]]*TbTradesBinance[[#This Row],[Preço]],BM148+TbTradesBinance[[#This Row],[Qtt]]*TbTradesBinance[[#This Row],[Preço]])),BM148)-IF(TbTradesBinance[[#This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Row],[Tipo]]="DROP"),BM148+TbTradesBinance[[#This Row],[Qtt]],BM148-TbTradesBinance[[#This Row],[Qtt]]),IF(TbTradesBinance[[#This Row],[Tipo]]="BUY",BM148-TbTradesBinance[[#This Row],[Qtt]]*TbTradesBinance[[#This Row],[Preço]],BM148+TbTradesBinance[[#This Row],[Qtt]]*TbTradesBinance[[#This Row],[Preço]])),BM148)-IF(TbTradesBinance[[#This Row],[Moeda da Taxa]]=MID(BM$1,9,5),TbTradesBinance[[#This Row],[Taxa]],0),8)))</f>
        <v>0</v>
      </c>
      <c r="BN149" s="145" cm="1">
        <f t="array" ref="BN149">IF(TbTradesBinance[[#This Row],[Tipo]]="EMPTY",0,BN148+IF(TbTradesBinance[[#This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Row],[Par]]))),$1:$1,0)),-(BM148-BM149)/BM148*BN148),0),0)+IF(TbTradesBinance[[#This Row],[Tipo]]="SELL",IF(ISNUMBER(FIND(MID(BN$1,10,5),TbTradesBinance[[#This Row],[Par]])),IF(FIND(MID(BN$1,10,5),TbTradesBinance[[#This Row],[Par]])=1, -(BM148-BM149)/BM148*BN148,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Row],[Par]])),(-(BM148-BM149)/BM148*BN148)+IF(TbTradesBinance[[#This Row],[Resultado]]&gt;0,0,TbTradesBinance[[#This Row],[Taxa]]),0),0))</f>
        <v>0</v>
      </c>
      <c r="BO149" s="145">
        <f t="shared" si="56"/>
        <v>0</v>
      </c>
    </row>
    <row r="150" spans="2:67" x14ac:dyDescent="0.3">
      <c r="B150" s="51"/>
      <c r="C150" s="40">
        <f>TRUNC(IF(AND(TbTradesBinance[[#This Row],[Tipo]]="SEND",TbTradesBinance[[#This Row],[Par]]="BRL"),TbTradesBinance[[#This Row],[Qtt]]*(1-P148)-IF(TbTradesBinance[[#This Row],[Moeda da Taxa]]="BRL",TbTradesBinance[[#This Row],[Taxa]],0),0)+IF(AND(TbTradesBinance[[#This Row],[Tipo]]="BURN",TbTradesBinance[[#This Row],[Par]]="BRL"),-TbTradesBinance[[#This Row],[Qtt]]*P148,0),2)</f>
        <v>0</v>
      </c>
      <c r="D150" s="53">
        <v>44299.91333333333</v>
      </c>
      <c r="E150" s="37" t="s">
        <v>143</v>
      </c>
      <c r="F150" s="47" t="s">
        <v>140</v>
      </c>
      <c r="G150" s="38">
        <v>211</v>
      </c>
      <c r="H150" s="38">
        <v>0.11398</v>
      </c>
      <c r="I150" s="38">
        <v>5.4600000000000002E-6</v>
      </c>
      <c r="J150" s="37" t="s">
        <v>45</v>
      </c>
      <c r="K150" s="52">
        <v>1</v>
      </c>
      <c r="L150" s="40">
        <f t="shared" si="38"/>
        <v>211</v>
      </c>
      <c r="M150" s="40">
        <f>IF(OR(TbTradesBinance[[#This Row],[Tipo]]="BUY",TbTradesBinance[[#This Row],[Tipo]]="RECEIVE",TbTradesBinance[[#This Row],[Tipo]]="DROP"),L150*H150,-L150*H150)</f>
        <v>-24.049779999999998</v>
      </c>
      <c r="N15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Row],[Tipo]]="DROP"),N149+TbTradesBinance[[#This Row],[Qtt]],N149-TbTradesBinance[[#This Row],[Qtt]]),IF(TbTradesBinance[[#This Row],[Tipo]]="BUY",N149-TbTradesBinance[[#This Row],[Qtt]]*TbTradesBinance[[#This Row],[Preço]],N149+TbTradesBinance[[#This Row],[Qtt]]*TbTradesBinance[[#This Row],[Preço]])),N149)-IF(TbTradesBinance[[#This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Row],[Tipo]]="DROP"),N149+TbTradesBinance[[#This Row],[Qtt]],N149-TbTradesBinance[[#This Row],[Qtt]]),IF(TbTradesBinance[[#This Row],[Tipo]]="BUY",N149-TbTradesBinance[[#This Row],[Qtt]]*TbTradesBinance[[#This Row],[Preço]],N149+TbTradesBinance[[#This Row],[Qtt]]*TbTradesBinance[[#This Row],[Preço]])),N149)-IF(TbTradesBinance[[#This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Row],[Tipo]]="DROP"),N149+TbTradesBinance[[#This Row],[Qtt]],N149-TbTradesBinance[[#This Row],[Qtt]]),IF(TbTradesBinance[[#This Row],[Tipo]]="BUY",N149-TbTradesBinance[[#This Row],[Qtt]]*TbTradesBinance[[#This Row],[Preço]],N149+TbTradesBinance[[#This Row],[Qtt]]*TbTradesBinance[[#This Row],[Preço]])),N149)-IF(TbTradesBinance[[#This Row],[Moeda da Taxa]]=MID(N$1,9,5),TbTradesBinance[[#This Row],[Taxa]],0),8)))</f>
        <v>119948.29708418</v>
      </c>
      <c r="O150" s="145" cm="1">
        <f t="array" ref="O150">IF(TbTradesBinance[[#This Row],[Tipo]]="EMPTY",0,O149+IF(TbTradesBinance[[#This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Row],[Par]]))),$1:$1,0)),-(N149-N150)/N149*O149),0),0)+IF(TbTradesBinance[[#This Row],[Tipo]]="SELL",IF(ISNUMBER(FIND(MID(O$1,10,5),TbTradesBinance[[#This Row],[Par]])),IF(FIND(MID(O$1,10,5),TbTradesBinance[[#This Row],[Par]])=1, -(N149-N150)/N149*O149,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Row],[Par]])),(-(N149-N150)/N149*O149)+IF(TbTradesBinance[[#This Row],[Resultado]]&gt;0,0,TbTradesBinance[[#This Row],[Taxa]]),0),0))</f>
        <v>120010.66390985032</v>
      </c>
      <c r="P150" s="145">
        <f t="shared" si="39"/>
        <v>1.0005199475706317</v>
      </c>
      <c r="Q15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Row],[Tipo]]="DROP"),Q149+TbTradesBinance[[#This Row],[Qtt]],Q149-TbTradesBinance[[#This Row],[Qtt]]),IF(TbTradesBinance[[#This Row],[Tipo]]="BUY",Q149-TbTradesBinance[[#This Row],[Qtt]]*TbTradesBinance[[#This Row],[Preço]],Q149+TbTradesBinance[[#This Row],[Qtt]]*TbTradesBinance[[#This Row],[Preço]])),Q149)-IF(TbTradesBinance[[#This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Row],[Tipo]]="DROP"),Q149+TbTradesBinance[[#This Row],[Qtt]],Q149-TbTradesBinance[[#This Row],[Qtt]]),IF(TbTradesBinance[[#This Row],[Tipo]]="BUY",Q149-TbTradesBinance[[#This Row],[Qtt]]*TbTradesBinance[[#This Row],[Preço]],Q149+TbTradesBinance[[#This Row],[Qtt]]*TbTradesBinance[[#This Row],[Preço]])),Q149)-IF(TbTradesBinance[[#This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Row],[Tipo]]="DROP"),Q149+TbTradesBinance[[#This Row],[Qtt]],Q149-TbTradesBinance[[#This Row],[Qtt]]),IF(TbTradesBinance[[#This Row],[Tipo]]="BUY",Q149-TbTradesBinance[[#This Row],[Qtt]]*TbTradesBinance[[#This Row],[Preço]],Q149+TbTradesBinance[[#This Row],[Qtt]]*TbTradesBinance[[#This Row],[Preço]])),Q149)-IF(TbTradesBinance[[#This Row],[Moeda da Taxa]]=MID(Q$1,9,5),TbTradesBinance[[#This Row],[Taxa]],0),8)))</f>
        <v>25.356302700000001</v>
      </c>
      <c r="R150" s="145" cm="1">
        <f t="array" ref="R150">IF(TbTradesBinance[[#This Row],[Tipo]]="EMPTY",0,R149+IF(TbTradesBinance[[#This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Row],[Par]]))),$1:$1,0)),-(Q149-Q150)/Q149*R149),0),0)+IF(TbTradesBinance[[#This Row],[Tipo]]="SELL",IF(ISNUMBER(FIND(MID(R$1,10,5),TbTradesBinance[[#This Row],[Par]])),IF(FIND(MID(R$1,10,5),TbTradesBinance[[#This Row],[Par]])=1, -(Q149-Q150)/Q149*R149,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Row],[Par]])),(-(Q149-Q150)/Q149*R149)+IF(TbTradesBinance[[#This Row],[Resultado]]&gt;0,0,TbTradesBinance[[#This Row],[Taxa]]),0),0))</f>
        <v>120.8257969142021</v>
      </c>
      <c r="S150" s="145">
        <f t="shared" si="40"/>
        <v>4.7651188875498836</v>
      </c>
      <c r="T15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Row],[Tipo]]="DROP"),T149+TbTradesBinance[[#This Row],[Qtt]],T149-TbTradesBinance[[#This Row],[Qtt]]),IF(TbTradesBinance[[#This Row],[Tipo]]="BUY",T149-TbTradesBinance[[#This Row],[Qtt]]*TbTradesBinance[[#This Row],[Preço]],T149+TbTradesBinance[[#This Row],[Qtt]]*TbTradesBinance[[#This Row],[Preço]])),T149)-IF(TbTradesBinance[[#This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Row],[Tipo]]="DROP"),T149+TbTradesBinance[[#This Row],[Qtt]],T149-TbTradesBinance[[#This Row],[Qtt]]),IF(TbTradesBinance[[#This Row],[Tipo]]="BUY",T149-TbTradesBinance[[#This Row],[Qtt]]*TbTradesBinance[[#This Row],[Preço]],T149+TbTradesBinance[[#This Row],[Qtt]]*TbTradesBinance[[#This Row],[Preço]])),T149)-IF(TbTradesBinance[[#This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Row],[Tipo]]="DROP"),T149+TbTradesBinance[[#This Row],[Qtt]],T149-TbTradesBinance[[#This Row],[Qtt]]),IF(TbTradesBinance[[#This Row],[Tipo]]="BUY",T149-TbTradesBinance[[#This Row],[Qtt]]*TbTradesBinance[[#This Row],[Preço]],T149+TbTradesBinance[[#This Row],[Qtt]]*TbTradesBinance[[#This Row],[Preço]])),T149)-IF(TbTradesBinance[[#This Row],[Moeda da Taxa]]=MID(T$1,9,5),TbTradesBinance[[#This Row],[Taxa]],0),8)))</f>
        <v>219713.72000189999</v>
      </c>
      <c r="U150" s="145" cm="1">
        <f t="array" ref="U150">IF(TbTradesBinance[[#This Row],[Tipo]]="EMPTY",0,U149+IF(TbTradesBinance[[#This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Row],[Par]]))),$1:$1,0)),-(T149-T150)/T149*U149),0),0)+IF(TbTradesBinance[[#This Row],[Tipo]]="SELL",IF(ISNUMBER(FIND(MID(U$1,10,5),TbTradesBinance[[#This Row],[Par]])),IF(FIND(MID(U$1,10,5),TbTradesBinance[[#This Row],[Par]])=1, -(T149-T150)/T149*U149,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Row],[Par]])),(-(T149-T150)/T149*U149)+IF(TbTradesBinance[[#This Row],[Resultado]]&gt;0,0,TbTradesBinance[[#This Row],[Taxa]]),0),0))</f>
        <v>1461096.2409827893</v>
      </c>
      <c r="V150" s="145">
        <f t="shared" si="41"/>
        <v>6.6500000135182926</v>
      </c>
      <c r="W15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Row],[Tipo]]="DROP"),W149+TbTradesBinance[[#This Row],[Qtt]],W149-TbTradesBinance[[#This Row],[Qtt]]),IF(TbTradesBinance[[#This Row],[Tipo]]="BUY",W149-TbTradesBinance[[#This Row],[Qtt]]*TbTradesBinance[[#This Row],[Preço]],W149+TbTradesBinance[[#This Row],[Qtt]]*TbTradesBinance[[#This Row],[Preço]])),W149)-IF(TbTradesBinance[[#This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Row],[Tipo]]="DROP"),W149+TbTradesBinance[[#This Row],[Qtt]],W149-TbTradesBinance[[#This Row],[Qtt]]),IF(TbTradesBinance[[#This Row],[Tipo]]="BUY",W149-TbTradesBinance[[#This Row],[Qtt]]*TbTradesBinance[[#This Row],[Preço]],W149+TbTradesBinance[[#This Row],[Qtt]]*TbTradesBinance[[#This Row],[Preço]])),W149)-IF(TbTradesBinance[[#This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Row],[Tipo]]="DROP"),W149+TbTradesBinance[[#This Row],[Qtt]],W149-TbTradesBinance[[#This Row],[Qtt]]),IF(TbTradesBinance[[#This Row],[Tipo]]="BUY",W149-TbTradesBinance[[#This Row],[Qtt]]*TbTradesBinance[[#This Row],[Preço]],W149+TbTradesBinance[[#This Row],[Qtt]]*TbTradesBinance[[#This Row],[Preço]])),W149)-IF(TbTradesBinance[[#This Row],[Moeda da Taxa]]=MID(W$1,9,5),TbTradesBinance[[#This Row],[Taxa]],0),8)))</f>
        <v>1.6436000000000001E-4</v>
      </c>
      <c r="X150" s="145" cm="1">
        <f t="array" ref="X150">IF(TbTradesBinance[[#This Row],[Tipo]]="EMPTY",0,X149+IF(TbTradesBinance[[#This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Row],[Par]]))),$1:$1,0)),-(W149-W150)/W149*X149),0),0)+IF(TbTradesBinance[[#This Row],[Tipo]]="SELL",IF(ISNUMBER(FIND(MID(X$1,10,5),TbTradesBinance[[#This Row],[Par]])),IF(FIND(MID(X$1,10,5),TbTradesBinance[[#This Row],[Par]])=1, -(W149-W150)/W149*X149,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Row],[Par]])),(-(W149-W150)/W149*X149)+IF(TbTradesBinance[[#This Row],[Resultado]]&gt;0,0,TbTradesBinance[[#This Row],[Taxa]]),0),0))</f>
        <v>55.654279137915474</v>
      </c>
      <c r="Y150" s="145">
        <f t="shared" si="42"/>
        <v>338612.06581841974</v>
      </c>
      <c r="Z15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Row],[Tipo]]="DROP"),Z149+TbTradesBinance[[#This Row],[Qtt]],Z149-TbTradesBinance[[#This Row],[Qtt]]),IF(TbTradesBinance[[#This Row],[Tipo]]="BUY",Z149-TbTradesBinance[[#This Row],[Qtt]]*TbTradesBinance[[#This Row],[Preço]],Z149+TbTradesBinance[[#This Row],[Qtt]]*TbTradesBinance[[#This Row],[Preço]])),Z149)-IF(TbTradesBinance[[#This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Row],[Tipo]]="DROP"),Z149+TbTradesBinance[[#This Row],[Qtt]],Z149-TbTradesBinance[[#This Row],[Qtt]]),IF(TbTradesBinance[[#This Row],[Tipo]]="BUY",Z149-TbTradesBinance[[#This Row],[Qtt]]*TbTradesBinance[[#This Row],[Preço]],Z149+TbTradesBinance[[#This Row],[Qtt]]*TbTradesBinance[[#This Row],[Preço]])),Z149)-IF(TbTradesBinance[[#This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Row],[Tipo]]="DROP"),Z149+TbTradesBinance[[#This Row],[Qtt]],Z149-TbTradesBinance[[#This Row],[Qtt]]),IF(TbTradesBinance[[#This Row],[Tipo]]="BUY",Z149-TbTradesBinance[[#This Row],[Qtt]]*TbTradesBinance[[#This Row],[Preço]],Z149+TbTradesBinance[[#This Row],[Qtt]]*TbTradesBinance[[#This Row],[Preço]])),Z149)-IF(TbTradesBinance[[#This Row],[Moeda da Taxa]]=MID(Z$1,9,5),TbTradesBinance[[#This Row],[Taxa]],0),8)))</f>
        <v>0</v>
      </c>
      <c r="AA150" s="145" cm="1">
        <f t="array" ref="AA150">IF(TbTradesBinance[[#This Row],[Tipo]]="EMPTY",0,AA149+IF(TbTradesBinance[[#This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Row],[Par]]))),$1:$1,0)),-(Z149-Z150)/Z149*AA149),0),0)+IF(TbTradesBinance[[#This Row],[Tipo]]="SELL",IF(ISNUMBER(FIND(MID(AA$1,10,5),TbTradesBinance[[#This Row],[Par]])),IF(FIND(MID(AA$1,10,5),TbTradesBinance[[#This Row],[Par]])=1, -(Z149-Z150)/Z149*AA149,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Row],[Par]])),(-(Z149-Z150)/Z149*AA149)+IF(TbTradesBinance[[#This Row],[Resultado]]&gt;0,0,TbTradesBinance[[#This Row],[Taxa]]),0),0))</f>
        <v>0</v>
      </c>
      <c r="AB150" s="145">
        <f t="shared" si="43"/>
        <v>0</v>
      </c>
      <c r="AC15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Row],[Tipo]]="DROP"),AC149+TbTradesBinance[[#This Row],[Qtt]],AC149-TbTradesBinance[[#This Row],[Qtt]]),IF(TbTradesBinance[[#This Row],[Tipo]]="BUY",AC149-TbTradesBinance[[#This Row],[Qtt]]*TbTradesBinance[[#This Row],[Preço]],AC149+TbTradesBinance[[#This Row],[Qtt]]*TbTradesBinance[[#This Row],[Preço]])),AC149)-IF(TbTradesBinance[[#This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Row],[Tipo]]="DROP"),AC149+TbTradesBinance[[#This Row],[Qtt]],AC149-TbTradesBinance[[#This Row],[Qtt]]),IF(TbTradesBinance[[#This Row],[Tipo]]="BUY",AC149-TbTradesBinance[[#This Row],[Qtt]]*TbTradesBinance[[#This Row],[Preço]],AC149+TbTradesBinance[[#This Row],[Qtt]]*TbTradesBinance[[#This Row],[Preço]])),AC149)-IF(TbTradesBinance[[#This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Row],[Tipo]]="DROP"),AC149+TbTradesBinance[[#This Row],[Qtt]],AC149-TbTradesBinance[[#This Row],[Qtt]]),IF(TbTradesBinance[[#This Row],[Tipo]]="BUY",AC149-TbTradesBinance[[#This Row],[Qtt]]*TbTradesBinance[[#This Row],[Preço]],AC149+TbTradesBinance[[#This Row],[Qtt]]*TbTradesBinance[[#This Row],[Preço]])),AC149)-IF(TbTradesBinance[[#This Row],[Moeda da Taxa]]=MID(AC$1,9,5),TbTradesBinance[[#This Row],[Taxa]],0),8)))</f>
        <v>0</v>
      </c>
      <c r="AD150" s="145" cm="1">
        <f t="array" ref="AD150">IF(TbTradesBinance[[#This Row],[Tipo]]="EMPTY",0,AD149+IF(TbTradesBinance[[#This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Row],[Par]]))),$1:$1,0)),-(AC149-AC150)/AC149*AD149),0),0)+IF(TbTradesBinance[[#This Row],[Tipo]]="SELL",IF(ISNUMBER(FIND(MID(AD$1,10,5),TbTradesBinance[[#This Row],[Par]])),IF(FIND(MID(AD$1,10,5),TbTradesBinance[[#This Row],[Par]])=1, -(AC149-AC150)/AC149*AD149,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Row],[Par]])),(-(AC149-AC150)/AC149*AD149)+IF(TbTradesBinance[[#This Row],[Resultado]]&gt;0,0,TbTradesBinance[[#This Row],[Taxa]]),0),0))</f>
        <v>0</v>
      </c>
      <c r="AE150" s="145">
        <f t="shared" si="44"/>
        <v>0</v>
      </c>
      <c r="AF15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Row],[Tipo]]="DROP"),AF149+TbTradesBinance[[#This Row],[Qtt]],AF149-TbTradesBinance[[#This Row],[Qtt]]),IF(TbTradesBinance[[#This Row],[Tipo]]="BUY",AF149-TbTradesBinance[[#This Row],[Qtt]]*TbTradesBinance[[#This Row],[Preço]],AF149+TbTradesBinance[[#This Row],[Qtt]]*TbTradesBinance[[#This Row],[Preço]])),AF149)-IF(TbTradesBinance[[#This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Row],[Tipo]]="DROP"),AF149+TbTradesBinance[[#This Row],[Qtt]],AF149-TbTradesBinance[[#This Row],[Qtt]]),IF(TbTradesBinance[[#This Row],[Tipo]]="BUY",AF149-TbTradesBinance[[#This Row],[Qtt]]*TbTradesBinance[[#This Row],[Preço]],AF149+TbTradesBinance[[#This Row],[Qtt]]*TbTradesBinance[[#This Row],[Preço]])),AF149)-IF(TbTradesBinance[[#This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Row],[Tipo]]="DROP"),AF149+TbTradesBinance[[#This Row],[Qtt]],AF149-TbTradesBinance[[#This Row],[Qtt]]),IF(TbTradesBinance[[#This Row],[Tipo]]="BUY",AF149-TbTradesBinance[[#This Row],[Qtt]]*TbTradesBinance[[#This Row],[Preço]],AF149+TbTradesBinance[[#This Row],[Qtt]]*TbTradesBinance[[#This Row],[Preço]])),AF149)-IF(TbTradesBinance[[#This Row],[Moeda da Taxa]]=MID(AF$1,9,5),TbTradesBinance[[#This Row],[Taxa]],0),8)))</f>
        <v>0</v>
      </c>
      <c r="AG150" s="145" cm="1">
        <f t="array" ref="AG150">IF(TbTradesBinance[[#This Row],[Tipo]]="EMPTY",0,AG149+IF(TbTradesBinance[[#This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Row],[Par]]))),$1:$1,0)),-(AF149-AF150)/AF149*AG149),0),0)+IF(TbTradesBinance[[#This Row],[Tipo]]="SELL",IF(ISNUMBER(FIND(MID(AG$1,10,5),TbTradesBinance[[#This Row],[Par]])),IF(FIND(MID(AG$1,10,5),TbTradesBinance[[#This Row],[Par]])=1, -(AF149-AF150)/AF149*AG149,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Row],[Par]])),(-(AF149-AF150)/AF149*AG149)+IF(TbTradesBinance[[#This Row],[Resultado]]&gt;0,0,TbTradesBinance[[#This Row],[Taxa]]),0),0))</f>
        <v>0</v>
      </c>
      <c r="AH150" s="145">
        <f t="shared" si="45"/>
        <v>0</v>
      </c>
      <c r="AI15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Row],[Tipo]]="DROP"),AI149+TbTradesBinance[[#This Row],[Qtt]],AI149-TbTradesBinance[[#This Row],[Qtt]]),IF(TbTradesBinance[[#This Row],[Tipo]]="BUY",AI149-TbTradesBinance[[#This Row],[Qtt]]*TbTradesBinance[[#This Row],[Preço]],AI149+TbTradesBinance[[#This Row],[Qtt]]*TbTradesBinance[[#This Row],[Preço]])),AI149)-IF(TbTradesBinance[[#This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Row],[Tipo]]="DROP"),AI149+TbTradesBinance[[#This Row],[Qtt]],AI149-TbTradesBinance[[#This Row],[Qtt]]),IF(TbTradesBinance[[#This Row],[Tipo]]="BUY",AI149-TbTradesBinance[[#This Row],[Qtt]]*TbTradesBinance[[#This Row],[Preço]],AI149+TbTradesBinance[[#This Row],[Qtt]]*TbTradesBinance[[#This Row],[Preço]])),AI149)-IF(TbTradesBinance[[#This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Row],[Tipo]]="DROP"),AI149+TbTradesBinance[[#This Row],[Qtt]],AI149-TbTradesBinance[[#This Row],[Qtt]]),IF(TbTradesBinance[[#This Row],[Tipo]]="BUY",AI149-TbTradesBinance[[#This Row],[Qtt]]*TbTradesBinance[[#This Row],[Preço]],AI149+TbTradesBinance[[#This Row],[Qtt]]*TbTradesBinance[[#This Row],[Preço]])),AI149)-IF(TbTradesBinance[[#This Row],[Moeda da Taxa]]=MID(AI$1,9,5),TbTradesBinance[[#This Row],[Taxa]],0),8)))</f>
        <v>0</v>
      </c>
      <c r="AJ150" s="145" cm="1">
        <f t="array" ref="AJ150">IF(TbTradesBinance[[#This Row],[Tipo]]="EMPTY",0,AJ149+IF(TbTradesBinance[[#This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Row],[Par]]))),$1:$1,0)),-(AI149-AI150)/AI149*AJ149),0),0)+IF(TbTradesBinance[[#This Row],[Tipo]]="SELL",IF(ISNUMBER(FIND(MID(AJ$1,10,5),TbTradesBinance[[#This Row],[Par]])),IF(FIND(MID(AJ$1,10,5),TbTradesBinance[[#This Row],[Par]])=1, -(AI149-AI150)/AI149*AJ149,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Row],[Par]])),(-(AI149-AI150)/AI149*AJ149)+IF(TbTradesBinance[[#This Row],[Resultado]]&gt;0,0,TbTradesBinance[[#This Row],[Taxa]]),0),0))</f>
        <v>0</v>
      </c>
      <c r="AK150" s="145">
        <f t="shared" si="46"/>
        <v>0</v>
      </c>
      <c r="AL15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Row],[Tipo]]="DROP"),AL149+TbTradesBinance[[#This Row],[Qtt]],AL149-TbTradesBinance[[#This Row],[Qtt]]),IF(TbTradesBinance[[#This Row],[Tipo]]="BUY",AL149-TbTradesBinance[[#This Row],[Qtt]]*TbTradesBinance[[#This Row],[Preço]],AL149+TbTradesBinance[[#This Row],[Qtt]]*TbTradesBinance[[#This Row],[Preço]])),AL149)-IF(TbTradesBinance[[#This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Row],[Tipo]]="DROP"),AL149+TbTradesBinance[[#This Row],[Qtt]],AL149-TbTradesBinance[[#This Row],[Qtt]]),IF(TbTradesBinance[[#This Row],[Tipo]]="BUY",AL149-TbTradesBinance[[#This Row],[Qtt]]*TbTradesBinance[[#This Row],[Preço]],AL149+TbTradesBinance[[#This Row],[Qtt]]*TbTradesBinance[[#This Row],[Preço]])),AL149)-IF(TbTradesBinance[[#This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Row],[Tipo]]="DROP"),AL149+TbTradesBinance[[#This Row],[Qtt]],AL149-TbTradesBinance[[#This Row],[Qtt]]),IF(TbTradesBinance[[#This Row],[Tipo]]="BUY",AL149-TbTradesBinance[[#This Row],[Qtt]]*TbTradesBinance[[#This Row],[Preço]],AL149+TbTradesBinance[[#This Row],[Qtt]]*TbTradesBinance[[#This Row],[Preço]])),AL149)-IF(TbTradesBinance[[#This Row],[Moeda da Taxa]]=MID(AL$1,9,5),TbTradesBinance[[#This Row],[Taxa]],0),8)))</f>
        <v>0</v>
      </c>
      <c r="AM150" s="145" cm="1">
        <f t="array" ref="AM150">IF(TbTradesBinance[[#This Row],[Tipo]]="EMPTY",0,AM149+IF(TbTradesBinance[[#This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Row],[Par]]))),$1:$1,0)),-(AL149-AL150)/AL149*AM149),0),0)+IF(TbTradesBinance[[#This Row],[Tipo]]="SELL",IF(ISNUMBER(FIND(MID(AM$1,10,5),TbTradesBinance[[#This Row],[Par]])),IF(FIND(MID(AM$1,10,5),TbTradesBinance[[#This Row],[Par]])=1, -(AL149-AL150)/AL149*AM149,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Row],[Par]])),(-(AL149-AL150)/AL149*AM149)+IF(TbTradesBinance[[#This Row],[Resultado]]&gt;0,0,TbTradesBinance[[#This Row],[Taxa]]),0),0))</f>
        <v>0</v>
      </c>
      <c r="AN150" s="145">
        <f t="shared" si="47"/>
        <v>0</v>
      </c>
      <c r="AO15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Row],[Tipo]]="DROP"),AO149+TbTradesBinance[[#This Row],[Qtt]],AO149-TbTradesBinance[[#This Row],[Qtt]]),IF(TbTradesBinance[[#This Row],[Tipo]]="BUY",AO149-TbTradesBinance[[#This Row],[Qtt]]*TbTradesBinance[[#This Row],[Preço]],AO149+TbTradesBinance[[#This Row],[Qtt]]*TbTradesBinance[[#This Row],[Preço]])),AO149)-IF(TbTradesBinance[[#This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Row],[Tipo]]="DROP"),AO149+TbTradesBinance[[#This Row],[Qtt]],AO149-TbTradesBinance[[#This Row],[Qtt]]),IF(TbTradesBinance[[#This Row],[Tipo]]="BUY",AO149-TbTradesBinance[[#This Row],[Qtt]]*TbTradesBinance[[#This Row],[Preço]],AO149+TbTradesBinance[[#This Row],[Qtt]]*TbTradesBinance[[#This Row],[Preço]])),AO149)-IF(TbTradesBinance[[#This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Row],[Tipo]]="DROP"),AO149+TbTradesBinance[[#This Row],[Qtt]],AO149-TbTradesBinance[[#This Row],[Qtt]]),IF(TbTradesBinance[[#This Row],[Tipo]]="BUY",AO149-TbTradesBinance[[#This Row],[Qtt]]*TbTradesBinance[[#This Row],[Preço]],AO149+TbTradesBinance[[#This Row],[Qtt]]*TbTradesBinance[[#This Row],[Preço]])),AO149)-IF(TbTradesBinance[[#This Row],[Moeda da Taxa]]=MID(AO$1,9,5),TbTradesBinance[[#This Row],[Taxa]],0),8)))</f>
        <v>3.7216350000000002E-2</v>
      </c>
      <c r="AP150" s="145" cm="1">
        <f t="array" ref="AP150">IF(TbTradesBinance[[#This Row],[Tipo]]="EMPTY",0,AP149+IF(TbTradesBinance[[#This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Row],[Par]]))),$1:$1,0)),-(AO149-AO150)/AO149*AP149),0),0)+IF(TbTradesBinance[[#This Row],[Tipo]]="SELL",IF(ISNUMBER(FIND(MID(AP$1,10,5),TbTradesBinance[[#This Row],[Par]])),IF(FIND(MID(AP$1,10,5),TbTradesBinance[[#This Row],[Par]])=1, -(AO149-AO150)/AO149*AP149,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Row],[Par]])),(-(AO149-AO150)/AO149*AP149)+IF(TbTradesBinance[[#This Row],[Resultado]]&gt;0,0,TbTradesBinance[[#This Row],[Taxa]]),0),0))</f>
        <v>57.065298020032813</v>
      </c>
      <c r="AQ150" s="145">
        <f t="shared" si="48"/>
        <v>1533.3394602112462</v>
      </c>
      <c r="AR15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Row],[Tipo]]="DROP"),AR149+TbTradesBinance[[#This Row],[Qtt]],AR149-TbTradesBinance[[#This Row],[Qtt]]),IF(TbTradesBinance[[#This Row],[Tipo]]="BUY",AR149-TbTradesBinance[[#This Row],[Qtt]]*TbTradesBinance[[#This Row],[Preço]],AR149+TbTradesBinance[[#This Row],[Qtt]]*TbTradesBinance[[#This Row],[Preço]])),AR149)-IF(TbTradesBinance[[#This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Row],[Tipo]]="DROP"),AR149+TbTradesBinance[[#This Row],[Qtt]],AR149-TbTradesBinance[[#This Row],[Qtt]]),IF(TbTradesBinance[[#This Row],[Tipo]]="BUY",AR149-TbTradesBinance[[#This Row],[Qtt]]*TbTradesBinance[[#This Row],[Preço]],AR149+TbTradesBinance[[#This Row],[Qtt]]*TbTradesBinance[[#This Row],[Preço]])),AR149)-IF(TbTradesBinance[[#This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Row],[Tipo]]="DROP"),AR149+TbTradesBinance[[#This Row],[Qtt]],AR149-TbTradesBinance[[#This Row],[Qtt]]),IF(TbTradesBinance[[#This Row],[Tipo]]="BUY",AR149-TbTradesBinance[[#This Row],[Qtt]]*TbTradesBinance[[#This Row],[Preço]],AR149+TbTradesBinance[[#This Row],[Qtt]]*TbTradesBinance[[#This Row],[Preço]])),AR149)-IF(TbTradesBinance[[#This Row],[Moeda da Taxa]]=MID(AR$1,9,5),TbTradesBinance[[#This Row],[Taxa]],0),8)))</f>
        <v>0</v>
      </c>
      <c r="AS150" s="145" cm="1">
        <f t="array" ref="AS150">IF(TbTradesBinance[[#This Row],[Tipo]]="EMPTY",0,AS149+IF(TbTradesBinance[[#This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Row],[Par]]))),$1:$1,0)),-(AR149-AR150)/AR149*AS149),0),0)+IF(TbTradesBinance[[#This Row],[Tipo]]="SELL",IF(ISNUMBER(FIND(MID(AS$1,10,5),TbTradesBinance[[#This Row],[Par]])),IF(FIND(MID(AS$1,10,5),TbTradesBinance[[#This Row],[Par]])=1, -(AR149-AR150)/AR149*AS149,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Row],[Par]])),(-(AR149-AR150)/AR149*AS149)+IF(TbTradesBinance[[#This Row],[Resultado]]&gt;0,0,TbTradesBinance[[#This Row],[Taxa]]),0),0))</f>
        <v>0</v>
      </c>
      <c r="AT150" s="145">
        <f t="shared" si="49"/>
        <v>0</v>
      </c>
      <c r="AU15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Row],[Tipo]]="DROP"),AU149+TbTradesBinance[[#This Row],[Qtt]],AU149-TbTradesBinance[[#This Row],[Qtt]]),IF(TbTradesBinance[[#This Row],[Tipo]]="BUY",AU149-TbTradesBinance[[#This Row],[Qtt]]*TbTradesBinance[[#This Row],[Preço]],AU149+TbTradesBinance[[#This Row],[Qtt]]*TbTradesBinance[[#This Row],[Preço]])),AU149)-IF(TbTradesBinance[[#This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Row],[Tipo]]="DROP"),AU149+TbTradesBinance[[#This Row],[Qtt]],AU149-TbTradesBinance[[#This Row],[Qtt]]),IF(TbTradesBinance[[#This Row],[Tipo]]="BUY",AU149-TbTradesBinance[[#This Row],[Qtt]]*TbTradesBinance[[#This Row],[Preço]],AU149+TbTradesBinance[[#This Row],[Qtt]]*TbTradesBinance[[#This Row],[Preço]])),AU149)-IF(TbTradesBinance[[#This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Row],[Tipo]]="DROP"),AU149+TbTradesBinance[[#This Row],[Qtt]],AU149-TbTradesBinance[[#This Row],[Qtt]]),IF(TbTradesBinance[[#This Row],[Tipo]]="BUY",AU149-TbTradesBinance[[#This Row],[Qtt]]*TbTradesBinance[[#This Row],[Preço]],AU149+TbTradesBinance[[#This Row],[Qtt]]*TbTradesBinance[[#This Row],[Preço]])),AU149)-IF(TbTradesBinance[[#This Row],[Moeda da Taxa]]=MID(AU$1,9,5),TbTradesBinance[[#This Row],[Taxa]],0),8)))</f>
        <v>0</v>
      </c>
      <c r="AV150" s="145" cm="1">
        <f t="array" ref="AV150">IF(TbTradesBinance[[#This Row],[Tipo]]="EMPTY",0,AV149+IF(TbTradesBinance[[#This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Row],[Par]]))),$1:$1,0)),-(AU149-AU150)/AU149*AV149),0),0)+IF(TbTradesBinance[[#This Row],[Tipo]]="SELL",IF(ISNUMBER(FIND(MID(AV$1,10,5),TbTradesBinance[[#This Row],[Par]])),IF(FIND(MID(AV$1,10,5),TbTradesBinance[[#This Row],[Par]])=1, -(AU149-AU150)/AU149*AV149,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Row],[Par]])),(-(AU149-AU150)/AU149*AV149)+IF(TbTradesBinance[[#This Row],[Resultado]]&gt;0,0,TbTradesBinance[[#This Row],[Taxa]]),0),0))</f>
        <v>0</v>
      </c>
      <c r="AW150" s="145">
        <f t="shared" si="50"/>
        <v>0</v>
      </c>
      <c r="AX15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Row],[Tipo]]="DROP"),AX149+TbTradesBinance[[#This Row],[Qtt]],AX149-TbTradesBinance[[#This Row],[Qtt]]),IF(TbTradesBinance[[#This Row],[Tipo]]="BUY",AX149-TbTradesBinance[[#This Row],[Qtt]]*TbTradesBinance[[#This Row],[Preço]],AX149+TbTradesBinance[[#This Row],[Qtt]]*TbTradesBinance[[#This Row],[Preço]])),AX149)-IF(TbTradesBinance[[#This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Row],[Tipo]]="DROP"),AX149+TbTradesBinance[[#This Row],[Qtt]],AX149-TbTradesBinance[[#This Row],[Qtt]]),IF(TbTradesBinance[[#This Row],[Tipo]]="BUY",AX149-TbTradesBinance[[#This Row],[Qtt]]*TbTradesBinance[[#This Row],[Preço]],AX149+TbTradesBinance[[#This Row],[Qtt]]*TbTradesBinance[[#This Row],[Preço]])),AX149)-IF(TbTradesBinance[[#This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Row],[Tipo]]="DROP"),AX149+TbTradesBinance[[#This Row],[Qtt]],AX149-TbTradesBinance[[#This Row],[Qtt]]),IF(TbTradesBinance[[#This Row],[Tipo]]="BUY",AX149-TbTradesBinance[[#This Row],[Qtt]]*TbTradesBinance[[#This Row],[Preço]],AX149+TbTradesBinance[[#This Row],[Qtt]]*TbTradesBinance[[#This Row],[Preço]])),AX149)-IF(TbTradesBinance[[#This Row],[Moeda da Taxa]]=MID(AX$1,9,5),TbTradesBinance[[#This Row],[Taxa]],0),8)))</f>
        <v>0.12499</v>
      </c>
      <c r="AY150" s="145" cm="1">
        <f t="array" ref="AY150">IF(TbTradesBinance[[#This Row],[Tipo]]="EMPTY",0,AY149+IF(TbTradesBinance[[#This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Row],[Par]]))),$1:$1,0)),-(AX149-AX150)/AX149*AY149),0),0)+IF(TbTradesBinance[[#This Row],[Tipo]]="SELL",IF(ISNUMBER(FIND(MID(AY$1,10,5),TbTradesBinance[[#This Row],[Par]])),IF(FIND(MID(AY$1,10,5),TbTradesBinance[[#This Row],[Par]])=1, -(AX149-AX150)/AX149*AY149,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Row],[Par]])),(-(AX149-AX150)/AX149*AY149)+IF(TbTradesBinance[[#This Row],[Resultado]]&gt;0,0,TbTradesBinance[[#This Row],[Taxa]]),0),0))</f>
        <v>19.240977241270929</v>
      </c>
      <c r="AZ150" s="145">
        <f t="shared" si="51"/>
        <v>153.94013314081869</v>
      </c>
      <c r="BA15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Row],[Tipo]]="DROP"),BA149+TbTradesBinance[[#This Row],[Qtt]],BA149-TbTradesBinance[[#This Row],[Qtt]]),IF(TbTradesBinance[[#This Row],[Tipo]]="BUY",BA149-TbTradesBinance[[#This Row],[Qtt]]*TbTradesBinance[[#This Row],[Preço]],BA149+TbTradesBinance[[#This Row],[Qtt]]*TbTradesBinance[[#This Row],[Preço]])),BA149)-IF(TbTradesBinance[[#This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Row],[Tipo]]="DROP"),BA149+TbTradesBinance[[#This Row],[Qtt]],BA149-TbTradesBinance[[#This Row],[Qtt]]),IF(TbTradesBinance[[#This Row],[Tipo]]="BUY",BA149-TbTradesBinance[[#This Row],[Qtt]]*TbTradesBinance[[#This Row],[Preço]],BA149+TbTradesBinance[[#This Row],[Qtt]]*TbTradesBinance[[#This Row],[Preço]])),BA149)-IF(TbTradesBinance[[#This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Row],[Tipo]]="DROP"),BA149+TbTradesBinance[[#This Row],[Qtt]],BA149-TbTradesBinance[[#This Row],[Qtt]]),IF(TbTradesBinance[[#This Row],[Tipo]]="BUY",BA149-TbTradesBinance[[#This Row],[Qtt]]*TbTradesBinance[[#This Row],[Preço]],BA149+TbTradesBinance[[#This Row],[Qtt]]*TbTradesBinance[[#This Row],[Preço]])),BA149)-IF(TbTradesBinance[[#This Row],[Moeda da Taxa]]=MID(BA$1,9,5),TbTradesBinance[[#This Row],[Taxa]],0),8)))</f>
        <v>0</v>
      </c>
      <c r="BB150" s="145" cm="1">
        <f t="array" ref="BB150">IF(TbTradesBinance[[#This Row],[Tipo]]="EMPTY",0,BB149+IF(TbTradesBinance[[#This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Row],[Par]]))),$1:$1,0)),-(BA149-BA150)/BA149*BB149),0),0)+IF(TbTradesBinance[[#This Row],[Tipo]]="SELL",IF(ISNUMBER(FIND(MID(BB$1,10,5),TbTradesBinance[[#This Row],[Par]])),IF(FIND(MID(BB$1,10,5),TbTradesBinance[[#This Row],[Par]])=1, -(BA149-BA150)/BA149*BB149,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Row],[Par]])),(-(BA149-BA150)/BA149*BB149)+IF(TbTradesBinance[[#This Row],[Resultado]]&gt;0,0,TbTradesBinance[[#This Row],[Taxa]]),0),0))</f>
        <v>0</v>
      </c>
      <c r="BC150" s="145">
        <f t="shared" si="52"/>
        <v>0</v>
      </c>
      <c r="BD15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Row],[Tipo]]="DROP"),BD149+TbTradesBinance[[#This Row],[Qtt]],BD149-TbTradesBinance[[#This Row],[Qtt]]),IF(TbTradesBinance[[#This Row],[Tipo]]="BUY",BD149-TbTradesBinance[[#This Row],[Qtt]]*TbTradesBinance[[#This Row],[Preço]],BD149+TbTradesBinance[[#This Row],[Qtt]]*TbTradesBinance[[#This Row],[Preço]])),BD149)-IF(TbTradesBinance[[#This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Row],[Tipo]]="DROP"),BD149+TbTradesBinance[[#This Row],[Qtt]],BD149-TbTradesBinance[[#This Row],[Qtt]]),IF(TbTradesBinance[[#This Row],[Tipo]]="BUY",BD149-TbTradesBinance[[#This Row],[Qtt]]*TbTradesBinance[[#This Row],[Preço]],BD149+TbTradesBinance[[#This Row],[Qtt]]*TbTradesBinance[[#This Row],[Preço]])),BD149)-IF(TbTradesBinance[[#This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Row],[Tipo]]="DROP"),BD149+TbTradesBinance[[#This Row],[Qtt]],BD149-TbTradesBinance[[#This Row],[Qtt]]),IF(TbTradesBinance[[#This Row],[Tipo]]="BUY",BD149-TbTradesBinance[[#This Row],[Qtt]]*TbTradesBinance[[#This Row],[Preço]],BD149+TbTradesBinance[[#This Row],[Qtt]]*TbTradesBinance[[#This Row],[Preço]])),BD149)-IF(TbTradesBinance[[#This Row],[Moeda da Taxa]]=MID(BD$1,9,5),TbTradesBinance[[#This Row],[Taxa]],0),8)))</f>
        <v>0</v>
      </c>
      <c r="BE150" s="145" cm="1">
        <f t="array" ref="BE150">IF(TbTradesBinance[[#This Row],[Tipo]]="EMPTY",0,BE149+IF(TbTradesBinance[[#This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Row],[Par]]))),$1:$1,0)),-(BD149-BD150)/BD149*BE149),0),0)+IF(TbTradesBinance[[#This Row],[Tipo]]="SELL",IF(ISNUMBER(FIND(MID(BE$1,10,5),TbTradesBinance[[#This Row],[Par]])),IF(FIND(MID(BE$1,10,5),TbTradesBinance[[#This Row],[Par]])=1, -(BD149-BD150)/BD149*BE149,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Row],[Par]])),(-(BD149-BD150)/BD149*BE149)+IF(TbTradesBinance[[#This Row],[Resultado]]&gt;0,0,TbTradesBinance[[#This Row],[Taxa]]),0),0))</f>
        <v>0</v>
      </c>
      <c r="BF150" s="145">
        <f t="shared" si="53"/>
        <v>0</v>
      </c>
      <c r="BG15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Row],[Tipo]]="DROP"),BG149+TbTradesBinance[[#This Row],[Qtt]],BG149-TbTradesBinance[[#This Row],[Qtt]]),IF(TbTradesBinance[[#This Row],[Tipo]]="BUY",BG149-TbTradesBinance[[#This Row],[Qtt]]*TbTradesBinance[[#This Row],[Preço]],BG149+TbTradesBinance[[#This Row],[Qtt]]*TbTradesBinance[[#This Row],[Preço]])),BG149)-IF(TbTradesBinance[[#This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Row],[Tipo]]="DROP"),BG149+TbTradesBinance[[#This Row],[Qtt]],BG149-TbTradesBinance[[#This Row],[Qtt]]),IF(TbTradesBinance[[#This Row],[Tipo]]="BUY",BG149-TbTradesBinance[[#This Row],[Qtt]]*TbTradesBinance[[#This Row],[Preço]],BG149+TbTradesBinance[[#This Row],[Qtt]]*TbTradesBinance[[#This Row],[Preço]])),BG149)-IF(TbTradesBinance[[#This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Row],[Tipo]]="DROP"),BG149+TbTradesBinance[[#This Row],[Qtt]],BG149-TbTradesBinance[[#This Row],[Qtt]]),IF(TbTradesBinance[[#This Row],[Tipo]]="BUY",BG149-TbTradesBinance[[#This Row],[Qtt]]*TbTradesBinance[[#This Row],[Preço]],BG149+TbTradesBinance[[#This Row],[Qtt]]*TbTradesBinance[[#This Row],[Preço]])),BG149)-IF(TbTradesBinance[[#This Row],[Moeda da Taxa]]=MID(BG$1,9,5),TbTradesBinance[[#This Row],[Taxa]],0),8)))</f>
        <v>0</v>
      </c>
      <c r="BH150" s="145" cm="1">
        <f t="array" ref="BH150">IF(TbTradesBinance[[#This Row],[Tipo]]="EMPTY",0,BH149+IF(TbTradesBinance[[#This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Row],[Par]]))),$1:$1,0)),-(BG149-BG150)/BG149*BH149),0),0)+IF(TbTradesBinance[[#This Row],[Tipo]]="SELL",IF(ISNUMBER(FIND(MID(BH$1,10,5),TbTradesBinance[[#This Row],[Par]])),IF(FIND(MID(BH$1,10,5),TbTradesBinance[[#This Row],[Par]])=1, -(BG149-BG150)/BG149*BH149,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Row],[Par]])),(-(BG149-BG150)/BG149*BH149)+IF(TbTradesBinance[[#This Row],[Resultado]]&gt;0,0,TbTradesBinance[[#This Row],[Taxa]]),0),0))</f>
        <v>0</v>
      </c>
      <c r="BI150" s="145">
        <f t="shared" si="54"/>
        <v>0</v>
      </c>
      <c r="BJ15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Row],[Tipo]]="DROP"),BJ149+TbTradesBinance[[#This Row],[Qtt]],BJ149-TbTradesBinance[[#This Row],[Qtt]]),IF(TbTradesBinance[[#This Row],[Tipo]]="BUY",BJ149-TbTradesBinance[[#This Row],[Qtt]]*TbTradesBinance[[#This Row],[Preço]],BJ149+TbTradesBinance[[#This Row],[Qtt]]*TbTradesBinance[[#This Row],[Preço]])),BJ149)-IF(TbTradesBinance[[#This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Row],[Tipo]]="DROP"),BJ149+TbTradesBinance[[#This Row],[Qtt]],BJ149-TbTradesBinance[[#This Row],[Qtt]]),IF(TbTradesBinance[[#This Row],[Tipo]]="BUY",BJ149-TbTradesBinance[[#This Row],[Qtt]]*TbTradesBinance[[#This Row],[Preço]],BJ149+TbTradesBinance[[#This Row],[Qtt]]*TbTradesBinance[[#This Row],[Preço]])),BJ149)-IF(TbTradesBinance[[#This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Row],[Tipo]]="DROP"),BJ149+TbTradesBinance[[#This Row],[Qtt]],BJ149-TbTradesBinance[[#This Row],[Qtt]]),IF(TbTradesBinance[[#This Row],[Tipo]]="BUY",BJ149-TbTradesBinance[[#This Row],[Qtt]]*TbTradesBinance[[#This Row],[Preço]],BJ149+TbTradesBinance[[#This Row],[Qtt]]*TbTradesBinance[[#This Row],[Preço]])),BJ149)-IF(TbTradesBinance[[#This Row],[Moeda da Taxa]]=MID(BJ$1,9,5),TbTradesBinance[[#This Row],[Taxa]],0),8)))</f>
        <v>1.3665699999999999E-3</v>
      </c>
      <c r="BK150" s="145" cm="1">
        <f t="array" ref="BK150">IF(TbTradesBinance[[#This Row],[Tipo]]="EMPTY",0,BK149+IF(TbTradesBinance[[#This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Row],[Par]]))),$1:$1,0)),-(BJ149-BJ150)/BJ149*BK149),0),0)+IF(TbTradesBinance[[#This Row],[Tipo]]="SELL",IF(ISNUMBER(FIND(MID(BK$1,10,5),TbTradesBinance[[#This Row],[Par]])),IF(FIND(MID(BK$1,10,5),TbTradesBinance[[#This Row],[Par]])=1, -(BJ149-BJ150)/BJ149*BK149,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Row],[Par]])),(-(BJ149-BJ150)/BJ149*BK149)+IF(TbTradesBinance[[#This Row],[Resultado]]&gt;0,0,TbTradesBinance[[#This Row],[Taxa]]),0),0))</f>
        <v>0</v>
      </c>
      <c r="BL150" s="145">
        <f t="shared" si="55"/>
        <v>0</v>
      </c>
      <c r="BM15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Row],[Tipo]]="DROP"),BM149+TbTradesBinance[[#This Row],[Qtt]],BM149-TbTradesBinance[[#This Row],[Qtt]]),IF(TbTradesBinance[[#This Row],[Tipo]]="BUY",BM149-TbTradesBinance[[#This Row],[Qtt]]*TbTradesBinance[[#This Row],[Preço]],BM149+TbTradesBinance[[#This Row],[Qtt]]*TbTradesBinance[[#This Row],[Preço]])),BM149)-IF(TbTradesBinance[[#This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Row],[Tipo]]="DROP"),BM149+TbTradesBinance[[#This Row],[Qtt]],BM149-TbTradesBinance[[#This Row],[Qtt]]),IF(TbTradesBinance[[#This Row],[Tipo]]="BUY",BM149-TbTradesBinance[[#This Row],[Qtt]]*TbTradesBinance[[#This Row],[Preço]],BM149+TbTradesBinance[[#This Row],[Qtt]]*TbTradesBinance[[#This Row],[Preço]])),BM149)-IF(TbTradesBinance[[#This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Row],[Tipo]]="DROP"),BM149+TbTradesBinance[[#This Row],[Qtt]],BM149-TbTradesBinance[[#This Row],[Qtt]]),IF(TbTradesBinance[[#This Row],[Tipo]]="BUY",BM149-TbTradesBinance[[#This Row],[Qtt]]*TbTradesBinance[[#This Row],[Preço]],BM149+TbTradesBinance[[#This Row],[Qtt]]*TbTradesBinance[[#This Row],[Preço]])),BM149)-IF(TbTradesBinance[[#This Row],[Moeda da Taxa]]=MID(BM$1,9,5),TbTradesBinance[[#This Row],[Taxa]],0),8)))</f>
        <v>0</v>
      </c>
      <c r="BN150" s="145" cm="1">
        <f t="array" ref="BN150">IF(TbTradesBinance[[#This Row],[Tipo]]="EMPTY",0,BN149+IF(TbTradesBinance[[#This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Row],[Par]]))),$1:$1,0)),-(BM149-BM150)/BM149*BN149),0),0)+IF(TbTradesBinance[[#This Row],[Tipo]]="SELL",IF(ISNUMBER(FIND(MID(BN$1,10,5),TbTradesBinance[[#This Row],[Par]])),IF(FIND(MID(BN$1,10,5),TbTradesBinance[[#This Row],[Par]])=1, -(BM149-BM150)/BM149*BN149,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Row],[Par]])),(-(BM149-BM150)/BM149*BN149)+IF(TbTradesBinance[[#This Row],[Resultado]]&gt;0,0,TbTradesBinance[[#This Row],[Taxa]]),0),0))</f>
        <v>0</v>
      </c>
      <c r="BO150" s="145">
        <f t="shared" si="56"/>
        <v>0</v>
      </c>
    </row>
    <row r="151" spans="2:67" x14ac:dyDescent="0.3">
      <c r="B151" s="51"/>
      <c r="C151" s="40">
        <f>TRUNC(IF(AND(TbTradesBinance[[#This Row],[Tipo]]="SEND",TbTradesBinance[[#This Row],[Par]]="BRL"),TbTradesBinance[[#This Row],[Qtt]]*(1-P149)-IF(TbTradesBinance[[#This Row],[Moeda da Taxa]]="BRL",TbTradesBinance[[#This Row],[Taxa]],0),0)+IF(AND(TbTradesBinance[[#This Row],[Tipo]]="BURN",TbTradesBinance[[#This Row],[Par]]="BRL"),-TbTradesBinance[[#This Row],[Qtt]]*P149,0),2)</f>
        <v>0</v>
      </c>
      <c r="D151" s="53">
        <v>44299.913437499999</v>
      </c>
      <c r="E151" s="37" t="s">
        <v>143</v>
      </c>
      <c r="F151" s="47" t="s">
        <v>140</v>
      </c>
      <c r="G151" s="38">
        <v>211</v>
      </c>
      <c r="H151" s="38">
        <v>0.12499</v>
      </c>
      <c r="I151" s="38">
        <v>6.0000000000000002E-6</v>
      </c>
      <c r="J151" s="37" t="s">
        <v>45</v>
      </c>
      <c r="K151" s="52">
        <v>1</v>
      </c>
      <c r="L151" s="40">
        <f t="shared" si="38"/>
        <v>211</v>
      </c>
      <c r="M151" s="40">
        <f>IF(OR(TbTradesBinance[[#This Row],[Tipo]]="BUY",TbTradesBinance[[#This Row],[Tipo]]="RECEIVE",TbTradesBinance[[#This Row],[Tipo]]="DROP"),L151*H151,-L151*H151)</f>
        <v>-26.372890000000002</v>
      </c>
      <c r="N15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Row],[Tipo]]="DROP"),N150+TbTradesBinance[[#This Row],[Qtt]],N150-TbTradesBinance[[#This Row],[Qtt]]),IF(TbTradesBinance[[#This Row],[Tipo]]="BUY",N150-TbTradesBinance[[#This Row],[Qtt]]*TbTradesBinance[[#This Row],[Preço]],N150+TbTradesBinance[[#This Row],[Qtt]]*TbTradesBinance[[#This Row],[Preço]])),N150)-IF(TbTradesBinance[[#This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Row],[Tipo]]="DROP"),N150+TbTradesBinance[[#This Row],[Qtt]],N150-TbTradesBinance[[#This Row],[Qtt]]),IF(TbTradesBinance[[#This Row],[Tipo]]="BUY",N150-TbTradesBinance[[#This Row],[Qtt]]*TbTradesBinance[[#This Row],[Preço]],N150+TbTradesBinance[[#This Row],[Qtt]]*TbTradesBinance[[#This Row],[Preço]])),N150)-IF(TbTradesBinance[[#This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Row],[Tipo]]="DROP"),N150+TbTradesBinance[[#This Row],[Qtt]],N150-TbTradesBinance[[#This Row],[Qtt]]),IF(TbTradesBinance[[#This Row],[Tipo]]="BUY",N150-TbTradesBinance[[#This Row],[Qtt]]*TbTradesBinance[[#This Row],[Preço]],N150+TbTradesBinance[[#This Row],[Qtt]]*TbTradesBinance[[#This Row],[Preço]])),N150)-IF(TbTradesBinance[[#This Row],[Moeda da Taxa]]=MID(N$1,9,5),TbTradesBinance[[#This Row],[Taxa]],0),8)))</f>
        <v>119974.66997418</v>
      </c>
      <c r="O151" s="145" cm="1">
        <f t="array" ref="O151">IF(TbTradesBinance[[#This Row],[Tipo]]="EMPTY",0,O150+IF(TbTradesBinance[[#This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Row],[Par]]))),$1:$1,0)),-(N150-N151)/N150*O150),0),0)+IF(TbTradesBinance[[#This Row],[Tipo]]="SELL",IF(ISNUMBER(FIND(MID(O$1,10,5),TbTradesBinance[[#This Row],[Par]])),IF(FIND(MID(O$1,10,5),TbTradesBinance[[#This Row],[Par]])=1, -(N150-N151)/N150*O150,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Row],[Par]])),(-(N150-N151)/N150*O150)+IF(TbTradesBinance[[#This Row],[Resultado]]&gt;0,0,TbTradesBinance[[#This Row],[Taxa]]),0),0))</f>
        <v>120029.90488709159</v>
      </c>
      <c r="P151" s="145">
        <f t="shared" si="39"/>
        <v>1.0004603881212883</v>
      </c>
      <c r="Q15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Row],[Tipo]]="DROP"),Q150+TbTradesBinance[[#This Row],[Qtt]],Q150-TbTradesBinance[[#This Row],[Qtt]]),IF(TbTradesBinance[[#This Row],[Tipo]]="BUY",Q150-TbTradesBinance[[#This Row],[Qtt]]*TbTradesBinance[[#This Row],[Preço]],Q150+TbTradesBinance[[#This Row],[Qtt]]*TbTradesBinance[[#This Row],[Preço]])),Q150)-IF(TbTradesBinance[[#This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Row],[Tipo]]="DROP"),Q150+TbTradesBinance[[#This Row],[Qtt]],Q150-TbTradesBinance[[#This Row],[Qtt]]),IF(TbTradesBinance[[#This Row],[Tipo]]="BUY",Q150-TbTradesBinance[[#This Row],[Qtt]]*TbTradesBinance[[#This Row],[Preço]],Q150+TbTradesBinance[[#This Row],[Qtt]]*TbTradesBinance[[#This Row],[Preço]])),Q150)-IF(TbTradesBinance[[#This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Row],[Tipo]]="DROP"),Q150+TbTradesBinance[[#This Row],[Qtt]],Q150-TbTradesBinance[[#This Row],[Qtt]]),IF(TbTradesBinance[[#This Row],[Tipo]]="BUY",Q150-TbTradesBinance[[#This Row],[Qtt]]*TbTradesBinance[[#This Row],[Preço]],Q150+TbTradesBinance[[#This Row],[Qtt]]*TbTradesBinance[[#This Row],[Preço]])),Q150)-IF(TbTradesBinance[[#This Row],[Moeda da Taxa]]=MID(Q$1,9,5),TbTradesBinance[[#This Row],[Taxa]],0),8)))</f>
        <v>25.356302700000001</v>
      </c>
      <c r="R151" s="145" cm="1">
        <f t="array" ref="R151">IF(TbTradesBinance[[#This Row],[Tipo]]="EMPTY",0,R150+IF(TbTradesBinance[[#This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Row],[Par]]))),$1:$1,0)),-(Q150-Q151)/Q150*R150),0),0)+IF(TbTradesBinance[[#This Row],[Tipo]]="SELL",IF(ISNUMBER(FIND(MID(R$1,10,5),TbTradesBinance[[#This Row],[Par]])),IF(FIND(MID(R$1,10,5),TbTradesBinance[[#This Row],[Par]])=1, -(Q150-Q151)/Q150*R150,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Row],[Par]])),(-(Q150-Q151)/Q150*R150)+IF(TbTradesBinance[[#This Row],[Resultado]]&gt;0,0,TbTradesBinance[[#This Row],[Taxa]]),0),0))</f>
        <v>120.8257969142021</v>
      </c>
      <c r="S151" s="145">
        <f t="shared" si="40"/>
        <v>4.7651188875498836</v>
      </c>
      <c r="T15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Row],[Tipo]]="DROP"),T150+TbTradesBinance[[#This Row],[Qtt]],T150-TbTradesBinance[[#This Row],[Qtt]]),IF(TbTradesBinance[[#This Row],[Tipo]]="BUY",T150-TbTradesBinance[[#This Row],[Qtt]]*TbTradesBinance[[#This Row],[Preço]],T150+TbTradesBinance[[#This Row],[Qtt]]*TbTradesBinance[[#This Row],[Preço]])),T150)-IF(TbTradesBinance[[#This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Row],[Tipo]]="DROP"),T150+TbTradesBinance[[#This Row],[Qtt]],T150-TbTradesBinance[[#This Row],[Qtt]]),IF(TbTradesBinance[[#This Row],[Tipo]]="BUY",T150-TbTradesBinance[[#This Row],[Qtt]]*TbTradesBinance[[#This Row],[Preço]],T150+TbTradesBinance[[#This Row],[Qtt]]*TbTradesBinance[[#This Row],[Preço]])),T150)-IF(TbTradesBinance[[#This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Row],[Tipo]]="DROP"),T150+TbTradesBinance[[#This Row],[Qtt]],T150-TbTradesBinance[[#This Row],[Qtt]]),IF(TbTradesBinance[[#This Row],[Tipo]]="BUY",T150-TbTradesBinance[[#This Row],[Qtt]]*TbTradesBinance[[#This Row],[Preço]],T150+TbTradesBinance[[#This Row],[Qtt]]*TbTradesBinance[[#This Row],[Preço]])),T150)-IF(TbTradesBinance[[#This Row],[Moeda da Taxa]]=MID(T$1,9,5),TbTradesBinance[[#This Row],[Taxa]],0),8)))</f>
        <v>219713.72000189999</v>
      </c>
      <c r="U151" s="145" cm="1">
        <f t="array" ref="U151">IF(TbTradesBinance[[#This Row],[Tipo]]="EMPTY",0,U150+IF(TbTradesBinance[[#This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Row],[Par]]))),$1:$1,0)),-(T150-T151)/T150*U150),0),0)+IF(TbTradesBinance[[#This Row],[Tipo]]="SELL",IF(ISNUMBER(FIND(MID(U$1,10,5),TbTradesBinance[[#This Row],[Par]])),IF(FIND(MID(U$1,10,5),TbTradesBinance[[#This Row],[Par]])=1, -(T150-T151)/T150*U150,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Row],[Par]])),(-(T150-T151)/T150*U150)+IF(TbTradesBinance[[#This Row],[Resultado]]&gt;0,0,TbTradesBinance[[#This Row],[Taxa]]),0),0))</f>
        <v>1461096.2409827893</v>
      </c>
      <c r="V151" s="145">
        <f t="shared" si="41"/>
        <v>6.6500000135182926</v>
      </c>
      <c r="W15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Row],[Tipo]]="DROP"),W150+TbTradesBinance[[#This Row],[Qtt]],W150-TbTradesBinance[[#This Row],[Qtt]]),IF(TbTradesBinance[[#This Row],[Tipo]]="BUY",W150-TbTradesBinance[[#This Row],[Qtt]]*TbTradesBinance[[#This Row],[Preço]],W150+TbTradesBinance[[#This Row],[Qtt]]*TbTradesBinance[[#This Row],[Preço]])),W150)-IF(TbTradesBinance[[#This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Row],[Tipo]]="DROP"),W150+TbTradesBinance[[#This Row],[Qtt]],W150-TbTradesBinance[[#This Row],[Qtt]]),IF(TbTradesBinance[[#This Row],[Tipo]]="BUY",W150-TbTradesBinance[[#This Row],[Qtt]]*TbTradesBinance[[#This Row],[Preço]],W150+TbTradesBinance[[#This Row],[Qtt]]*TbTradesBinance[[#This Row],[Preço]])),W150)-IF(TbTradesBinance[[#This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Row],[Tipo]]="DROP"),W150+TbTradesBinance[[#This Row],[Qtt]],W150-TbTradesBinance[[#This Row],[Qtt]]),IF(TbTradesBinance[[#This Row],[Tipo]]="BUY",W150-TbTradesBinance[[#This Row],[Qtt]]*TbTradesBinance[[#This Row],[Preço]],W150+TbTradesBinance[[#This Row],[Qtt]]*TbTradesBinance[[#This Row],[Preço]])),W150)-IF(TbTradesBinance[[#This Row],[Moeda da Taxa]]=MID(W$1,9,5),TbTradesBinance[[#This Row],[Taxa]],0),8)))</f>
        <v>1.6436000000000001E-4</v>
      </c>
      <c r="X151" s="145" cm="1">
        <f t="array" ref="X151">IF(TbTradesBinance[[#This Row],[Tipo]]="EMPTY",0,X150+IF(TbTradesBinance[[#This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Row],[Par]]))),$1:$1,0)),-(W150-W151)/W150*X150),0),0)+IF(TbTradesBinance[[#This Row],[Tipo]]="SELL",IF(ISNUMBER(FIND(MID(X$1,10,5),TbTradesBinance[[#This Row],[Par]])),IF(FIND(MID(X$1,10,5),TbTradesBinance[[#This Row],[Par]])=1, -(W150-W151)/W150*X150,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Row],[Par]])),(-(W150-W151)/W150*X150)+IF(TbTradesBinance[[#This Row],[Resultado]]&gt;0,0,TbTradesBinance[[#This Row],[Taxa]]),0),0))</f>
        <v>55.654279137915474</v>
      </c>
      <c r="Y151" s="145">
        <f t="shared" si="42"/>
        <v>338612.06581841974</v>
      </c>
      <c r="Z15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Row],[Tipo]]="DROP"),Z150+TbTradesBinance[[#This Row],[Qtt]],Z150-TbTradesBinance[[#This Row],[Qtt]]),IF(TbTradesBinance[[#This Row],[Tipo]]="BUY",Z150-TbTradesBinance[[#This Row],[Qtt]]*TbTradesBinance[[#This Row],[Preço]],Z150+TbTradesBinance[[#This Row],[Qtt]]*TbTradesBinance[[#This Row],[Preço]])),Z150)-IF(TbTradesBinance[[#This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Row],[Tipo]]="DROP"),Z150+TbTradesBinance[[#This Row],[Qtt]],Z150-TbTradesBinance[[#This Row],[Qtt]]),IF(TbTradesBinance[[#This Row],[Tipo]]="BUY",Z150-TbTradesBinance[[#This Row],[Qtt]]*TbTradesBinance[[#This Row],[Preço]],Z150+TbTradesBinance[[#This Row],[Qtt]]*TbTradesBinance[[#This Row],[Preço]])),Z150)-IF(TbTradesBinance[[#This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Row],[Tipo]]="DROP"),Z150+TbTradesBinance[[#This Row],[Qtt]],Z150-TbTradesBinance[[#This Row],[Qtt]]),IF(TbTradesBinance[[#This Row],[Tipo]]="BUY",Z150-TbTradesBinance[[#This Row],[Qtt]]*TbTradesBinance[[#This Row],[Preço]],Z150+TbTradesBinance[[#This Row],[Qtt]]*TbTradesBinance[[#This Row],[Preço]])),Z150)-IF(TbTradesBinance[[#This Row],[Moeda da Taxa]]=MID(Z$1,9,5),TbTradesBinance[[#This Row],[Taxa]],0),8)))</f>
        <v>0</v>
      </c>
      <c r="AA151" s="145" cm="1">
        <f t="array" ref="AA151">IF(TbTradesBinance[[#This Row],[Tipo]]="EMPTY",0,AA150+IF(TbTradesBinance[[#This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Row],[Par]]))),$1:$1,0)),-(Z150-Z151)/Z150*AA150),0),0)+IF(TbTradesBinance[[#This Row],[Tipo]]="SELL",IF(ISNUMBER(FIND(MID(AA$1,10,5),TbTradesBinance[[#This Row],[Par]])),IF(FIND(MID(AA$1,10,5),TbTradesBinance[[#This Row],[Par]])=1, -(Z150-Z151)/Z150*AA150,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Row],[Par]])),(-(Z150-Z151)/Z150*AA150)+IF(TbTradesBinance[[#This Row],[Resultado]]&gt;0,0,TbTradesBinance[[#This Row],[Taxa]]),0),0))</f>
        <v>0</v>
      </c>
      <c r="AB151" s="145">
        <f t="shared" si="43"/>
        <v>0</v>
      </c>
      <c r="AC15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Row],[Tipo]]="DROP"),AC150+TbTradesBinance[[#This Row],[Qtt]],AC150-TbTradesBinance[[#This Row],[Qtt]]),IF(TbTradesBinance[[#This Row],[Tipo]]="BUY",AC150-TbTradesBinance[[#This Row],[Qtt]]*TbTradesBinance[[#This Row],[Preço]],AC150+TbTradesBinance[[#This Row],[Qtt]]*TbTradesBinance[[#This Row],[Preço]])),AC150)-IF(TbTradesBinance[[#This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Row],[Tipo]]="DROP"),AC150+TbTradesBinance[[#This Row],[Qtt]],AC150-TbTradesBinance[[#This Row],[Qtt]]),IF(TbTradesBinance[[#This Row],[Tipo]]="BUY",AC150-TbTradesBinance[[#This Row],[Qtt]]*TbTradesBinance[[#This Row],[Preço]],AC150+TbTradesBinance[[#This Row],[Qtt]]*TbTradesBinance[[#This Row],[Preço]])),AC150)-IF(TbTradesBinance[[#This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Row],[Tipo]]="DROP"),AC150+TbTradesBinance[[#This Row],[Qtt]],AC150-TbTradesBinance[[#This Row],[Qtt]]),IF(TbTradesBinance[[#This Row],[Tipo]]="BUY",AC150-TbTradesBinance[[#This Row],[Qtt]]*TbTradesBinance[[#This Row],[Preço]],AC150+TbTradesBinance[[#This Row],[Qtt]]*TbTradesBinance[[#This Row],[Preço]])),AC150)-IF(TbTradesBinance[[#This Row],[Moeda da Taxa]]=MID(AC$1,9,5),TbTradesBinance[[#This Row],[Taxa]],0),8)))</f>
        <v>0</v>
      </c>
      <c r="AD151" s="145" cm="1">
        <f t="array" ref="AD151">IF(TbTradesBinance[[#This Row],[Tipo]]="EMPTY",0,AD150+IF(TbTradesBinance[[#This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Row],[Par]]))),$1:$1,0)),-(AC150-AC151)/AC150*AD150),0),0)+IF(TbTradesBinance[[#This Row],[Tipo]]="SELL",IF(ISNUMBER(FIND(MID(AD$1,10,5),TbTradesBinance[[#This Row],[Par]])),IF(FIND(MID(AD$1,10,5),TbTradesBinance[[#This Row],[Par]])=1, -(AC150-AC151)/AC150*AD150,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Row],[Par]])),(-(AC150-AC151)/AC150*AD150)+IF(TbTradesBinance[[#This Row],[Resultado]]&gt;0,0,TbTradesBinance[[#This Row],[Taxa]]),0),0))</f>
        <v>0</v>
      </c>
      <c r="AE151" s="145">
        <f t="shared" si="44"/>
        <v>0</v>
      </c>
      <c r="AF15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Row],[Tipo]]="DROP"),AF150+TbTradesBinance[[#This Row],[Qtt]],AF150-TbTradesBinance[[#This Row],[Qtt]]),IF(TbTradesBinance[[#This Row],[Tipo]]="BUY",AF150-TbTradesBinance[[#This Row],[Qtt]]*TbTradesBinance[[#This Row],[Preço]],AF150+TbTradesBinance[[#This Row],[Qtt]]*TbTradesBinance[[#This Row],[Preço]])),AF150)-IF(TbTradesBinance[[#This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Row],[Tipo]]="DROP"),AF150+TbTradesBinance[[#This Row],[Qtt]],AF150-TbTradesBinance[[#This Row],[Qtt]]),IF(TbTradesBinance[[#This Row],[Tipo]]="BUY",AF150-TbTradesBinance[[#This Row],[Qtt]]*TbTradesBinance[[#This Row],[Preço]],AF150+TbTradesBinance[[#This Row],[Qtt]]*TbTradesBinance[[#This Row],[Preço]])),AF150)-IF(TbTradesBinance[[#This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Row],[Tipo]]="DROP"),AF150+TbTradesBinance[[#This Row],[Qtt]],AF150-TbTradesBinance[[#This Row],[Qtt]]),IF(TbTradesBinance[[#This Row],[Tipo]]="BUY",AF150-TbTradesBinance[[#This Row],[Qtt]]*TbTradesBinance[[#This Row],[Preço]],AF150+TbTradesBinance[[#This Row],[Qtt]]*TbTradesBinance[[#This Row],[Preço]])),AF150)-IF(TbTradesBinance[[#This Row],[Moeda da Taxa]]=MID(AF$1,9,5),TbTradesBinance[[#This Row],[Taxa]],0),8)))</f>
        <v>0</v>
      </c>
      <c r="AG151" s="145" cm="1">
        <f t="array" ref="AG151">IF(TbTradesBinance[[#This Row],[Tipo]]="EMPTY",0,AG150+IF(TbTradesBinance[[#This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Row],[Par]]))),$1:$1,0)),-(AF150-AF151)/AF150*AG150),0),0)+IF(TbTradesBinance[[#This Row],[Tipo]]="SELL",IF(ISNUMBER(FIND(MID(AG$1,10,5),TbTradesBinance[[#This Row],[Par]])),IF(FIND(MID(AG$1,10,5),TbTradesBinance[[#This Row],[Par]])=1, -(AF150-AF151)/AF150*AG150,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Row],[Par]])),(-(AF150-AF151)/AF150*AG150)+IF(TbTradesBinance[[#This Row],[Resultado]]&gt;0,0,TbTradesBinance[[#This Row],[Taxa]]),0),0))</f>
        <v>0</v>
      </c>
      <c r="AH151" s="145">
        <f t="shared" si="45"/>
        <v>0</v>
      </c>
      <c r="AI15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Row],[Tipo]]="DROP"),AI150+TbTradesBinance[[#This Row],[Qtt]],AI150-TbTradesBinance[[#This Row],[Qtt]]),IF(TbTradesBinance[[#This Row],[Tipo]]="BUY",AI150-TbTradesBinance[[#This Row],[Qtt]]*TbTradesBinance[[#This Row],[Preço]],AI150+TbTradesBinance[[#This Row],[Qtt]]*TbTradesBinance[[#This Row],[Preço]])),AI150)-IF(TbTradesBinance[[#This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Row],[Tipo]]="DROP"),AI150+TbTradesBinance[[#This Row],[Qtt]],AI150-TbTradesBinance[[#This Row],[Qtt]]),IF(TbTradesBinance[[#This Row],[Tipo]]="BUY",AI150-TbTradesBinance[[#This Row],[Qtt]]*TbTradesBinance[[#This Row],[Preço]],AI150+TbTradesBinance[[#This Row],[Qtt]]*TbTradesBinance[[#This Row],[Preço]])),AI150)-IF(TbTradesBinance[[#This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Row],[Tipo]]="DROP"),AI150+TbTradesBinance[[#This Row],[Qtt]],AI150-TbTradesBinance[[#This Row],[Qtt]]),IF(TbTradesBinance[[#This Row],[Tipo]]="BUY",AI150-TbTradesBinance[[#This Row],[Qtt]]*TbTradesBinance[[#This Row],[Preço]],AI150+TbTradesBinance[[#This Row],[Qtt]]*TbTradesBinance[[#This Row],[Preço]])),AI150)-IF(TbTradesBinance[[#This Row],[Moeda da Taxa]]=MID(AI$1,9,5),TbTradesBinance[[#This Row],[Taxa]],0),8)))</f>
        <v>0</v>
      </c>
      <c r="AJ151" s="145" cm="1">
        <f t="array" ref="AJ151">IF(TbTradesBinance[[#This Row],[Tipo]]="EMPTY",0,AJ150+IF(TbTradesBinance[[#This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Row],[Par]]))),$1:$1,0)),-(AI150-AI151)/AI150*AJ150),0),0)+IF(TbTradesBinance[[#This Row],[Tipo]]="SELL",IF(ISNUMBER(FIND(MID(AJ$1,10,5),TbTradesBinance[[#This Row],[Par]])),IF(FIND(MID(AJ$1,10,5),TbTradesBinance[[#This Row],[Par]])=1, -(AI150-AI151)/AI150*AJ150,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Row],[Par]])),(-(AI150-AI151)/AI150*AJ150)+IF(TbTradesBinance[[#This Row],[Resultado]]&gt;0,0,TbTradesBinance[[#This Row],[Taxa]]),0),0))</f>
        <v>0</v>
      </c>
      <c r="AK151" s="145">
        <f t="shared" si="46"/>
        <v>0</v>
      </c>
      <c r="AL15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Row],[Tipo]]="DROP"),AL150+TbTradesBinance[[#This Row],[Qtt]],AL150-TbTradesBinance[[#This Row],[Qtt]]),IF(TbTradesBinance[[#This Row],[Tipo]]="BUY",AL150-TbTradesBinance[[#This Row],[Qtt]]*TbTradesBinance[[#This Row],[Preço]],AL150+TbTradesBinance[[#This Row],[Qtt]]*TbTradesBinance[[#This Row],[Preço]])),AL150)-IF(TbTradesBinance[[#This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Row],[Tipo]]="DROP"),AL150+TbTradesBinance[[#This Row],[Qtt]],AL150-TbTradesBinance[[#This Row],[Qtt]]),IF(TbTradesBinance[[#This Row],[Tipo]]="BUY",AL150-TbTradesBinance[[#This Row],[Qtt]]*TbTradesBinance[[#This Row],[Preço]],AL150+TbTradesBinance[[#This Row],[Qtt]]*TbTradesBinance[[#This Row],[Preço]])),AL150)-IF(TbTradesBinance[[#This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Row],[Tipo]]="DROP"),AL150+TbTradesBinance[[#This Row],[Qtt]],AL150-TbTradesBinance[[#This Row],[Qtt]]),IF(TbTradesBinance[[#This Row],[Tipo]]="BUY",AL150-TbTradesBinance[[#This Row],[Qtt]]*TbTradesBinance[[#This Row],[Preço]],AL150+TbTradesBinance[[#This Row],[Qtt]]*TbTradesBinance[[#This Row],[Preço]])),AL150)-IF(TbTradesBinance[[#This Row],[Moeda da Taxa]]=MID(AL$1,9,5),TbTradesBinance[[#This Row],[Taxa]],0),8)))</f>
        <v>0</v>
      </c>
      <c r="AM151" s="145" cm="1">
        <f t="array" ref="AM151">IF(TbTradesBinance[[#This Row],[Tipo]]="EMPTY",0,AM150+IF(TbTradesBinance[[#This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Row],[Par]]))),$1:$1,0)),-(AL150-AL151)/AL150*AM150),0),0)+IF(TbTradesBinance[[#This Row],[Tipo]]="SELL",IF(ISNUMBER(FIND(MID(AM$1,10,5),TbTradesBinance[[#This Row],[Par]])),IF(FIND(MID(AM$1,10,5),TbTradesBinance[[#This Row],[Par]])=1, -(AL150-AL151)/AL150*AM150,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Row],[Par]])),(-(AL150-AL151)/AL150*AM150)+IF(TbTradesBinance[[#This Row],[Resultado]]&gt;0,0,TbTradesBinance[[#This Row],[Taxa]]),0),0))</f>
        <v>0</v>
      </c>
      <c r="AN151" s="145">
        <f t="shared" si="47"/>
        <v>0</v>
      </c>
      <c r="AO15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Row],[Tipo]]="DROP"),AO150+TbTradesBinance[[#This Row],[Qtt]],AO150-TbTradesBinance[[#This Row],[Qtt]]),IF(TbTradesBinance[[#This Row],[Tipo]]="BUY",AO150-TbTradesBinance[[#This Row],[Qtt]]*TbTradesBinance[[#This Row],[Preço]],AO150+TbTradesBinance[[#This Row],[Qtt]]*TbTradesBinance[[#This Row],[Preço]])),AO150)-IF(TbTradesBinance[[#This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Row],[Tipo]]="DROP"),AO150+TbTradesBinance[[#This Row],[Qtt]],AO150-TbTradesBinance[[#This Row],[Qtt]]),IF(TbTradesBinance[[#This Row],[Tipo]]="BUY",AO150-TbTradesBinance[[#This Row],[Qtt]]*TbTradesBinance[[#This Row],[Preço]],AO150+TbTradesBinance[[#This Row],[Qtt]]*TbTradesBinance[[#This Row],[Preço]])),AO150)-IF(TbTradesBinance[[#This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Row],[Tipo]]="DROP"),AO150+TbTradesBinance[[#This Row],[Qtt]],AO150-TbTradesBinance[[#This Row],[Qtt]]),IF(TbTradesBinance[[#This Row],[Tipo]]="BUY",AO150-TbTradesBinance[[#This Row],[Qtt]]*TbTradesBinance[[#This Row],[Preço]],AO150+TbTradesBinance[[#This Row],[Qtt]]*TbTradesBinance[[#This Row],[Preço]])),AO150)-IF(TbTradesBinance[[#This Row],[Moeda da Taxa]]=MID(AO$1,9,5),TbTradesBinance[[#This Row],[Taxa]],0),8)))</f>
        <v>3.7210350000000003E-2</v>
      </c>
      <c r="AP151" s="145" cm="1">
        <f t="array" ref="AP151">IF(TbTradesBinance[[#This Row],[Tipo]]="EMPTY",0,AP150+IF(TbTradesBinance[[#This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Row],[Par]]))),$1:$1,0)),-(AO150-AO151)/AO150*AP150),0),0)+IF(TbTradesBinance[[#This Row],[Tipo]]="SELL",IF(ISNUMBER(FIND(MID(AP$1,10,5),TbTradesBinance[[#This Row],[Par]])),IF(FIND(MID(AP$1,10,5),TbTradesBinance[[#This Row],[Par]])=1, -(AO150-AO151)/AO150*AP150,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Row],[Par]])),(-(AO150-AO151)/AO150*AP150)+IF(TbTradesBinance[[#This Row],[Resultado]]&gt;0,0,TbTradesBinance[[#This Row],[Taxa]]),0),0))</f>
        <v>57.065298020032813</v>
      </c>
      <c r="AQ151" s="145">
        <f t="shared" si="48"/>
        <v>1533.5867042377406</v>
      </c>
      <c r="AR15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Row],[Tipo]]="DROP"),AR150+TbTradesBinance[[#This Row],[Qtt]],AR150-TbTradesBinance[[#This Row],[Qtt]]),IF(TbTradesBinance[[#This Row],[Tipo]]="BUY",AR150-TbTradesBinance[[#This Row],[Qtt]]*TbTradesBinance[[#This Row],[Preço]],AR150+TbTradesBinance[[#This Row],[Qtt]]*TbTradesBinance[[#This Row],[Preço]])),AR150)-IF(TbTradesBinance[[#This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Row],[Tipo]]="DROP"),AR150+TbTradesBinance[[#This Row],[Qtt]],AR150-TbTradesBinance[[#This Row],[Qtt]]),IF(TbTradesBinance[[#This Row],[Tipo]]="BUY",AR150-TbTradesBinance[[#This Row],[Qtt]]*TbTradesBinance[[#This Row],[Preço]],AR150+TbTradesBinance[[#This Row],[Qtt]]*TbTradesBinance[[#This Row],[Preço]])),AR150)-IF(TbTradesBinance[[#This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Row],[Tipo]]="DROP"),AR150+TbTradesBinance[[#This Row],[Qtt]],AR150-TbTradesBinance[[#This Row],[Qtt]]),IF(TbTradesBinance[[#This Row],[Tipo]]="BUY",AR150-TbTradesBinance[[#This Row],[Qtt]]*TbTradesBinance[[#This Row],[Preço]],AR150+TbTradesBinance[[#This Row],[Qtt]]*TbTradesBinance[[#This Row],[Preço]])),AR150)-IF(TbTradesBinance[[#This Row],[Moeda da Taxa]]=MID(AR$1,9,5),TbTradesBinance[[#This Row],[Taxa]],0),8)))</f>
        <v>0</v>
      </c>
      <c r="AS151" s="145" cm="1">
        <f t="array" ref="AS151">IF(TbTradesBinance[[#This Row],[Tipo]]="EMPTY",0,AS150+IF(TbTradesBinance[[#This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Row],[Par]]))),$1:$1,0)),-(AR150-AR151)/AR150*AS150),0),0)+IF(TbTradesBinance[[#This Row],[Tipo]]="SELL",IF(ISNUMBER(FIND(MID(AS$1,10,5),TbTradesBinance[[#This Row],[Par]])),IF(FIND(MID(AS$1,10,5),TbTradesBinance[[#This Row],[Par]])=1, -(AR150-AR151)/AR150*AS150,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Row],[Par]])),(-(AR150-AR151)/AR150*AS150)+IF(TbTradesBinance[[#This Row],[Resultado]]&gt;0,0,TbTradesBinance[[#This Row],[Taxa]]),0),0))</f>
        <v>0</v>
      </c>
      <c r="AT151" s="145">
        <f t="shared" si="49"/>
        <v>0</v>
      </c>
      <c r="AU15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Row],[Tipo]]="DROP"),AU150+TbTradesBinance[[#This Row],[Qtt]],AU150-TbTradesBinance[[#This Row],[Qtt]]),IF(TbTradesBinance[[#This Row],[Tipo]]="BUY",AU150-TbTradesBinance[[#This Row],[Qtt]]*TbTradesBinance[[#This Row],[Preço]],AU150+TbTradesBinance[[#This Row],[Qtt]]*TbTradesBinance[[#This Row],[Preço]])),AU150)-IF(TbTradesBinance[[#This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Row],[Tipo]]="DROP"),AU150+TbTradesBinance[[#This Row],[Qtt]],AU150-TbTradesBinance[[#This Row],[Qtt]]),IF(TbTradesBinance[[#This Row],[Tipo]]="BUY",AU150-TbTradesBinance[[#This Row],[Qtt]]*TbTradesBinance[[#This Row],[Preço]],AU150+TbTradesBinance[[#This Row],[Qtt]]*TbTradesBinance[[#This Row],[Preço]])),AU150)-IF(TbTradesBinance[[#This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Row],[Tipo]]="DROP"),AU150+TbTradesBinance[[#This Row],[Qtt]],AU150-TbTradesBinance[[#This Row],[Qtt]]),IF(TbTradesBinance[[#This Row],[Tipo]]="BUY",AU150-TbTradesBinance[[#This Row],[Qtt]]*TbTradesBinance[[#This Row],[Preço]],AU150+TbTradesBinance[[#This Row],[Qtt]]*TbTradesBinance[[#This Row],[Preço]])),AU150)-IF(TbTradesBinance[[#This Row],[Moeda da Taxa]]=MID(AU$1,9,5),TbTradesBinance[[#This Row],[Taxa]],0),8)))</f>
        <v>0</v>
      </c>
      <c r="AV151" s="145" cm="1">
        <f t="array" ref="AV151">IF(TbTradesBinance[[#This Row],[Tipo]]="EMPTY",0,AV150+IF(TbTradesBinance[[#This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Row],[Par]]))),$1:$1,0)),-(AU150-AU151)/AU150*AV150),0),0)+IF(TbTradesBinance[[#This Row],[Tipo]]="SELL",IF(ISNUMBER(FIND(MID(AV$1,10,5),TbTradesBinance[[#This Row],[Par]])),IF(FIND(MID(AV$1,10,5),TbTradesBinance[[#This Row],[Par]])=1, -(AU150-AU151)/AU150*AV150,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Row],[Par]])),(-(AU150-AU151)/AU150*AV150)+IF(TbTradesBinance[[#This Row],[Resultado]]&gt;0,0,TbTradesBinance[[#This Row],[Taxa]]),0),0))</f>
        <v>0</v>
      </c>
      <c r="AW151" s="145">
        <f t="shared" si="50"/>
        <v>0</v>
      </c>
      <c r="AX15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Row],[Tipo]]="DROP"),AX150+TbTradesBinance[[#This Row],[Qtt]],AX150-TbTradesBinance[[#This Row],[Qtt]]),IF(TbTradesBinance[[#This Row],[Tipo]]="BUY",AX150-TbTradesBinance[[#This Row],[Qtt]]*TbTradesBinance[[#This Row],[Preço]],AX150+TbTradesBinance[[#This Row],[Qtt]]*TbTradesBinance[[#This Row],[Preço]])),AX150)-IF(TbTradesBinance[[#This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Row],[Tipo]]="DROP"),AX150+TbTradesBinance[[#This Row],[Qtt]],AX150-TbTradesBinance[[#This Row],[Qtt]]),IF(TbTradesBinance[[#This Row],[Tipo]]="BUY",AX150-TbTradesBinance[[#This Row],[Qtt]]*TbTradesBinance[[#This Row],[Preço]],AX150+TbTradesBinance[[#This Row],[Qtt]]*TbTradesBinance[[#This Row],[Preço]])),AX150)-IF(TbTradesBinance[[#This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Row],[Tipo]]="DROP"),AX150+TbTradesBinance[[#This Row],[Qtt]],AX150-TbTradesBinance[[#This Row],[Qtt]]),IF(TbTradesBinance[[#This Row],[Tipo]]="BUY",AX150-TbTradesBinance[[#This Row],[Qtt]]*TbTradesBinance[[#This Row],[Preço]],AX150+TbTradesBinance[[#This Row],[Qtt]]*TbTradesBinance[[#This Row],[Preço]])),AX150)-IF(TbTradesBinance[[#This Row],[Moeda da Taxa]]=MID(AX$1,9,5),TbTradesBinance[[#This Row],[Taxa]],0),8)))</f>
        <v>0</v>
      </c>
      <c r="AY151" s="145" cm="1">
        <f t="array" ref="AY151">IF(TbTradesBinance[[#This Row],[Tipo]]="EMPTY",0,AY150+IF(TbTradesBinance[[#This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Row],[Par]]))),$1:$1,0)),-(AX150-AX151)/AX150*AY150),0),0)+IF(TbTradesBinance[[#This Row],[Tipo]]="SELL",IF(ISNUMBER(FIND(MID(AY$1,10,5),TbTradesBinance[[#This Row],[Par]])),IF(FIND(MID(AY$1,10,5),TbTradesBinance[[#This Row],[Par]])=1, -(AX150-AX151)/AX150*AY150,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Row],[Par]])),(-(AX150-AX151)/AX150*AY150)+IF(TbTradesBinance[[#This Row],[Resultado]]&gt;0,0,TbTradesBinance[[#This Row],[Taxa]]),0),0))</f>
        <v>0</v>
      </c>
      <c r="AZ151" s="145">
        <f t="shared" si="51"/>
        <v>0</v>
      </c>
      <c r="BA15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Row],[Tipo]]="DROP"),BA150+TbTradesBinance[[#This Row],[Qtt]],BA150-TbTradesBinance[[#This Row],[Qtt]]),IF(TbTradesBinance[[#This Row],[Tipo]]="BUY",BA150-TbTradesBinance[[#This Row],[Qtt]]*TbTradesBinance[[#This Row],[Preço]],BA150+TbTradesBinance[[#This Row],[Qtt]]*TbTradesBinance[[#This Row],[Preço]])),BA150)-IF(TbTradesBinance[[#This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Row],[Tipo]]="DROP"),BA150+TbTradesBinance[[#This Row],[Qtt]],BA150-TbTradesBinance[[#This Row],[Qtt]]),IF(TbTradesBinance[[#This Row],[Tipo]]="BUY",BA150-TbTradesBinance[[#This Row],[Qtt]]*TbTradesBinance[[#This Row],[Preço]],BA150+TbTradesBinance[[#This Row],[Qtt]]*TbTradesBinance[[#This Row],[Preço]])),BA150)-IF(TbTradesBinance[[#This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Row],[Tipo]]="DROP"),BA150+TbTradesBinance[[#This Row],[Qtt]],BA150-TbTradesBinance[[#This Row],[Qtt]]),IF(TbTradesBinance[[#This Row],[Tipo]]="BUY",BA150-TbTradesBinance[[#This Row],[Qtt]]*TbTradesBinance[[#This Row],[Preço]],BA150+TbTradesBinance[[#This Row],[Qtt]]*TbTradesBinance[[#This Row],[Preço]])),BA150)-IF(TbTradesBinance[[#This Row],[Moeda da Taxa]]=MID(BA$1,9,5),TbTradesBinance[[#This Row],[Taxa]],0),8)))</f>
        <v>0</v>
      </c>
      <c r="BB151" s="145" cm="1">
        <f t="array" ref="BB151">IF(TbTradesBinance[[#This Row],[Tipo]]="EMPTY",0,BB150+IF(TbTradesBinance[[#This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Row],[Par]]))),$1:$1,0)),-(BA150-BA151)/BA150*BB150),0),0)+IF(TbTradesBinance[[#This Row],[Tipo]]="SELL",IF(ISNUMBER(FIND(MID(BB$1,10,5),TbTradesBinance[[#This Row],[Par]])),IF(FIND(MID(BB$1,10,5),TbTradesBinance[[#This Row],[Par]])=1, -(BA150-BA151)/BA150*BB150,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Row],[Par]])),(-(BA150-BA151)/BA150*BB150)+IF(TbTradesBinance[[#This Row],[Resultado]]&gt;0,0,TbTradesBinance[[#This Row],[Taxa]]),0),0))</f>
        <v>0</v>
      </c>
      <c r="BC151" s="145">
        <f t="shared" si="52"/>
        <v>0</v>
      </c>
      <c r="BD15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Row],[Tipo]]="DROP"),BD150+TbTradesBinance[[#This Row],[Qtt]],BD150-TbTradesBinance[[#This Row],[Qtt]]),IF(TbTradesBinance[[#This Row],[Tipo]]="BUY",BD150-TbTradesBinance[[#This Row],[Qtt]]*TbTradesBinance[[#This Row],[Preço]],BD150+TbTradesBinance[[#This Row],[Qtt]]*TbTradesBinance[[#This Row],[Preço]])),BD150)-IF(TbTradesBinance[[#This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Row],[Tipo]]="DROP"),BD150+TbTradesBinance[[#This Row],[Qtt]],BD150-TbTradesBinance[[#This Row],[Qtt]]),IF(TbTradesBinance[[#This Row],[Tipo]]="BUY",BD150-TbTradesBinance[[#This Row],[Qtt]]*TbTradesBinance[[#This Row],[Preço]],BD150+TbTradesBinance[[#This Row],[Qtt]]*TbTradesBinance[[#This Row],[Preço]])),BD150)-IF(TbTradesBinance[[#This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Row],[Tipo]]="DROP"),BD150+TbTradesBinance[[#This Row],[Qtt]],BD150-TbTradesBinance[[#This Row],[Qtt]]),IF(TbTradesBinance[[#This Row],[Tipo]]="BUY",BD150-TbTradesBinance[[#This Row],[Qtt]]*TbTradesBinance[[#This Row],[Preço]],BD150+TbTradesBinance[[#This Row],[Qtt]]*TbTradesBinance[[#This Row],[Preço]])),BD150)-IF(TbTradesBinance[[#This Row],[Moeda da Taxa]]=MID(BD$1,9,5),TbTradesBinance[[#This Row],[Taxa]],0),8)))</f>
        <v>0</v>
      </c>
      <c r="BE151" s="145" cm="1">
        <f t="array" ref="BE151">IF(TbTradesBinance[[#This Row],[Tipo]]="EMPTY",0,BE150+IF(TbTradesBinance[[#This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Row],[Par]]))),$1:$1,0)),-(BD150-BD151)/BD150*BE150),0),0)+IF(TbTradesBinance[[#This Row],[Tipo]]="SELL",IF(ISNUMBER(FIND(MID(BE$1,10,5),TbTradesBinance[[#This Row],[Par]])),IF(FIND(MID(BE$1,10,5),TbTradesBinance[[#This Row],[Par]])=1, -(BD150-BD151)/BD150*BE150,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Row],[Par]])),(-(BD150-BD151)/BD150*BE150)+IF(TbTradesBinance[[#This Row],[Resultado]]&gt;0,0,TbTradesBinance[[#This Row],[Taxa]]),0),0))</f>
        <v>0</v>
      </c>
      <c r="BF151" s="145">
        <f t="shared" si="53"/>
        <v>0</v>
      </c>
      <c r="BG15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Row],[Tipo]]="DROP"),BG150+TbTradesBinance[[#This Row],[Qtt]],BG150-TbTradesBinance[[#This Row],[Qtt]]),IF(TbTradesBinance[[#This Row],[Tipo]]="BUY",BG150-TbTradesBinance[[#This Row],[Qtt]]*TbTradesBinance[[#This Row],[Preço]],BG150+TbTradesBinance[[#This Row],[Qtt]]*TbTradesBinance[[#This Row],[Preço]])),BG150)-IF(TbTradesBinance[[#This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Row],[Tipo]]="DROP"),BG150+TbTradesBinance[[#This Row],[Qtt]],BG150-TbTradesBinance[[#This Row],[Qtt]]),IF(TbTradesBinance[[#This Row],[Tipo]]="BUY",BG150-TbTradesBinance[[#This Row],[Qtt]]*TbTradesBinance[[#This Row],[Preço]],BG150+TbTradesBinance[[#This Row],[Qtt]]*TbTradesBinance[[#This Row],[Preço]])),BG150)-IF(TbTradesBinance[[#This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Row],[Tipo]]="DROP"),BG150+TbTradesBinance[[#This Row],[Qtt]],BG150-TbTradesBinance[[#This Row],[Qtt]]),IF(TbTradesBinance[[#This Row],[Tipo]]="BUY",BG150-TbTradesBinance[[#This Row],[Qtt]]*TbTradesBinance[[#This Row],[Preço]],BG150+TbTradesBinance[[#This Row],[Qtt]]*TbTradesBinance[[#This Row],[Preço]])),BG150)-IF(TbTradesBinance[[#This Row],[Moeda da Taxa]]=MID(BG$1,9,5),TbTradesBinance[[#This Row],[Taxa]],0),8)))</f>
        <v>0</v>
      </c>
      <c r="BH151" s="145" cm="1">
        <f t="array" ref="BH151">IF(TbTradesBinance[[#This Row],[Tipo]]="EMPTY",0,BH150+IF(TbTradesBinance[[#This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Row],[Par]]))),$1:$1,0)),-(BG150-BG151)/BG150*BH150),0),0)+IF(TbTradesBinance[[#This Row],[Tipo]]="SELL",IF(ISNUMBER(FIND(MID(BH$1,10,5),TbTradesBinance[[#This Row],[Par]])),IF(FIND(MID(BH$1,10,5),TbTradesBinance[[#This Row],[Par]])=1, -(BG150-BG151)/BG150*BH150,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Row],[Par]])),(-(BG150-BG151)/BG150*BH150)+IF(TbTradesBinance[[#This Row],[Resultado]]&gt;0,0,TbTradesBinance[[#This Row],[Taxa]]),0),0))</f>
        <v>0</v>
      </c>
      <c r="BI151" s="145">
        <f t="shared" si="54"/>
        <v>0</v>
      </c>
      <c r="BJ15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Row],[Tipo]]="DROP"),BJ150+TbTradesBinance[[#This Row],[Qtt]],BJ150-TbTradesBinance[[#This Row],[Qtt]]),IF(TbTradesBinance[[#This Row],[Tipo]]="BUY",BJ150-TbTradesBinance[[#This Row],[Qtt]]*TbTradesBinance[[#This Row],[Preço]],BJ150+TbTradesBinance[[#This Row],[Qtt]]*TbTradesBinance[[#This Row],[Preço]])),BJ150)-IF(TbTradesBinance[[#This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Row],[Tipo]]="DROP"),BJ150+TbTradesBinance[[#This Row],[Qtt]],BJ150-TbTradesBinance[[#This Row],[Qtt]]),IF(TbTradesBinance[[#This Row],[Tipo]]="BUY",BJ150-TbTradesBinance[[#This Row],[Qtt]]*TbTradesBinance[[#This Row],[Preço]],BJ150+TbTradesBinance[[#This Row],[Qtt]]*TbTradesBinance[[#This Row],[Preço]])),BJ150)-IF(TbTradesBinance[[#This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Row],[Tipo]]="DROP"),BJ150+TbTradesBinance[[#This Row],[Qtt]],BJ150-TbTradesBinance[[#This Row],[Qtt]]),IF(TbTradesBinance[[#This Row],[Tipo]]="BUY",BJ150-TbTradesBinance[[#This Row],[Qtt]]*TbTradesBinance[[#This Row],[Preço]],BJ150+TbTradesBinance[[#This Row],[Qtt]]*TbTradesBinance[[#This Row],[Preço]])),BJ150)-IF(TbTradesBinance[[#This Row],[Moeda da Taxa]]=MID(BJ$1,9,5),TbTradesBinance[[#This Row],[Taxa]],0),8)))</f>
        <v>1.3665699999999999E-3</v>
      </c>
      <c r="BK151" s="145" cm="1">
        <f t="array" ref="BK151">IF(TbTradesBinance[[#This Row],[Tipo]]="EMPTY",0,BK150+IF(TbTradesBinance[[#This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Row],[Par]]))),$1:$1,0)),-(BJ150-BJ151)/BJ150*BK150),0),0)+IF(TbTradesBinance[[#This Row],[Tipo]]="SELL",IF(ISNUMBER(FIND(MID(BK$1,10,5),TbTradesBinance[[#This Row],[Par]])),IF(FIND(MID(BK$1,10,5),TbTradesBinance[[#This Row],[Par]])=1, -(BJ150-BJ151)/BJ150*BK150,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Row],[Par]])),(-(BJ150-BJ151)/BJ150*BK150)+IF(TbTradesBinance[[#This Row],[Resultado]]&gt;0,0,TbTradesBinance[[#This Row],[Taxa]]),0),0))</f>
        <v>0</v>
      </c>
      <c r="BL151" s="145">
        <f t="shared" si="55"/>
        <v>0</v>
      </c>
      <c r="BM15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Row],[Tipo]]="DROP"),BM150+TbTradesBinance[[#This Row],[Qtt]],BM150-TbTradesBinance[[#This Row],[Qtt]]),IF(TbTradesBinance[[#This Row],[Tipo]]="BUY",BM150-TbTradesBinance[[#This Row],[Qtt]]*TbTradesBinance[[#This Row],[Preço]],BM150+TbTradesBinance[[#This Row],[Qtt]]*TbTradesBinance[[#This Row],[Preço]])),BM150)-IF(TbTradesBinance[[#This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Row],[Tipo]]="DROP"),BM150+TbTradesBinance[[#This Row],[Qtt]],BM150-TbTradesBinance[[#This Row],[Qtt]]),IF(TbTradesBinance[[#This Row],[Tipo]]="BUY",BM150-TbTradesBinance[[#This Row],[Qtt]]*TbTradesBinance[[#This Row],[Preço]],BM150+TbTradesBinance[[#This Row],[Qtt]]*TbTradesBinance[[#This Row],[Preço]])),BM150)-IF(TbTradesBinance[[#This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Row],[Tipo]]="DROP"),BM150+TbTradesBinance[[#This Row],[Qtt]],BM150-TbTradesBinance[[#This Row],[Qtt]]),IF(TbTradesBinance[[#This Row],[Tipo]]="BUY",BM150-TbTradesBinance[[#This Row],[Qtt]]*TbTradesBinance[[#This Row],[Preço]],BM150+TbTradesBinance[[#This Row],[Qtt]]*TbTradesBinance[[#This Row],[Preço]])),BM150)-IF(TbTradesBinance[[#This Row],[Moeda da Taxa]]=MID(BM$1,9,5),TbTradesBinance[[#This Row],[Taxa]],0),8)))</f>
        <v>0</v>
      </c>
      <c r="BN151" s="145" cm="1">
        <f t="array" ref="BN151">IF(TbTradesBinance[[#This Row],[Tipo]]="EMPTY",0,BN150+IF(TbTradesBinance[[#This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Row],[Par]]))),$1:$1,0)),-(BM150-BM151)/BM150*BN150),0),0)+IF(TbTradesBinance[[#This Row],[Tipo]]="SELL",IF(ISNUMBER(FIND(MID(BN$1,10,5),TbTradesBinance[[#This Row],[Par]])),IF(FIND(MID(BN$1,10,5),TbTradesBinance[[#This Row],[Par]])=1, -(BM150-BM151)/BM150*BN150,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Row],[Par]])),(-(BM150-BM151)/BM150*BN150)+IF(TbTradesBinance[[#This Row],[Resultado]]&gt;0,0,TbTradesBinance[[#This Row],[Taxa]]),0),0))</f>
        <v>0</v>
      </c>
      <c r="BO151" s="145">
        <f t="shared" si="56"/>
        <v>0</v>
      </c>
    </row>
    <row r="152" spans="2:67" x14ac:dyDescent="0.3">
      <c r="B152" s="51" t="s">
        <v>264</v>
      </c>
      <c r="C152" s="40">
        <f>TRUNC(IF(AND(TbTradesBinance[[#This Row],[Tipo]]="SEND",TbTradesBinance[[#This Row],[Par]]="BRL"),TbTradesBinance[[#This Row],[Qtt]]*(1-P150)-IF(TbTradesBinance[[#This Row],[Moeda da Taxa]]="BRL",TbTradesBinance[[#This Row],[Taxa]],0),0)+IF(AND(TbTradesBinance[[#This Row],[Tipo]]="BURN",TbTradesBinance[[#This Row],[Par]]="BRL"),-TbTradesBinance[[#This Row],[Qtt]]*P150,0),2)</f>
        <v>0</v>
      </c>
      <c r="D152" s="53">
        <v>44301.445451388892</v>
      </c>
      <c r="E152" s="37" t="s">
        <v>268</v>
      </c>
      <c r="F152" s="47" t="s">
        <v>148</v>
      </c>
      <c r="G152" s="38">
        <v>0</v>
      </c>
      <c r="H152" s="38">
        <v>0.33723384000000001</v>
      </c>
      <c r="I152" s="38">
        <v>0</v>
      </c>
      <c r="J152" s="37" t="s">
        <v>45</v>
      </c>
      <c r="K152" s="52">
        <v>1</v>
      </c>
      <c r="L152" s="40">
        <f t="shared" si="38"/>
        <v>0</v>
      </c>
      <c r="M152" s="40">
        <f>IF(OR(TbTradesBinance[[#This Row],[Tipo]]="BUY",TbTradesBinance[[#This Row],[Tipo]]="RECEIVE",TbTradesBinance[[#This Row],[Tipo]]="DROP"),L152*H152,-L152*H152)</f>
        <v>0</v>
      </c>
      <c r="N15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Row],[Tipo]]="DROP"),N151+TbTradesBinance[[#This Row],[Qtt]],N151-TbTradesBinance[[#This Row],[Qtt]]),IF(TbTradesBinance[[#This Row],[Tipo]]="BUY",N151-TbTradesBinance[[#This Row],[Qtt]]*TbTradesBinance[[#This Row],[Preço]],N151+TbTradesBinance[[#This Row],[Qtt]]*TbTradesBinance[[#This Row],[Preço]])),N151)-IF(TbTradesBinance[[#This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Row],[Tipo]]="DROP"),N151+TbTradesBinance[[#This Row],[Qtt]],N151-TbTradesBinance[[#This Row],[Qtt]]),IF(TbTradesBinance[[#This Row],[Tipo]]="BUY",N151-TbTradesBinance[[#This Row],[Qtt]]*TbTradesBinance[[#This Row],[Preço]],N151+TbTradesBinance[[#This Row],[Qtt]]*TbTradesBinance[[#This Row],[Preço]])),N151)-IF(TbTradesBinance[[#This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Row],[Tipo]]="DROP"),N151+TbTradesBinance[[#This Row],[Qtt]],N151-TbTradesBinance[[#This Row],[Qtt]]),IF(TbTradesBinance[[#This Row],[Tipo]]="BUY",N151-TbTradesBinance[[#This Row],[Qtt]]*TbTradesBinance[[#This Row],[Preço]],N151+TbTradesBinance[[#This Row],[Qtt]]*TbTradesBinance[[#This Row],[Preço]])),N151)-IF(TbTradesBinance[[#This Row],[Moeda da Taxa]]=MID(N$1,9,5),TbTradesBinance[[#This Row],[Taxa]],0),8)))</f>
        <v>119974.66997418</v>
      </c>
      <c r="O152" s="145" cm="1">
        <f t="array" ref="O152">IF(TbTradesBinance[[#This Row],[Tipo]]="EMPTY",0,O151+IF(TbTradesBinance[[#This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Row],[Par]]))),$1:$1,0)),-(N151-N152)/N151*O151),0),0)+IF(TbTradesBinance[[#This Row],[Tipo]]="SELL",IF(ISNUMBER(FIND(MID(O$1,10,5),TbTradesBinance[[#This Row],[Par]])),IF(FIND(MID(O$1,10,5),TbTradesBinance[[#This Row],[Par]])=1, -(N151-N152)/N151*O151,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Row],[Par]])),(-(N151-N152)/N151*O151)+IF(TbTradesBinance[[#This Row],[Resultado]]&gt;0,0,TbTradesBinance[[#This Row],[Taxa]]),0),0))</f>
        <v>120029.90488709159</v>
      </c>
      <c r="P152" s="145">
        <f t="shared" si="39"/>
        <v>1.0004603881212883</v>
      </c>
      <c r="Q15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Row],[Tipo]]="DROP"),Q151+TbTradesBinance[[#This Row],[Qtt]],Q151-TbTradesBinance[[#This Row],[Qtt]]),IF(TbTradesBinance[[#This Row],[Tipo]]="BUY",Q151-TbTradesBinance[[#This Row],[Qtt]]*TbTradesBinance[[#This Row],[Preço]],Q151+TbTradesBinance[[#This Row],[Qtt]]*TbTradesBinance[[#This Row],[Preço]])),Q151)-IF(TbTradesBinance[[#This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Row],[Tipo]]="DROP"),Q151+TbTradesBinance[[#This Row],[Qtt]],Q151-TbTradesBinance[[#This Row],[Qtt]]),IF(TbTradesBinance[[#This Row],[Tipo]]="BUY",Q151-TbTradesBinance[[#This Row],[Qtt]]*TbTradesBinance[[#This Row],[Preço]],Q151+TbTradesBinance[[#This Row],[Qtt]]*TbTradesBinance[[#This Row],[Preço]])),Q151)-IF(TbTradesBinance[[#This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Row],[Tipo]]="DROP"),Q151+TbTradesBinance[[#This Row],[Qtt]],Q151-TbTradesBinance[[#This Row],[Qtt]]),IF(TbTradesBinance[[#This Row],[Tipo]]="BUY",Q151-TbTradesBinance[[#This Row],[Qtt]]*TbTradesBinance[[#This Row],[Preço]],Q151+TbTradesBinance[[#This Row],[Qtt]]*TbTradesBinance[[#This Row],[Preço]])),Q151)-IF(TbTradesBinance[[#This Row],[Moeda da Taxa]]=MID(Q$1,9,5),TbTradesBinance[[#This Row],[Taxa]],0),8)))</f>
        <v>25.356302700000001</v>
      </c>
      <c r="R152" s="145" cm="1">
        <f t="array" ref="R152">IF(TbTradesBinance[[#This Row],[Tipo]]="EMPTY",0,R151+IF(TbTradesBinance[[#This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Row],[Par]]))),$1:$1,0)),-(Q151-Q152)/Q151*R151),0),0)+IF(TbTradesBinance[[#This Row],[Tipo]]="SELL",IF(ISNUMBER(FIND(MID(R$1,10,5),TbTradesBinance[[#This Row],[Par]])),IF(FIND(MID(R$1,10,5),TbTradesBinance[[#This Row],[Par]])=1, -(Q151-Q152)/Q151*R151,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Row],[Par]])),(-(Q151-Q152)/Q151*R151)+IF(TbTradesBinance[[#This Row],[Resultado]]&gt;0,0,TbTradesBinance[[#This Row],[Taxa]]),0),0))</f>
        <v>120.8257969142021</v>
      </c>
      <c r="S152" s="145">
        <f t="shared" si="40"/>
        <v>4.7651188875498836</v>
      </c>
      <c r="T15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Row],[Tipo]]="DROP"),T151+TbTradesBinance[[#This Row],[Qtt]],T151-TbTradesBinance[[#This Row],[Qtt]]),IF(TbTradesBinance[[#This Row],[Tipo]]="BUY",T151-TbTradesBinance[[#This Row],[Qtt]]*TbTradesBinance[[#This Row],[Preço]],T151+TbTradesBinance[[#This Row],[Qtt]]*TbTradesBinance[[#This Row],[Preço]])),T151)-IF(TbTradesBinance[[#This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Row],[Tipo]]="DROP"),T151+TbTradesBinance[[#This Row],[Qtt]],T151-TbTradesBinance[[#This Row],[Qtt]]),IF(TbTradesBinance[[#This Row],[Tipo]]="BUY",T151-TbTradesBinance[[#This Row],[Qtt]]*TbTradesBinance[[#This Row],[Preço]],T151+TbTradesBinance[[#This Row],[Qtt]]*TbTradesBinance[[#This Row],[Preço]])),T151)-IF(TbTradesBinance[[#This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Row],[Tipo]]="DROP"),T151+TbTradesBinance[[#This Row],[Qtt]],T151-TbTradesBinance[[#This Row],[Qtt]]),IF(TbTradesBinance[[#This Row],[Tipo]]="BUY",T151-TbTradesBinance[[#This Row],[Qtt]]*TbTradesBinance[[#This Row],[Preço]],T151+TbTradesBinance[[#This Row],[Qtt]]*TbTradesBinance[[#This Row],[Preço]])),T151)-IF(TbTradesBinance[[#This Row],[Moeda da Taxa]]=MID(T$1,9,5),TbTradesBinance[[#This Row],[Taxa]],0),8)))</f>
        <v>219713.72000189999</v>
      </c>
      <c r="U152" s="145" cm="1">
        <f t="array" ref="U152">IF(TbTradesBinance[[#This Row],[Tipo]]="EMPTY",0,U151+IF(TbTradesBinance[[#This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Row],[Par]]))),$1:$1,0)),-(T151-T152)/T151*U151),0),0)+IF(TbTradesBinance[[#This Row],[Tipo]]="SELL",IF(ISNUMBER(FIND(MID(U$1,10,5),TbTradesBinance[[#This Row],[Par]])),IF(FIND(MID(U$1,10,5),TbTradesBinance[[#This Row],[Par]])=1, -(T151-T152)/T151*U151,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Row],[Par]])),(-(T151-T152)/T151*U151)+IF(TbTradesBinance[[#This Row],[Resultado]]&gt;0,0,TbTradesBinance[[#This Row],[Taxa]]),0),0))</f>
        <v>1461096.2409827893</v>
      </c>
      <c r="V152" s="145">
        <f t="shared" si="41"/>
        <v>6.6500000135182926</v>
      </c>
      <c r="W15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Row],[Tipo]]="DROP"),W151+TbTradesBinance[[#This Row],[Qtt]],W151-TbTradesBinance[[#This Row],[Qtt]]),IF(TbTradesBinance[[#This Row],[Tipo]]="BUY",W151-TbTradesBinance[[#This Row],[Qtt]]*TbTradesBinance[[#This Row],[Preço]],W151+TbTradesBinance[[#This Row],[Qtt]]*TbTradesBinance[[#This Row],[Preço]])),W151)-IF(TbTradesBinance[[#This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Row],[Tipo]]="DROP"),W151+TbTradesBinance[[#This Row],[Qtt]],W151-TbTradesBinance[[#This Row],[Qtt]]),IF(TbTradesBinance[[#This Row],[Tipo]]="BUY",W151-TbTradesBinance[[#This Row],[Qtt]]*TbTradesBinance[[#This Row],[Preço]],W151+TbTradesBinance[[#This Row],[Qtt]]*TbTradesBinance[[#This Row],[Preço]])),W151)-IF(TbTradesBinance[[#This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Row],[Tipo]]="DROP"),W151+TbTradesBinance[[#This Row],[Qtt]],W151-TbTradesBinance[[#This Row],[Qtt]]),IF(TbTradesBinance[[#This Row],[Tipo]]="BUY",W151-TbTradesBinance[[#This Row],[Qtt]]*TbTradesBinance[[#This Row],[Preço]],W151+TbTradesBinance[[#This Row],[Qtt]]*TbTradesBinance[[#This Row],[Preço]])),W151)-IF(TbTradesBinance[[#This Row],[Moeda da Taxa]]=MID(W$1,9,5),TbTradesBinance[[#This Row],[Taxa]],0),8)))</f>
        <v>1.6436000000000001E-4</v>
      </c>
      <c r="X152" s="145" cm="1">
        <f t="array" ref="X152">IF(TbTradesBinance[[#This Row],[Tipo]]="EMPTY",0,X151+IF(TbTradesBinance[[#This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Row],[Par]]))),$1:$1,0)),-(W151-W152)/W151*X151),0),0)+IF(TbTradesBinance[[#This Row],[Tipo]]="SELL",IF(ISNUMBER(FIND(MID(X$1,10,5),TbTradesBinance[[#This Row],[Par]])),IF(FIND(MID(X$1,10,5),TbTradesBinance[[#This Row],[Par]])=1, -(W151-W152)/W151*X151,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Row],[Par]])),(-(W151-W152)/W151*X151)+IF(TbTradesBinance[[#This Row],[Resultado]]&gt;0,0,TbTradesBinance[[#This Row],[Taxa]]),0),0))</f>
        <v>55.654279137915474</v>
      </c>
      <c r="Y152" s="145">
        <f t="shared" si="42"/>
        <v>338612.06581841974</v>
      </c>
      <c r="Z15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Row],[Tipo]]="DROP"),Z151+TbTradesBinance[[#This Row],[Qtt]],Z151-TbTradesBinance[[#This Row],[Qtt]]),IF(TbTradesBinance[[#This Row],[Tipo]]="BUY",Z151-TbTradesBinance[[#This Row],[Qtt]]*TbTradesBinance[[#This Row],[Preço]],Z151+TbTradesBinance[[#This Row],[Qtt]]*TbTradesBinance[[#This Row],[Preço]])),Z151)-IF(TbTradesBinance[[#This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Row],[Tipo]]="DROP"),Z151+TbTradesBinance[[#This Row],[Qtt]],Z151-TbTradesBinance[[#This Row],[Qtt]]),IF(TbTradesBinance[[#This Row],[Tipo]]="BUY",Z151-TbTradesBinance[[#This Row],[Qtt]]*TbTradesBinance[[#This Row],[Preço]],Z151+TbTradesBinance[[#This Row],[Qtt]]*TbTradesBinance[[#This Row],[Preço]])),Z151)-IF(TbTradesBinance[[#This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Row],[Tipo]]="DROP"),Z151+TbTradesBinance[[#This Row],[Qtt]],Z151-TbTradesBinance[[#This Row],[Qtt]]),IF(TbTradesBinance[[#This Row],[Tipo]]="BUY",Z151-TbTradesBinance[[#This Row],[Qtt]]*TbTradesBinance[[#This Row],[Preço]],Z151+TbTradesBinance[[#This Row],[Qtt]]*TbTradesBinance[[#This Row],[Preço]])),Z151)-IF(TbTradesBinance[[#This Row],[Moeda da Taxa]]=MID(Z$1,9,5),TbTradesBinance[[#This Row],[Taxa]],0),8)))</f>
        <v>0</v>
      </c>
      <c r="AA152" s="145" cm="1">
        <f t="array" ref="AA152">IF(TbTradesBinance[[#This Row],[Tipo]]="EMPTY",0,AA151+IF(TbTradesBinance[[#This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Row],[Par]]))),$1:$1,0)),-(Z151-Z152)/Z151*AA151),0),0)+IF(TbTradesBinance[[#This Row],[Tipo]]="SELL",IF(ISNUMBER(FIND(MID(AA$1,10,5),TbTradesBinance[[#This Row],[Par]])),IF(FIND(MID(AA$1,10,5),TbTradesBinance[[#This Row],[Par]])=1, -(Z151-Z152)/Z151*AA151,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Row],[Par]])),(-(Z151-Z152)/Z151*AA151)+IF(TbTradesBinance[[#This Row],[Resultado]]&gt;0,0,TbTradesBinance[[#This Row],[Taxa]]),0),0))</f>
        <v>0</v>
      </c>
      <c r="AB152" s="145">
        <f t="shared" si="43"/>
        <v>0</v>
      </c>
      <c r="AC15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Row],[Tipo]]="DROP"),AC151+TbTradesBinance[[#This Row],[Qtt]],AC151-TbTradesBinance[[#This Row],[Qtt]]),IF(TbTradesBinance[[#This Row],[Tipo]]="BUY",AC151-TbTradesBinance[[#This Row],[Qtt]]*TbTradesBinance[[#This Row],[Preço]],AC151+TbTradesBinance[[#This Row],[Qtt]]*TbTradesBinance[[#This Row],[Preço]])),AC151)-IF(TbTradesBinance[[#This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Row],[Tipo]]="DROP"),AC151+TbTradesBinance[[#This Row],[Qtt]],AC151-TbTradesBinance[[#This Row],[Qtt]]),IF(TbTradesBinance[[#This Row],[Tipo]]="BUY",AC151-TbTradesBinance[[#This Row],[Qtt]]*TbTradesBinance[[#This Row],[Preço]],AC151+TbTradesBinance[[#This Row],[Qtt]]*TbTradesBinance[[#This Row],[Preço]])),AC151)-IF(TbTradesBinance[[#This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Row],[Tipo]]="DROP"),AC151+TbTradesBinance[[#This Row],[Qtt]],AC151-TbTradesBinance[[#This Row],[Qtt]]),IF(TbTradesBinance[[#This Row],[Tipo]]="BUY",AC151-TbTradesBinance[[#This Row],[Qtt]]*TbTradesBinance[[#This Row],[Preço]],AC151+TbTradesBinance[[#This Row],[Qtt]]*TbTradesBinance[[#This Row],[Preço]])),AC151)-IF(TbTradesBinance[[#This Row],[Moeda da Taxa]]=MID(AC$1,9,5),TbTradesBinance[[#This Row],[Taxa]],0),8)))</f>
        <v>0</v>
      </c>
      <c r="AD152" s="145" cm="1">
        <f t="array" ref="AD152">IF(TbTradesBinance[[#This Row],[Tipo]]="EMPTY",0,AD151+IF(TbTradesBinance[[#This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Row],[Par]]))),$1:$1,0)),-(AC151-AC152)/AC151*AD151),0),0)+IF(TbTradesBinance[[#This Row],[Tipo]]="SELL",IF(ISNUMBER(FIND(MID(AD$1,10,5),TbTradesBinance[[#This Row],[Par]])),IF(FIND(MID(AD$1,10,5),TbTradesBinance[[#This Row],[Par]])=1, -(AC151-AC152)/AC151*AD151,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Row],[Par]])),(-(AC151-AC152)/AC151*AD151)+IF(TbTradesBinance[[#This Row],[Resultado]]&gt;0,0,TbTradesBinance[[#This Row],[Taxa]]),0),0))</f>
        <v>0</v>
      </c>
      <c r="AE152" s="145">
        <f t="shared" si="44"/>
        <v>0</v>
      </c>
      <c r="AF15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Row],[Tipo]]="DROP"),AF151+TbTradesBinance[[#This Row],[Qtt]],AF151-TbTradesBinance[[#This Row],[Qtt]]),IF(TbTradesBinance[[#This Row],[Tipo]]="BUY",AF151-TbTradesBinance[[#This Row],[Qtt]]*TbTradesBinance[[#This Row],[Preço]],AF151+TbTradesBinance[[#This Row],[Qtt]]*TbTradesBinance[[#This Row],[Preço]])),AF151)-IF(TbTradesBinance[[#This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Row],[Tipo]]="DROP"),AF151+TbTradesBinance[[#This Row],[Qtt]],AF151-TbTradesBinance[[#This Row],[Qtt]]),IF(TbTradesBinance[[#This Row],[Tipo]]="BUY",AF151-TbTradesBinance[[#This Row],[Qtt]]*TbTradesBinance[[#This Row],[Preço]],AF151+TbTradesBinance[[#This Row],[Qtt]]*TbTradesBinance[[#This Row],[Preço]])),AF151)-IF(TbTradesBinance[[#This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Row],[Tipo]]="DROP"),AF151+TbTradesBinance[[#This Row],[Qtt]],AF151-TbTradesBinance[[#This Row],[Qtt]]),IF(TbTradesBinance[[#This Row],[Tipo]]="BUY",AF151-TbTradesBinance[[#This Row],[Qtt]]*TbTradesBinance[[#This Row],[Preço]],AF151+TbTradesBinance[[#This Row],[Qtt]]*TbTradesBinance[[#This Row],[Preço]])),AF151)-IF(TbTradesBinance[[#This Row],[Moeda da Taxa]]=MID(AF$1,9,5),TbTradesBinance[[#This Row],[Taxa]],0),8)))</f>
        <v>0</v>
      </c>
      <c r="AG152" s="145" cm="1">
        <f t="array" ref="AG152">IF(TbTradesBinance[[#This Row],[Tipo]]="EMPTY",0,AG151+IF(TbTradesBinance[[#This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Row],[Par]]))),$1:$1,0)),-(AF151-AF152)/AF151*AG151),0),0)+IF(TbTradesBinance[[#This Row],[Tipo]]="SELL",IF(ISNUMBER(FIND(MID(AG$1,10,5),TbTradesBinance[[#This Row],[Par]])),IF(FIND(MID(AG$1,10,5),TbTradesBinance[[#This Row],[Par]])=1, -(AF151-AF152)/AF151*AG151,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Row],[Par]])),(-(AF151-AF152)/AF151*AG151)+IF(TbTradesBinance[[#This Row],[Resultado]]&gt;0,0,TbTradesBinance[[#This Row],[Taxa]]),0),0))</f>
        <v>0</v>
      </c>
      <c r="AH152" s="145">
        <f t="shared" si="45"/>
        <v>0</v>
      </c>
      <c r="AI15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Row],[Tipo]]="DROP"),AI151+TbTradesBinance[[#This Row],[Qtt]],AI151-TbTradesBinance[[#This Row],[Qtt]]),IF(TbTradesBinance[[#This Row],[Tipo]]="BUY",AI151-TbTradesBinance[[#This Row],[Qtt]]*TbTradesBinance[[#This Row],[Preço]],AI151+TbTradesBinance[[#This Row],[Qtt]]*TbTradesBinance[[#This Row],[Preço]])),AI151)-IF(TbTradesBinance[[#This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Row],[Tipo]]="DROP"),AI151+TbTradesBinance[[#This Row],[Qtt]],AI151-TbTradesBinance[[#This Row],[Qtt]]),IF(TbTradesBinance[[#This Row],[Tipo]]="BUY",AI151-TbTradesBinance[[#This Row],[Qtt]]*TbTradesBinance[[#This Row],[Preço]],AI151+TbTradesBinance[[#This Row],[Qtt]]*TbTradesBinance[[#This Row],[Preço]])),AI151)-IF(TbTradesBinance[[#This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Row],[Tipo]]="DROP"),AI151+TbTradesBinance[[#This Row],[Qtt]],AI151-TbTradesBinance[[#This Row],[Qtt]]),IF(TbTradesBinance[[#This Row],[Tipo]]="BUY",AI151-TbTradesBinance[[#This Row],[Qtt]]*TbTradesBinance[[#This Row],[Preço]],AI151+TbTradesBinance[[#This Row],[Qtt]]*TbTradesBinance[[#This Row],[Preço]])),AI151)-IF(TbTradesBinance[[#This Row],[Moeda da Taxa]]=MID(AI$1,9,5),TbTradesBinance[[#This Row],[Taxa]],0),8)))</f>
        <v>0</v>
      </c>
      <c r="AJ152" s="145" cm="1">
        <f t="array" ref="AJ152">IF(TbTradesBinance[[#This Row],[Tipo]]="EMPTY",0,AJ151+IF(TbTradesBinance[[#This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Row],[Par]]))),$1:$1,0)),-(AI151-AI152)/AI151*AJ151),0),0)+IF(TbTradesBinance[[#This Row],[Tipo]]="SELL",IF(ISNUMBER(FIND(MID(AJ$1,10,5),TbTradesBinance[[#This Row],[Par]])),IF(FIND(MID(AJ$1,10,5),TbTradesBinance[[#This Row],[Par]])=1, -(AI151-AI152)/AI151*AJ151,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Row],[Par]])),(-(AI151-AI152)/AI151*AJ151)+IF(TbTradesBinance[[#This Row],[Resultado]]&gt;0,0,TbTradesBinance[[#This Row],[Taxa]]),0),0))</f>
        <v>0</v>
      </c>
      <c r="AK152" s="145">
        <f t="shared" si="46"/>
        <v>0</v>
      </c>
      <c r="AL15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Row],[Tipo]]="DROP"),AL151+TbTradesBinance[[#This Row],[Qtt]],AL151-TbTradesBinance[[#This Row],[Qtt]]),IF(TbTradesBinance[[#This Row],[Tipo]]="BUY",AL151-TbTradesBinance[[#This Row],[Qtt]]*TbTradesBinance[[#This Row],[Preço]],AL151+TbTradesBinance[[#This Row],[Qtt]]*TbTradesBinance[[#This Row],[Preço]])),AL151)-IF(TbTradesBinance[[#This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Row],[Tipo]]="DROP"),AL151+TbTradesBinance[[#This Row],[Qtt]],AL151-TbTradesBinance[[#This Row],[Qtt]]),IF(TbTradesBinance[[#This Row],[Tipo]]="BUY",AL151-TbTradesBinance[[#This Row],[Qtt]]*TbTradesBinance[[#This Row],[Preço]],AL151+TbTradesBinance[[#This Row],[Qtt]]*TbTradesBinance[[#This Row],[Preço]])),AL151)-IF(TbTradesBinance[[#This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Row],[Tipo]]="DROP"),AL151+TbTradesBinance[[#This Row],[Qtt]],AL151-TbTradesBinance[[#This Row],[Qtt]]),IF(TbTradesBinance[[#This Row],[Tipo]]="BUY",AL151-TbTradesBinance[[#This Row],[Qtt]]*TbTradesBinance[[#This Row],[Preço]],AL151+TbTradesBinance[[#This Row],[Qtt]]*TbTradesBinance[[#This Row],[Preço]])),AL151)-IF(TbTradesBinance[[#This Row],[Moeda da Taxa]]=MID(AL$1,9,5),TbTradesBinance[[#This Row],[Taxa]],0),8)))</f>
        <v>0</v>
      </c>
      <c r="AM152" s="145" cm="1">
        <f t="array" ref="AM152">IF(TbTradesBinance[[#This Row],[Tipo]]="EMPTY",0,AM151+IF(TbTradesBinance[[#This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Row],[Par]]))),$1:$1,0)),-(AL151-AL152)/AL151*AM151),0),0)+IF(TbTradesBinance[[#This Row],[Tipo]]="SELL",IF(ISNUMBER(FIND(MID(AM$1,10,5),TbTradesBinance[[#This Row],[Par]])),IF(FIND(MID(AM$1,10,5),TbTradesBinance[[#This Row],[Par]])=1, -(AL151-AL152)/AL151*AM151,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Row],[Par]])),(-(AL151-AL152)/AL151*AM151)+IF(TbTradesBinance[[#This Row],[Resultado]]&gt;0,0,TbTradesBinance[[#This Row],[Taxa]]),0),0))</f>
        <v>0</v>
      </c>
      <c r="AN152" s="145">
        <f t="shared" si="47"/>
        <v>0</v>
      </c>
      <c r="AO15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Row],[Tipo]]="DROP"),AO151+TbTradesBinance[[#This Row],[Qtt]],AO151-TbTradesBinance[[#This Row],[Qtt]]),IF(TbTradesBinance[[#This Row],[Tipo]]="BUY",AO151-TbTradesBinance[[#This Row],[Qtt]]*TbTradesBinance[[#This Row],[Preço]],AO151+TbTradesBinance[[#This Row],[Qtt]]*TbTradesBinance[[#This Row],[Preço]])),AO151)-IF(TbTradesBinance[[#This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Row],[Tipo]]="DROP"),AO151+TbTradesBinance[[#This Row],[Qtt]],AO151-TbTradesBinance[[#This Row],[Qtt]]),IF(TbTradesBinance[[#This Row],[Tipo]]="BUY",AO151-TbTradesBinance[[#This Row],[Qtt]]*TbTradesBinance[[#This Row],[Preço]],AO151+TbTradesBinance[[#This Row],[Qtt]]*TbTradesBinance[[#This Row],[Preço]])),AO151)-IF(TbTradesBinance[[#This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Row],[Tipo]]="DROP"),AO151+TbTradesBinance[[#This Row],[Qtt]],AO151-TbTradesBinance[[#This Row],[Qtt]]),IF(TbTradesBinance[[#This Row],[Tipo]]="BUY",AO151-TbTradesBinance[[#This Row],[Qtt]]*TbTradesBinance[[#This Row],[Preço]],AO151+TbTradesBinance[[#This Row],[Qtt]]*TbTradesBinance[[#This Row],[Preço]])),AO151)-IF(TbTradesBinance[[#This Row],[Moeda da Taxa]]=MID(AO$1,9,5),TbTradesBinance[[#This Row],[Taxa]],0),8)))</f>
        <v>3.7210350000000003E-2</v>
      </c>
      <c r="AP152" s="145" cm="1">
        <f t="array" ref="AP152">IF(TbTradesBinance[[#This Row],[Tipo]]="EMPTY",0,AP151+IF(TbTradesBinance[[#This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Row],[Par]]))),$1:$1,0)),-(AO151-AO152)/AO151*AP151),0),0)+IF(TbTradesBinance[[#This Row],[Tipo]]="SELL",IF(ISNUMBER(FIND(MID(AP$1,10,5),TbTradesBinance[[#This Row],[Par]])),IF(FIND(MID(AP$1,10,5),TbTradesBinance[[#This Row],[Par]])=1, -(AO151-AO152)/AO151*AP151,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Row],[Par]])),(-(AO151-AO152)/AO151*AP151)+IF(TbTradesBinance[[#This Row],[Resultado]]&gt;0,0,TbTradesBinance[[#This Row],[Taxa]]),0),0))</f>
        <v>57.065298020032813</v>
      </c>
      <c r="AQ152" s="145">
        <f t="shared" si="48"/>
        <v>1533.5867042377406</v>
      </c>
      <c r="AR15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Row],[Tipo]]="DROP"),AR151+TbTradesBinance[[#This Row],[Qtt]],AR151-TbTradesBinance[[#This Row],[Qtt]]),IF(TbTradesBinance[[#This Row],[Tipo]]="BUY",AR151-TbTradesBinance[[#This Row],[Qtt]]*TbTradesBinance[[#This Row],[Preço]],AR151+TbTradesBinance[[#This Row],[Qtt]]*TbTradesBinance[[#This Row],[Preço]])),AR151)-IF(TbTradesBinance[[#This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Row],[Tipo]]="DROP"),AR151+TbTradesBinance[[#This Row],[Qtt]],AR151-TbTradesBinance[[#This Row],[Qtt]]),IF(TbTradesBinance[[#This Row],[Tipo]]="BUY",AR151-TbTradesBinance[[#This Row],[Qtt]]*TbTradesBinance[[#This Row],[Preço]],AR151+TbTradesBinance[[#This Row],[Qtt]]*TbTradesBinance[[#This Row],[Preço]])),AR151)-IF(TbTradesBinance[[#This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Row],[Tipo]]="DROP"),AR151+TbTradesBinance[[#This Row],[Qtt]],AR151-TbTradesBinance[[#This Row],[Qtt]]),IF(TbTradesBinance[[#This Row],[Tipo]]="BUY",AR151-TbTradesBinance[[#This Row],[Qtt]]*TbTradesBinance[[#This Row],[Preço]],AR151+TbTradesBinance[[#This Row],[Qtt]]*TbTradesBinance[[#This Row],[Preço]])),AR151)-IF(TbTradesBinance[[#This Row],[Moeda da Taxa]]=MID(AR$1,9,5),TbTradesBinance[[#This Row],[Taxa]],0),8)))</f>
        <v>0</v>
      </c>
      <c r="AS152" s="145" cm="1">
        <f t="array" ref="AS152">IF(TbTradesBinance[[#This Row],[Tipo]]="EMPTY",0,AS151+IF(TbTradesBinance[[#This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Row],[Par]]))),$1:$1,0)),-(AR151-AR152)/AR151*AS151),0),0)+IF(TbTradesBinance[[#This Row],[Tipo]]="SELL",IF(ISNUMBER(FIND(MID(AS$1,10,5),TbTradesBinance[[#This Row],[Par]])),IF(FIND(MID(AS$1,10,5),TbTradesBinance[[#This Row],[Par]])=1, -(AR151-AR152)/AR151*AS151,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Row],[Par]])),(-(AR151-AR152)/AR151*AS151)+IF(TbTradesBinance[[#This Row],[Resultado]]&gt;0,0,TbTradesBinance[[#This Row],[Taxa]]),0),0))</f>
        <v>0</v>
      </c>
      <c r="AT152" s="145">
        <f t="shared" si="49"/>
        <v>0</v>
      </c>
      <c r="AU15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Row],[Tipo]]="DROP"),AU151+TbTradesBinance[[#This Row],[Qtt]],AU151-TbTradesBinance[[#This Row],[Qtt]]),IF(TbTradesBinance[[#This Row],[Tipo]]="BUY",AU151-TbTradesBinance[[#This Row],[Qtt]]*TbTradesBinance[[#This Row],[Preço]],AU151+TbTradesBinance[[#This Row],[Qtt]]*TbTradesBinance[[#This Row],[Preço]])),AU151)-IF(TbTradesBinance[[#This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Row],[Tipo]]="DROP"),AU151+TbTradesBinance[[#This Row],[Qtt]],AU151-TbTradesBinance[[#This Row],[Qtt]]),IF(TbTradesBinance[[#This Row],[Tipo]]="BUY",AU151-TbTradesBinance[[#This Row],[Qtt]]*TbTradesBinance[[#This Row],[Preço]],AU151+TbTradesBinance[[#This Row],[Qtt]]*TbTradesBinance[[#This Row],[Preço]])),AU151)-IF(TbTradesBinance[[#This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Row],[Tipo]]="DROP"),AU151+TbTradesBinance[[#This Row],[Qtt]],AU151-TbTradesBinance[[#This Row],[Qtt]]),IF(TbTradesBinance[[#This Row],[Tipo]]="BUY",AU151-TbTradesBinance[[#This Row],[Qtt]]*TbTradesBinance[[#This Row],[Preço]],AU151+TbTradesBinance[[#This Row],[Qtt]]*TbTradesBinance[[#This Row],[Preço]])),AU151)-IF(TbTradesBinance[[#This Row],[Moeda da Taxa]]=MID(AU$1,9,5),TbTradesBinance[[#This Row],[Taxa]],0),8)))</f>
        <v>0</v>
      </c>
      <c r="AV152" s="145" cm="1">
        <f t="array" ref="AV152">IF(TbTradesBinance[[#This Row],[Tipo]]="EMPTY",0,AV151+IF(TbTradesBinance[[#This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Row],[Par]]))),$1:$1,0)),-(AU151-AU152)/AU151*AV151),0),0)+IF(TbTradesBinance[[#This Row],[Tipo]]="SELL",IF(ISNUMBER(FIND(MID(AV$1,10,5),TbTradesBinance[[#This Row],[Par]])),IF(FIND(MID(AV$1,10,5),TbTradesBinance[[#This Row],[Par]])=1, -(AU151-AU152)/AU151*AV151,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Row],[Par]])),(-(AU151-AU152)/AU151*AV151)+IF(TbTradesBinance[[#This Row],[Resultado]]&gt;0,0,TbTradesBinance[[#This Row],[Taxa]]),0),0))</f>
        <v>0</v>
      </c>
      <c r="AW152" s="145">
        <f t="shared" si="50"/>
        <v>0</v>
      </c>
      <c r="AX15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Row],[Tipo]]="DROP"),AX151+TbTradesBinance[[#This Row],[Qtt]],AX151-TbTradesBinance[[#This Row],[Qtt]]),IF(TbTradesBinance[[#This Row],[Tipo]]="BUY",AX151-TbTradesBinance[[#This Row],[Qtt]]*TbTradesBinance[[#This Row],[Preço]],AX151+TbTradesBinance[[#This Row],[Qtt]]*TbTradesBinance[[#This Row],[Preço]])),AX151)-IF(TbTradesBinance[[#This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Row],[Tipo]]="DROP"),AX151+TbTradesBinance[[#This Row],[Qtt]],AX151-TbTradesBinance[[#This Row],[Qtt]]),IF(TbTradesBinance[[#This Row],[Tipo]]="BUY",AX151-TbTradesBinance[[#This Row],[Qtt]]*TbTradesBinance[[#This Row],[Preço]],AX151+TbTradesBinance[[#This Row],[Qtt]]*TbTradesBinance[[#This Row],[Preço]])),AX151)-IF(TbTradesBinance[[#This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Row],[Tipo]]="DROP"),AX151+TbTradesBinance[[#This Row],[Qtt]],AX151-TbTradesBinance[[#This Row],[Qtt]]),IF(TbTradesBinance[[#This Row],[Tipo]]="BUY",AX151-TbTradesBinance[[#This Row],[Qtt]]*TbTradesBinance[[#This Row],[Preço]],AX151+TbTradesBinance[[#This Row],[Qtt]]*TbTradesBinance[[#This Row],[Preço]])),AX151)-IF(TbTradesBinance[[#This Row],[Moeda da Taxa]]=MID(AX$1,9,5),TbTradesBinance[[#This Row],[Taxa]],0),8)))</f>
        <v>0</v>
      </c>
      <c r="AY152" s="145" cm="1">
        <f t="array" ref="AY152">IF(TbTradesBinance[[#This Row],[Tipo]]="EMPTY",0,AY151+IF(TbTradesBinance[[#This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Row],[Par]]))),$1:$1,0)),-(AX151-AX152)/AX151*AY151),0),0)+IF(TbTradesBinance[[#This Row],[Tipo]]="SELL",IF(ISNUMBER(FIND(MID(AY$1,10,5),TbTradesBinance[[#This Row],[Par]])),IF(FIND(MID(AY$1,10,5),TbTradesBinance[[#This Row],[Par]])=1, -(AX151-AX152)/AX151*AY151,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Row],[Par]])),(-(AX151-AX152)/AX151*AY151)+IF(TbTradesBinance[[#This Row],[Resultado]]&gt;0,0,TbTradesBinance[[#This Row],[Taxa]]),0),0))</f>
        <v>0</v>
      </c>
      <c r="AZ152" s="145">
        <f t="shared" si="51"/>
        <v>0</v>
      </c>
      <c r="BA15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Row],[Tipo]]="DROP"),BA151+TbTradesBinance[[#This Row],[Qtt]],BA151-TbTradesBinance[[#This Row],[Qtt]]),IF(TbTradesBinance[[#This Row],[Tipo]]="BUY",BA151-TbTradesBinance[[#This Row],[Qtt]]*TbTradesBinance[[#This Row],[Preço]],BA151+TbTradesBinance[[#This Row],[Qtt]]*TbTradesBinance[[#This Row],[Preço]])),BA151)-IF(TbTradesBinance[[#This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Row],[Tipo]]="DROP"),BA151+TbTradesBinance[[#This Row],[Qtt]],BA151-TbTradesBinance[[#This Row],[Qtt]]),IF(TbTradesBinance[[#This Row],[Tipo]]="BUY",BA151-TbTradesBinance[[#This Row],[Qtt]]*TbTradesBinance[[#This Row],[Preço]],BA151+TbTradesBinance[[#This Row],[Qtt]]*TbTradesBinance[[#This Row],[Preço]])),BA151)-IF(TbTradesBinance[[#This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Row],[Tipo]]="DROP"),BA151+TbTradesBinance[[#This Row],[Qtt]],BA151-TbTradesBinance[[#This Row],[Qtt]]),IF(TbTradesBinance[[#This Row],[Tipo]]="BUY",BA151-TbTradesBinance[[#This Row],[Qtt]]*TbTradesBinance[[#This Row],[Preço]],BA151+TbTradesBinance[[#This Row],[Qtt]]*TbTradesBinance[[#This Row],[Preço]])),BA151)-IF(TbTradesBinance[[#This Row],[Moeda da Taxa]]=MID(BA$1,9,5),TbTradesBinance[[#This Row],[Taxa]],0),8)))</f>
        <v>0</v>
      </c>
      <c r="BB152" s="145" cm="1">
        <f t="array" ref="BB152">IF(TbTradesBinance[[#This Row],[Tipo]]="EMPTY",0,BB151+IF(TbTradesBinance[[#This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Row],[Par]]))),$1:$1,0)),-(BA151-BA152)/BA151*BB151),0),0)+IF(TbTradesBinance[[#This Row],[Tipo]]="SELL",IF(ISNUMBER(FIND(MID(BB$1,10,5),TbTradesBinance[[#This Row],[Par]])),IF(FIND(MID(BB$1,10,5),TbTradesBinance[[#This Row],[Par]])=1, -(BA151-BA152)/BA151*BB151,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Row],[Par]])),(-(BA151-BA152)/BA151*BB151)+IF(TbTradesBinance[[#This Row],[Resultado]]&gt;0,0,TbTradesBinance[[#This Row],[Taxa]]),0),0))</f>
        <v>0</v>
      </c>
      <c r="BC152" s="145">
        <f t="shared" si="52"/>
        <v>0</v>
      </c>
      <c r="BD15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Row],[Tipo]]="DROP"),BD151+TbTradesBinance[[#This Row],[Qtt]],BD151-TbTradesBinance[[#This Row],[Qtt]]),IF(TbTradesBinance[[#This Row],[Tipo]]="BUY",BD151-TbTradesBinance[[#This Row],[Qtt]]*TbTradesBinance[[#This Row],[Preço]],BD151+TbTradesBinance[[#This Row],[Qtt]]*TbTradesBinance[[#This Row],[Preço]])),BD151)-IF(TbTradesBinance[[#This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Row],[Tipo]]="DROP"),BD151+TbTradesBinance[[#This Row],[Qtt]],BD151-TbTradesBinance[[#This Row],[Qtt]]),IF(TbTradesBinance[[#This Row],[Tipo]]="BUY",BD151-TbTradesBinance[[#This Row],[Qtt]]*TbTradesBinance[[#This Row],[Preço]],BD151+TbTradesBinance[[#This Row],[Qtt]]*TbTradesBinance[[#This Row],[Preço]])),BD151)-IF(TbTradesBinance[[#This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Row],[Tipo]]="DROP"),BD151+TbTradesBinance[[#This Row],[Qtt]],BD151-TbTradesBinance[[#This Row],[Qtt]]),IF(TbTradesBinance[[#This Row],[Tipo]]="BUY",BD151-TbTradesBinance[[#This Row],[Qtt]]*TbTradesBinance[[#This Row],[Preço]],BD151+TbTradesBinance[[#This Row],[Qtt]]*TbTradesBinance[[#This Row],[Preço]])),BD151)-IF(TbTradesBinance[[#This Row],[Moeda da Taxa]]=MID(BD$1,9,5),TbTradesBinance[[#This Row],[Taxa]],0),8)))</f>
        <v>0</v>
      </c>
      <c r="BE152" s="145" cm="1">
        <f t="array" ref="BE152">IF(TbTradesBinance[[#This Row],[Tipo]]="EMPTY",0,BE151+IF(TbTradesBinance[[#This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Row],[Par]]))),$1:$1,0)),-(BD151-BD152)/BD151*BE151),0),0)+IF(TbTradesBinance[[#This Row],[Tipo]]="SELL",IF(ISNUMBER(FIND(MID(BE$1,10,5),TbTradesBinance[[#This Row],[Par]])),IF(FIND(MID(BE$1,10,5),TbTradesBinance[[#This Row],[Par]])=1, -(BD151-BD152)/BD151*BE151,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Row],[Par]])),(-(BD151-BD152)/BD151*BE151)+IF(TbTradesBinance[[#This Row],[Resultado]]&gt;0,0,TbTradesBinance[[#This Row],[Taxa]]),0),0))</f>
        <v>0</v>
      </c>
      <c r="BF152" s="145">
        <f t="shared" si="53"/>
        <v>0</v>
      </c>
      <c r="BG15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Row],[Tipo]]="DROP"),BG151+TbTradesBinance[[#This Row],[Qtt]],BG151-TbTradesBinance[[#This Row],[Qtt]]),IF(TbTradesBinance[[#This Row],[Tipo]]="BUY",BG151-TbTradesBinance[[#This Row],[Qtt]]*TbTradesBinance[[#This Row],[Preço]],BG151+TbTradesBinance[[#This Row],[Qtt]]*TbTradesBinance[[#This Row],[Preço]])),BG151)-IF(TbTradesBinance[[#This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Row],[Tipo]]="DROP"),BG151+TbTradesBinance[[#This Row],[Qtt]],BG151-TbTradesBinance[[#This Row],[Qtt]]),IF(TbTradesBinance[[#This Row],[Tipo]]="BUY",BG151-TbTradesBinance[[#This Row],[Qtt]]*TbTradesBinance[[#This Row],[Preço]],BG151+TbTradesBinance[[#This Row],[Qtt]]*TbTradesBinance[[#This Row],[Preço]])),BG151)-IF(TbTradesBinance[[#This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Row],[Tipo]]="DROP"),BG151+TbTradesBinance[[#This Row],[Qtt]],BG151-TbTradesBinance[[#This Row],[Qtt]]),IF(TbTradesBinance[[#This Row],[Tipo]]="BUY",BG151-TbTradesBinance[[#This Row],[Qtt]]*TbTradesBinance[[#This Row],[Preço]],BG151+TbTradesBinance[[#This Row],[Qtt]]*TbTradesBinance[[#This Row],[Preço]])),BG151)-IF(TbTradesBinance[[#This Row],[Moeda da Taxa]]=MID(BG$1,9,5),TbTradesBinance[[#This Row],[Taxa]],0),8)))</f>
        <v>0</v>
      </c>
      <c r="BH152" s="145" cm="1">
        <f t="array" ref="BH152">IF(TbTradesBinance[[#This Row],[Tipo]]="EMPTY",0,BH151+IF(TbTradesBinance[[#This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Row],[Par]]))),$1:$1,0)),-(BG151-BG152)/BG151*BH151),0),0)+IF(TbTradesBinance[[#This Row],[Tipo]]="SELL",IF(ISNUMBER(FIND(MID(BH$1,10,5),TbTradesBinance[[#This Row],[Par]])),IF(FIND(MID(BH$1,10,5),TbTradesBinance[[#This Row],[Par]])=1, -(BG151-BG152)/BG151*BH151,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Row],[Par]])),(-(BG151-BG152)/BG151*BH151)+IF(TbTradesBinance[[#This Row],[Resultado]]&gt;0,0,TbTradesBinance[[#This Row],[Taxa]]),0),0))</f>
        <v>0</v>
      </c>
      <c r="BI152" s="145">
        <f t="shared" si="54"/>
        <v>0</v>
      </c>
      <c r="BJ15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Row],[Tipo]]="DROP"),BJ151+TbTradesBinance[[#This Row],[Qtt]],BJ151-TbTradesBinance[[#This Row],[Qtt]]),IF(TbTradesBinance[[#This Row],[Tipo]]="BUY",BJ151-TbTradesBinance[[#This Row],[Qtt]]*TbTradesBinance[[#This Row],[Preço]],BJ151+TbTradesBinance[[#This Row],[Qtt]]*TbTradesBinance[[#This Row],[Preço]])),BJ151)-IF(TbTradesBinance[[#This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Row],[Tipo]]="DROP"),BJ151+TbTradesBinance[[#This Row],[Qtt]],BJ151-TbTradesBinance[[#This Row],[Qtt]]),IF(TbTradesBinance[[#This Row],[Tipo]]="BUY",BJ151-TbTradesBinance[[#This Row],[Qtt]]*TbTradesBinance[[#This Row],[Preço]],BJ151+TbTradesBinance[[#This Row],[Qtt]]*TbTradesBinance[[#This Row],[Preço]])),BJ151)-IF(TbTradesBinance[[#This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Row],[Tipo]]="DROP"),BJ151+TbTradesBinance[[#This Row],[Qtt]],BJ151-TbTradesBinance[[#This Row],[Qtt]]),IF(TbTradesBinance[[#This Row],[Tipo]]="BUY",BJ151-TbTradesBinance[[#This Row],[Qtt]]*TbTradesBinance[[#This Row],[Preço]],BJ151+TbTradesBinance[[#This Row],[Qtt]]*TbTradesBinance[[#This Row],[Preço]])),BJ151)-IF(TbTradesBinance[[#This Row],[Moeda da Taxa]]=MID(BJ$1,9,5),TbTradesBinance[[#This Row],[Taxa]],0),8)))</f>
        <v>1.3665699999999999E-3</v>
      </c>
      <c r="BK152" s="145" cm="1">
        <f t="array" ref="BK152">IF(TbTradesBinance[[#This Row],[Tipo]]="EMPTY",0,BK151+IF(TbTradesBinance[[#This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Row],[Par]]))),$1:$1,0)),-(BJ151-BJ152)/BJ151*BK151),0),0)+IF(TbTradesBinance[[#This Row],[Tipo]]="SELL",IF(ISNUMBER(FIND(MID(BK$1,10,5),TbTradesBinance[[#This Row],[Par]])),IF(FIND(MID(BK$1,10,5),TbTradesBinance[[#This Row],[Par]])=1, -(BJ151-BJ152)/BJ151*BK151,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Row],[Par]])),(-(BJ151-BJ152)/BJ151*BK151)+IF(TbTradesBinance[[#This Row],[Resultado]]&gt;0,0,TbTradesBinance[[#This Row],[Taxa]]),0),0))</f>
        <v>0</v>
      </c>
      <c r="BL152" s="145">
        <f t="shared" si="55"/>
        <v>0</v>
      </c>
      <c r="BM15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Row],[Tipo]]="DROP"),BM151+TbTradesBinance[[#This Row],[Qtt]],BM151-TbTradesBinance[[#This Row],[Qtt]]),IF(TbTradesBinance[[#This Row],[Tipo]]="BUY",BM151-TbTradesBinance[[#This Row],[Qtt]]*TbTradesBinance[[#This Row],[Preço]],BM151+TbTradesBinance[[#This Row],[Qtt]]*TbTradesBinance[[#This Row],[Preço]])),BM151)-IF(TbTradesBinance[[#This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Row],[Tipo]]="DROP"),BM151+TbTradesBinance[[#This Row],[Qtt]],BM151-TbTradesBinance[[#This Row],[Qtt]]),IF(TbTradesBinance[[#This Row],[Tipo]]="BUY",BM151-TbTradesBinance[[#This Row],[Qtt]]*TbTradesBinance[[#This Row],[Preço]],BM151+TbTradesBinance[[#This Row],[Qtt]]*TbTradesBinance[[#This Row],[Preço]])),BM151)-IF(TbTradesBinance[[#This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Row],[Tipo]]="DROP"),BM151+TbTradesBinance[[#This Row],[Qtt]],BM151-TbTradesBinance[[#This Row],[Qtt]]),IF(TbTradesBinance[[#This Row],[Tipo]]="BUY",BM151-TbTradesBinance[[#This Row],[Qtt]]*TbTradesBinance[[#This Row],[Preço]],BM151+TbTradesBinance[[#This Row],[Qtt]]*TbTradesBinance[[#This Row],[Preço]])),BM151)-IF(TbTradesBinance[[#This Row],[Moeda da Taxa]]=MID(BM$1,9,5),TbTradesBinance[[#This Row],[Taxa]],0),8)))</f>
        <v>0.33723384000000001</v>
      </c>
      <c r="BN152" s="145" cm="1">
        <f t="array" ref="BN152">IF(TbTradesBinance[[#This Row],[Tipo]]="EMPTY",0,BN151+IF(TbTradesBinance[[#This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Row],[Par]]))),$1:$1,0)),-(BM151-BM152)/BM151*BN151),0),0)+IF(TbTradesBinance[[#This Row],[Tipo]]="SELL",IF(ISNUMBER(FIND(MID(BN$1,10,5),TbTradesBinance[[#This Row],[Par]])),IF(FIND(MID(BN$1,10,5),TbTradesBinance[[#This Row],[Par]])=1, -(BM151-BM152)/BM151*BN151,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Row],[Par]])),(-(BM151-BM152)/BM151*BN151)+IF(TbTradesBinance[[#This Row],[Resultado]]&gt;0,0,TbTradesBinance[[#This Row],[Taxa]]),0),0))</f>
        <v>0</v>
      </c>
      <c r="BO152" s="145">
        <f t="shared" si="56"/>
        <v>0</v>
      </c>
    </row>
    <row r="153" spans="2:67" x14ac:dyDescent="0.3">
      <c r="B153" s="51" t="s">
        <v>107</v>
      </c>
      <c r="C153" s="40">
        <f>TRUNC(IF(AND(TbTradesBinance[[#This Row],[Tipo]]="SEND",TbTradesBinance[[#This Row],[Par]]="BRL"),TbTradesBinance[[#This Row],[Qtt]]*(1-P151)-IF(TbTradesBinance[[#This Row],[Moeda da Taxa]]="BRL",TbTradesBinance[[#This Row],[Taxa]],0),0)+IF(AND(TbTradesBinance[[#This Row],[Tipo]]="BURN",TbTradesBinance[[#This Row],[Par]]="BRL"),-TbTradesBinance[[#This Row],[Qtt]]*P151,0),2)</f>
        <v>0</v>
      </c>
      <c r="D153" s="53">
        <v>44301.445451388892</v>
      </c>
      <c r="E153" s="37" t="s">
        <v>269</v>
      </c>
      <c r="F153" s="47" t="s">
        <v>140</v>
      </c>
      <c r="G153" s="38">
        <v>9.787699999999999E-4</v>
      </c>
      <c r="H153" s="38">
        <v>0.16384729000000001</v>
      </c>
      <c r="I153" s="38">
        <v>3.2100000000000002E-6</v>
      </c>
      <c r="J153" s="37" t="s">
        <v>45</v>
      </c>
      <c r="K153" s="52">
        <v>3128</v>
      </c>
      <c r="L153" s="40">
        <f t="shared" si="38"/>
        <v>3.06</v>
      </c>
      <c r="M153" s="40">
        <f>IF(OR(TbTradesBinance[[#This Row],[Tipo]]="BUY",TbTradesBinance[[#This Row],[Tipo]]="RECEIVE",TbTradesBinance[[#This Row],[Tipo]]="DROP"),L153*H153,-L153*H153)</f>
        <v>-0.50137270740000006</v>
      </c>
      <c r="N15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Row],[Tipo]]="DROP"),N152+TbTradesBinance[[#This Row],[Qtt]],N152-TbTradesBinance[[#This Row],[Qtt]]),IF(TbTradesBinance[[#This Row],[Tipo]]="BUY",N152-TbTradesBinance[[#This Row],[Qtt]]*TbTradesBinance[[#This Row],[Preço]],N152+TbTradesBinance[[#This Row],[Qtt]]*TbTradesBinance[[#This Row],[Preço]])),N152)-IF(TbTradesBinance[[#This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Row],[Tipo]]="DROP"),N152+TbTradesBinance[[#This Row],[Qtt]],N152-TbTradesBinance[[#This Row],[Qtt]]),IF(TbTradesBinance[[#This Row],[Tipo]]="BUY",N152-TbTradesBinance[[#This Row],[Qtt]]*TbTradesBinance[[#This Row],[Preço]],N152+TbTradesBinance[[#This Row],[Qtt]]*TbTradesBinance[[#This Row],[Preço]])),N152)-IF(TbTradesBinance[[#This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Row],[Tipo]]="DROP"),N152+TbTradesBinance[[#This Row],[Qtt]],N152-TbTradesBinance[[#This Row],[Qtt]]),IF(TbTradesBinance[[#This Row],[Tipo]]="BUY",N152-TbTradesBinance[[#This Row],[Qtt]]*TbTradesBinance[[#This Row],[Preço]],N152+TbTradesBinance[[#This Row],[Qtt]]*TbTradesBinance[[#This Row],[Preço]])),N152)-IF(TbTradesBinance[[#This Row],[Moeda da Taxa]]=MID(N$1,9,5),TbTradesBinance[[#This Row],[Taxa]],0),8)))</f>
        <v>119974.66997418</v>
      </c>
      <c r="O153" s="145" cm="1">
        <f t="array" ref="O153">IF(TbTradesBinance[[#This Row],[Tipo]]="EMPTY",0,O152+IF(TbTradesBinance[[#This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Row],[Par]]))),$1:$1,0)),-(N152-N153)/N152*O152),0),0)+IF(TbTradesBinance[[#This Row],[Tipo]]="SELL",IF(ISNUMBER(FIND(MID(O$1,10,5),TbTradesBinance[[#This Row],[Par]])),IF(FIND(MID(O$1,10,5),TbTradesBinance[[#This Row],[Par]])=1, -(N152-N153)/N152*O152,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Row],[Par]])),(-(N152-N153)/N152*O152)+IF(TbTradesBinance[[#This Row],[Resultado]]&gt;0,0,TbTradesBinance[[#This Row],[Taxa]]),0),0))</f>
        <v>120029.90488709159</v>
      </c>
      <c r="P153" s="145">
        <f t="shared" si="39"/>
        <v>1.0004603881212883</v>
      </c>
      <c r="Q15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Row],[Tipo]]="DROP"),Q152+TbTradesBinance[[#This Row],[Qtt]],Q152-TbTradesBinance[[#This Row],[Qtt]]),IF(TbTradesBinance[[#This Row],[Tipo]]="BUY",Q152-TbTradesBinance[[#This Row],[Qtt]]*TbTradesBinance[[#This Row],[Preço]],Q152+TbTradesBinance[[#This Row],[Qtt]]*TbTradesBinance[[#This Row],[Preço]])),Q152)-IF(TbTradesBinance[[#This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Row],[Tipo]]="DROP"),Q152+TbTradesBinance[[#This Row],[Qtt]],Q152-TbTradesBinance[[#This Row],[Qtt]]),IF(TbTradesBinance[[#This Row],[Tipo]]="BUY",Q152-TbTradesBinance[[#This Row],[Qtt]]*TbTradesBinance[[#This Row],[Preço]],Q152+TbTradesBinance[[#This Row],[Qtt]]*TbTradesBinance[[#This Row],[Preço]])),Q152)-IF(TbTradesBinance[[#This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Row],[Tipo]]="DROP"),Q152+TbTradesBinance[[#This Row],[Qtt]],Q152-TbTradesBinance[[#This Row],[Qtt]]),IF(TbTradesBinance[[#This Row],[Tipo]]="BUY",Q152-TbTradesBinance[[#This Row],[Qtt]]*TbTradesBinance[[#This Row],[Preço]],Q152+TbTradesBinance[[#This Row],[Qtt]]*TbTradesBinance[[#This Row],[Preço]])),Q152)-IF(TbTradesBinance[[#This Row],[Moeda da Taxa]]=MID(Q$1,9,5),TbTradesBinance[[#This Row],[Taxa]],0),8)))</f>
        <v>25.356302700000001</v>
      </c>
      <c r="R153" s="145" cm="1">
        <f t="array" ref="R153">IF(TbTradesBinance[[#This Row],[Tipo]]="EMPTY",0,R152+IF(TbTradesBinance[[#This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Row],[Par]]))),$1:$1,0)),-(Q152-Q153)/Q152*R152),0),0)+IF(TbTradesBinance[[#This Row],[Tipo]]="SELL",IF(ISNUMBER(FIND(MID(R$1,10,5),TbTradesBinance[[#This Row],[Par]])),IF(FIND(MID(R$1,10,5),TbTradesBinance[[#This Row],[Par]])=1, -(Q152-Q153)/Q152*R152,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Row],[Par]])),(-(Q152-Q153)/Q152*R152)+IF(TbTradesBinance[[#This Row],[Resultado]]&gt;0,0,TbTradesBinance[[#This Row],[Taxa]]),0),0))</f>
        <v>120.8257969142021</v>
      </c>
      <c r="S153" s="145">
        <f t="shared" si="40"/>
        <v>4.7651188875498836</v>
      </c>
      <c r="T15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Row],[Tipo]]="DROP"),T152+TbTradesBinance[[#This Row],[Qtt]],T152-TbTradesBinance[[#This Row],[Qtt]]),IF(TbTradesBinance[[#This Row],[Tipo]]="BUY",T152-TbTradesBinance[[#This Row],[Qtt]]*TbTradesBinance[[#This Row],[Preço]],T152+TbTradesBinance[[#This Row],[Qtt]]*TbTradesBinance[[#This Row],[Preço]])),T152)-IF(TbTradesBinance[[#This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Row],[Tipo]]="DROP"),T152+TbTradesBinance[[#This Row],[Qtt]],T152-TbTradesBinance[[#This Row],[Qtt]]),IF(TbTradesBinance[[#This Row],[Tipo]]="BUY",T152-TbTradesBinance[[#This Row],[Qtt]]*TbTradesBinance[[#This Row],[Preço]],T152+TbTradesBinance[[#This Row],[Qtt]]*TbTradesBinance[[#This Row],[Preço]])),T152)-IF(TbTradesBinance[[#This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Row],[Tipo]]="DROP"),T152+TbTradesBinance[[#This Row],[Qtt]],T152-TbTradesBinance[[#This Row],[Qtt]]),IF(TbTradesBinance[[#This Row],[Tipo]]="BUY",T152-TbTradesBinance[[#This Row],[Qtt]]*TbTradesBinance[[#This Row],[Preço]],T152+TbTradesBinance[[#This Row],[Qtt]]*TbTradesBinance[[#This Row],[Preço]])),T152)-IF(TbTradesBinance[[#This Row],[Moeda da Taxa]]=MID(T$1,9,5),TbTradesBinance[[#This Row],[Taxa]],0),8)))</f>
        <v>219713.72000189999</v>
      </c>
      <c r="U153" s="145" cm="1">
        <f t="array" ref="U153">IF(TbTradesBinance[[#This Row],[Tipo]]="EMPTY",0,U152+IF(TbTradesBinance[[#This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Row],[Par]]))),$1:$1,0)),-(T152-T153)/T152*U152),0),0)+IF(TbTradesBinance[[#This Row],[Tipo]]="SELL",IF(ISNUMBER(FIND(MID(U$1,10,5),TbTradesBinance[[#This Row],[Par]])),IF(FIND(MID(U$1,10,5),TbTradesBinance[[#This Row],[Par]])=1, -(T152-T153)/T152*U152,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Row],[Par]])),(-(T152-T153)/T152*U152)+IF(TbTradesBinance[[#This Row],[Resultado]]&gt;0,0,TbTradesBinance[[#This Row],[Taxa]]),0),0))</f>
        <v>1461096.2409827893</v>
      </c>
      <c r="V153" s="145">
        <f t="shared" si="41"/>
        <v>6.6500000135182926</v>
      </c>
      <c r="W15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Row],[Tipo]]="DROP"),W152+TbTradesBinance[[#This Row],[Qtt]],W152-TbTradesBinance[[#This Row],[Qtt]]),IF(TbTradesBinance[[#This Row],[Tipo]]="BUY",W152-TbTradesBinance[[#This Row],[Qtt]]*TbTradesBinance[[#This Row],[Preço]],W152+TbTradesBinance[[#This Row],[Qtt]]*TbTradesBinance[[#This Row],[Preço]])),W152)-IF(TbTradesBinance[[#This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Row],[Tipo]]="DROP"),W152+TbTradesBinance[[#This Row],[Qtt]],W152-TbTradesBinance[[#This Row],[Qtt]]),IF(TbTradesBinance[[#This Row],[Tipo]]="BUY",W152-TbTradesBinance[[#This Row],[Qtt]]*TbTradesBinance[[#This Row],[Preço]],W152+TbTradesBinance[[#This Row],[Qtt]]*TbTradesBinance[[#This Row],[Preço]])),W152)-IF(TbTradesBinance[[#This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Row],[Tipo]]="DROP"),W152+TbTradesBinance[[#This Row],[Qtt]],W152-TbTradesBinance[[#This Row],[Qtt]]),IF(TbTradesBinance[[#This Row],[Tipo]]="BUY",W152-TbTradesBinance[[#This Row],[Qtt]]*TbTradesBinance[[#This Row],[Preço]],W152+TbTradesBinance[[#This Row],[Qtt]]*TbTradesBinance[[#This Row],[Preço]])),W152)-IF(TbTradesBinance[[#This Row],[Moeda da Taxa]]=MID(W$1,9,5),TbTradesBinance[[#This Row],[Taxa]],0),8)))</f>
        <v>1.6436000000000001E-4</v>
      </c>
      <c r="X153" s="145" cm="1">
        <f t="array" ref="X153">IF(TbTradesBinance[[#This Row],[Tipo]]="EMPTY",0,X152+IF(TbTradesBinance[[#This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Row],[Par]]))),$1:$1,0)),-(W152-W153)/W152*X152),0),0)+IF(TbTradesBinance[[#This Row],[Tipo]]="SELL",IF(ISNUMBER(FIND(MID(X$1,10,5),TbTradesBinance[[#This Row],[Par]])),IF(FIND(MID(X$1,10,5),TbTradesBinance[[#This Row],[Par]])=1, -(W152-W153)/W152*X152,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Row],[Par]])),(-(W152-W153)/W152*X152)+IF(TbTradesBinance[[#This Row],[Resultado]]&gt;0,0,TbTradesBinance[[#This Row],[Taxa]]),0),0))</f>
        <v>55.654279137915474</v>
      </c>
      <c r="Y153" s="145">
        <f t="shared" si="42"/>
        <v>338612.06581841974</v>
      </c>
      <c r="Z15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Row],[Tipo]]="DROP"),Z152+TbTradesBinance[[#This Row],[Qtt]],Z152-TbTradesBinance[[#This Row],[Qtt]]),IF(TbTradesBinance[[#This Row],[Tipo]]="BUY",Z152-TbTradesBinance[[#This Row],[Qtt]]*TbTradesBinance[[#This Row],[Preço]],Z152+TbTradesBinance[[#This Row],[Qtt]]*TbTradesBinance[[#This Row],[Preço]])),Z152)-IF(TbTradesBinance[[#This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Row],[Tipo]]="DROP"),Z152+TbTradesBinance[[#This Row],[Qtt]],Z152-TbTradesBinance[[#This Row],[Qtt]]),IF(TbTradesBinance[[#This Row],[Tipo]]="BUY",Z152-TbTradesBinance[[#This Row],[Qtt]]*TbTradesBinance[[#This Row],[Preço]],Z152+TbTradesBinance[[#This Row],[Qtt]]*TbTradesBinance[[#This Row],[Preço]])),Z152)-IF(TbTradesBinance[[#This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Row],[Tipo]]="DROP"),Z152+TbTradesBinance[[#This Row],[Qtt]],Z152-TbTradesBinance[[#This Row],[Qtt]]),IF(TbTradesBinance[[#This Row],[Tipo]]="BUY",Z152-TbTradesBinance[[#This Row],[Qtt]]*TbTradesBinance[[#This Row],[Preço]],Z152+TbTradesBinance[[#This Row],[Qtt]]*TbTradesBinance[[#This Row],[Preço]])),Z152)-IF(TbTradesBinance[[#This Row],[Moeda da Taxa]]=MID(Z$1,9,5),TbTradesBinance[[#This Row],[Taxa]],0),8)))</f>
        <v>0</v>
      </c>
      <c r="AA153" s="145" cm="1">
        <f t="array" ref="AA153">IF(TbTradesBinance[[#This Row],[Tipo]]="EMPTY",0,AA152+IF(TbTradesBinance[[#This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Row],[Par]]))),$1:$1,0)),-(Z152-Z153)/Z152*AA152),0),0)+IF(TbTradesBinance[[#This Row],[Tipo]]="SELL",IF(ISNUMBER(FIND(MID(AA$1,10,5),TbTradesBinance[[#This Row],[Par]])),IF(FIND(MID(AA$1,10,5),TbTradesBinance[[#This Row],[Par]])=1, -(Z152-Z153)/Z152*AA152,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Row],[Par]])),(-(Z152-Z153)/Z152*AA152)+IF(TbTradesBinance[[#This Row],[Resultado]]&gt;0,0,TbTradesBinance[[#This Row],[Taxa]]),0),0))</f>
        <v>0</v>
      </c>
      <c r="AB153" s="145">
        <f t="shared" si="43"/>
        <v>0</v>
      </c>
      <c r="AC15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Row],[Tipo]]="DROP"),AC152+TbTradesBinance[[#This Row],[Qtt]],AC152-TbTradesBinance[[#This Row],[Qtt]]),IF(TbTradesBinance[[#This Row],[Tipo]]="BUY",AC152-TbTradesBinance[[#This Row],[Qtt]]*TbTradesBinance[[#This Row],[Preço]],AC152+TbTradesBinance[[#This Row],[Qtt]]*TbTradesBinance[[#This Row],[Preço]])),AC152)-IF(TbTradesBinance[[#This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Row],[Tipo]]="DROP"),AC152+TbTradesBinance[[#This Row],[Qtt]],AC152-TbTradesBinance[[#This Row],[Qtt]]),IF(TbTradesBinance[[#This Row],[Tipo]]="BUY",AC152-TbTradesBinance[[#This Row],[Qtt]]*TbTradesBinance[[#This Row],[Preço]],AC152+TbTradesBinance[[#This Row],[Qtt]]*TbTradesBinance[[#This Row],[Preço]])),AC152)-IF(TbTradesBinance[[#This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Row],[Tipo]]="DROP"),AC152+TbTradesBinance[[#This Row],[Qtt]],AC152-TbTradesBinance[[#This Row],[Qtt]]),IF(TbTradesBinance[[#This Row],[Tipo]]="BUY",AC152-TbTradesBinance[[#This Row],[Qtt]]*TbTradesBinance[[#This Row],[Preço]],AC152+TbTradesBinance[[#This Row],[Qtt]]*TbTradesBinance[[#This Row],[Preço]])),AC152)-IF(TbTradesBinance[[#This Row],[Moeda da Taxa]]=MID(AC$1,9,5),TbTradesBinance[[#This Row],[Taxa]],0),8)))</f>
        <v>0</v>
      </c>
      <c r="AD153" s="145" cm="1">
        <f t="array" ref="AD153">IF(TbTradesBinance[[#This Row],[Tipo]]="EMPTY",0,AD152+IF(TbTradesBinance[[#This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Row],[Par]]))),$1:$1,0)),-(AC152-AC153)/AC152*AD152),0),0)+IF(TbTradesBinance[[#This Row],[Tipo]]="SELL",IF(ISNUMBER(FIND(MID(AD$1,10,5),TbTradesBinance[[#This Row],[Par]])),IF(FIND(MID(AD$1,10,5),TbTradesBinance[[#This Row],[Par]])=1, -(AC152-AC153)/AC152*AD152,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Row],[Par]])),(-(AC152-AC153)/AC152*AD152)+IF(TbTradesBinance[[#This Row],[Resultado]]&gt;0,0,TbTradesBinance[[#This Row],[Taxa]]),0),0))</f>
        <v>0</v>
      </c>
      <c r="AE153" s="145">
        <f t="shared" si="44"/>
        <v>0</v>
      </c>
      <c r="AF15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Row],[Tipo]]="DROP"),AF152+TbTradesBinance[[#This Row],[Qtt]],AF152-TbTradesBinance[[#This Row],[Qtt]]),IF(TbTradesBinance[[#This Row],[Tipo]]="BUY",AF152-TbTradesBinance[[#This Row],[Qtt]]*TbTradesBinance[[#This Row],[Preço]],AF152+TbTradesBinance[[#This Row],[Qtt]]*TbTradesBinance[[#This Row],[Preço]])),AF152)-IF(TbTradesBinance[[#This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Row],[Tipo]]="DROP"),AF152+TbTradesBinance[[#This Row],[Qtt]],AF152-TbTradesBinance[[#This Row],[Qtt]]),IF(TbTradesBinance[[#This Row],[Tipo]]="BUY",AF152-TbTradesBinance[[#This Row],[Qtt]]*TbTradesBinance[[#This Row],[Preço]],AF152+TbTradesBinance[[#This Row],[Qtt]]*TbTradesBinance[[#This Row],[Preço]])),AF152)-IF(TbTradesBinance[[#This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Row],[Tipo]]="DROP"),AF152+TbTradesBinance[[#This Row],[Qtt]],AF152-TbTradesBinance[[#This Row],[Qtt]]),IF(TbTradesBinance[[#This Row],[Tipo]]="BUY",AF152-TbTradesBinance[[#This Row],[Qtt]]*TbTradesBinance[[#This Row],[Preço]],AF152+TbTradesBinance[[#This Row],[Qtt]]*TbTradesBinance[[#This Row],[Preço]])),AF152)-IF(TbTradesBinance[[#This Row],[Moeda da Taxa]]=MID(AF$1,9,5),TbTradesBinance[[#This Row],[Taxa]],0),8)))</f>
        <v>0</v>
      </c>
      <c r="AG153" s="145" cm="1">
        <f t="array" ref="AG153">IF(TbTradesBinance[[#This Row],[Tipo]]="EMPTY",0,AG152+IF(TbTradesBinance[[#This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Row],[Par]]))),$1:$1,0)),-(AF152-AF153)/AF152*AG152),0),0)+IF(TbTradesBinance[[#This Row],[Tipo]]="SELL",IF(ISNUMBER(FIND(MID(AG$1,10,5),TbTradesBinance[[#This Row],[Par]])),IF(FIND(MID(AG$1,10,5),TbTradesBinance[[#This Row],[Par]])=1, -(AF152-AF153)/AF152*AG152,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Row],[Par]])),(-(AF152-AF153)/AF152*AG152)+IF(TbTradesBinance[[#This Row],[Resultado]]&gt;0,0,TbTradesBinance[[#This Row],[Taxa]]),0),0))</f>
        <v>0</v>
      </c>
      <c r="AH153" s="145">
        <f t="shared" si="45"/>
        <v>0</v>
      </c>
      <c r="AI15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Row],[Tipo]]="DROP"),AI152+TbTradesBinance[[#This Row],[Qtt]],AI152-TbTradesBinance[[#This Row],[Qtt]]),IF(TbTradesBinance[[#This Row],[Tipo]]="BUY",AI152-TbTradesBinance[[#This Row],[Qtt]]*TbTradesBinance[[#This Row],[Preço]],AI152+TbTradesBinance[[#This Row],[Qtt]]*TbTradesBinance[[#This Row],[Preço]])),AI152)-IF(TbTradesBinance[[#This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Row],[Tipo]]="DROP"),AI152+TbTradesBinance[[#This Row],[Qtt]],AI152-TbTradesBinance[[#This Row],[Qtt]]),IF(TbTradesBinance[[#This Row],[Tipo]]="BUY",AI152-TbTradesBinance[[#This Row],[Qtt]]*TbTradesBinance[[#This Row],[Preço]],AI152+TbTradesBinance[[#This Row],[Qtt]]*TbTradesBinance[[#This Row],[Preço]])),AI152)-IF(TbTradesBinance[[#This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Row],[Tipo]]="DROP"),AI152+TbTradesBinance[[#This Row],[Qtt]],AI152-TbTradesBinance[[#This Row],[Qtt]]),IF(TbTradesBinance[[#This Row],[Tipo]]="BUY",AI152-TbTradesBinance[[#This Row],[Qtt]]*TbTradesBinance[[#This Row],[Preço]],AI152+TbTradesBinance[[#This Row],[Qtt]]*TbTradesBinance[[#This Row],[Preço]])),AI152)-IF(TbTradesBinance[[#This Row],[Moeda da Taxa]]=MID(AI$1,9,5),TbTradesBinance[[#This Row],[Taxa]],0),8)))</f>
        <v>0</v>
      </c>
      <c r="AJ153" s="145" cm="1">
        <f t="array" ref="AJ153">IF(TbTradesBinance[[#This Row],[Tipo]]="EMPTY",0,AJ152+IF(TbTradesBinance[[#This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Row],[Par]]))),$1:$1,0)),-(AI152-AI153)/AI152*AJ152),0),0)+IF(TbTradesBinance[[#This Row],[Tipo]]="SELL",IF(ISNUMBER(FIND(MID(AJ$1,10,5),TbTradesBinance[[#This Row],[Par]])),IF(FIND(MID(AJ$1,10,5),TbTradesBinance[[#This Row],[Par]])=1, -(AI152-AI153)/AI152*AJ152,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Row],[Par]])),(-(AI152-AI153)/AI152*AJ152)+IF(TbTradesBinance[[#This Row],[Resultado]]&gt;0,0,TbTradesBinance[[#This Row],[Taxa]]),0),0))</f>
        <v>0</v>
      </c>
      <c r="AK153" s="145">
        <f t="shared" si="46"/>
        <v>0</v>
      </c>
      <c r="AL15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Row],[Tipo]]="DROP"),AL152+TbTradesBinance[[#This Row],[Qtt]],AL152-TbTradesBinance[[#This Row],[Qtt]]),IF(TbTradesBinance[[#This Row],[Tipo]]="BUY",AL152-TbTradesBinance[[#This Row],[Qtt]]*TbTradesBinance[[#This Row],[Preço]],AL152+TbTradesBinance[[#This Row],[Qtt]]*TbTradesBinance[[#This Row],[Preço]])),AL152)-IF(TbTradesBinance[[#This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Row],[Tipo]]="DROP"),AL152+TbTradesBinance[[#This Row],[Qtt]],AL152-TbTradesBinance[[#This Row],[Qtt]]),IF(TbTradesBinance[[#This Row],[Tipo]]="BUY",AL152-TbTradesBinance[[#This Row],[Qtt]]*TbTradesBinance[[#This Row],[Preço]],AL152+TbTradesBinance[[#This Row],[Qtt]]*TbTradesBinance[[#This Row],[Preço]])),AL152)-IF(TbTradesBinance[[#This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Row],[Tipo]]="DROP"),AL152+TbTradesBinance[[#This Row],[Qtt]],AL152-TbTradesBinance[[#This Row],[Qtt]]),IF(TbTradesBinance[[#This Row],[Tipo]]="BUY",AL152-TbTradesBinance[[#This Row],[Qtt]]*TbTradesBinance[[#This Row],[Preço]],AL152+TbTradesBinance[[#This Row],[Qtt]]*TbTradesBinance[[#This Row],[Preço]])),AL152)-IF(TbTradesBinance[[#This Row],[Moeda da Taxa]]=MID(AL$1,9,5),TbTradesBinance[[#This Row],[Taxa]],0),8)))</f>
        <v>0</v>
      </c>
      <c r="AM153" s="145" cm="1">
        <f t="array" ref="AM153">IF(TbTradesBinance[[#This Row],[Tipo]]="EMPTY",0,AM152+IF(TbTradesBinance[[#This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Row],[Par]]))),$1:$1,0)),-(AL152-AL153)/AL152*AM152),0),0)+IF(TbTradesBinance[[#This Row],[Tipo]]="SELL",IF(ISNUMBER(FIND(MID(AM$1,10,5),TbTradesBinance[[#This Row],[Par]])),IF(FIND(MID(AM$1,10,5),TbTradesBinance[[#This Row],[Par]])=1, -(AL152-AL153)/AL152*AM152,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Row],[Par]])),(-(AL152-AL153)/AL152*AM152)+IF(TbTradesBinance[[#This Row],[Resultado]]&gt;0,0,TbTradesBinance[[#This Row],[Taxa]]),0),0))</f>
        <v>0</v>
      </c>
      <c r="AN153" s="145">
        <f t="shared" si="47"/>
        <v>0</v>
      </c>
      <c r="AO15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Row],[Tipo]]="DROP"),AO152+TbTradesBinance[[#This Row],[Qtt]],AO152-TbTradesBinance[[#This Row],[Qtt]]),IF(TbTradesBinance[[#This Row],[Tipo]]="BUY",AO152-TbTradesBinance[[#This Row],[Qtt]]*TbTradesBinance[[#This Row],[Preço]],AO152+TbTradesBinance[[#This Row],[Qtt]]*TbTradesBinance[[#This Row],[Preço]])),AO152)-IF(TbTradesBinance[[#This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Row],[Tipo]]="DROP"),AO152+TbTradesBinance[[#This Row],[Qtt]],AO152-TbTradesBinance[[#This Row],[Qtt]]),IF(TbTradesBinance[[#This Row],[Tipo]]="BUY",AO152-TbTradesBinance[[#This Row],[Qtt]]*TbTradesBinance[[#This Row],[Preço]],AO152+TbTradesBinance[[#This Row],[Qtt]]*TbTradesBinance[[#This Row],[Preço]])),AO152)-IF(TbTradesBinance[[#This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Row],[Tipo]]="DROP"),AO152+TbTradesBinance[[#This Row],[Qtt]],AO152-TbTradesBinance[[#This Row],[Qtt]]),IF(TbTradesBinance[[#This Row],[Tipo]]="BUY",AO152-TbTradesBinance[[#This Row],[Qtt]]*TbTradesBinance[[#This Row],[Preço]],AO152+TbTradesBinance[[#This Row],[Qtt]]*TbTradesBinance[[#This Row],[Preço]])),AO152)-IF(TbTradesBinance[[#This Row],[Moeda da Taxa]]=MID(AO$1,9,5),TbTradesBinance[[#This Row],[Taxa]],0),8)))</f>
        <v>3.7367499999999998E-2</v>
      </c>
      <c r="AP153" s="145" cm="1">
        <f t="array" ref="AP153">IF(TbTradesBinance[[#This Row],[Tipo]]="EMPTY",0,AP152+IF(TbTradesBinance[[#This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Row],[Par]]))),$1:$1,0)),-(AO152-AO153)/AO152*AP152),0),0)+IF(TbTradesBinance[[#This Row],[Tipo]]="SELL",IF(ISNUMBER(FIND(MID(AP$1,10,5),TbTradesBinance[[#This Row],[Par]])),IF(FIND(MID(AP$1,10,5),TbTradesBinance[[#This Row],[Par]])=1, -(AO152-AO153)/AO152*AP152,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Row],[Par]])),(-(AO152-AO153)/AO152*AP152)+IF(TbTradesBinance[[#This Row],[Resultado]]&gt;0,0,TbTradesBinance[[#This Row],[Taxa]]),0),0))</f>
        <v>57.065298020032813</v>
      </c>
      <c r="AQ153" s="145">
        <f t="shared" si="48"/>
        <v>1527.137165184527</v>
      </c>
      <c r="AR15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Row],[Tipo]]="DROP"),AR152+TbTradesBinance[[#This Row],[Qtt]],AR152-TbTradesBinance[[#This Row],[Qtt]]),IF(TbTradesBinance[[#This Row],[Tipo]]="BUY",AR152-TbTradesBinance[[#This Row],[Qtt]]*TbTradesBinance[[#This Row],[Preço]],AR152+TbTradesBinance[[#This Row],[Qtt]]*TbTradesBinance[[#This Row],[Preço]])),AR152)-IF(TbTradesBinance[[#This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Row],[Tipo]]="DROP"),AR152+TbTradesBinance[[#This Row],[Qtt]],AR152-TbTradesBinance[[#This Row],[Qtt]]),IF(TbTradesBinance[[#This Row],[Tipo]]="BUY",AR152-TbTradesBinance[[#This Row],[Qtt]]*TbTradesBinance[[#This Row],[Preço]],AR152+TbTradesBinance[[#This Row],[Qtt]]*TbTradesBinance[[#This Row],[Preço]])),AR152)-IF(TbTradesBinance[[#This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Row],[Tipo]]="DROP"),AR152+TbTradesBinance[[#This Row],[Qtt]],AR152-TbTradesBinance[[#This Row],[Qtt]]),IF(TbTradesBinance[[#This Row],[Tipo]]="BUY",AR152-TbTradesBinance[[#This Row],[Qtt]]*TbTradesBinance[[#This Row],[Preço]],AR152+TbTradesBinance[[#This Row],[Qtt]]*TbTradesBinance[[#This Row],[Preço]])),AR152)-IF(TbTradesBinance[[#This Row],[Moeda da Taxa]]=MID(AR$1,9,5),TbTradesBinance[[#This Row],[Taxa]],0),8)))</f>
        <v>0</v>
      </c>
      <c r="AS153" s="145" cm="1">
        <f t="array" ref="AS153">IF(TbTradesBinance[[#This Row],[Tipo]]="EMPTY",0,AS152+IF(TbTradesBinance[[#This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Row],[Par]]))),$1:$1,0)),-(AR152-AR153)/AR152*AS152),0),0)+IF(TbTradesBinance[[#This Row],[Tipo]]="SELL",IF(ISNUMBER(FIND(MID(AS$1,10,5),TbTradesBinance[[#This Row],[Par]])),IF(FIND(MID(AS$1,10,5),TbTradesBinance[[#This Row],[Par]])=1, -(AR152-AR153)/AR152*AS152,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Row],[Par]])),(-(AR152-AR153)/AR152*AS152)+IF(TbTradesBinance[[#This Row],[Resultado]]&gt;0,0,TbTradesBinance[[#This Row],[Taxa]]),0),0))</f>
        <v>0</v>
      </c>
      <c r="AT153" s="145">
        <f t="shared" si="49"/>
        <v>0</v>
      </c>
      <c r="AU15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Row],[Tipo]]="DROP"),AU152+TbTradesBinance[[#This Row],[Qtt]],AU152-TbTradesBinance[[#This Row],[Qtt]]),IF(TbTradesBinance[[#This Row],[Tipo]]="BUY",AU152-TbTradesBinance[[#This Row],[Qtt]]*TbTradesBinance[[#This Row],[Preço]],AU152+TbTradesBinance[[#This Row],[Qtt]]*TbTradesBinance[[#This Row],[Preço]])),AU152)-IF(TbTradesBinance[[#This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Row],[Tipo]]="DROP"),AU152+TbTradesBinance[[#This Row],[Qtt]],AU152-TbTradesBinance[[#This Row],[Qtt]]),IF(TbTradesBinance[[#This Row],[Tipo]]="BUY",AU152-TbTradesBinance[[#This Row],[Qtt]]*TbTradesBinance[[#This Row],[Preço]],AU152+TbTradesBinance[[#This Row],[Qtt]]*TbTradesBinance[[#This Row],[Preço]])),AU152)-IF(TbTradesBinance[[#This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Row],[Tipo]]="DROP"),AU152+TbTradesBinance[[#This Row],[Qtt]],AU152-TbTradesBinance[[#This Row],[Qtt]]),IF(TbTradesBinance[[#This Row],[Tipo]]="BUY",AU152-TbTradesBinance[[#This Row],[Qtt]]*TbTradesBinance[[#This Row],[Preço]],AU152+TbTradesBinance[[#This Row],[Qtt]]*TbTradesBinance[[#This Row],[Preço]])),AU152)-IF(TbTradesBinance[[#This Row],[Moeda da Taxa]]=MID(AU$1,9,5),TbTradesBinance[[#This Row],[Taxa]],0),8)))</f>
        <v>0</v>
      </c>
      <c r="AV153" s="145" cm="1">
        <f t="array" ref="AV153">IF(TbTradesBinance[[#This Row],[Tipo]]="EMPTY",0,AV152+IF(TbTradesBinance[[#This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Row],[Par]]))),$1:$1,0)),-(AU152-AU153)/AU152*AV152),0),0)+IF(TbTradesBinance[[#This Row],[Tipo]]="SELL",IF(ISNUMBER(FIND(MID(AV$1,10,5),TbTradesBinance[[#This Row],[Par]])),IF(FIND(MID(AV$1,10,5),TbTradesBinance[[#This Row],[Par]])=1, -(AU152-AU153)/AU152*AV152,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Row],[Par]])),(-(AU152-AU153)/AU152*AV152)+IF(TbTradesBinance[[#This Row],[Resultado]]&gt;0,0,TbTradesBinance[[#This Row],[Taxa]]),0),0))</f>
        <v>0</v>
      </c>
      <c r="AW153" s="145">
        <f t="shared" si="50"/>
        <v>0</v>
      </c>
      <c r="AX15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Row],[Tipo]]="DROP"),AX152+TbTradesBinance[[#This Row],[Qtt]],AX152-TbTradesBinance[[#This Row],[Qtt]]),IF(TbTradesBinance[[#This Row],[Tipo]]="BUY",AX152-TbTradesBinance[[#This Row],[Qtt]]*TbTradesBinance[[#This Row],[Preço]],AX152+TbTradesBinance[[#This Row],[Qtt]]*TbTradesBinance[[#This Row],[Preço]])),AX152)-IF(TbTradesBinance[[#This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Row],[Tipo]]="DROP"),AX152+TbTradesBinance[[#This Row],[Qtt]],AX152-TbTradesBinance[[#This Row],[Qtt]]),IF(TbTradesBinance[[#This Row],[Tipo]]="BUY",AX152-TbTradesBinance[[#This Row],[Qtt]]*TbTradesBinance[[#This Row],[Preço]],AX152+TbTradesBinance[[#This Row],[Qtt]]*TbTradesBinance[[#This Row],[Preço]])),AX152)-IF(TbTradesBinance[[#This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Row],[Tipo]]="DROP"),AX152+TbTradesBinance[[#This Row],[Qtt]],AX152-TbTradesBinance[[#This Row],[Qtt]]),IF(TbTradesBinance[[#This Row],[Tipo]]="BUY",AX152-TbTradesBinance[[#This Row],[Qtt]]*TbTradesBinance[[#This Row],[Preço]],AX152+TbTradesBinance[[#This Row],[Qtt]]*TbTradesBinance[[#This Row],[Preço]])),AX152)-IF(TbTradesBinance[[#This Row],[Moeda da Taxa]]=MID(AX$1,9,5),TbTradesBinance[[#This Row],[Taxa]],0),8)))</f>
        <v>0</v>
      </c>
      <c r="AY153" s="145" cm="1">
        <f t="array" ref="AY153">IF(TbTradesBinance[[#This Row],[Tipo]]="EMPTY",0,AY152+IF(TbTradesBinance[[#This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Row],[Par]]))),$1:$1,0)),-(AX152-AX153)/AX152*AY152),0),0)+IF(TbTradesBinance[[#This Row],[Tipo]]="SELL",IF(ISNUMBER(FIND(MID(AY$1,10,5),TbTradesBinance[[#This Row],[Par]])),IF(FIND(MID(AY$1,10,5),TbTradesBinance[[#This Row],[Par]])=1, -(AX152-AX153)/AX152*AY152,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Row],[Par]])),(-(AX152-AX153)/AX152*AY152)+IF(TbTradesBinance[[#This Row],[Resultado]]&gt;0,0,TbTradesBinance[[#This Row],[Taxa]]),0),0))</f>
        <v>0</v>
      </c>
      <c r="AZ153" s="145">
        <f t="shared" si="51"/>
        <v>0</v>
      </c>
      <c r="BA15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Row],[Tipo]]="DROP"),BA152+TbTradesBinance[[#This Row],[Qtt]],BA152-TbTradesBinance[[#This Row],[Qtt]]),IF(TbTradesBinance[[#This Row],[Tipo]]="BUY",BA152-TbTradesBinance[[#This Row],[Qtt]]*TbTradesBinance[[#This Row],[Preço]],BA152+TbTradesBinance[[#This Row],[Qtt]]*TbTradesBinance[[#This Row],[Preço]])),BA152)-IF(TbTradesBinance[[#This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Row],[Tipo]]="DROP"),BA152+TbTradesBinance[[#This Row],[Qtt]],BA152-TbTradesBinance[[#This Row],[Qtt]]),IF(TbTradesBinance[[#This Row],[Tipo]]="BUY",BA152-TbTradesBinance[[#This Row],[Qtt]]*TbTradesBinance[[#This Row],[Preço]],BA152+TbTradesBinance[[#This Row],[Qtt]]*TbTradesBinance[[#This Row],[Preço]])),BA152)-IF(TbTradesBinance[[#This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Row],[Tipo]]="DROP"),BA152+TbTradesBinance[[#This Row],[Qtt]],BA152-TbTradesBinance[[#This Row],[Qtt]]),IF(TbTradesBinance[[#This Row],[Tipo]]="BUY",BA152-TbTradesBinance[[#This Row],[Qtt]]*TbTradesBinance[[#This Row],[Preço]],BA152+TbTradesBinance[[#This Row],[Qtt]]*TbTradesBinance[[#This Row],[Preço]])),BA152)-IF(TbTradesBinance[[#This Row],[Moeda da Taxa]]=MID(BA$1,9,5),TbTradesBinance[[#This Row],[Taxa]],0),8)))</f>
        <v>0</v>
      </c>
      <c r="BB153" s="145" cm="1">
        <f t="array" ref="BB153">IF(TbTradesBinance[[#This Row],[Tipo]]="EMPTY",0,BB152+IF(TbTradesBinance[[#This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Row],[Par]]))),$1:$1,0)),-(BA152-BA153)/BA152*BB152),0),0)+IF(TbTradesBinance[[#This Row],[Tipo]]="SELL",IF(ISNUMBER(FIND(MID(BB$1,10,5),TbTradesBinance[[#This Row],[Par]])),IF(FIND(MID(BB$1,10,5),TbTradesBinance[[#This Row],[Par]])=1, -(BA152-BA153)/BA152*BB152,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Row],[Par]])),(-(BA152-BA153)/BA152*BB152)+IF(TbTradesBinance[[#This Row],[Resultado]]&gt;0,0,TbTradesBinance[[#This Row],[Taxa]]),0),0))</f>
        <v>0</v>
      </c>
      <c r="BC153" s="145">
        <f t="shared" si="52"/>
        <v>0</v>
      </c>
      <c r="BD15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Row],[Tipo]]="DROP"),BD152+TbTradesBinance[[#This Row],[Qtt]],BD152-TbTradesBinance[[#This Row],[Qtt]]),IF(TbTradesBinance[[#This Row],[Tipo]]="BUY",BD152-TbTradesBinance[[#This Row],[Qtt]]*TbTradesBinance[[#This Row],[Preço]],BD152+TbTradesBinance[[#This Row],[Qtt]]*TbTradesBinance[[#This Row],[Preço]])),BD152)-IF(TbTradesBinance[[#This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Row],[Tipo]]="DROP"),BD152+TbTradesBinance[[#This Row],[Qtt]],BD152-TbTradesBinance[[#This Row],[Qtt]]),IF(TbTradesBinance[[#This Row],[Tipo]]="BUY",BD152-TbTradesBinance[[#This Row],[Qtt]]*TbTradesBinance[[#This Row],[Preço]],BD152+TbTradesBinance[[#This Row],[Qtt]]*TbTradesBinance[[#This Row],[Preço]])),BD152)-IF(TbTradesBinance[[#This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Row],[Tipo]]="DROP"),BD152+TbTradesBinance[[#This Row],[Qtt]],BD152-TbTradesBinance[[#This Row],[Qtt]]),IF(TbTradesBinance[[#This Row],[Tipo]]="BUY",BD152-TbTradesBinance[[#This Row],[Qtt]]*TbTradesBinance[[#This Row],[Preço]],BD152+TbTradesBinance[[#This Row],[Qtt]]*TbTradesBinance[[#This Row],[Preço]])),BD152)-IF(TbTradesBinance[[#This Row],[Moeda da Taxa]]=MID(BD$1,9,5),TbTradesBinance[[#This Row],[Taxa]],0),8)))</f>
        <v>0</v>
      </c>
      <c r="BE153" s="145" cm="1">
        <f t="array" ref="BE153">IF(TbTradesBinance[[#This Row],[Tipo]]="EMPTY",0,BE152+IF(TbTradesBinance[[#This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Row],[Par]]))),$1:$1,0)),-(BD152-BD153)/BD152*BE152),0),0)+IF(TbTradesBinance[[#This Row],[Tipo]]="SELL",IF(ISNUMBER(FIND(MID(BE$1,10,5),TbTradesBinance[[#This Row],[Par]])),IF(FIND(MID(BE$1,10,5),TbTradesBinance[[#This Row],[Par]])=1, -(BD152-BD153)/BD152*BE152,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Row],[Par]])),(-(BD152-BD153)/BD152*BE152)+IF(TbTradesBinance[[#This Row],[Resultado]]&gt;0,0,TbTradesBinance[[#This Row],[Taxa]]),0),0))</f>
        <v>0</v>
      </c>
      <c r="BF153" s="145">
        <f t="shared" si="53"/>
        <v>0</v>
      </c>
      <c r="BG15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Row],[Tipo]]="DROP"),BG152+TbTradesBinance[[#This Row],[Qtt]],BG152-TbTradesBinance[[#This Row],[Qtt]]),IF(TbTradesBinance[[#This Row],[Tipo]]="BUY",BG152-TbTradesBinance[[#This Row],[Qtt]]*TbTradesBinance[[#This Row],[Preço]],BG152+TbTradesBinance[[#This Row],[Qtt]]*TbTradesBinance[[#This Row],[Preço]])),BG152)-IF(TbTradesBinance[[#This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Row],[Tipo]]="DROP"),BG152+TbTradesBinance[[#This Row],[Qtt]],BG152-TbTradesBinance[[#This Row],[Qtt]]),IF(TbTradesBinance[[#This Row],[Tipo]]="BUY",BG152-TbTradesBinance[[#This Row],[Qtt]]*TbTradesBinance[[#This Row],[Preço]],BG152+TbTradesBinance[[#This Row],[Qtt]]*TbTradesBinance[[#This Row],[Preço]])),BG152)-IF(TbTradesBinance[[#This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Row],[Tipo]]="DROP"),BG152+TbTradesBinance[[#This Row],[Qtt]],BG152-TbTradesBinance[[#This Row],[Qtt]]),IF(TbTradesBinance[[#This Row],[Tipo]]="BUY",BG152-TbTradesBinance[[#This Row],[Qtt]]*TbTradesBinance[[#This Row],[Preço]],BG152+TbTradesBinance[[#This Row],[Qtt]]*TbTradesBinance[[#This Row],[Preço]])),BG152)-IF(TbTradesBinance[[#This Row],[Moeda da Taxa]]=MID(BG$1,9,5),TbTradesBinance[[#This Row],[Taxa]],0),8)))</f>
        <v>0</v>
      </c>
      <c r="BH153" s="145" cm="1">
        <f t="array" ref="BH153">IF(TbTradesBinance[[#This Row],[Tipo]]="EMPTY",0,BH152+IF(TbTradesBinance[[#This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Row],[Par]]))),$1:$1,0)),-(BG152-BG153)/BG152*BH152),0),0)+IF(TbTradesBinance[[#This Row],[Tipo]]="SELL",IF(ISNUMBER(FIND(MID(BH$1,10,5),TbTradesBinance[[#This Row],[Par]])),IF(FIND(MID(BH$1,10,5),TbTradesBinance[[#This Row],[Par]])=1, -(BG152-BG153)/BG152*BH152,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Row],[Par]])),(-(BG152-BG153)/BG152*BH152)+IF(TbTradesBinance[[#This Row],[Resultado]]&gt;0,0,TbTradesBinance[[#This Row],[Taxa]]),0),0))</f>
        <v>0</v>
      </c>
      <c r="BI153" s="145">
        <f t="shared" si="54"/>
        <v>0</v>
      </c>
      <c r="BJ15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Row],[Tipo]]="DROP"),BJ152+TbTradesBinance[[#This Row],[Qtt]],BJ152-TbTradesBinance[[#This Row],[Qtt]]),IF(TbTradesBinance[[#This Row],[Tipo]]="BUY",BJ152-TbTradesBinance[[#This Row],[Qtt]]*TbTradesBinance[[#This Row],[Preço]],BJ152+TbTradesBinance[[#This Row],[Qtt]]*TbTradesBinance[[#This Row],[Preço]])),BJ152)-IF(TbTradesBinance[[#This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Row],[Tipo]]="DROP"),BJ152+TbTradesBinance[[#This Row],[Qtt]],BJ152-TbTradesBinance[[#This Row],[Qtt]]),IF(TbTradesBinance[[#This Row],[Tipo]]="BUY",BJ152-TbTradesBinance[[#This Row],[Qtt]]*TbTradesBinance[[#This Row],[Preço]],BJ152+TbTradesBinance[[#This Row],[Qtt]]*TbTradesBinance[[#This Row],[Preço]])),BJ152)-IF(TbTradesBinance[[#This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Row],[Tipo]]="DROP"),BJ152+TbTradesBinance[[#This Row],[Qtt]],BJ152-TbTradesBinance[[#This Row],[Qtt]]),IF(TbTradesBinance[[#This Row],[Tipo]]="BUY",BJ152-TbTradesBinance[[#This Row],[Qtt]]*TbTradesBinance[[#This Row],[Preço]],BJ152+TbTradesBinance[[#This Row],[Qtt]]*TbTradesBinance[[#This Row],[Preço]])),BJ152)-IF(TbTradesBinance[[#This Row],[Moeda da Taxa]]=MID(BJ$1,9,5),TbTradesBinance[[#This Row],[Taxa]],0),8)))</f>
        <v>1.3665699999999999E-3</v>
      </c>
      <c r="BK153" s="145" cm="1">
        <f t="array" ref="BK153">IF(TbTradesBinance[[#This Row],[Tipo]]="EMPTY",0,BK152+IF(TbTradesBinance[[#This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Row],[Par]]))),$1:$1,0)),-(BJ152-BJ153)/BJ152*BK152),0),0)+IF(TbTradesBinance[[#This Row],[Tipo]]="SELL",IF(ISNUMBER(FIND(MID(BK$1,10,5),TbTradesBinance[[#This Row],[Par]])),IF(FIND(MID(BK$1,10,5),TbTradesBinance[[#This Row],[Par]])=1, -(BJ152-BJ153)/BJ152*BK152,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Row],[Par]])),(-(BJ152-BJ153)/BJ152*BK152)+IF(TbTradesBinance[[#This Row],[Resultado]]&gt;0,0,TbTradesBinance[[#This Row],[Taxa]]),0),0))</f>
        <v>0</v>
      </c>
      <c r="BL153" s="145">
        <f t="shared" si="55"/>
        <v>0</v>
      </c>
      <c r="BM15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Row],[Tipo]]="DROP"),BM152+TbTradesBinance[[#This Row],[Qtt]],BM152-TbTradesBinance[[#This Row],[Qtt]]),IF(TbTradesBinance[[#This Row],[Tipo]]="BUY",BM152-TbTradesBinance[[#This Row],[Qtt]]*TbTradesBinance[[#This Row],[Preço]],BM152+TbTradesBinance[[#This Row],[Qtt]]*TbTradesBinance[[#This Row],[Preço]])),BM152)-IF(TbTradesBinance[[#This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Row],[Tipo]]="DROP"),BM152+TbTradesBinance[[#This Row],[Qtt]],BM152-TbTradesBinance[[#This Row],[Qtt]]),IF(TbTradesBinance[[#This Row],[Tipo]]="BUY",BM152-TbTradesBinance[[#This Row],[Qtt]]*TbTradesBinance[[#This Row],[Preço]],BM152+TbTradesBinance[[#This Row],[Qtt]]*TbTradesBinance[[#This Row],[Preço]])),BM152)-IF(TbTradesBinance[[#This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Row],[Tipo]]="DROP"),BM152+TbTradesBinance[[#This Row],[Qtt]],BM152-TbTradesBinance[[#This Row],[Qtt]]),IF(TbTradesBinance[[#This Row],[Tipo]]="BUY",BM152-TbTradesBinance[[#This Row],[Qtt]]*TbTradesBinance[[#This Row],[Preço]],BM152+TbTradesBinance[[#This Row],[Qtt]]*TbTradesBinance[[#This Row],[Preço]])),BM152)-IF(TbTradesBinance[[#This Row],[Moeda da Taxa]]=MID(BM$1,9,5),TbTradesBinance[[#This Row],[Taxa]],0),8)))</f>
        <v>0.17338655</v>
      </c>
      <c r="BN153" s="145" cm="1">
        <f t="array" ref="BN153">IF(TbTradesBinance[[#This Row],[Tipo]]="EMPTY",0,BN152+IF(TbTradesBinance[[#This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Row],[Par]]))),$1:$1,0)),-(BM152-BM153)/BM152*BN152),0),0)+IF(TbTradesBinance[[#This Row],[Tipo]]="SELL",IF(ISNUMBER(FIND(MID(BN$1,10,5),TbTradesBinance[[#This Row],[Par]])),IF(FIND(MID(BN$1,10,5),TbTradesBinance[[#This Row],[Par]])=1, -(BM152-BM153)/BM152*BN152,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Row],[Par]])),(-(BM152-BM153)/BM152*BN152)+IF(TbTradesBinance[[#This Row],[Resultado]]&gt;0,0,TbTradesBinance[[#This Row],[Taxa]]),0),0))</f>
        <v>0</v>
      </c>
      <c r="BO153" s="145">
        <f t="shared" si="56"/>
        <v>0</v>
      </c>
    </row>
    <row r="154" spans="2:67" x14ac:dyDescent="0.3">
      <c r="B154" s="51" t="s">
        <v>107</v>
      </c>
      <c r="C154" s="40">
        <f>TRUNC(IF(AND(TbTradesBinance[[#This Row],[Tipo]]="SEND",TbTradesBinance[[#This Row],[Par]]="BRL"),TbTradesBinance[[#This Row],[Qtt]]*(1-P152)-IF(TbTradesBinance[[#This Row],[Moeda da Taxa]]="BRL",TbTradesBinance[[#This Row],[Taxa]],0),0)+IF(AND(TbTradesBinance[[#This Row],[Tipo]]="BURN",TbTradesBinance[[#This Row],[Par]]="BRL"),-TbTradesBinance[[#This Row],[Qtt]]*P152,0),2)</f>
        <v>0</v>
      </c>
      <c r="D154" s="53">
        <v>44301.445451388892</v>
      </c>
      <c r="E154" s="37" t="s">
        <v>265</v>
      </c>
      <c r="F154" s="47" t="s">
        <v>140</v>
      </c>
      <c r="G154" s="38">
        <v>2.336506E-2</v>
      </c>
      <c r="H154" s="38">
        <v>1.3665699999999999E-3</v>
      </c>
      <c r="I154" s="38">
        <v>6.4000000000000001E-7</v>
      </c>
      <c r="J154" s="37" t="s">
        <v>45</v>
      </c>
      <c r="K154" s="52">
        <v>3128</v>
      </c>
      <c r="L154" s="40">
        <f t="shared" si="38"/>
        <v>73.08</v>
      </c>
      <c r="M154" s="40">
        <f>IF(OR(TbTradesBinance[[#This Row],[Tipo]]="BUY",TbTradesBinance[[#This Row],[Tipo]]="RECEIVE",TbTradesBinance[[#This Row],[Tipo]]="DROP"),L154*H154,-L154*H154)</f>
        <v>-9.9868935599999986E-2</v>
      </c>
      <c r="N15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Row],[Tipo]]="DROP"),N153+TbTradesBinance[[#This Row],[Qtt]],N153-TbTradesBinance[[#This Row],[Qtt]]),IF(TbTradesBinance[[#This Row],[Tipo]]="BUY",N153-TbTradesBinance[[#This Row],[Qtt]]*TbTradesBinance[[#This Row],[Preço]],N153+TbTradesBinance[[#This Row],[Qtt]]*TbTradesBinance[[#This Row],[Preço]])),N153)-IF(TbTradesBinance[[#This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Row],[Tipo]]="DROP"),N153+TbTradesBinance[[#This Row],[Qtt]],N153-TbTradesBinance[[#This Row],[Qtt]]),IF(TbTradesBinance[[#This Row],[Tipo]]="BUY",N153-TbTradesBinance[[#This Row],[Qtt]]*TbTradesBinance[[#This Row],[Preço]],N153+TbTradesBinance[[#This Row],[Qtt]]*TbTradesBinance[[#This Row],[Preço]])),N153)-IF(TbTradesBinance[[#This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Row],[Tipo]]="DROP"),N153+TbTradesBinance[[#This Row],[Qtt]],N153-TbTradesBinance[[#This Row],[Qtt]]),IF(TbTradesBinance[[#This Row],[Tipo]]="BUY",N153-TbTradesBinance[[#This Row],[Qtt]]*TbTradesBinance[[#This Row],[Preço]],N153+TbTradesBinance[[#This Row],[Qtt]]*TbTradesBinance[[#This Row],[Preço]])),N153)-IF(TbTradesBinance[[#This Row],[Moeda da Taxa]]=MID(N$1,9,5),TbTradesBinance[[#This Row],[Taxa]],0),8)))</f>
        <v>119974.66997418</v>
      </c>
      <c r="O154" s="145" cm="1">
        <f t="array" ref="O154">IF(TbTradesBinance[[#This Row],[Tipo]]="EMPTY",0,O153+IF(TbTradesBinance[[#This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Row],[Par]]))),$1:$1,0)),-(N153-N154)/N153*O153),0),0)+IF(TbTradesBinance[[#This Row],[Tipo]]="SELL",IF(ISNUMBER(FIND(MID(O$1,10,5),TbTradesBinance[[#This Row],[Par]])),IF(FIND(MID(O$1,10,5),TbTradesBinance[[#This Row],[Par]])=1, -(N153-N154)/N153*O153,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Row],[Par]])),(-(N153-N154)/N153*O153)+IF(TbTradesBinance[[#This Row],[Resultado]]&gt;0,0,TbTradesBinance[[#This Row],[Taxa]]),0),0))</f>
        <v>120029.90488709159</v>
      </c>
      <c r="P154" s="145">
        <f t="shared" si="39"/>
        <v>1.0004603881212883</v>
      </c>
      <c r="Q15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Row],[Tipo]]="DROP"),Q153+TbTradesBinance[[#This Row],[Qtt]],Q153-TbTradesBinance[[#This Row],[Qtt]]),IF(TbTradesBinance[[#This Row],[Tipo]]="BUY",Q153-TbTradesBinance[[#This Row],[Qtt]]*TbTradesBinance[[#This Row],[Preço]],Q153+TbTradesBinance[[#This Row],[Qtt]]*TbTradesBinance[[#This Row],[Preço]])),Q153)-IF(TbTradesBinance[[#This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Row],[Tipo]]="DROP"),Q153+TbTradesBinance[[#This Row],[Qtt]],Q153-TbTradesBinance[[#This Row],[Qtt]]),IF(TbTradesBinance[[#This Row],[Tipo]]="BUY",Q153-TbTradesBinance[[#This Row],[Qtt]]*TbTradesBinance[[#This Row],[Preço]],Q153+TbTradesBinance[[#This Row],[Qtt]]*TbTradesBinance[[#This Row],[Preço]])),Q153)-IF(TbTradesBinance[[#This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Row],[Tipo]]="DROP"),Q153+TbTradesBinance[[#This Row],[Qtt]],Q153-TbTradesBinance[[#This Row],[Qtt]]),IF(TbTradesBinance[[#This Row],[Tipo]]="BUY",Q153-TbTradesBinance[[#This Row],[Qtt]]*TbTradesBinance[[#This Row],[Preço]],Q153+TbTradesBinance[[#This Row],[Qtt]]*TbTradesBinance[[#This Row],[Preço]])),Q153)-IF(TbTradesBinance[[#This Row],[Moeda da Taxa]]=MID(Q$1,9,5),TbTradesBinance[[#This Row],[Taxa]],0),8)))</f>
        <v>25.356302700000001</v>
      </c>
      <c r="R154" s="145" cm="1">
        <f t="array" ref="R154">IF(TbTradesBinance[[#This Row],[Tipo]]="EMPTY",0,R153+IF(TbTradesBinance[[#This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Row],[Par]]))),$1:$1,0)),-(Q153-Q154)/Q153*R153),0),0)+IF(TbTradesBinance[[#This Row],[Tipo]]="SELL",IF(ISNUMBER(FIND(MID(R$1,10,5),TbTradesBinance[[#This Row],[Par]])),IF(FIND(MID(R$1,10,5),TbTradesBinance[[#This Row],[Par]])=1, -(Q153-Q154)/Q153*R153,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Row],[Par]])),(-(Q153-Q154)/Q153*R153)+IF(TbTradesBinance[[#This Row],[Resultado]]&gt;0,0,TbTradesBinance[[#This Row],[Taxa]]),0),0))</f>
        <v>120.8257969142021</v>
      </c>
      <c r="S154" s="145">
        <f t="shared" si="40"/>
        <v>4.7651188875498836</v>
      </c>
      <c r="T15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Row],[Tipo]]="DROP"),T153+TbTradesBinance[[#This Row],[Qtt]],T153-TbTradesBinance[[#This Row],[Qtt]]),IF(TbTradesBinance[[#This Row],[Tipo]]="BUY",T153-TbTradesBinance[[#This Row],[Qtt]]*TbTradesBinance[[#This Row],[Preço]],T153+TbTradesBinance[[#This Row],[Qtt]]*TbTradesBinance[[#This Row],[Preço]])),T153)-IF(TbTradesBinance[[#This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Row],[Tipo]]="DROP"),T153+TbTradesBinance[[#This Row],[Qtt]],T153-TbTradesBinance[[#This Row],[Qtt]]),IF(TbTradesBinance[[#This Row],[Tipo]]="BUY",T153-TbTradesBinance[[#This Row],[Qtt]]*TbTradesBinance[[#This Row],[Preço]],T153+TbTradesBinance[[#This Row],[Qtt]]*TbTradesBinance[[#This Row],[Preço]])),T153)-IF(TbTradesBinance[[#This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Row],[Tipo]]="DROP"),T153+TbTradesBinance[[#This Row],[Qtt]],T153-TbTradesBinance[[#This Row],[Qtt]]),IF(TbTradesBinance[[#This Row],[Tipo]]="BUY",T153-TbTradesBinance[[#This Row],[Qtt]]*TbTradesBinance[[#This Row],[Preço]],T153+TbTradesBinance[[#This Row],[Qtt]]*TbTradesBinance[[#This Row],[Preço]])),T153)-IF(TbTradesBinance[[#This Row],[Moeda da Taxa]]=MID(T$1,9,5),TbTradesBinance[[#This Row],[Taxa]],0),8)))</f>
        <v>219713.72000189999</v>
      </c>
      <c r="U154" s="145" cm="1">
        <f t="array" ref="U154">IF(TbTradesBinance[[#This Row],[Tipo]]="EMPTY",0,U153+IF(TbTradesBinance[[#This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Row],[Par]]))),$1:$1,0)),-(T153-T154)/T153*U153),0),0)+IF(TbTradesBinance[[#This Row],[Tipo]]="SELL",IF(ISNUMBER(FIND(MID(U$1,10,5),TbTradesBinance[[#This Row],[Par]])),IF(FIND(MID(U$1,10,5),TbTradesBinance[[#This Row],[Par]])=1, -(T153-T154)/T153*U153,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Row],[Par]])),(-(T153-T154)/T153*U153)+IF(TbTradesBinance[[#This Row],[Resultado]]&gt;0,0,TbTradesBinance[[#This Row],[Taxa]]),0),0))</f>
        <v>1461096.2409827893</v>
      </c>
      <c r="V154" s="145">
        <f t="shared" si="41"/>
        <v>6.6500000135182926</v>
      </c>
      <c r="W15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Row],[Tipo]]="DROP"),W153+TbTradesBinance[[#This Row],[Qtt]],W153-TbTradesBinance[[#This Row],[Qtt]]),IF(TbTradesBinance[[#This Row],[Tipo]]="BUY",W153-TbTradesBinance[[#This Row],[Qtt]]*TbTradesBinance[[#This Row],[Preço]],W153+TbTradesBinance[[#This Row],[Qtt]]*TbTradesBinance[[#This Row],[Preço]])),W153)-IF(TbTradesBinance[[#This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Row],[Tipo]]="DROP"),W153+TbTradesBinance[[#This Row],[Qtt]],W153-TbTradesBinance[[#This Row],[Qtt]]),IF(TbTradesBinance[[#This Row],[Tipo]]="BUY",W153-TbTradesBinance[[#This Row],[Qtt]]*TbTradesBinance[[#This Row],[Preço]],W153+TbTradesBinance[[#This Row],[Qtt]]*TbTradesBinance[[#This Row],[Preço]])),W153)-IF(TbTradesBinance[[#This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Row],[Tipo]]="DROP"),W153+TbTradesBinance[[#This Row],[Qtt]],W153-TbTradesBinance[[#This Row],[Qtt]]),IF(TbTradesBinance[[#This Row],[Tipo]]="BUY",W153-TbTradesBinance[[#This Row],[Qtt]]*TbTradesBinance[[#This Row],[Preço]],W153+TbTradesBinance[[#This Row],[Qtt]]*TbTradesBinance[[#This Row],[Preço]])),W153)-IF(TbTradesBinance[[#This Row],[Moeda da Taxa]]=MID(W$1,9,5),TbTradesBinance[[#This Row],[Taxa]],0),8)))</f>
        <v>1.6436000000000001E-4</v>
      </c>
      <c r="X154" s="145" cm="1">
        <f t="array" ref="X154">IF(TbTradesBinance[[#This Row],[Tipo]]="EMPTY",0,X153+IF(TbTradesBinance[[#This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Row],[Par]]))),$1:$1,0)),-(W153-W154)/W153*X153),0),0)+IF(TbTradesBinance[[#This Row],[Tipo]]="SELL",IF(ISNUMBER(FIND(MID(X$1,10,5),TbTradesBinance[[#This Row],[Par]])),IF(FIND(MID(X$1,10,5),TbTradesBinance[[#This Row],[Par]])=1, -(W153-W154)/W153*X153,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Row],[Par]])),(-(W153-W154)/W153*X153)+IF(TbTradesBinance[[#This Row],[Resultado]]&gt;0,0,TbTradesBinance[[#This Row],[Taxa]]),0),0))</f>
        <v>55.654279137915474</v>
      </c>
      <c r="Y154" s="145">
        <f t="shared" si="42"/>
        <v>338612.06581841974</v>
      </c>
      <c r="Z15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Row],[Tipo]]="DROP"),Z153+TbTradesBinance[[#This Row],[Qtt]],Z153-TbTradesBinance[[#This Row],[Qtt]]),IF(TbTradesBinance[[#This Row],[Tipo]]="BUY",Z153-TbTradesBinance[[#This Row],[Qtt]]*TbTradesBinance[[#This Row],[Preço]],Z153+TbTradesBinance[[#This Row],[Qtt]]*TbTradesBinance[[#This Row],[Preço]])),Z153)-IF(TbTradesBinance[[#This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Row],[Tipo]]="DROP"),Z153+TbTradesBinance[[#This Row],[Qtt]],Z153-TbTradesBinance[[#This Row],[Qtt]]),IF(TbTradesBinance[[#This Row],[Tipo]]="BUY",Z153-TbTradesBinance[[#This Row],[Qtt]]*TbTradesBinance[[#This Row],[Preço]],Z153+TbTradesBinance[[#This Row],[Qtt]]*TbTradesBinance[[#This Row],[Preço]])),Z153)-IF(TbTradesBinance[[#This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Row],[Tipo]]="DROP"),Z153+TbTradesBinance[[#This Row],[Qtt]],Z153-TbTradesBinance[[#This Row],[Qtt]]),IF(TbTradesBinance[[#This Row],[Tipo]]="BUY",Z153-TbTradesBinance[[#This Row],[Qtt]]*TbTradesBinance[[#This Row],[Preço]],Z153+TbTradesBinance[[#This Row],[Qtt]]*TbTradesBinance[[#This Row],[Preço]])),Z153)-IF(TbTradesBinance[[#This Row],[Moeda da Taxa]]=MID(Z$1,9,5),TbTradesBinance[[#This Row],[Taxa]],0),8)))</f>
        <v>0</v>
      </c>
      <c r="AA154" s="145" cm="1">
        <f t="array" ref="AA154">IF(TbTradesBinance[[#This Row],[Tipo]]="EMPTY",0,AA153+IF(TbTradesBinance[[#This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Row],[Par]]))),$1:$1,0)),-(Z153-Z154)/Z153*AA153),0),0)+IF(TbTradesBinance[[#This Row],[Tipo]]="SELL",IF(ISNUMBER(FIND(MID(AA$1,10,5),TbTradesBinance[[#This Row],[Par]])),IF(FIND(MID(AA$1,10,5),TbTradesBinance[[#This Row],[Par]])=1, -(Z153-Z154)/Z153*AA153,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Row],[Par]])),(-(Z153-Z154)/Z153*AA153)+IF(TbTradesBinance[[#This Row],[Resultado]]&gt;0,0,TbTradesBinance[[#This Row],[Taxa]]),0),0))</f>
        <v>0</v>
      </c>
      <c r="AB154" s="145">
        <f t="shared" si="43"/>
        <v>0</v>
      </c>
      <c r="AC15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Row],[Tipo]]="DROP"),AC153+TbTradesBinance[[#This Row],[Qtt]],AC153-TbTradesBinance[[#This Row],[Qtt]]),IF(TbTradesBinance[[#This Row],[Tipo]]="BUY",AC153-TbTradesBinance[[#This Row],[Qtt]]*TbTradesBinance[[#This Row],[Preço]],AC153+TbTradesBinance[[#This Row],[Qtt]]*TbTradesBinance[[#This Row],[Preço]])),AC153)-IF(TbTradesBinance[[#This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Row],[Tipo]]="DROP"),AC153+TbTradesBinance[[#This Row],[Qtt]],AC153-TbTradesBinance[[#This Row],[Qtt]]),IF(TbTradesBinance[[#This Row],[Tipo]]="BUY",AC153-TbTradesBinance[[#This Row],[Qtt]]*TbTradesBinance[[#This Row],[Preço]],AC153+TbTradesBinance[[#This Row],[Qtt]]*TbTradesBinance[[#This Row],[Preço]])),AC153)-IF(TbTradesBinance[[#This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Row],[Tipo]]="DROP"),AC153+TbTradesBinance[[#This Row],[Qtt]],AC153-TbTradesBinance[[#This Row],[Qtt]]),IF(TbTradesBinance[[#This Row],[Tipo]]="BUY",AC153-TbTradesBinance[[#This Row],[Qtt]]*TbTradesBinance[[#This Row],[Preço]],AC153+TbTradesBinance[[#This Row],[Qtt]]*TbTradesBinance[[#This Row],[Preço]])),AC153)-IF(TbTradesBinance[[#This Row],[Moeda da Taxa]]=MID(AC$1,9,5),TbTradesBinance[[#This Row],[Taxa]],0),8)))</f>
        <v>0</v>
      </c>
      <c r="AD154" s="145" cm="1">
        <f t="array" ref="AD154">IF(TbTradesBinance[[#This Row],[Tipo]]="EMPTY",0,AD153+IF(TbTradesBinance[[#This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Row],[Par]]))),$1:$1,0)),-(AC153-AC154)/AC153*AD153),0),0)+IF(TbTradesBinance[[#This Row],[Tipo]]="SELL",IF(ISNUMBER(FIND(MID(AD$1,10,5),TbTradesBinance[[#This Row],[Par]])),IF(FIND(MID(AD$1,10,5),TbTradesBinance[[#This Row],[Par]])=1, -(AC153-AC154)/AC153*AD153,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Row],[Par]])),(-(AC153-AC154)/AC153*AD153)+IF(TbTradesBinance[[#This Row],[Resultado]]&gt;0,0,TbTradesBinance[[#This Row],[Taxa]]),0),0))</f>
        <v>0</v>
      </c>
      <c r="AE154" s="145">
        <f t="shared" si="44"/>
        <v>0</v>
      </c>
      <c r="AF15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Row],[Tipo]]="DROP"),AF153+TbTradesBinance[[#This Row],[Qtt]],AF153-TbTradesBinance[[#This Row],[Qtt]]),IF(TbTradesBinance[[#This Row],[Tipo]]="BUY",AF153-TbTradesBinance[[#This Row],[Qtt]]*TbTradesBinance[[#This Row],[Preço]],AF153+TbTradesBinance[[#This Row],[Qtt]]*TbTradesBinance[[#This Row],[Preço]])),AF153)-IF(TbTradesBinance[[#This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Row],[Tipo]]="DROP"),AF153+TbTradesBinance[[#This Row],[Qtt]],AF153-TbTradesBinance[[#This Row],[Qtt]]),IF(TbTradesBinance[[#This Row],[Tipo]]="BUY",AF153-TbTradesBinance[[#This Row],[Qtt]]*TbTradesBinance[[#This Row],[Preço]],AF153+TbTradesBinance[[#This Row],[Qtt]]*TbTradesBinance[[#This Row],[Preço]])),AF153)-IF(TbTradesBinance[[#This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Row],[Tipo]]="DROP"),AF153+TbTradesBinance[[#This Row],[Qtt]],AF153-TbTradesBinance[[#This Row],[Qtt]]),IF(TbTradesBinance[[#This Row],[Tipo]]="BUY",AF153-TbTradesBinance[[#This Row],[Qtt]]*TbTradesBinance[[#This Row],[Preço]],AF153+TbTradesBinance[[#This Row],[Qtt]]*TbTradesBinance[[#This Row],[Preço]])),AF153)-IF(TbTradesBinance[[#This Row],[Moeda da Taxa]]=MID(AF$1,9,5),TbTradesBinance[[#This Row],[Taxa]],0),8)))</f>
        <v>0</v>
      </c>
      <c r="AG154" s="145" cm="1">
        <f t="array" ref="AG154">IF(TbTradesBinance[[#This Row],[Tipo]]="EMPTY",0,AG153+IF(TbTradesBinance[[#This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Row],[Par]]))),$1:$1,0)),-(AF153-AF154)/AF153*AG153),0),0)+IF(TbTradesBinance[[#This Row],[Tipo]]="SELL",IF(ISNUMBER(FIND(MID(AG$1,10,5),TbTradesBinance[[#This Row],[Par]])),IF(FIND(MID(AG$1,10,5),TbTradesBinance[[#This Row],[Par]])=1, -(AF153-AF154)/AF153*AG153,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Row],[Par]])),(-(AF153-AF154)/AF153*AG153)+IF(TbTradesBinance[[#This Row],[Resultado]]&gt;0,0,TbTradesBinance[[#This Row],[Taxa]]),0),0))</f>
        <v>0</v>
      </c>
      <c r="AH154" s="145">
        <f t="shared" si="45"/>
        <v>0</v>
      </c>
      <c r="AI15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Row],[Tipo]]="DROP"),AI153+TbTradesBinance[[#This Row],[Qtt]],AI153-TbTradesBinance[[#This Row],[Qtt]]),IF(TbTradesBinance[[#This Row],[Tipo]]="BUY",AI153-TbTradesBinance[[#This Row],[Qtt]]*TbTradesBinance[[#This Row],[Preço]],AI153+TbTradesBinance[[#This Row],[Qtt]]*TbTradesBinance[[#This Row],[Preço]])),AI153)-IF(TbTradesBinance[[#This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Row],[Tipo]]="DROP"),AI153+TbTradesBinance[[#This Row],[Qtt]],AI153-TbTradesBinance[[#This Row],[Qtt]]),IF(TbTradesBinance[[#This Row],[Tipo]]="BUY",AI153-TbTradesBinance[[#This Row],[Qtt]]*TbTradesBinance[[#This Row],[Preço]],AI153+TbTradesBinance[[#This Row],[Qtt]]*TbTradesBinance[[#This Row],[Preço]])),AI153)-IF(TbTradesBinance[[#This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Row],[Tipo]]="DROP"),AI153+TbTradesBinance[[#This Row],[Qtt]],AI153-TbTradesBinance[[#This Row],[Qtt]]),IF(TbTradesBinance[[#This Row],[Tipo]]="BUY",AI153-TbTradesBinance[[#This Row],[Qtt]]*TbTradesBinance[[#This Row],[Preço]],AI153+TbTradesBinance[[#This Row],[Qtt]]*TbTradesBinance[[#This Row],[Preço]])),AI153)-IF(TbTradesBinance[[#This Row],[Moeda da Taxa]]=MID(AI$1,9,5),TbTradesBinance[[#This Row],[Taxa]],0),8)))</f>
        <v>0</v>
      </c>
      <c r="AJ154" s="145" cm="1">
        <f t="array" ref="AJ154">IF(TbTradesBinance[[#This Row],[Tipo]]="EMPTY",0,AJ153+IF(TbTradesBinance[[#This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Row],[Par]]))),$1:$1,0)),-(AI153-AI154)/AI153*AJ153),0),0)+IF(TbTradesBinance[[#This Row],[Tipo]]="SELL",IF(ISNUMBER(FIND(MID(AJ$1,10,5),TbTradesBinance[[#This Row],[Par]])),IF(FIND(MID(AJ$1,10,5),TbTradesBinance[[#This Row],[Par]])=1, -(AI153-AI154)/AI153*AJ153,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Row],[Par]])),(-(AI153-AI154)/AI153*AJ153)+IF(TbTradesBinance[[#This Row],[Resultado]]&gt;0,0,TbTradesBinance[[#This Row],[Taxa]]),0),0))</f>
        <v>0</v>
      </c>
      <c r="AK154" s="145">
        <f t="shared" si="46"/>
        <v>0</v>
      </c>
      <c r="AL15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Row],[Tipo]]="DROP"),AL153+TbTradesBinance[[#This Row],[Qtt]],AL153-TbTradesBinance[[#This Row],[Qtt]]),IF(TbTradesBinance[[#This Row],[Tipo]]="BUY",AL153-TbTradesBinance[[#This Row],[Qtt]]*TbTradesBinance[[#This Row],[Preço]],AL153+TbTradesBinance[[#This Row],[Qtt]]*TbTradesBinance[[#This Row],[Preço]])),AL153)-IF(TbTradesBinance[[#This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Row],[Tipo]]="DROP"),AL153+TbTradesBinance[[#This Row],[Qtt]],AL153-TbTradesBinance[[#This Row],[Qtt]]),IF(TbTradesBinance[[#This Row],[Tipo]]="BUY",AL153-TbTradesBinance[[#This Row],[Qtt]]*TbTradesBinance[[#This Row],[Preço]],AL153+TbTradesBinance[[#This Row],[Qtt]]*TbTradesBinance[[#This Row],[Preço]])),AL153)-IF(TbTradesBinance[[#This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Row],[Tipo]]="DROP"),AL153+TbTradesBinance[[#This Row],[Qtt]],AL153-TbTradesBinance[[#This Row],[Qtt]]),IF(TbTradesBinance[[#This Row],[Tipo]]="BUY",AL153-TbTradesBinance[[#This Row],[Qtt]]*TbTradesBinance[[#This Row],[Preço]],AL153+TbTradesBinance[[#This Row],[Qtt]]*TbTradesBinance[[#This Row],[Preço]])),AL153)-IF(TbTradesBinance[[#This Row],[Moeda da Taxa]]=MID(AL$1,9,5),TbTradesBinance[[#This Row],[Taxa]],0),8)))</f>
        <v>0</v>
      </c>
      <c r="AM154" s="145" cm="1">
        <f t="array" ref="AM154">IF(TbTradesBinance[[#This Row],[Tipo]]="EMPTY",0,AM153+IF(TbTradesBinance[[#This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Row],[Par]]))),$1:$1,0)),-(AL153-AL154)/AL153*AM153),0),0)+IF(TbTradesBinance[[#This Row],[Tipo]]="SELL",IF(ISNUMBER(FIND(MID(AM$1,10,5),TbTradesBinance[[#This Row],[Par]])),IF(FIND(MID(AM$1,10,5),TbTradesBinance[[#This Row],[Par]])=1, -(AL153-AL154)/AL153*AM153,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Row],[Par]])),(-(AL153-AL154)/AL153*AM153)+IF(TbTradesBinance[[#This Row],[Resultado]]&gt;0,0,TbTradesBinance[[#This Row],[Taxa]]),0),0))</f>
        <v>0</v>
      </c>
      <c r="AN154" s="145">
        <f t="shared" si="47"/>
        <v>0</v>
      </c>
      <c r="AO15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Row],[Tipo]]="DROP"),AO153+TbTradesBinance[[#This Row],[Qtt]],AO153-TbTradesBinance[[#This Row],[Qtt]]),IF(TbTradesBinance[[#This Row],[Tipo]]="BUY",AO153-TbTradesBinance[[#This Row],[Qtt]]*TbTradesBinance[[#This Row],[Preço]],AO153+TbTradesBinance[[#This Row],[Qtt]]*TbTradesBinance[[#This Row],[Preço]])),AO153)-IF(TbTradesBinance[[#This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Row],[Tipo]]="DROP"),AO153+TbTradesBinance[[#This Row],[Qtt]],AO153-TbTradesBinance[[#This Row],[Qtt]]),IF(TbTradesBinance[[#This Row],[Tipo]]="BUY",AO153-TbTradesBinance[[#This Row],[Qtt]]*TbTradesBinance[[#This Row],[Preço]],AO153+TbTradesBinance[[#This Row],[Qtt]]*TbTradesBinance[[#This Row],[Preço]])),AO153)-IF(TbTradesBinance[[#This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Row],[Tipo]]="DROP"),AO153+TbTradesBinance[[#This Row],[Qtt]],AO153-TbTradesBinance[[#This Row],[Qtt]]),IF(TbTradesBinance[[#This Row],[Tipo]]="BUY",AO153-TbTradesBinance[[#This Row],[Qtt]]*TbTradesBinance[[#This Row],[Preço]],AO153+TbTradesBinance[[#This Row],[Qtt]]*TbTradesBinance[[#This Row],[Preço]])),AO153)-IF(TbTradesBinance[[#This Row],[Moeda da Taxa]]=MID(AO$1,9,5),TbTradesBinance[[#This Row],[Taxa]],0),8)))</f>
        <v>3.739878E-2</v>
      </c>
      <c r="AP154" s="145" cm="1">
        <f t="array" ref="AP154">IF(TbTradesBinance[[#This Row],[Tipo]]="EMPTY",0,AP153+IF(TbTradesBinance[[#This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Row],[Par]]))),$1:$1,0)),-(AO153-AO154)/AO153*AP153),0),0)+IF(TbTradesBinance[[#This Row],[Tipo]]="SELL",IF(ISNUMBER(FIND(MID(AP$1,10,5),TbTradesBinance[[#This Row],[Par]])),IF(FIND(MID(AP$1,10,5),TbTradesBinance[[#This Row],[Par]])=1, -(AO153-AO154)/AO153*AP153,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Row],[Par]])),(-(AO153-AO154)/AO153*AP153)+IF(TbTradesBinance[[#This Row],[Resultado]]&gt;0,0,TbTradesBinance[[#This Row],[Taxa]]),0),0))</f>
        <v>57.065298020032813</v>
      </c>
      <c r="AQ154" s="145">
        <f t="shared" si="48"/>
        <v>1525.8598815264245</v>
      </c>
      <c r="AR15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Row],[Tipo]]="DROP"),AR153+TbTradesBinance[[#This Row],[Qtt]],AR153-TbTradesBinance[[#This Row],[Qtt]]),IF(TbTradesBinance[[#This Row],[Tipo]]="BUY",AR153-TbTradesBinance[[#This Row],[Qtt]]*TbTradesBinance[[#This Row],[Preço]],AR153+TbTradesBinance[[#This Row],[Qtt]]*TbTradesBinance[[#This Row],[Preço]])),AR153)-IF(TbTradesBinance[[#This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Row],[Tipo]]="DROP"),AR153+TbTradesBinance[[#This Row],[Qtt]],AR153-TbTradesBinance[[#This Row],[Qtt]]),IF(TbTradesBinance[[#This Row],[Tipo]]="BUY",AR153-TbTradesBinance[[#This Row],[Qtt]]*TbTradesBinance[[#This Row],[Preço]],AR153+TbTradesBinance[[#This Row],[Qtt]]*TbTradesBinance[[#This Row],[Preço]])),AR153)-IF(TbTradesBinance[[#This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Row],[Tipo]]="DROP"),AR153+TbTradesBinance[[#This Row],[Qtt]],AR153-TbTradesBinance[[#This Row],[Qtt]]),IF(TbTradesBinance[[#This Row],[Tipo]]="BUY",AR153-TbTradesBinance[[#This Row],[Qtt]]*TbTradesBinance[[#This Row],[Preço]],AR153+TbTradesBinance[[#This Row],[Qtt]]*TbTradesBinance[[#This Row],[Preço]])),AR153)-IF(TbTradesBinance[[#This Row],[Moeda da Taxa]]=MID(AR$1,9,5),TbTradesBinance[[#This Row],[Taxa]],0),8)))</f>
        <v>0</v>
      </c>
      <c r="AS154" s="145" cm="1">
        <f t="array" ref="AS154">IF(TbTradesBinance[[#This Row],[Tipo]]="EMPTY",0,AS153+IF(TbTradesBinance[[#This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Row],[Par]]))),$1:$1,0)),-(AR153-AR154)/AR153*AS153),0),0)+IF(TbTradesBinance[[#This Row],[Tipo]]="SELL",IF(ISNUMBER(FIND(MID(AS$1,10,5),TbTradesBinance[[#This Row],[Par]])),IF(FIND(MID(AS$1,10,5),TbTradesBinance[[#This Row],[Par]])=1, -(AR153-AR154)/AR153*AS153,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Row],[Par]])),(-(AR153-AR154)/AR153*AS153)+IF(TbTradesBinance[[#This Row],[Resultado]]&gt;0,0,TbTradesBinance[[#This Row],[Taxa]]),0),0))</f>
        <v>0</v>
      </c>
      <c r="AT154" s="145">
        <f t="shared" si="49"/>
        <v>0</v>
      </c>
      <c r="AU15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Row],[Tipo]]="DROP"),AU153+TbTradesBinance[[#This Row],[Qtt]],AU153-TbTradesBinance[[#This Row],[Qtt]]),IF(TbTradesBinance[[#This Row],[Tipo]]="BUY",AU153-TbTradesBinance[[#This Row],[Qtt]]*TbTradesBinance[[#This Row],[Preço]],AU153+TbTradesBinance[[#This Row],[Qtt]]*TbTradesBinance[[#This Row],[Preço]])),AU153)-IF(TbTradesBinance[[#This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Row],[Tipo]]="DROP"),AU153+TbTradesBinance[[#This Row],[Qtt]],AU153-TbTradesBinance[[#This Row],[Qtt]]),IF(TbTradesBinance[[#This Row],[Tipo]]="BUY",AU153-TbTradesBinance[[#This Row],[Qtt]]*TbTradesBinance[[#This Row],[Preço]],AU153+TbTradesBinance[[#This Row],[Qtt]]*TbTradesBinance[[#This Row],[Preço]])),AU153)-IF(TbTradesBinance[[#This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Row],[Tipo]]="DROP"),AU153+TbTradesBinance[[#This Row],[Qtt]],AU153-TbTradesBinance[[#This Row],[Qtt]]),IF(TbTradesBinance[[#This Row],[Tipo]]="BUY",AU153-TbTradesBinance[[#This Row],[Qtt]]*TbTradesBinance[[#This Row],[Preço]],AU153+TbTradesBinance[[#This Row],[Qtt]]*TbTradesBinance[[#This Row],[Preço]])),AU153)-IF(TbTradesBinance[[#This Row],[Moeda da Taxa]]=MID(AU$1,9,5),TbTradesBinance[[#This Row],[Taxa]],0),8)))</f>
        <v>0</v>
      </c>
      <c r="AV154" s="145" cm="1">
        <f t="array" ref="AV154">IF(TbTradesBinance[[#This Row],[Tipo]]="EMPTY",0,AV153+IF(TbTradesBinance[[#This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Row],[Par]]))),$1:$1,0)),-(AU153-AU154)/AU153*AV153),0),0)+IF(TbTradesBinance[[#This Row],[Tipo]]="SELL",IF(ISNUMBER(FIND(MID(AV$1,10,5),TbTradesBinance[[#This Row],[Par]])),IF(FIND(MID(AV$1,10,5),TbTradesBinance[[#This Row],[Par]])=1, -(AU153-AU154)/AU153*AV153,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Row],[Par]])),(-(AU153-AU154)/AU153*AV153)+IF(TbTradesBinance[[#This Row],[Resultado]]&gt;0,0,TbTradesBinance[[#This Row],[Taxa]]),0),0))</f>
        <v>0</v>
      </c>
      <c r="AW154" s="145">
        <f t="shared" si="50"/>
        <v>0</v>
      </c>
      <c r="AX15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Row],[Tipo]]="DROP"),AX153+TbTradesBinance[[#This Row],[Qtt]],AX153-TbTradesBinance[[#This Row],[Qtt]]),IF(TbTradesBinance[[#This Row],[Tipo]]="BUY",AX153-TbTradesBinance[[#This Row],[Qtt]]*TbTradesBinance[[#This Row],[Preço]],AX153+TbTradesBinance[[#This Row],[Qtt]]*TbTradesBinance[[#This Row],[Preço]])),AX153)-IF(TbTradesBinance[[#This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Row],[Tipo]]="DROP"),AX153+TbTradesBinance[[#This Row],[Qtt]],AX153-TbTradesBinance[[#This Row],[Qtt]]),IF(TbTradesBinance[[#This Row],[Tipo]]="BUY",AX153-TbTradesBinance[[#This Row],[Qtt]]*TbTradesBinance[[#This Row],[Preço]],AX153+TbTradesBinance[[#This Row],[Qtt]]*TbTradesBinance[[#This Row],[Preço]])),AX153)-IF(TbTradesBinance[[#This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Row],[Tipo]]="DROP"),AX153+TbTradesBinance[[#This Row],[Qtt]],AX153-TbTradesBinance[[#This Row],[Qtt]]),IF(TbTradesBinance[[#This Row],[Tipo]]="BUY",AX153-TbTradesBinance[[#This Row],[Qtt]]*TbTradesBinance[[#This Row],[Preço]],AX153+TbTradesBinance[[#This Row],[Qtt]]*TbTradesBinance[[#This Row],[Preço]])),AX153)-IF(TbTradesBinance[[#This Row],[Moeda da Taxa]]=MID(AX$1,9,5),TbTradesBinance[[#This Row],[Taxa]],0),8)))</f>
        <v>0</v>
      </c>
      <c r="AY154" s="145" cm="1">
        <f t="array" ref="AY154">IF(TbTradesBinance[[#This Row],[Tipo]]="EMPTY",0,AY153+IF(TbTradesBinance[[#This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Row],[Par]]))),$1:$1,0)),-(AX153-AX154)/AX153*AY153),0),0)+IF(TbTradesBinance[[#This Row],[Tipo]]="SELL",IF(ISNUMBER(FIND(MID(AY$1,10,5),TbTradesBinance[[#This Row],[Par]])),IF(FIND(MID(AY$1,10,5),TbTradesBinance[[#This Row],[Par]])=1, -(AX153-AX154)/AX153*AY153,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Row],[Par]])),(-(AX153-AX154)/AX153*AY153)+IF(TbTradesBinance[[#This Row],[Resultado]]&gt;0,0,TbTradesBinance[[#This Row],[Taxa]]),0),0))</f>
        <v>0</v>
      </c>
      <c r="AZ154" s="145">
        <f t="shared" si="51"/>
        <v>0</v>
      </c>
      <c r="BA15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Row],[Tipo]]="DROP"),BA153+TbTradesBinance[[#This Row],[Qtt]],BA153-TbTradesBinance[[#This Row],[Qtt]]),IF(TbTradesBinance[[#This Row],[Tipo]]="BUY",BA153-TbTradesBinance[[#This Row],[Qtt]]*TbTradesBinance[[#This Row],[Preço]],BA153+TbTradesBinance[[#This Row],[Qtt]]*TbTradesBinance[[#This Row],[Preço]])),BA153)-IF(TbTradesBinance[[#This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Row],[Tipo]]="DROP"),BA153+TbTradesBinance[[#This Row],[Qtt]],BA153-TbTradesBinance[[#This Row],[Qtt]]),IF(TbTradesBinance[[#This Row],[Tipo]]="BUY",BA153-TbTradesBinance[[#This Row],[Qtt]]*TbTradesBinance[[#This Row],[Preço]],BA153+TbTradesBinance[[#This Row],[Qtt]]*TbTradesBinance[[#This Row],[Preço]])),BA153)-IF(TbTradesBinance[[#This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Row],[Tipo]]="DROP"),BA153+TbTradesBinance[[#This Row],[Qtt]],BA153-TbTradesBinance[[#This Row],[Qtt]]),IF(TbTradesBinance[[#This Row],[Tipo]]="BUY",BA153-TbTradesBinance[[#This Row],[Qtt]]*TbTradesBinance[[#This Row],[Preço]],BA153+TbTradesBinance[[#This Row],[Qtt]]*TbTradesBinance[[#This Row],[Preço]])),BA153)-IF(TbTradesBinance[[#This Row],[Moeda da Taxa]]=MID(BA$1,9,5),TbTradesBinance[[#This Row],[Taxa]],0),8)))</f>
        <v>0</v>
      </c>
      <c r="BB154" s="145" cm="1">
        <f t="array" ref="BB154">IF(TbTradesBinance[[#This Row],[Tipo]]="EMPTY",0,BB153+IF(TbTradesBinance[[#This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Row],[Par]]))),$1:$1,0)),-(BA153-BA154)/BA153*BB153),0),0)+IF(TbTradesBinance[[#This Row],[Tipo]]="SELL",IF(ISNUMBER(FIND(MID(BB$1,10,5),TbTradesBinance[[#This Row],[Par]])),IF(FIND(MID(BB$1,10,5),TbTradesBinance[[#This Row],[Par]])=1, -(BA153-BA154)/BA153*BB153,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Row],[Par]])),(-(BA153-BA154)/BA153*BB153)+IF(TbTradesBinance[[#This Row],[Resultado]]&gt;0,0,TbTradesBinance[[#This Row],[Taxa]]),0),0))</f>
        <v>0</v>
      </c>
      <c r="BC154" s="145">
        <f t="shared" si="52"/>
        <v>0</v>
      </c>
      <c r="BD15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Row],[Tipo]]="DROP"),BD153+TbTradesBinance[[#This Row],[Qtt]],BD153-TbTradesBinance[[#This Row],[Qtt]]),IF(TbTradesBinance[[#This Row],[Tipo]]="BUY",BD153-TbTradesBinance[[#This Row],[Qtt]]*TbTradesBinance[[#This Row],[Preço]],BD153+TbTradesBinance[[#This Row],[Qtt]]*TbTradesBinance[[#This Row],[Preço]])),BD153)-IF(TbTradesBinance[[#This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Row],[Tipo]]="DROP"),BD153+TbTradesBinance[[#This Row],[Qtt]],BD153-TbTradesBinance[[#This Row],[Qtt]]),IF(TbTradesBinance[[#This Row],[Tipo]]="BUY",BD153-TbTradesBinance[[#This Row],[Qtt]]*TbTradesBinance[[#This Row],[Preço]],BD153+TbTradesBinance[[#This Row],[Qtt]]*TbTradesBinance[[#This Row],[Preço]])),BD153)-IF(TbTradesBinance[[#This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Row],[Tipo]]="DROP"),BD153+TbTradesBinance[[#This Row],[Qtt]],BD153-TbTradesBinance[[#This Row],[Qtt]]),IF(TbTradesBinance[[#This Row],[Tipo]]="BUY",BD153-TbTradesBinance[[#This Row],[Qtt]]*TbTradesBinance[[#This Row],[Preço]],BD153+TbTradesBinance[[#This Row],[Qtt]]*TbTradesBinance[[#This Row],[Preço]])),BD153)-IF(TbTradesBinance[[#This Row],[Moeda da Taxa]]=MID(BD$1,9,5),TbTradesBinance[[#This Row],[Taxa]],0),8)))</f>
        <v>0</v>
      </c>
      <c r="BE154" s="145" cm="1">
        <f t="array" ref="BE154">IF(TbTradesBinance[[#This Row],[Tipo]]="EMPTY",0,BE153+IF(TbTradesBinance[[#This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Row],[Par]]))),$1:$1,0)),-(BD153-BD154)/BD153*BE153),0),0)+IF(TbTradesBinance[[#This Row],[Tipo]]="SELL",IF(ISNUMBER(FIND(MID(BE$1,10,5),TbTradesBinance[[#This Row],[Par]])),IF(FIND(MID(BE$1,10,5),TbTradesBinance[[#This Row],[Par]])=1, -(BD153-BD154)/BD153*BE153,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Row],[Par]])),(-(BD153-BD154)/BD153*BE153)+IF(TbTradesBinance[[#This Row],[Resultado]]&gt;0,0,TbTradesBinance[[#This Row],[Taxa]]),0),0))</f>
        <v>0</v>
      </c>
      <c r="BF154" s="145">
        <f t="shared" si="53"/>
        <v>0</v>
      </c>
      <c r="BG15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Row],[Tipo]]="DROP"),BG153+TbTradesBinance[[#This Row],[Qtt]],BG153-TbTradesBinance[[#This Row],[Qtt]]),IF(TbTradesBinance[[#This Row],[Tipo]]="BUY",BG153-TbTradesBinance[[#This Row],[Qtt]]*TbTradesBinance[[#This Row],[Preço]],BG153+TbTradesBinance[[#This Row],[Qtt]]*TbTradesBinance[[#This Row],[Preço]])),BG153)-IF(TbTradesBinance[[#This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Row],[Tipo]]="DROP"),BG153+TbTradesBinance[[#This Row],[Qtt]],BG153-TbTradesBinance[[#This Row],[Qtt]]),IF(TbTradesBinance[[#This Row],[Tipo]]="BUY",BG153-TbTradesBinance[[#This Row],[Qtt]]*TbTradesBinance[[#This Row],[Preço]],BG153+TbTradesBinance[[#This Row],[Qtt]]*TbTradesBinance[[#This Row],[Preço]])),BG153)-IF(TbTradesBinance[[#This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Row],[Tipo]]="DROP"),BG153+TbTradesBinance[[#This Row],[Qtt]],BG153-TbTradesBinance[[#This Row],[Qtt]]),IF(TbTradesBinance[[#This Row],[Tipo]]="BUY",BG153-TbTradesBinance[[#This Row],[Qtt]]*TbTradesBinance[[#This Row],[Preço]],BG153+TbTradesBinance[[#This Row],[Qtt]]*TbTradesBinance[[#This Row],[Preço]])),BG153)-IF(TbTradesBinance[[#This Row],[Moeda da Taxa]]=MID(BG$1,9,5),TbTradesBinance[[#This Row],[Taxa]],0),8)))</f>
        <v>0</v>
      </c>
      <c r="BH154" s="145" cm="1">
        <f t="array" ref="BH154">IF(TbTradesBinance[[#This Row],[Tipo]]="EMPTY",0,BH153+IF(TbTradesBinance[[#This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Row],[Par]]))),$1:$1,0)),-(BG153-BG154)/BG153*BH153),0),0)+IF(TbTradesBinance[[#This Row],[Tipo]]="SELL",IF(ISNUMBER(FIND(MID(BH$1,10,5),TbTradesBinance[[#This Row],[Par]])),IF(FIND(MID(BH$1,10,5),TbTradesBinance[[#This Row],[Par]])=1, -(BG153-BG154)/BG153*BH153,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Row],[Par]])),(-(BG153-BG154)/BG153*BH153)+IF(TbTradesBinance[[#This Row],[Resultado]]&gt;0,0,TbTradesBinance[[#This Row],[Taxa]]),0),0))</f>
        <v>0</v>
      </c>
      <c r="BI154" s="145">
        <f t="shared" si="54"/>
        <v>0</v>
      </c>
      <c r="BJ15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Row],[Tipo]]="DROP"),BJ153+TbTradesBinance[[#This Row],[Qtt]],BJ153-TbTradesBinance[[#This Row],[Qtt]]),IF(TbTradesBinance[[#This Row],[Tipo]]="BUY",BJ153-TbTradesBinance[[#This Row],[Qtt]]*TbTradesBinance[[#This Row],[Preço]],BJ153+TbTradesBinance[[#This Row],[Qtt]]*TbTradesBinance[[#This Row],[Preço]])),BJ153)-IF(TbTradesBinance[[#This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Row],[Tipo]]="DROP"),BJ153+TbTradesBinance[[#This Row],[Qtt]],BJ153-TbTradesBinance[[#This Row],[Qtt]]),IF(TbTradesBinance[[#This Row],[Tipo]]="BUY",BJ153-TbTradesBinance[[#This Row],[Qtt]]*TbTradesBinance[[#This Row],[Preço]],BJ153+TbTradesBinance[[#This Row],[Qtt]]*TbTradesBinance[[#This Row],[Preço]])),BJ153)-IF(TbTradesBinance[[#This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Row],[Tipo]]="DROP"),BJ153+TbTradesBinance[[#This Row],[Qtt]],BJ153-TbTradesBinance[[#This Row],[Qtt]]),IF(TbTradesBinance[[#This Row],[Tipo]]="BUY",BJ153-TbTradesBinance[[#This Row],[Qtt]]*TbTradesBinance[[#This Row],[Preço]],BJ153+TbTradesBinance[[#This Row],[Qtt]]*TbTradesBinance[[#This Row],[Preço]])),BJ153)-IF(TbTradesBinance[[#This Row],[Moeda da Taxa]]=MID(BJ$1,9,5),TbTradesBinance[[#This Row],[Taxa]],0),8)))</f>
        <v>0</v>
      </c>
      <c r="BK154" s="145" cm="1">
        <f t="array" ref="BK154">IF(TbTradesBinance[[#This Row],[Tipo]]="EMPTY",0,BK153+IF(TbTradesBinance[[#This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Row],[Par]]))),$1:$1,0)),-(BJ153-BJ154)/BJ153*BK153),0),0)+IF(TbTradesBinance[[#This Row],[Tipo]]="SELL",IF(ISNUMBER(FIND(MID(BK$1,10,5),TbTradesBinance[[#This Row],[Par]])),IF(FIND(MID(BK$1,10,5),TbTradesBinance[[#This Row],[Par]])=1, -(BJ153-BJ154)/BJ153*BK153,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Row],[Par]])),(-(BJ153-BJ154)/BJ153*BK153)+IF(TbTradesBinance[[#This Row],[Resultado]]&gt;0,0,TbTradesBinance[[#This Row],[Taxa]]),0),0))</f>
        <v>0</v>
      </c>
      <c r="BL154" s="145">
        <f t="shared" si="55"/>
        <v>0</v>
      </c>
      <c r="BM15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Row],[Tipo]]="DROP"),BM153+TbTradesBinance[[#This Row],[Qtt]],BM153-TbTradesBinance[[#This Row],[Qtt]]),IF(TbTradesBinance[[#This Row],[Tipo]]="BUY",BM153-TbTradesBinance[[#This Row],[Qtt]]*TbTradesBinance[[#This Row],[Preço]],BM153+TbTradesBinance[[#This Row],[Qtt]]*TbTradesBinance[[#This Row],[Preço]])),BM153)-IF(TbTradesBinance[[#This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Row],[Tipo]]="DROP"),BM153+TbTradesBinance[[#This Row],[Qtt]],BM153-TbTradesBinance[[#This Row],[Qtt]]),IF(TbTradesBinance[[#This Row],[Tipo]]="BUY",BM153-TbTradesBinance[[#This Row],[Qtt]]*TbTradesBinance[[#This Row],[Preço]],BM153+TbTradesBinance[[#This Row],[Qtt]]*TbTradesBinance[[#This Row],[Preço]])),BM153)-IF(TbTradesBinance[[#This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Row],[Tipo]]="DROP"),BM153+TbTradesBinance[[#This Row],[Qtt]],BM153-TbTradesBinance[[#This Row],[Qtt]]),IF(TbTradesBinance[[#This Row],[Tipo]]="BUY",BM153-TbTradesBinance[[#This Row],[Qtt]]*TbTradesBinance[[#This Row],[Preço]],BM153+TbTradesBinance[[#This Row],[Qtt]]*TbTradesBinance[[#This Row],[Preço]])),BM153)-IF(TbTradesBinance[[#This Row],[Moeda da Taxa]]=MID(BM$1,9,5),TbTradesBinance[[#This Row],[Taxa]],0),8)))</f>
        <v>0.17338655</v>
      </c>
      <c r="BN154" s="145" cm="1">
        <f t="array" ref="BN154">IF(TbTradesBinance[[#This Row],[Tipo]]="EMPTY",0,BN153+IF(TbTradesBinance[[#This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Row],[Par]]))),$1:$1,0)),-(BM153-BM154)/BM153*BN153),0),0)+IF(TbTradesBinance[[#This Row],[Tipo]]="SELL",IF(ISNUMBER(FIND(MID(BN$1,10,5),TbTradesBinance[[#This Row],[Par]])),IF(FIND(MID(BN$1,10,5),TbTradesBinance[[#This Row],[Par]])=1, -(BM153-BM154)/BM153*BN153,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Row],[Par]])),(-(BM153-BM154)/BM153*BN153)+IF(TbTradesBinance[[#This Row],[Resultado]]&gt;0,0,TbTradesBinance[[#This Row],[Taxa]]),0),0))</f>
        <v>0</v>
      </c>
      <c r="BO154" s="145">
        <f t="shared" si="56"/>
        <v>0</v>
      </c>
    </row>
    <row r="155" spans="2:67" x14ac:dyDescent="0.3">
      <c r="B155" s="51"/>
      <c r="C155" s="40">
        <f>TRUNC(IF(AND(TbTradesBinance[[#This Row],[Tipo]]="SEND",TbTradesBinance[[#This Row],[Par]]="BRL"),TbTradesBinance[[#This Row],[Qtt]]*(1-P153)-IF(TbTradesBinance[[#This Row],[Moeda da Taxa]]="BRL",TbTradesBinance[[#This Row],[Taxa]],0),0)+IF(AND(TbTradesBinance[[#This Row],[Tipo]]="BURN",TbTradesBinance[[#This Row],[Par]]="BRL"),-TbTradesBinance[[#This Row],[Qtt]]*P153,0),2)</f>
        <v>0</v>
      </c>
      <c r="D155" s="53">
        <v>44302.067974537036</v>
      </c>
      <c r="E155" s="37" t="s">
        <v>138</v>
      </c>
      <c r="F155" s="47" t="s">
        <v>139</v>
      </c>
      <c r="G155" s="38">
        <v>353000</v>
      </c>
      <c r="H155" s="38">
        <v>4.28E-4</v>
      </c>
      <c r="I155" s="38">
        <v>3.8399999999999998E-5</v>
      </c>
      <c r="J155" s="37" t="s">
        <v>45</v>
      </c>
      <c r="K155" s="52">
        <v>1</v>
      </c>
      <c r="L155" s="40">
        <f t="shared" si="38"/>
        <v>353000</v>
      </c>
      <c r="M155" s="40">
        <f>IF(OR(TbTradesBinance[[#This Row],[Tipo]]="BUY",TbTradesBinance[[#This Row],[Tipo]]="RECEIVE",TbTradesBinance[[#This Row],[Tipo]]="DROP"),L155*H155,-L155*H155)</f>
        <v>151.084</v>
      </c>
      <c r="N15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Row],[Tipo]]="DROP"),N154+TbTradesBinance[[#This Row],[Qtt]],N154-TbTradesBinance[[#This Row],[Qtt]]),IF(TbTradesBinance[[#This Row],[Tipo]]="BUY",N154-TbTradesBinance[[#This Row],[Qtt]]*TbTradesBinance[[#This Row],[Preço]],N154+TbTradesBinance[[#This Row],[Qtt]]*TbTradesBinance[[#This Row],[Preço]])),N154)-IF(TbTradesBinance[[#This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Row],[Tipo]]="DROP"),N154+TbTradesBinance[[#This Row],[Qtt]],N154-TbTradesBinance[[#This Row],[Qtt]]),IF(TbTradesBinance[[#This Row],[Tipo]]="BUY",N154-TbTradesBinance[[#This Row],[Qtt]]*TbTradesBinance[[#This Row],[Preço]],N154+TbTradesBinance[[#This Row],[Qtt]]*TbTradesBinance[[#This Row],[Preço]])),N154)-IF(TbTradesBinance[[#This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Row],[Tipo]]="DROP"),N154+TbTradesBinance[[#This Row],[Qtt]],N154-TbTradesBinance[[#This Row],[Qtt]]),IF(TbTradesBinance[[#This Row],[Tipo]]="BUY",N154-TbTradesBinance[[#This Row],[Qtt]]*TbTradesBinance[[#This Row],[Preço]],N154+TbTradesBinance[[#This Row],[Qtt]]*TbTradesBinance[[#This Row],[Preço]])),N154)-IF(TbTradesBinance[[#This Row],[Moeda da Taxa]]=MID(N$1,9,5),TbTradesBinance[[#This Row],[Taxa]],0),8)))</f>
        <v>119823.58597417999</v>
      </c>
      <c r="O155" s="145" cm="1">
        <f t="array" ref="O155">IF(TbTradesBinance[[#This Row],[Tipo]]="EMPTY",0,O154+IF(TbTradesBinance[[#This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Row],[Par]]))),$1:$1,0)),-(N154-N155)/N154*O154),0),0)+IF(TbTradesBinance[[#This Row],[Tipo]]="SELL",IF(ISNUMBER(FIND(MID(O$1,10,5),TbTradesBinance[[#This Row],[Par]])),IF(FIND(MID(O$1,10,5),TbTradesBinance[[#This Row],[Par]])=1, -(N154-N155)/N154*O154,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Row],[Par]])),(-(N154-N155)/N154*O154)+IF(TbTradesBinance[[#This Row],[Resultado]]&gt;0,0,TbTradesBinance[[#This Row],[Taxa]]),0),0))</f>
        <v>119878.75132981267</v>
      </c>
      <c r="P155" s="145">
        <f t="shared" si="39"/>
        <v>1.0004603881212883</v>
      </c>
      <c r="Q15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Row],[Tipo]]="DROP"),Q154+TbTradesBinance[[#This Row],[Qtt]],Q154-TbTradesBinance[[#This Row],[Qtt]]),IF(TbTradesBinance[[#This Row],[Tipo]]="BUY",Q154-TbTradesBinance[[#This Row],[Qtt]]*TbTradesBinance[[#This Row],[Preço]],Q154+TbTradesBinance[[#This Row],[Qtt]]*TbTradesBinance[[#This Row],[Preço]])),Q154)-IF(TbTradesBinance[[#This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Row],[Tipo]]="DROP"),Q154+TbTradesBinance[[#This Row],[Qtt]],Q154-TbTradesBinance[[#This Row],[Qtt]]),IF(TbTradesBinance[[#This Row],[Tipo]]="BUY",Q154-TbTradesBinance[[#This Row],[Qtt]]*TbTradesBinance[[#This Row],[Preço]],Q154+TbTradesBinance[[#This Row],[Qtt]]*TbTradesBinance[[#This Row],[Preço]])),Q154)-IF(TbTradesBinance[[#This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Row],[Tipo]]="DROP"),Q154+TbTradesBinance[[#This Row],[Qtt]],Q154-TbTradesBinance[[#This Row],[Qtt]]),IF(TbTradesBinance[[#This Row],[Tipo]]="BUY",Q154-TbTradesBinance[[#This Row],[Qtt]]*TbTradesBinance[[#This Row],[Preço]],Q154+TbTradesBinance[[#This Row],[Qtt]]*TbTradesBinance[[#This Row],[Preço]])),Q154)-IF(TbTradesBinance[[#This Row],[Moeda da Taxa]]=MID(Q$1,9,5),TbTradesBinance[[#This Row],[Taxa]],0),8)))</f>
        <v>25.356302700000001</v>
      </c>
      <c r="R155" s="145" cm="1">
        <f t="array" ref="R155">IF(TbTradesBinance[[#This Row],[Tipo]]="EMPTY",0,R154+IF(TbTradesBinance[[#This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Row],[Par]]))),$1:$1,0)),-(Q154-Q155)/Q154*R154),0),0)+IF(TbTradesBinance[[#This Row],[Tipo]]="SELL",IF(ISNUMBER(FIND(MID(R$1,10,5),TbTradesBinance[[#This Row],[Par]])),IF(FIND(MID(R$1,10,5),TbTradesBinance[[#This Row],[Par]])=1, -(Q154-Q155)/Q154*R154,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Row],[Par]])),(-(Q154-Q155)/Q154*R154)+IF(TbTradesBinance[[#This Row],[Resultado]]&gt;0,0,TbTradesBinance[[#This Row],[Taxa]]),0),0))</f>
        <v>120.8257969142021</v>
      </c>
      <c r="S155" s="145">
        <f t="shared" si="40"/>
        <v>4.7651188875498836</v>
      </c>
      <c r="T15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Row],[Tipo]]="DROP"),T154+TbTradesBinance[[#This Row],[Qtt]],T154-TbTradesBinance[[#This Row],[Qtt]]),IF(TbTradesBinance[[#This Row],[Tipo]]="BUY",T154-TbTradesBinance[[#This Row],[Qtt]]*TbTradesBinance[[#This Row],[Preço]],T154+TbTradesBinance[[#This Row],[Qtt]]*TbTradesBinance[[#This Row],[Preço]])),T154)-IF(TbTradesBinance[[#This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Row],[Tipo]]="DROP"),T154+TbTradesBinance[[#This Row],[Qtt]],T154-TbTradesBinance[[#This Row],[Qtt]]),IF(TbTradesBinance[[#This Row],[Tipo]]="BUY",T154-TbTradesBinance[[#This Row],[Qtt]]*TbTradesBinance[[#This Row],[Preço]],T154+TbTradesBinance[[#This Row],[Qtt]]*TbTradesBinance[[#This Row],[Preço]])),T154)-IF(TbTradesBinance[[#This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Row],[Tipo]]="DROP"),T154+TbTradesBinance[[#This Row],[Qtt]],T154-TbTradesBinance[[#This Row],[Qtt]]),IF(TbTradesBinance[[#This Row],[Tipo]]="BUY",T154-TbTradesBinance[[#This Row],[Qtt]]*TbTradesBinance[[#This Row],[Preço]],T154+TbTradesBinance[[#This Row],[Qtt]]*TbTradesBinance[[#This Row],[Preço]])),T154)-IF(TbTradesBinance[[#This Row],[Moeda da Taxa]]=MID(T$1,9,5),TbTradesBinance[[#This Row],[Taxa]],0),8)))</f>
        <v>219713.72000189999</v>
      </c>
      <c r="U155" s="145" cm="1">
        <f t="array" ref="U155">IF(TbTradesBinance[[#This Row],[Tipo]]="EMPTY",0,U154+IF(TbTradesBinance[[#This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Row],[Par]]))),$1:$1,0)),-(T154-T155)/T154*U154),0),0)+IF(TbTradesBinance[[#This Row],[Tipo]]="SELL",IF(ISNUMBER(FIND(MID(U$1,10,5),TbTradesBinance[[#This Row],[Par]])),IF(FIND(MID(U$1,10,5),TbTradesBinance[[#This Row],[Par]])=1, -(T154-T155)/T154*U154,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Row],[Par]])),(-(T154-T155)/T154*U154)+IF(TbTradesBinance[[#This Row],[Resultado]]&gt;0,0,TbTradesBinance[[#This Row],[Taxa]]),0),0))</f>
        <v>1461096.2409827893</v>
      </c>
      <c r="V155" s="145">
        <f t="shared" si="41"/>
        <v>6.6500000135182926</v>
      </c>
      <c r="W15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Row],[Tipo]]="DROP"),W154+TbTradesBinance[[#This Row],[Qtt]],W154-TbTradesBinance[[#This Row],[Qtt]]),IF(TbTradesBinance[[#This Row],[Tipo]]="BUY",W154-TbTradesBinance[[#This Row],[Qtt]]*TbTradesBinance[[#This Row],[Preço]],W154+TbTradesBinance[[#This Row],[Qtt]]*TbTradesBinance[[#This Row],[Preço]])),W154)-IF(TbTradesBinance[[#This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Row],[Tipo]]="DROP"),W154+TbTradesBinance[[#This Row],[Qtt]],W154-TbTradesBinance[[#This Row],[Qtt]]),IF(TbTradesBinance[[#This Row],[Tipo]]="BUY",W154-TbTradesBinance[[#This Row],[Qtt]]*TbTradesBinance[[#This Row],[Preço]],W154+TbTradesBinance[[#This Row],[Qtt]]*TbTradesBinance[[#This Row],[Preço]])),W154)-IF(TbTradesBinance[[#This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Row],[Tipo]]="DROP"),W154+TbTradesBinance[[#This Row],[Qtt]],W154-TbTradesBinance[[#This Row],[Qtt]]),IF(TbTradesBinance[[#This Row],[Tipo]]="BUY",W154-TbTradesBinance[[#This Row],[Qtt]]*TbTradesBinance[[#This Row],[Preço]],W154+TbTradesBinance[[#This Row],[Qtt]]*TbTradesBinance[[#This Row],[Preço]])),W154)-IF(TbTradesBinance[[#This Row],[Moeda da Taxa]]=MID(W$1,9,5),TbTradesBinance[[#This Row],[Taxa]],0),8)))</f>
        <v>5.9236E-4</v>
      </c>
      <c r="X155" s="145" cm="1">
        <f t="array" ref="X155">IF(TbTradesBinance[[#This Row],[Tipo]]="EMPTY",0,X154+IF(TbTradesBinance[[#This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Row],[Par]]))),$1:$1,0)),-(W154-W155)/W154*X154),0),0)+IF(TbTradesBinance[[#This Row],[Tipo]]="SELL",IF(ISNUMBER(FIND(MID(X$1,10,5),TbTradesBinance[[#This Row],[Par]])),IF(FIND(MID(X$1,10,5),TbTradesBinance[[#This Row],[Par]])=1, -(W154-W155)/W154*X154,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Row],[Par]])),(-(W154-W155)/W154*X154)+IF(TbTradesBinance[[#This Row],[Resultado]]&gt;0,0,TbTradesBinance[[#This Row],[Taxa]]),0),0))</f>
        <v>206.80783641683473</v>
      </c>
      <c r="Y155" s="145">
        <f t="shared" si="42"/>
        <v>349125.25561623799</v>
      </c>
      <c r="Z15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Row],[Tipo]]="DROP"),Z154+TbTradesBinance[[#This Row],[Qtt]],Z154-TbTradesBinance[[#This Row],[Qtt]]),IF(TbTradesBinance[[#This Row],[Tipo]]="BUY",Z154-TbTradesBinance[[#This Row],[Qtt]]*TbTradesBinance[[#This Row],[Preço]],Z154+TbTradesBinance[[#This Row],[Qtt]]*TbTradesBinance[[#This Row],[Preço]])),Z154)-IF(TbTradesBinance[[#This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Row],[Tipo]]="DROP"),Z154+TbTradesBinance[[#This Row],[Qtt]],Z154-TbTradesBinance[[#This Row],[Qtt]]),IF(TbTradesBinance[[#This Row],[Tipo]]="BUY",Z154-TbTradesBinance[[#This Row],[Qtt]]*TbTradesBinance[[#This Row],[Preço]],Z154+TbTradesBinance[[#This Row],[Qtt]]*TbTradesBinance[[#This Row],[Preço]])),Z154)-IF(TbTradesBinance[[#This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Row],[Tipo]]="DROP"),Z154+TbTradesBinance[[#This Row],[Qtt]],Z154-TbTradesBinance[[#This Row],[Qtt]]),IF(TbTradesBinance[[#This Row],[Tipo]]="BUY",Z154-TbTradesBinance[[#This Row],[Qtt]]*TbTradesBinance[[#This Row],[Preço]],Z154+TbTradesBinance[[#This Row],[Qtt]]*TbTradesBinance[[#This Row],[Preço]])),Z154)-IF(TbTradesBinance[[#This Row],[Moeda da Taxa]]=MID(Z$1,9,5),TbTradesBinance[[#This Row],[Taxa]],0),8)))</f>
        <v>0</v>
      </c>
      <c r="AA155" s="145" cm="1">
        <f t="array" ref="AA155">IF(TbTradesBinance[[#This Row],[Tipo]]="EMPTY",0,AA154+IF(TbTradesBinance[[#This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Row],[Par]]))),$1:$1,0)),-(Z154-Z155)/Z154*AA154),0),0)+IF(TbTradesBinance[[#This Row],[Tipo]]="SELL",IF(ISNUMBER(FIND(MID(AA$1,10,5),TbTradesBinance[[#This Row],[Par]])),IF(FIND(MID(AA$1,10,5),TbTradesBinance[[#This Row],[Par]])=1, -(Z154-Z155)/Z154*AA154,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Row],[Par]])),(-(Z154-Z155)/Z154*AA154)+IF(TbTradesBinance[[#This Row],[Resultado]]&gt;0,0,TbTradesBinance[[#This Row],[Taxa]]),0),0))</f>
        <v>0</v>
      </c>
      <c r="AB155" s="145">
        <f t="shared" si="43"/>
        <v>0</v>
      </c>
      <c r="AC15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Row],[Tipo]]="DROP"),AC154+TbTradesBinance[[#This Row],[Qtt]],AC154-TbTradesBinance[[#This Row],[Qtt]]),IF(TbTradesBinance[[#This Row],[Tipo]]="BUY",AC154-TbTradesBinance[[#This Row],[Qtt]]*TbTradesBinance[[#This Row],[Preço]],AC154+TbTradesBinance[[#This Row],[Qtt]]*TbTradesBinance[[#This Row],[Preço]])),AC154)-IF(TbTradesBinance[[#This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Row],[Tipo]]="DROP"),AC154+TbTradesBinance[[#This Row],[Qtt]],AC154-TbTradesBinance[[#This Row],[Qtt]]),IF(TbTradesBinance[[#This Row],[Tipo]]="BUY",AC154-TbTradesBinance[[#This Row],[Qtt]]*TbTradesBinance[[#This Row],[Preço]],AC154+TbTradesBinance[[#This Row],[Qtt]]*TbTradesBinance[[#This Row],[Preço]])),AC154)-IF(TbTradesBinance[[#This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Row],[Tipo]]="DROP"),AC154+TbTradesBinance[[#This Row],[Qtt]],AC154-TbTradesBinance[[#This Row],[Qtt]]),IF(TbTradesBinance[[#This Row],[Tipo]]="BUY",AC154-TbTradesBinance[[#This Row],[Qtt]]*TbTradesBinance[[#This Row],[Preço]],AC154+TbTradesBinance[[#This Row],[Qtt]]*TbTradesBinance[[#This Row],[Preço]])),AC154)-IF(TbTradesBinance[[#This Row],[Moeda da Taxa]]=MID(AC$1,9,5),TbTradesBinance[[#This Row],[Taxa]],0),8)))</f>
        <v>0</v>
      </c>
      <c r="AD155" s="145" cm="1">
        <f t="array" ref="AD155">IF(TbTradesBinance[[#This Row],[Tipo]]="EMPTY",0,AD154+IF(TbTradesBinance[[#This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Row],[Par]]))),$1:$1,0)),-(AC154-AC155)/AC154*AD154),0),0)+IF(TbTradesBinance[[#This Row],[Tipo]]="SELL",IF(ISNUMBER(FIND(MID(AD$1,10,5),TbTradesBinance[[#This Row],[Par]])),IF(FIND(MID(AD$1,10,5),TbTradesBinance[[#This Row],[Par]])=1, -(AC154-AC155)/AC154*AD154,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Row],[Par]])),(-(AC154-AC155)/AC154*AD154)+IF(TbTradesBinance[[#This Row],[Resultado]]&gt;0,0,TbTradesBinance[[#This Row],[Taxa]]),0),0))</f>
        <v>0</v>
      </c>
      <c r="AE155" s="145">
        <f t="shared" si="44"/>
        <v>0</v>
      </c>
      <c r="AF15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Row],[Tipo]]="DROP"),AF154+TbTradesBinance[[#This Row],[Qtt]],AF154-TbTradesBinance[[#This Row],[Qtt]]),IF(TbTradesBinance[[#This Row],[Tipo]]="BUY",AF154-TbTradesBinance[[#This Row],[Qtt]]*TbTradesBinance[[#This Row],[Preço]],AF154+TbTradesBinance[[#This Row],[Qtt]]*TbTradesBinance[[#This Row],[Preço]])),AF154)-IF(TbTradesBinance[[#This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Row],[Tipo]]="DROP"),AF154+TbTradesBinance[[#This Row],[Qtt]],AF154-TbTradesBinance[[#This Row],[Qtt]]),IF(TbTradesBinance[[#This Row],[Tipo]]="BUY",AF154-TbTradesBinance[[#This Row],[Qtt]]*TbTradesBinance[[#This Row],[Preço]],AF154+TbTradesBinance[[#This Row],[Qtt]]*TbTradesBinance[[#This Row],[Preço]])),AF154)-IF(TbTradesBinance[[#This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Row],[Tipo]]="DROP"),AF154+TbTradesBinance[[#This Row],[Qtt]],AF154-TbTradesBinance[[#This Row],[Qtt]]),IF(TbTradesBinance[[#This Row],[Tipo]]="BUY",AF154-TbTradesBinance[[#This Row],[Qtt]]*TbTradesBinance[[#This Row],[Preço]],AF154+TbTradesBinance[[#This Row],[Qtt]]*TbTradesBinance[[#This Row],[Preço]])),AF154)-IF(TbTradesBinance[[#This Row],[Moeda da Taxa]]=MID(AF$1,9,5),TbTradesBinance[[#This Row],[Taxa]],0),8)))</f>
        <v>0</v>
      </c>
      <c r="AG155" s="145" cm="1">
        <f t="array" ref="AG155">IF(TbTradesBinance[[#This Row],[Tipo]]="EMPTY",0,AG154+IF(TbTradesBinance[[#This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Row],[Par]]))),$1:$1,0)),-(AF154-AF155)/AF154*AG154),0),0)+IF(TbTradesBinance[[#This Row],[Tipo]]="SELL",IF(ISNUMBER(FIND(MID(AG$1,10,5),TbTradesBinance[[#This Row],[Par]])),IF(FIND(MID(AG$1,10,5),TbTradesBinance[[#This Row],[Par]])=1, -(AF154-AF155)/AF154*AG154,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Row],[Par]])),(-(AF154-AF155)/AF154*AG154)+IF(TbTradesBinance[[#This Row],[Resultado]]&gt;0,0,TbTradesBinance[[#This Row],[Taxa]]),0),0))</f>
        <v>0</v>
      </c>
      <c r="AH155" s="145">
        <f t="shared" si="45"/>
        <v>0</v>
      </c>
      <c r="AI15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Row],[Tipo]]="DROP"),AI154+TbTradesBinance[[#This Row],[Qtt]],AI154-TbTradesBinance[[#This Row],[Qtt]]),IF(TbTradesBinance[[#This Row],[Tipo]]="BUY",AI154-TbTradesBinance[[#This Row],[Qtt]]*TbTradesBinance[[#This Row],[Preço]],AI154+TbTradesBinance[[#This Row],[Qtt]]*TbTradesBinance[[#This Row],[Preço]])),AI154)-IF(TbTradesBinance[[#This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Row],[Tipo]]="DROP"),AI154+TbTradesBinance[[#This Row],[Qtt]],AI154-TbTradesBinance[[#This Row],[Qtt]]),IF(TbTradesBinance[[#This Row],[Tipo]]="BUY",AI154-TbTradesBinance[[#This Row],[Qtt]]*TbTradesBinance[[#This Row],[Preço]],AI154+TbTradesBinance[[#This Row],[Qtt]]*TbTradesBinance[[#This Row],[Preço]])),AI154)-IF(TbTradesBinance[[#This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Row],[Tipo]]="DROP"),AI154+TbTradesBinance[[#This Row],[Qtt]],AI154-TbTradesBinance[[#This Row],[Qtt]]),IF(TbTradesBinance[[#This Row],[Tipo]]="BUY",AI154-TbTradesBinance[[#This Row],[Qtt]]*TbTradesBinance[[#This Row],[Preço]],AI154+TbTradesBinance[[#This Row],[Qtt]]*TbTradesBinance[[#This Row],[Preço]])),AI154)-IF(TbTradesBinance[[#This Row],[Moeda da Taxa]]=MID(AI$1,9,5),TbTradesBinance[[#This Row],[Taxa]],0),8)))</f>
        <v>0</v>
      </c>
      <c r="AJ155" s="145" cm="1">
        <f t="array" ref="AJ155">IF(TbTradesBinance[[#This Row],[Tipo]]="EMPTY",0,AJ154+IF(TbTradesBinance[[#This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Row],[Par]]))),$1:$1,0)),-(AI154-AI155)/AI154*AJ154),0),0)+IF(TbTradesBinance[[#This Row],[Tipo]]="SELL",IF(ISNUMBER(FIND(MID(AJ$1,10,5),TbTradesBinance[[#This Row],[Par]])),IF(FIND(MID(AJ$1,10,5),TbTradesBinance[[#This Row],[Par]])=1, -(AI154-AI155)/AI154*AJ154,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Row],[Par]])),(-(AI154-AI155)/AI154*AJ154)+IF(TbTradesBinance[[#This Row],[Resultado]]&gt;0,0,TbTradesBinance[[#This Row],[Taxa]]),0),0))</f>
        <v>0</v>
      </c>
      <c r="AK155" s="145">
        <f t="shared" si="46"/>
        <v>0</v>
      </c>
      <c r="AL15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Row],[Tipo]]="DROP"),AL154+TbTradesBinance[[#This Row],[Qtt]],AL154-TbTradesBinance[[#This Row],[Qtt]]),IF(TbTradesBinance[[#This Row],[Tipo]]="BUY",AL154-TbTradesBinance[[#This Row],[Qtt]]*TbTradesBinance[[#This Row],[Preço]],AL154+TbTradesBinance[[#This Row],[Qtt]]*TbTradesBinance[[#This Row],[Preço]])),AL154)-IF(TbTradesBinance[[#This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Row],[Tipo]]="DROP"),AL154+TbTradesBinance[[#This Row],[Qtt]],AL154-TbTradesBinance[[#This Row],[Qtt]]),IF(TbTradesBinance[[#This Row],[Tipo]]="BUY",AL154-TbTradesBinance[[#This Row],[Qtt]]*TbTradesBinance[[#This Row],[Preço]],AL154+TbTradesBinance[[#This Row],[Qtt]]*TbTradesBinance[[#This Row],[Preço]])),AL154)-IF(TbTradesBinance[[#This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Row],[Tipo]]="DROP"),AL154+TbTradesBinance[[#This Row],[Qtt]],AL154-TbTradesBinance[[#This Row],[Qtt]]),IF(TbTradesBinance[[#This Row],[Tipo]]="BUY",AL154-TbTradesBinance[[#This Row],[Qtt]]*TbTradesBinance[[#This Row],[Preço]],AL154+TbTradesBinance[[#This Row],[Qtt]]*TbTradesBinance[[#This Row],[Preço]])),AL154)-IF(TbTradesBinance[[#This Row],[Moeda da Taxa]]=MID(AL$1,9,5),TbTradesBinance[[#This Row],[Taxa]],0),8)))</f>
        <v>0</v>
      </c>
      <c r="AM155" s="145" cm="1">
        <f t="array" ref="AM155">IF(TbTradesBinance[[#This Row],[Tipo]]="EMPTY",0,AM154+IF(TbTradesBinance[[#This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Row],[Par]]))),$1:$1,0)),-(AL154-AL155)/AL154*AM154),0),0)+IF(TbTradesBinance[[#This Row],[Tipo]]="SELL",IF(ISNUMBER(FIND(MID(AM$1,10,5),TbTradesBinance[[#This Row],[Par]])),IF(FIND(MID(AM$1,10,5),TbTradesBinance[[#This Row],[Par]])=1, -(AL154-AL155)/AL154*AM154,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Row],[Par]])),(-(AL154-AL155)/AL154*AM154)+IF(TbTradesBinance[[#This Row],[Resultado]]&gt;0,0,TbTradesBinance[[#This Row],[Taxa]]),0),0))</f>
        <v>0</v>
      </c>
      <c r="AN155" s="145">
        <f t="shared" si="47"/>
        <v>0</v>
      </c>
      <c r="AO15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Row],[Tipo]]="DROP"),AO154+TbTradesBinance[[#This Row],[Qtt]],AO154-TbTradesBinance[[#This Row],[Qtt]]),IF(TbTradesBinance[[#This Row],[Tipo]]="BUY",AO154-TbTradesBinance[[#This Row],[Qtt]]*TbTradesBinance[[#This Row],[Preço]],AO154+TbTradesBinance[[#This Row],[Qtt]]*TbTradesBinance[[#This Row],[Preço]])),AO154)-IF(TbTradesBinance[[#This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Row],[Tipo]]="DROP"),AO154+TbTradesBinance[[#This Row],[Qtt]],AO154-TbTradesBinance[[#This Row],[Qtt]]),IF(TbTradesBinance[[#This Row],[Tipo]]="BUY",AO154-TbTradesBinance[[#This Row],[Qtt]]*TbTradesBinance[[#This Row],[Preço]],AO154+TbTradesBinance[[#This Row],[Qtt]]*TbTradesBinance[[#This Row],[Preço]])),AO154)-IF(TbTradesBinance[[#This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Row],[Tipo]]="DROP"),AO154+TbTradesBinance[[#This Row],[Qtt]],AO154-TbTradesBinance[[#This Row],[Qtt]]),IF(TbTradesBinance[[#This Row],[Tipo]]="BUY",AO154-TbTradesBinance[[#This Row],[Qtt]]*TbTradesBinance[[#This Row],[Preço]],AO154+TbTradesBinance[[#This Row],[Qtt]]*TbTradesBinance[[#This Row],[Preço]])),AO154)-IF(TbTradesBinance[[#This Row],[Moeda da Taxa]]=MID(AO$1,9,5),TbTradesBinance[[#This Row],[Taxa]],0),8)))</f>
        <v>3.7360379999999999E-2</v>
      </c>
      <c r="AP155" s="145" cm="1">
        <f t="array" ref="AP155">IF(TbTradesBinance[[#This Row],[Tipo]]="EMPTY",0,AP154+IF(TbTradesBinance[[#This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Row],[Par]]))),$1:$1,0)),-(AO154-AO155)/AO154*AP154),0),0)+IF(TbTradesBinance[[#This Row],[Tipo]]="SELL",IF(ISNUMBER(FIND(MID(AP$1,10,5),TbTradesBinance[[#This Row],[Par]])),IF(FIND(MID(AP$1,10,5),TbTradesBinance[[#This Row],[Par]])=1, -(AO154-AO155)/AO154*AP154,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Row],[Par]])),(-(AO154-AO155)/AO154*AP154)+IF(TbTradesBinance[[#This Row],[Resultado]]&gt;0,0,TbTradesBinance[[#This Row],[Taxa]]),0),0))</f>
        <v>57.065298020032813</v>
      </c>
      <c r="AQ155" s="145">
        <f t="shared" si="48"/>
        <v>1527.4282012129645</v>
      </c>
      <c r="AR15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Row],[Tipo]]="DROP"),AR154+TbTradesBinance[[#This Row],[Qtt]],AR154-TbTradesBinance[[#This Row],[Qtt]]),IF(TbTradesBinance[[#This Row],[Tipo]]="BUY",AR154-TbTradesBinance[[#This Row],[Qtt]]*TbTradesBinance[[#This Row],[Preço]],AR154+TbTradesBinance[[#This Row],[Qtt]]*TbTradesBinance[[#This Row],[Preço]])),AR154)-IF(TbTradesBinance[[#This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Row],[Tipo]]="DROP"),AR154+TbTradesBinance[[#This Row],[Qtt]],AR154-TbTradesBinance[[#This Row],[Qtt]]),IF(TbTradesBinance[[#This Row],[Tipo]]="BUY",AR154-TbTradesBinance[[#This Row],[Qtt]]*TbTradesBinance[[#This Row],[Preço]],AR154+TbTradesBinance[[#This Row],[Qtt]]*TbTradesBinance[[#This Row],[Preço]])),AR154)-IF(TbTradesBinance[[#This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Row],[Tipo]]="DROP"),AR154+TbTradesBinance[[#This Row],[Qtt]],AR154-TbTradesBinance[[#This Row],[Qtt]]),IF(TbTradesBinance[[#This Row],[Tipo]]="BUY",AR154-TbTradesBinance[[#This Row],[Qtt]]*TbTradesBinance[[#This Row],[Preço]],AR154+TbTradesBinance[[#This Row],[Qtt]]*TbTradesBinance[[#This Row],[Preço]])),AR154)-IF(TbTradesBinance[[#This Row],[Moeda da Taxa]]=MID(AR$1,9,5),TbTradesBinance[[#This Row],[Taxa]],0),8)))</f>
        <v>0</v>
      </c>
      <c r="AS155" s="145" cm="1">
        <f t="array" ref="AS155">IF(TbTradesBinance[[#This Row],[Tipo]]="EMPTY",0,AS154+IF(TbTradesBinance[[#This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Row],[Par]]))),$1:$1,0)),-(AR154-AR155)/AR154*AS154),0),0)+IF(TbTradesBinance[[#This Row],[Tipo]]="SELL",IF(ISNUMBER(FIND(MID(AS$1,10,5),TbTradesBinance[[#This Row],[Par]])),IF(FIND(MID(AS$1,10,5),TbTradesBinance[[#This Row],[Par]])=1, -(AR154-AR155)/AR154*AS154,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Row],[Par]])),(-(AR154-AR155)/AR154*AS154)+IF(TbTradesBinance[[#This Row],[Resultado]]&gt;0,0,TbTradesBinance[[#This Row],[Taxa]]),0),0))</f>
        <v>0</v>
      </c>
      <c r="AT155" s="145">
        <f t="shared" si="49"/>
        <v>0</v>
      </c>
      <c r="AU15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Row],[Tipo]]="DROP"),AU154+TbTradesBinance[[#This Row],[Qtt]],AU154-TbTradesBinance[[#This Row],[Qtt]]),IF(TbTradesBinance[[#This Row],[Tipo]]="BUY",AU154-TbTradesBinance[[#This Row],[Qtt]]*TbTradesBinance[[#This Row],[Preço]],AU154+TbTradesBinance[[#This Row],[Qtt]]*TbTradesBinance[[#This Row],[Preço]])),AU154)-IF(TbTradesBinance[[#This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Row],[Tipo]]="DROP"),AU154+TbTradesBinance[[#This Row],[Qtt]],AU154-TbTradesBinance[[#This Row],[Qtt]]),IF(TbTradesBinance[[#This Row],[Tipo]]="BUY",AU154-TbTradesBinance[[#This Row],[Qtt]]*TbTradesBinance[[#This Row],[Preço]],AU154+TbTradesBinance[[#This Row],[Qtt]]*TbTradesBinance[[#This Row],[Preço]])),AU154)-IF(TbTradesBinance[[#This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Row],[Tipo]]="DROP"),AU154+TbTradesBinance[[#This Row],[Qtt]],AU154-TbTradesBinance[[#This Row],[Qtt]]),IF(TbTradesBinance[[#This Row],[Tipo]]="BUY",AU154-TbTradesBinance[[#This Row],[Qtt]]*TbTradesBinance[[#This Row],[Preço]],AU154+TbTradesBinance[[#This Row],[Qtt]]*TbTradesBinance[[#This Row],[Preço]])),AU154)-IF(TbTradesBinance[[#This Row],[Moeda da Taxa]]=MID(AU$1,9,5),TbTradesBinance[[#This Row],[Taxa]],0),8)))</f>
        <v>0</v>
      </c>
      <c r="AV155" s="145" cm="1">
        <f t="array" ref="AV155">IF(TbTradesBinance[[#This Row],[Tipo]]="EMPTY",0,AV154+IF(TbTradesBinance[[#This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Row],[Par]]))),$1:$1,0)),-(AU154-AU155)/AU154*AV154),0),0)+IF(TbTradesBinance[[#This Row],[Tipo]]="SELL",IF(ISNUMBER(FIND(MID(AV$1,10,5),TbTradesBinance[[#This Row],[Par]])),IF(FIND(MID(AV$1,10,5),TbTradesBinance[[#This Row],[Par]])=1, -(AU154-AU155)/AU154*AV154,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Row],[Par]])),(-(AU154-AU155)/AU154*AV154)+IF(TbTradesBinance[[#This Row],[Resultado]]&gt;0,0,TbTradesBinance[[#This Row],[Taxa]]),0),0))</f>
        <v>0</v>
      </c>
      <c r="AW155" s="145">
        <f t="shared" si="50"/>
        <v>0</v>
      </c>
      <c r="AX15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Row],[Tipo]]="DROP"),AX154+TbTradesBinance[[#This Row],[Qtt]],AX154-TbTradesBinance[[#This Row],[Qtt]]),IF(TbTradesBinance[[#This Row],[Tipo]]="BUY",AX154-TbTradesBinance[[#This Row],[Qtt]]*TbTradesBinance[[#This Row],[Preço]],AX154+TbTradesBinance[[#This Row],[Qtt]]*TbTradesBinance[[#This Row],[Preço]])),AX154)-IF(TbTradesBinance[[#This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Row],[Tipo]]="DROP"),AX154+TbTradesBinance[[#This Row],[Qtt]],AX154-TbTradesBinance[[#This Row],[Qtt]]),IF(TbTradesBinance[[#This Row],[Tipo]]="BUY",AX154-TbTradesBinance[[#This Row],[Qtt]]*TbTradesBinance[[#This Row],[Preço]],AX154+TbTradesBinance[[#This Row],[Qtt]]*TbTradesBinance[[#This Row],[Preço]])),AX154)-IF(TbTradesBinance[[#This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Row],[Tipo]]="DROP"),AX154+TbTradesBinance[[#This Row],[Qtt]],AX154-TbTradesBinance[[#This Row],[Qtt]]),IF(TbTradesBinance[[#This Row],[Tipo]]="BUY",AX154-TbTradesBinance[[#This Row],[Qtt]]*TbTradesBinance[[#This Row],[Preço]],AX154+TbTradesBinance[[#This Row],[Qtt]]*TbTradesBinance[[#This Row],[Preço]])),AX154)-IF(TbTradesBinance[[#This Row],[Moeda da Taxa]]=MID(AX$1,9,5),TbTradesBinance[[#This Row],[Taxa]],0),8)))</f>
        <v>0</v>
      </c>
      <c r="AY155" s="145" cm="1">
        <f t="array" ref="AY155">IF(TbTradesBinance[[#This Row],[Tipo]]="EMPTY",0,AY154+IF(TbTradesBinance[[#This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Row],[Par]]))),$1:$1,0)),-(AX154-AX155)/AX154*AY154),0),0)+IF(TbTradesBinance[[#This Row],[Tipo]]="SELL",IF(ISNUMBER(FIND(MID(AY$1,10,5),TbTradesBinance[[#This Row],[Par]])),IF(FIND(MID(AY$1,10,5),TbTradesBinance[[#This Row],[Par]])=1, -(AX154-AX155)/AX154*AY154,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Row],[Par]])),(-(AX154-AX155)/AX154*AY154)+IF(TbTradesBinance[[#This Row],[Resultado]]&gt;0,0,TbTradesBinance[[#This Row],[Taxa]]),0),0))</f>
        <v>0</v>
      </c>
      <c r="AZ155" s="145">
        <f t="shared" si="51"/>
        <v>0</v>
      </c>
      <c r="BA15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Row],[Tipo]]="DROP"),BA154+TbTradesBinance[[#This Row],[Qtt]],BA154-TbTradesBinance[[#This Row],[Qtt]]),IF(TbTradesBinance[[#This Row],[Tipo]]="BUY",BA154-TbTradesBinance[[#This Row],[Qtt]]*TbTradesBinance[[#This Row],[Preço]],BA154+TbTradesBinance[[#This Row],[Qtt]]*TbTradesBinance[[#This Row],[Preço]])),BA154)-IF(TbTradesBinance[[#This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Row],[Tipo]]="DROP"),BA154+TbTradesBinance[[#This Row],[Qtt]],BA154-TbTradesBinance[[#This Row],[Qtt]]),IF(TbTradesBinance[[#This Row],[Tipo]]="BUY",BA154-TbTradesBinance[[#This Row],[Qtt]]*TbTradesBinance[[#This Row],[Preço]],BA154+TbTradesBinance[[#This Row],[Qtt]]*TbTradesBinance[[#This Row],[Preço]])),BA154)-IF(TbTradesBinance[[#This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Row],[Tipo]]="DROP"),BA154+TbTradesBinance[[#This Row],[Qtt]],BA154-TbTradesBinance[[#This Row],[Qtt]]),IF(TbTradesBinance[[#This Row],[Tipo]]="BUY",BA154-TbTradesBinance[[#This Row],[Qtt]]*TbTradesBinance[[#This Row],[Preço]],BA154+TbTradesBinance[[#This Row],[Qtt]]*TbTradesBinance[[#This Row],[Preço]])),BA154)-IF(TbTradesBinance[[#This Row],[Moeda da Taxa]]=MID(BA$1,9,5),TbTradesBinance[[#This Row],[Taxa]],0),8)))</f>
        <v>0</v>
      </c>
      <c r="BB155" s="145" cm="1">
        <f t="array" ref="BB155">IF(TbTradesBinance[[#This Row],[Tipo]]="EMPTY",0,BB154+IF(TbTradesBinance[[#This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Row],[Par]]))),$1:$1,0)),-(BA154-BA155)/BA154*BB154),0),0)+IF(TbTradesBinance[[#This Row],[Tipo]]="SELL",IF(ISNUMBER(FIND(MID(BB$1,10,5),TbTradesBinance[[#This Row],[Par]])),IF(FIND(MID(BB$1,10,5),TbTradesBinance[[#This Row],[Par]])=1, -(BA154-BA155)/BA154*BB154,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Row],[Par]])),(-(BA154-BA155)/BA154*BB154)+IF(TbTradesBinance[[#This Row],[Resultado]]&gt;0,0,TbTradesBinance[[#This Row],[Taxa]]),0),0))</f>
        <v>0</v>
      </c>
      <c r="BC155" s="145">
        <f t="shared" si="52"/>
        <v>0</v>
      </c>
      <c r="BD15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Row],[Tipo]]="DROP"),BD154+TbTradesBinance[[#This Row],[Qtt]],BD154-TbTradesBinance[[#This Row],[Qtt]]),IF(TbTradesBinance[[#This Row],[Tipo]]="BUY",BD154-TbTradesBinance[[#This Row],[Qtt]]*TbTradesBinance[[#This Row],[Preço]],BD154+TbTradesBinance[[#This Row],[Qtt]]*TbTradesBinance[[#This Row],[Preço]])),BD154)-IF(TbTradesBinance[[#This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Row],[Tipo]]="DROP"),BD154+TbTradesBinance[[#This Row],[Qtt]],BD154-TbTradesBinance[[#This Row],[Qtt]]),IF(TbTradesBinance[[#This Row],[Tipo]]="BUY",BD154-TbTradesBinance[[#This Row],[Qtt]]*TbTradesBinance[[#This Row],[Preço]],BD154+TbTradesBinance[[#This Row],[Qtt]]*TbTradesBinance[[#This Row],[Preço]])),BD154)-IF(TbTradesBinance[[#This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Row],[Tipo]]="DROP"),BD154+TbTradesBinance[[#This Row],[Qtt]],BD154-TbTradesBinance[[#This Row],[Qtt]]),IF(TbTradesBinance[[#This Row],[Tipo]]="BUY",BD154-TbTradesBinance[[#This Row],[Qtt]]*TbTradesBinance[[#This Row],[Preço]],BD154+TbTradesBinance[[#This Row],[Qtt]]*TbTradesBinance[[#This Row],[Preço]])),BD154)-IF(TbTradesBinance[[#This Row],[Moeda da Taxa]]=MID(BD$1,9,5),TbTradesBinance[[#This Row],[Taxa]],0),8)))</f>
        <v>0</v>
      </c>
      <c r="BE155" s="145" cm="1">
        <f t="array" ref="BE155">IF(TbTradesBinance[[#This Row],[Tipo]]="EMPTY",0,BE154+IF(TbTradesBinance[[#This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Row],[Par]]))),$1:$1,0)),-(BD154-BD155)/BD154*BE154),0),0)+IF(TbTradesBinance[[#This Row],[Tipo]]="SELL",IF(ISNUMBER(FIND(MID(BE$1,10,5),TbTradesBinance[[#This Row],[Par]])),IF(FIND(MID(BE$1,10,5),TbTradesBinance[[#This Row],[Par]])=1, -(BD154-BD155)/BD154*BE154,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Row],[Par]])),(-(BD154-BD155)/BD154*BE154)+IF(TbTradesBinance[[#This Row],[Resultado]]&gt;0,0,TbTradesBinance[[#This Row],[Taxa]]),0),0))</f>
        <v>0</v>
      </c>
      <c r="BF155" s="145">
        <f t="shared" si="53"/>
        <v>0</v>
      </c>
      <c r="BG15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Row],[Tipo]]="DROP"),BG154+TbTradesBinance[[#This Row],[Qtt]],BG154-TbTradesBinance[[#This Row],[Qtt]]),IF(TbTradesBinance[[#This Row],[Tipo]]="BUY",BG154-TbTradesBinance[[#This Row],[Qtt]]*TbTradesBinance[[#This Row],[Preço]],BG154+TbTradesBinance[[#This Row],[Qtt]]*TbTradesBinance[[#This Row],[Preço]])),BG154)-IF(TbTradesBinance[[#This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Row],[Tipo]]="DROP"),BG154+TbTradesBinance[[#This Row],[Qtt]],BG154-TbTradesBinance[[#This Row],[Qtt]]),IF(TbTradesBinance[[#This Row],[Tipo]]="BUY",BG154-TbTradesBinance[[#This Row],[Qtt]]*TbTradesBinance[[#This Row],[Preço]],BG154+TbTradesBinance[[#This Row],[Qtt]]*TbTradesBinance[[#This Row],[Preço]])),BG154)-IF(TbTradesBinance[[#This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Row],[Tipo]]="DROP"),BG154+TbTradesBinance[[#This Row],[Qtt]],BG154-TbTradesBinance[[#This Row],[Qtt]]),IF(TbTradesBinance[[#This Row],[Tipo]]="BUY",BG154-TbTradesBinance[[#This Row],[Qtt]]*TbTradesBinance[[#This Row],[Preço]],BG154+TbTradesBinance[[#This Row],[Qtt]]*TbTradesBinance[[#This Row],[Preço]])),BG154)-IF(TbTradesBinance[[#This Row],[Moeda da Taxa]]=MID(BG$1,9,5),TbTradesBinance[[#This Row],[Taxa]],0),8)))</f>
        <v>0</v>
      </c>
      <c r="BH155" s="145" cm="1">
        <f t="array" ref="BH155">IF(TbTradesBinance[[#This Row],[Tipo]]="EMPTY",0,BH154+IF(TbTradesBinance[[#This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Row],[Par]]))),$1:$1,0)),-(BG154-BG155)/BG154*BH154),0),0)+IF(TbTradesBinance[[#This Row],[Tipo]]="SELL",IF(ISNUMBER(FIND(MID(BH$1,10,5),TbTradesBinance[[#This Row],[Par]])),IF(FIND(MID(BH$1,10,5),TbTradesBinance[[#This Row],[Par]])=1, -(BG154-BG155)/BG154*BH154,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Row],[Par]])),(-(BG154-BG155)/BG154*BH154)+IF(TbTradesBinance[[#This Row],[Resultado]]&gt;0,0,TbTradesBinance[[#This Row],[Taxa]]),0),0))</f>
        <v>0</v>
      </c>
      <c r="BI155" s="145">
        <f t="shared" si="54"/>
        <v>0</v>
      </c>
      <c r="BJ15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Row],[Tipo]]="DROP"),BJ154+TbTradesBinance[[#This Row],[Qtt]],BJ154-TbTradesBinance[[#This Row],[Qtt]]),IF(TbTradesBinance[[#This Row],[Tipo]]="BUY",BJ154-TbTradesBinance[[#This Row],[Qtt]]*TbTradesBinance[[#This Row],[Preço]],BJ154+TbTradesBinance[[#This Row],[Qtt]]*TbTradesBinance[[#This Row],[Preço]])),BJ154)-IF(TbTradesBinance[[#This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Row],[Tipo]]="DROP"),BJ154+TbTradesBinance[[#This Row],[Qtt]],BJ154-TbTradesBinance[[#This Row],[Qtt]]),IF(TbTradesBinance[[#This Row],[Tipo]]="BUY",BJ154-TbTradesBinance[[#This Row],[Qtt]]*TbTradesBinance[[#This Row],[Preço]],BJ154+TbTradesBinance[[#This Row],[Qtt]]*TbTradesBinance[[#This Row],[Preço]])),BJ154)-IF(TbTradesBinance[[#This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Row],[Tipo]]="DROP"),BJ154+TbTradesBinance[[#This Row],[Qtt]],BJ154-TbTradesBinance[[#This Row],[Qtt]]),IF(TbTradesBinance[[#This Row],[Tipo]]="BUY",BJ154-TbTradesBinance[[#This Row],[Qtt]]*TbTradesBinance[[#This Row],[Preço]],BJ154+TbTradesBinance[[#This Row],[Qtt]]*TbTradesBinance[[#This Row],[Preço]])),BJ154)-IF(TbTradesBinance[[#This Row],[Moeda da Taxa]]=MID(BJ$1,9,5),TbTradesBinance[[#This Row],[Taxa]],0),8)))</f>
        <v>0</v>
      </c>
      <c r="BK155" s="145" cm="1">
        <f t="array" ref="BK155">IF(TbTradesBinance[[#This Row],[Tipo]]="EMPTY",0,BK154+IF(TbTradesBinance[[#This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Row],[Par]]))),$1:$1,0)),-(BJ154-BJ155)/BJ154*BK154),0),0)+IF(TbTradesBinance[[#This Row],[Tipo]]="SELL",IF(ISNUMBER(FIND(MID(BK$1,10,5),TbTradesBinance[[#This Row],[Par]])),IF(FIND(MID(BK$1,10,5),TbTradesBinance[[#This Row],[Par]])=1, -(BJ154-BJ155)/BJ154*BK154,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Row],[Par]])),(-(BJ154-BJ155)/BJ154*BK154)+IF(TbTradesBinance[[#This Row],[Resultado]]&gt;0,0,TbTradesBinance[[#This Row],[Taxa]]),0),0))</f>
        <v>0</v>
      </c>
      <c r="BL155" s="145">
        <f t="shared" si="55"/>
        <v>0</v>
      </c>
      <c r="BM15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Row],[Tipo]]="DROP"),BM154+TbTradesBinance[[#This Row],[Qtt]],BM154-TbTradesBinance[[#This Row],[Qtt]]),IF(TbTradesBinance[[#This Row],[Tipo]]="BUY",BM154-TbTradesBinance[[#This Row],[Qtt]]*TbTradesBinance[[#This Row],[Preço]],BM154+TbTradesBinance[[#This Row],[Qtt]]*TbTradesBinance[[#This Row],[Preço]])),BM154)-IF(TbTradesBinance[[#This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Row],[Tipo]]="DROP"),BM154+TbTradesBinance[[#This Row],[Qtt]],BM154-TbTradesBinance[[#This Row],[Qtt]]),IF(TbTradesBinance[[#This Row],[Tipo]]="BUY",BM154-TbTradesBinance[[#This Row],[Qtt]]*TbTradesBinance[[#This Row],[Preço]],BM154+TbTradesBinance[[#This Row],[Qtt]]*TbTradesBinance[[#This Row],[Preço]])),BM154)-IF(TbTradesBinance[[#This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Row],[Tipo]]="DROP"),BM154+TbTradesBinance[[#This Row],[Qtt]],BM154-TbTradesBinance[[#This Row],[Qtt]]),IF(TbTradesBinance[[#This Row],[Tipo]]="BUY",BM154-TbTradesBinance[[#This Row],[Qtt]]*TbTradesBinance[[#This Row],[Preço]],BM154+TbTradesBinance[[#This Row],[Qtt]]*TbTradesBinance[[#This Row],[Preço]])),BM154)-IF(TbTradesBinance[[#This Row],[Moeda da Taxa]]=MID(BM$1,9,5),TbTradesBinance[[#This Row],[Taxa]],0),8)))</f>
        <v>0.17338655</v>
      </c>
      <c r="BN155" s="145" cm="1">
        <f t="array" ref="BN155">IF(TbTradesBinance[[#This Row],[Tipo]]="EMPTY",0,BN154+IF(TbTradesBinance[[#This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Row],[Par]]))),$1:$1,0)),-(BM154-BM155)/BM154*BN154),0),0)+IF(TbTradesBinance[[#This Row],[Tipo]]="SELL",IF(ISNUMBER(FIND(MID(BN$1,10,5),TbTradesBinance[[#This Row],[Par]])),IF(FIND(MID(BN$1,10,5),TbTradesBinance[[#This Row],[Par]])=1, -(BM154-BM155)/BM154*BN154,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Row],[Par]])),(-(BM154-BM155)/BM154*BN154)+IF(TbTradesBinance[[#This Row],[Resultado]]&gt;0,0,TbTradesBinance[[#This Row],[Taxa]]),0),0))</f>
        <v>0</v>
      </c>
      <c r="BO155" s="145">
        <f t="shared" si="56"/>
        <v>0</v>
      </c>
    </row>
    <row r="156" spans="2:67" x14ac:dyDescent="0.3">
      <c r="B156" s="51"/>
      <c r="C156" s="40">
        <f>TRUNC(IF(AND(TbTradesBinance[[#This Row],[Tipo]]="SEND",TbTradesBinance[[#This Row],[Par]]="BRL"),TbTradesBinance[[#This Row],[Qtt]]*(1-P154)-IF(TbTradesBinance[[#This Row],[Moeda da Taxa]]="BRL",TbTradesBinance[[#This Row],[Taxa]],0),0)+IF(AND(TbTradesBinance[[#This Row],[Tipo]]="BURN",TbTradesBinance[[#This Row],[Par]]="BRL"),-TbTradesBinance[[#This Row],[Qtt]]*P154,0),2)</f>
        <v>0</v>
      </c>
      <c r="D156" s="53">
        <v>44302.084409722222</v>
      </c>
      <c r="E156" s="37" t="s">
        <v>270</v>
      </c>
      <c r="F156" s="47" t="s">
        <v>139</v>
      </c>
      <c r="G156" s="38">
        <v>41.65</v>
      </c>
      <c r="H156" s="38">
        <v>0.3</v>
      </c>
      <c r="I156" s="38">
        <v>1.8410000000000002E-5</v>
      </c>
      <c r="J156" s="37" t="s">
        <v>45</v>
      </c>
      <c r="K156" s="52">
        <v>5.585</v>
      </c>
      <c r="L156" s="40">
        <f t="shared" si="38"/>
        <v>232.61</v>
      </c>
      <c r="M156" s="40">
        <f>IF(OR(TbTradesBinance[[#This Row],[Tipo]]="BUY",TbTradesBinance[[#This Row],[Tipo]]="RECEIVE",TbTradesBinance[[#This Row],[Tipo]]="DROP"),L156*H156,-L156*H156)</f>
        <v>69.783000000000001</v>
      </c>
      <c r="N15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Row],[Tipo]]="DROP"),N155+TbTradesBinance[[#This Row],[Qtt]],N155-TbTradesBinance[[#This Row],[Qtt]]),IF(TbTradesBinance[[#This Row],[Tipo]]="BUY",N155-TbTradesBinance[[#This Row],[Qtt]]*TbTradesBinance[[#This Row],[Preço]],N155+TbTradesBinance[[#This Row],[Qtt]]*TbTradesBinance[[#This Row],[Preço]])),N155)-IF(TbTradesBinance[[#This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Row],[Tipo]]="DROP"),N155+TbTradesBinance[[#This Row],[Qtt]],N155-TbTradesBinance[[#This Row],[Qtt]]),IF(TbTradesBinance[[#This Row],[Tipo]]="BUY",N155-TbTradesBinance[[#This Row],[Qtt]]*TbTradesBinance[[#This Row],[Preço]],N155+TbTradesBinance[[#This Row],[Qtt]]*TbTradesBinance[[#This Row],[Preço]])),N155)-IF(TbTradesBinance[[#This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Row],[Tipo]]="DROP"),N155+TbTradesBinance[[#This Row],[Qtt]],N155-TbTradesBinance[[#This Row],[Qtt]]),IF(TbTradesBinance[[#This Row],[Tipo]]="BUY",N155-TbTradesBinance[[#This Row],[Qtt]]*TbTradesBinance[[#This Row],[Preço]],N155+TbTradesBinance[[#This Row],[Qtt]]*TbTradesBinance[[#This Row],[Preço]])),N155)-IF(TbTradesBinance[[#This Row],[Moeda da Taxa]]=MID(N$1,9,5),TbTradesBinance[[#This Row],[Taxa]],0),8)))</f>
        <v>119823.58597417999</v>
      </c>
      <c r="O156" s="145" cm="1">
        <f t="array" ref="O156">IF(TbTradesBinance[[#This Row],[Tipo]]="EMPTY",0,O155+IF(TbTradesBinance[[#This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Row],[Par]]))),$1:$1,0)),-(N155-N156)/N155*O155),0),0)+IF(TbTradesBinance[[#This Row],[Tipo]]="SELL",IF(ISNUMBER(FIND(MID(O$1,10,5),TbTradesBinance[[#This Row],[Par]])),IF(FIND(MID(O$1,10,5),TbTradesBinance[[#This Row],[Par]])=1, -(N155-N156)/N155*O155,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Row],[Par]])),(-(N155-N156)/N155*O155)+IF(TbTradesBinance[[#This Row],[Resultado]]&gt;0,0,TbTradesBinance[[#This Row],[Taxa]]),0),0))</f>
        <v>119878.75132981267</v>
      </c>
      <c r="P156" s="145">
        <f t="shared" si="39"/>
        <v>1.0004603881212883</v>
      </c>
      <c r="Q15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Row],[Tipo]]="DROP"),Q155+TbTradesBinance[[#This Row],[Qtt]],Q155-TbTradesBinance[[#This Row],[Qtt]]),IF(TbTradesBinance[[#This Row],[Tipo]]="BUY",Q155-TbTradesBinance[[#This Row],[Qtt]]*TbTradesBinance[[#This Row],[Preço]],Q155+TbTradesBinance[[#This Row],[Qtt]]*TbTradesBinance[[#This Row],[Preço]])),Q155)-IF(TbTradesBinance[[#This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Row],[Tipo]]="DROP"),Q155+TbTradesBinance[[#This Row],[Qtt]],Q155-TbTradesBinance[[#This Row],[Qtt]]),IF(TbTradesBinance[[#This Row],[Tipo]]="BUY",Q155-TbTradesBinance[[#This Row],[Qtt]]*TbTradesBinance[[#This Row],[Preço]],Q155+TbTradesBinance[[#This Row],[Qtt]]*TbTradesBinance[[#This Row],[Preço]])),Q155)-IF(TbTradesBinance[[#This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Row],[Tipo]]="DROP"),Q155+TbTradesBinance[[#This Row],[Qtt]],Q155-TbTradesBinance[[#This Row],[Qtt]]),IF(TbTradesBinance[[#This Row],[Tipo]]="BUY",Q155-TbTradesBinance[[#This Row],[Qtt]]*TbTradesBinance[[#This Row],[Preço]],Q155+TbTradesBinance[[#This Row],[Qtt]]*TbTradesBinance[[#This Row],[Preço]])),Q155)-IF(TbTradesBinance[[#This Row],[Moeda da Taxa]]=MID(Q$1,9,5),TbTradesBinance[[#This Row],[Taxa]],0),8)))</f>
        <v>12.8613027</v>
      </c>
      <c r="R156" s="145" cm="1">
        <f t="array" ref="R156">IF(TbTradesBinance[[#This Row],[Tipo]]="EMPTY",0,R155+IF(TbTradesBinance[[#This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Row],[Par]]))),$1:$1,0)),-(Q155-Q156)/Q155*R155),0),0)+IF(TbTradesBinance[[#This Row],[Tipo]]="SELL",IF(ISNUMBER(FIND(MID(R$1,10,5),TbTradesBinance[[#This Row],[Par]])),IF(FIND(MID(R$1,10,5),TbTradesBinance[[#This Row],[Par]])=1, -(Q155-Q156)/Q155*R155,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Row],[Par]])),(-(Q155-Q156)/Q155*R155)+IF(TbTradesBinance[[#This Row],[Resultado]]&gt;0,0,TbTradesBinance[[#This Row],[Taxa]]),0),0))</f>
        <v>61.285636414266307</v>
      </c>
      <c r="S156" s="145">
        <f t="shared" si="40"/>
        <v>4.7651188875498836</v>
      </c>
      <c r="T15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Row],[Tipo]]="DROP"),T155+TbTradesBinance[[#This Row],[Qtt]],T155-TbTradesBinance[[#This Row],[Qtt]]),IF(TbTradesBinance[[#This Row],[Tipo]]="BUY",T155-TbTradesBinance[[#This Row],[Qtt]]*TbTradesBinance[[#This Row],[Preço]],T155+TbTradesBinance[[#This Row],[Qtt]]*TbTradesBinance[[#This Row],[Preço]])),T155)-IF(TbTradesBinance[[#This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Row],[Tipo]]="DROP"),T155+TbTradesBinance[[#This Row],[Qtt]],T155-TbTradesBinance[[#This Row],[Qtt]]),IF(TbTradesBinance[[#This Row],[Tipo]]="BUY",T155-TbTradesBinance[[#This Row],[Qtt]]*TbTradesBinance[[#This Row],[Preço]],T155+TbTradesBinance[[#This Row],[Qtt]]*TbTradesBinance[[#This Row],[Preço]])),T155)-IF(TbTradesBinance[[#This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Row],[Tipo]]="DROP"),T155+TbTradesBinance[[#This Row],[Qtt]],T155-TbTradesBinance[[#This Row],[Qtt]]),IF(TbTradesBinance[[#This Row],[Tipo]]="BUY",T155-TbTradesBinance[[#This Row],[Qtt]]*TbTradesBinance[[#This Row],[Preço]],T155+TbTradesBinance[[#This Row],[Qtt]]*TbTradesBinance[[#This Row],[Preço]])),T155)-IF(TbTradesBinance[[#This Row],[Moeda da Taxa]]=MID(T$1,9,5),TbTradesBinance[[#This Row],[Taxa]],0),8)))</f>
        <v>219713.72000189999</v>
      </c>
      <c r="U156" s="145" cm="1">
        <f t="array" ref="U156">IF(TbTradesBinance[[#This Row],[Tipo]]="EMPTY",0,U155+IF(TbTradesBinance[[#This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Row],[Par]]))),$1:$1,0)),-(T155-T156)/T155*U155),0),0)+IF(TbTradesBinance[[#This Row],[Tipo]]="SELL",IF(ISNUMBER(FIND(MID(U$1,10,5),TbTradesBinance[[#This Row],[Par]])),IF(FIND(MID(U$1,10,5),TbTradesBinance[[#This Row],[Par]])=1, -(T155-T156)/T155*U155,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Row],[Par]])),(-(T155-T156)/T155*U155)+IF(TbTradesBinance[[#This Row],[Resultado]]&gt;0,0,TbTradesBinance[[#This Row],[Taxa]]),0),0))</f>
        <v>1461096.2409827893</v>
      </c>
      <c r="V156" s="145">
        <f t="shared" si="41"/>
        <v>6.6500000135182926</v>
      </c>
      <c r="W15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Row],[Tipo]]="DROP"),W155+TbTradesBinance[[#This Row],[Qtt]],W155-TbTradesBinance[[#This Row],[Qtt]]),IF(TbTradesBinance[[#This Row],[Tipo]]="BUY",W155-TbTradesBinance[[#This Row],[Qtt]]*TbTradesBinance[[#This Row],[Preço]],W155+TbTradesBinance[[#This Row],[Qtt]]*TbTradesBinance[[#This Row],[Preço]])),W155)-IF(TbTradesBinance[[#This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Row],[Tipo]]="DROP"),W155+TbTradesBinance[[#This Row],[Qtt]],W155-TbTradesBinance[[#This Row],[Qtt]]),IF(TbTradesBinance[[#This Row],[Tipo]]="BUY",W155-TbTradesBinance[[#This Row],[Qtt]]*TbTradesBinance[[#This Row],[Preço]],W155+TbTradesBinance[[#This Row],[Qtt]]*TbTradesBinance[[#This Row],[Preço]])),W155)-IF(TbTradesBinance[[#This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Row],[Tipo]]="DROP"),W155+TbTradesBinance[[#This Row],[Qtt]],W155-TbTradesBinance[[#This Row],[Qtt]]),IF(TbTradesBinance[[#This Row],[Tipo]]="BUY",W155-TbTradesBinance[[#This Row],[Qtt]]*TbTradesBinance[[#This Row],[Preço]],W155+TbTradesBinance[[#This Row],[Qtt]]*TbTradesBinance[[#This Row],[Preço]])),W155)-IF(TbTradesBinance[[#This Row],[Moeda da Taxa]]=MID(W$1,9,5),TbTradesBinance[[#This Row],[Taxa]],0),8)))</f>
        <v>5.9236E-4</v>
      </c>
      <c r="X156" s="145" cm="1">
        <f t="array" ref="X156">IF(TbTradesBinance[[#This Row],[Tipo]]="EMPTY",0,X155+IF(TbTradesBinance[[#This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Row],[Par]]))),$1:$1,0)),-(W155-W156)/W155*X155),0),0)+IF(TbTradesBinance[[#This Row],[Tipo]]="SELL",IF(ISNUMBER(FIND(MID(X$1,10,5),TbTradesBinance[[#This Row],[Par]])),IF(FIND(MID(X$1,10,5),TbTradesBinance[[#This Row],[Par]])=1, -(W155-W156)/W155*X155,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Row],[Par]])),(-(W155-W156)/W155*X155)+IF(TbTradesBinance[[#This Row],[Resultado]]&gt;0,0,TbTradesBinance[[#This Row],[Taxa]]),0),0))</f>
        <v>206.80783641683473</v>
      </c>
      <c r="Y156" s="145">
        <f t="shared" si="42"/>
        <v>349125.25561623799</v>
      </c>
      <c r="Z15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Row],[Tipo]]="DROP"),Z155+TbTradesBinance[[#This Row],[Qtt]],Z155-TbTradesBinance[[#This Row],[Qtt]]),IF(TbTradesBinance[[#This Row],[Tipo]]="BUY",Z155-TbTradesBinance[[#This Row],[Qtt]]*TbTradesBinance[[#This Row],[Preço]],Z155+TbTradesBinance[[#This Row],[Qtt]]*TbTradesBinance[[#This Row],[Preço]])),Z155)-IF(TbTradesBinance[[#This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Row],[Tipo]]="DROP"),Z155+TbTradesBinance[[#This Row],[Qtt]],Z155-TbTradesBinance[[#This Row],[Qtt]]),IF(TbTradesBinance[[#This Row],[Tipo]]="BUY",Z155-TbTradesBinance[[#This Row],[Qtt]]*TbTradesBinance[[#This Row],[Preço]],Z155+TbTradesBinance[[#This Row],[Qtt]]*TbTradesBinance[[#This Row],[Preço]])),Z155)-IF(TbTradesBinance[[#This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Row],[Tipo]]="DROP"),Z155+TbTradesBinance[[#This Row],[Qtt]],Z155-TbTradesBinance[[#This Row],[Qtt]]),IF(TbTradesBinance[[#This Row],[Tipo]]="BUY",Z155-TbTradesBinance[[#This Row],[Qtt]]*TbTradesBinance[[#This Row],[Preço]],Z155+TbTradesBinance[[#This Row],[Qtt]]*TbTradesBinance[[#This Row],[Preço]])),Z155)-IF(TbTradesBinance[[#This Row],[Moeda da Taxa]]=MID(Z$1,9,5),TbTradesBinance[[#This Row],[Taxa]],0),8)))</f>
        <v>0</v>
      </c>
      <c r="AA156" s="145" cm="1">
        <f t="array" ref="AA156">IF(TbTradesBinance[[#This Row],[Tipo]]="EMPTY",0,AA155+IF(TbTradesBinance[[#This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Row],[Par]]))),$1:$1,0)),-(Z155-Z156)/Z155*AA155),0),0)+IF(TbTradesBinance[[#This Row],[Tipo]]="SELL",IF(ISNUMBER(FIND(MID(AA$1,10,5),TbTradesBinance[[#This Row],[Par]])),IF(FIND(MID(AA$1,10,5),TbTradesBinance[[#This Row],[Par]])=1, -(Z155-Z156)/Z155*AA155,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Row],[Par]])),(-(Z155-Z156)/Z155*AA155)+IF(TbTradesBinance[[#This Row],[Resultado]]&gt;0,0,TbTradesBinance[[#This Row],[Taxa]]),0),0))</f>
        <v>0</v>
      </c>
      <c r="AB156" s="145">
        <f t="shared" si="43"/>
        <v>0</v>
      </c>
      <c r="AC15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Row],[Tipo]]="DROP"),AC155+TbTradesBinance[[#This Row],[Qtt]],AC155-TbTradesBinance[[#This Row],[Qtt]]),IF(TbTradesBinance[[#This Row],[Tipo]]="BUY",AC155-TbTradesBinance[[#This Row],[Qtt]]*TbTradesBinance[[#This Row],[Preço]],AC155+TbTradesBinance[[#This Row],[Qtt]]*TbTradesBinance[[#This Row],[Preço]])),AC155)-IF(TbTradesBinance[[#This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Row],[Tipo]]="DROP"),AC155+TbTradesBinance[[#This Row],[Qtt]],AC155-TbTradesBinance[[#This Row],[Qtt]]),IF(TbTradesBinance[[#This Row],[Tipo]]="BUY",AC155-TbTradesBinance[[#This Row],[Qtt]]*TbTradesBinance[[#This Row],[Preço]],AC155+TbTradesBinance[[#This Row],[Qtt]]*TbTradesBinance[[#This Row],[Preço]])),AC155)-IF(TbTradesBinance[[#This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Row],[Tipo]]="DROP"),AC155+TbTradesBinance[[#This Row],[Qtt]],AC155-TbTradesBinance[[#This Row],[Qtt]]),IF(TbTradesBinance[[#This Row],[Tipo]]="BUY",AC155-TbTradesBinance[[#This Row],[Qtt]]*TbTradesBinance[[#This Row],[Preço]],AC155+TbTradesBinance[[#This Row],[Qtt]]*TbTradesBinance[[#This Row],[Preço]])),AC155)-IF(TbTradesBinance[[#This Row],[Moeda da Taxa]]=MID(AC$1,9,5),TbTradesBinance[[#This Row],[Taxa]],0),8)))</f>
        <v>0</v>
      </c>
      <c r="AD156" s="145" cm="1">
        <f t="array" ref="AD156">IF(TbTradesBinance[[#This Row],[Tipo]]="EMPTY",0,AD155+IF(TbTradesBinance[[#This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Row],[Par]]))),$1:$1,0)),-(AC155-AC156)/AC155*AD155),0),0)+IF(TbTradesBinance[[#This Row],[Tipo]]="SELL",IF(ISNUMBER(FIND(MID(AD$1,10,5),TbTradesBinance[[#This Row],[Par]])),IF(FIND(MID(AD$1,10,5),TbTradesBinance[[#This Row],[Par]])=1, -(AC155-AC156)/AC155*AD155,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Row],[Par]])),(-(AC155-AC156)/AC155*AD155)+IF(TbTradesBinance[[#This Row],[Resultado]]&gt;0,0,TbTradesBinance[[#This Row],[Taxa]]),0),0))</f>
        <v>0</v>
      </c>
      <c r="AE156" s="145">
        <f t="shared" si="44"/>
        <v>0</v>
      </c>
      <c r="AF15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Row],[Tipo]]="DROP"),AF155+TbTradesBinance[[#This Row],[Qtt]],AF155-TbTradesBinance[[#This Row],[Qtt]]),IF(TbTradesBinance[[#This Row],[Tipo]]="BUY",AF155-TbTradesBinance[[#This Row],[Qtt]]*TbTradesBinance[[#This Row],[Preço]],AF155+TbTradesBinance[[#This Row],[Qtt]]*TbTradesBinance[[#This Row],[Preço]])),AF155)-IF(TbTradesBinance[[#This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Row],[Tipo]]="DROP"),AF155+TbTradesBinance[[#This Row],[Qtt]],AF155-TbTradesBinance[[#This Row],[Qtt]]),IF(TbTradesBinance[[#This Row],[Tipo]]="BUY",AF155-TbTradesBinance[[#This Row],[Qtt]]*TbTradesBinance[[#This Row],[Preço]],AF155+TbTradesBinance[[#This Row],[Qtt]]*TbTradesBinance[[#This Row],[Preço]])),AF155)-IF(TbTradesBinance[[#This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Row],[Tipo]]="DROP"),AF155+TbTradesBinance[[#This Row],[Qtt]],AF155-TbTradesBinance[[#This Row],[Qtt]]),IF(TbTradesBinance[[#This Row],[Tipo]]="BUY",AF155-TbTradesBinance[[#This Row],[Qtt]]*TbTradesBinance[[#This Row],[Preço]],AF155+TbTradesBinance[[#This Row],[Qtt]]*TbTradesBinance[[#This Row],[Preço]])),AF155)-IF(TbTradesBinance[[#This Row],[Moeda da Taxa]]=MID(AF$1,9,5),TbTradesBinance[[#This Row],[Taxa]],0),8)))</f>
        <v>0</v>
      </c>
      <c r="AG156" s="145" cm="1">
        <f t="array" ref="AG156">IF(TbTradesBinance[[#This Row],[Tipo]]="EMPTY",0,AG155+IF(TbTradesBinance[[#This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Row],[Par]]))),$1:$1,0)),-(AF155-AF156)/AF155*AG155),0),0)+IF(TbTradesBinance[[#This Row],[Tipo]]="SELL",IF(ISNUMBER(FIND(MID(AG$1,10,5),TbTradesBinance[[#This Row],[Par]])),IF(FIND(MID(AG$1,10,5),TbTradesBinance[[#This Row],[Par]])=1, -(AF155-AF156)/AF155*AG155,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Row],[Par]])),(-(AF155-AF156)/AF155*AG155)+IF(TbTradesBinance[[#This Row],[Resultado]]&gt;0,0,TbTradesBinance[[#This Row],[Taxa]]),0),0))</f>
        <v>0</v>
      </c>
      <c r="AH156" s="145">
        <f t="shared" si="45"/>
        <v>0</v>
      </c>
      <c r="AI15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Row],[Tipo]]="DROP"),AI155+TbTradesBinance[[#This Row],[Qtt]],AI155-TbTradesBinance[[#This Row],[Qtt]]),IF(TbTradesBinance[[#This Row],[Tipo]]="BUY",AI155-TbTradesBinance[[#This Row],[Qtt]]*TbTradesBinance[[#This Row],[Preço]],AI155+TbTradesBinance[[#This Row],[Qtt]]*TbTradesBinance[[#This Row],[Preço]])),AI155)-IF(TbTradesBinance[[#This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Row],[Tipo]]="DROP"),AI155+TbTradesBinance[[#This Row],[Qtt]],AI155-TbTradesBinance[[#This Row],[Qtt]]),IF(TbTradesBinance[[#This Row],[Tipo]]="BUY",AI155-TbTradesBinance[[#This Row],[Qtt]]*TbTradesBinance[[#This Row],[Preço]],AI155+TbTradesBinance[[#This Row],[Qtt]]*TbTradesBinance[[#This Row],[Preço]])),AI155)-IF(TbTradesBinance[[#This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Row],[Tipo]]="DROP"),AI155+TbTradesBinance[[#This Row],[Qtt]],AI155-TbTradesBinance[[#This Row],[Qtt]]),IF(TbTradesBinance[[#This Row],[Tipo]]="BUY",AI155-TbTradesBinance[[#This Row],[Qtt]]*TbTradesBinance[[#This Row],[Preço]],AI155+TbTradesBinance[[#This Row],[Qtt]]*TbTradesBinance[[#This Row],[Preço]])),AI155)-IF(TbTradesBinance[[#This Row],[Moeda da Taxa]]=MID(AI$1,9,5),TbTradesBinance[[#This Row],[Taxa]],0),8)))</f>
        <v>0</v>
      </c>
      <c r="AJ156" s="145" cm="1">
        <f t="array" ref="AJ156">IF(TbTradesBinance[[#This Row],[Tipo]]="EMPTY",0,AJ155+IF(TbTradesBinance[[#This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Row],[Par]]))),$1:$1,0)),-(AI155-AI156)/AI155*AJ155),0),0)+IF(TbTradesBinance[[#This Row],[Tipo]]="SELL",IF(ISNUMBER(FIND(MID(AJ$1,10,5),TbTradesBinance[[#This Row],[Par]])),IF(FIND(MID(AJ$1,10,5),TbTradesBinance[[#This Row],[Par]])=1, -(AI155-AI156)/AI155*AJ155,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Row],[Par]])),(-(AI155-AI156)/AI155*AJ155)+IF(TbTradesBinance[[#This Row],[Resultado]]&gt;0,0,TbTradesBinance[[#This Row],[Taxa]]),0),0))</f>
        <v>0</v>
      </c>
      <c r="AK156" s="145">
        <f t="shared" si="46"/>
        <v>0</v>
      </c>
      <c r="AL15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Row],[Tipo]]="DROP"),AL155+TbTradesBinance[[#This Row],[Qtt]],AL155-TbTradesBinance[[#This Row],[Qtt]]),IF(TbTradesBinance[[#This Row],[Tipo]]="BUY",AL155-TbTradesBinance[[#This Row],[Qtt]]*TbTradesBinance[[#This Row],[Preço]],AL155+TbTradesBinance[[#This Row],[Qtt]]*TbTradesBinance[[#This Row],[Preço]])),AL155)-IF(TbTradesBinance[[#This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Row],[Tipo]]="DROP"),AL155+TbTradesBinance[[#This Row],[Qtt]],AL155-TbTradesBinance[[#This Row],[Qtt]]),IF(TbTradesBinance[[#This Row],[Tipo]]="BUY",AL155-TbTradesBinance[[#This Row],[Qtt]]*TbTradesBinance[[#This Row],[Preço]],AL155+TbTradesBinance[[#This Row],[Qtt]]*TbTradesBinance[[#This Row],[Preço]])),AL155)-IF(TbTradesBinance[[#This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Row],[Tipo]]="DROP"),AL155+TbTradesBinance[[#This Row],[Qtt]],AL155-TbTradesBinance[[#This Row],[Qtt]]),IF(TbTradesBinance[[#This Row],[Tipo]]="BUY",AL155-TbTradesBinance[[#This Row],[Qtt]]*TbTradesBinance[[#This Row],[Preço]],AL155+TbTradesBinance[[#This Row],[Qtt]]*TbTradesBinance[[#This Row],[Preço]])),AL155)-IF(TbTradesBinance[[#This Row],[Moeda da Taxa]]=MID(AL$1,9,5),TbTradesBinance[[#This Row],[Taxa]],0),8)))</f>
        <v>0</v>
      </c>
      <c r="AM156" s="145" cm="1">
        <f t="array" ref="AM156">IF(TbTradesBinance[[#This Row],[Tipo]]="EMPTY",0,AM155+IF(TbTradesBinance[[#This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Row],[Par]]))),$1:$1,0)),-(AL155-AL156)/AL155*AM155),0),0)+IF(TbTradesBinance[[#This Row],[Tipo]]="SELL",IF(ISNUMBER(FIND(MID(AM$1,10,5),TbTradesBinance[[#This Row],[Par]])),IF(FIND(MID(AM$1,10,5),TbTradesBinance[[#This Row],[Par]])=1, -(AL155-AL156)/AL155*AM155,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Row],[Par]])),(-(AL155-AL156)/AL155*AM155)+IF(TbTradesBinance[[#This Row],[Resultado]]&gt;0,0,TbTradesBinance[[#This Row],[Taxa]]),0),0))</f>
        <v>0</v>
      </c>
      <c r="AN156" s="145">
        <f t="shared" si="47"/>
        <v>0</v>
      </c>
      <c r="AO15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Row],[Tipo]]="DROP"),AO155+TbTradesBinance[[#This Row],[Qtt]],AO155-TbTradesBinance[[#This Row],[Qtt]]),IF(TbTradesBinance[[#This Row],[Tipo]]="BUY",AO155-TbTradesBinance[[#This Row],[Qtt]]*TbTradesBinance[[#This Row],[Preço]],AO155+TbTradesBinance[[#This Row],[Qtt]]*TbTradesBinance[[#This Row],[Preço]])),AO155)-IF(TbTradesBinance[[#This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Row],[Tipo]]="DROP"),AO155+TbTradesBinance[[#This Row],[Qtt]],AO155-TbTradesBinance[[#This Row],[Qtt]]),IF(TbTradesBinance[[#This Row],[Tipo]]="BUY",AO155-TbTradesBinance[[#This Row],[Qtt]]*TbTradesBinance[[#This Row],[Preço]],AO155+TbTradesBinance[[#This Row],[Qtt]]*TbTradesBinance[[#This Row],[Preço]])),AO155)-IF(TbTradesBinance[[#This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Row],[Tipo]]="DROP"),AO155+TbTradesBinance[[#This Row],[Qtt]],AO155-TbTradesBinance[[#This Row],[Qtt]]),IF(TbTradesBinance[[#This Row],[Tipo]]="BUY",AO155-TbTradesBinance[[#This Row],[Qtt]]*TbTradesBinance[[#This Row],[Preço]],AO155+TbTradesBinance[[#This Row],[Qtt]]*TbTradesBinance[[#This Row],[Preço]])),AO155)-IF(TbTradesBinance[[#This Row],[Moeda da Taxa]]=MID(AO$1,9,5),TbTradesBinance[[#This Row],[Taxa]],0),8)))</f>
        <v>3.7341970000000002E-2</v>
      </c>
      <c r="AP156" s="145" cm="1">
        <f t="array" ref="AP156">IF(TbTradesBinance[[#This Row],[Tipo]]="EMPTY",0,AP155+IF(TbTradesBinance[[#This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Row],[Par]]))),$1:$1,0)),-(AO155-AO156)/AO155*AP155),0),0)+IF(TbTradesBinance[[#This Row],[Tipo]]="SELL",IF(ISNUMBER(FIND(MID(AP$1,10,5),TbTradesBinance[[#This Row],[Par]])),IF(FIND(MID(AP$1,10,5),TbTradesBinance[[#This Row],[Par]])=1, -(AO155-AO156)/AO155*AP155,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Row],[Par]])),(-(AO155-AO156)/AO155*AP155)+IF(TbTradesBinance[[#This Row],[Resultado]]&gt;0,0,TbTradesBinance[[#This Row],[Taxa]]),0),0))</f>
        <v>57.065298020032813</v>
      </c>
      <c r="AQ156" s="145">
        <f t="shared" si="48"/>
        <v>1528.1812400372237</v>
      </c>
      <c r="AR15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Row],[Tipo]]="DROP"),AR155+TbTradesBinance[[#This Row],[Qtt]],AR155-TbTradesBinance[[#This Row],[Qtt]]),IF(TbTradesBinance[[#This Row],[Tipo]]="BUY",AR155-TbTradesBinance[[#This Row],[Qtt]]*TbTradesBinance[[#This Row],[Preço]],AR155+TbTradesBinance[[#This Row],[Qtt]]*TbTradesBinance[[#This Row],[Preço]])),AR155)-IF(TbTradesBinance[[#This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Row],[Tipo]]="DROP"),AR155+TbTradesBinance[[#This Row],[Qtt]],AR155-TbTradesBinance[[#This Row],[Qtt]]),IF(TbTradesBinance[[#This Row],[Tipo]]="BUY",AR155-TbTradesBinance[[#This Row],[Qtt]]*TbTradesBinance[[#This Row],[Preço]],AR155+TbTradesBinance[[#This Row],[Qtt]]*TbTradesBinance[[#This Row],[Preço]])),AR155)-IF(TbTradesBinance[[#This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Row],[Tipo]]="DROP"),AR155+TbTradesBinance[[#This Row],[Qtt]],AR155-TbTradesBinance[[#This Row],[Qtt]]),IF(TbTradesBinance[[#This Row],[Tipo]]="BUY",AR155-TbTradesBinance[[#This Row],[Qtt]]*TbTradesBinance[[#This Row],[Preço]],AR155+TbTradesBinance[[#This Row],[Qtt]]*TbTradesBinance[[#This Row],[Preço]])),AR155)-IF(TbTradesBinance[[#This Row],[Moeda da Taxa]]=MID(AR$1,9,5),TbTradesBinance[[#This Row],[Taxa]],0),8)))</f>
        <v>0</v>
      </c>
      <c r="AS156" s="145" cm="1">
        <f t="array" ref="AS156">IF(TbTradesBinance[[#This Row],[Tipo]]="EMPTY",0,AS155+IF(TbTradesBinance[[#This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Row],[Par]]))),$1:$1,0)),-(AR155-AR156)/AR155*AS155),0),0)+IF(TbTradesBinance[[#This Row],[Tipo]]="SELL",IF(ISNUMBER(FIND(MID(AS$1,10,5),TbTradesBinance[[#This Row],[Par]])),IF(FIND(MID(AS$1,10,5),TbTradesBinance[[#This Row],[Par]])=1, -(AR155-AR156)/AR155*AS155,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Row],[Par]])),(-(AR155-AR156)/AR155*AS155)+IF(TbTradesBinance[[#This Row],[Resultado]]&gt;0,0,TbTradesBinance[[#This Row],[Taxa]]),0),0))</f>
        <v>0</v>
      </c>
      <c r="AT156" s="145">
        <f t="shared" si="49"/>
        <v>0</v>
      </c>
      <c r="AU15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Row],[Tipo]]="DROP"),AU155+TbTradesBinance[[#This Row],[Qtt]],AU155-TbTradesBinance[[#This Row],[Qtt]]),IF(TbTradesBinance[[#This Row],[Tipo]]="BUY",AU155-TbTradesBinance[[#This Row],[Qtt]]*TbTradesBinance[[#This Row],[Preço]],AU155+TbTradesBinance[[#This Row],[Qtt]]*TbTradesBinance[[#This Row],[Preço]])),AU155)-IF(TbTradesBinance[[#This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Row],[Tipo]]="DROP"),AU155+TbTradesBinance[[#This Row],[Qtt]],AU155-TbTradesBinance[[#This Row],[Qtt]]),IF(TbTradesBinance[[#This Row],[Tipo]]="BUY",AU155-TbTradesBinance[[#This Row],[Qtt]]*TbTradesBinance[[#This Row],[Preço]],AU155+TbTradesBinance[[#This Row],[Qtt]]*TbTradesBinance[[#This Row],[Preço]])),AU155)-IF(TbTradesBinance[[#This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Row],[Tipo]]="DROP"),AU155+TbTradesBinance[[#This Row],[Qtt]],AU155-TbTradesBinance[[#This Row],[Qtt]]),IF(TbTradesBinance[[#This Row],[Tipo]]="BUY",AU155-TbTradesBinance[[#This Row],[Qtt]]*TbTradesBinance[[#This Row],[Preço]],AU155+TbTradesBinance[[#This Row],[Qtt]]*TbTradesBinance[[#This Row],[Preço]])),AU155)-IF(TbTradesBinance[[#This Row],[Moeda da Taxa]]=MID(AU$1,9,5),TbTradesBinance[[#This Row],[Taxa]],0),8)))</f>
        <v>0.3</v>
      </c>
      <c r="AV156" s="145" cm="1">
        <f t="array" ref="AV156">IF(TbTradesBinance[[#This Row],[Tipo]]="EMPTY",0,AV155+IF(TbTradesBinance[[#This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Row],[Par]]))),$1:$1,0)),-(AU155-AU156)/AU155*AV155),0),0)+IF(TbTradesBinance[[#This Row],[Tipo]]="SELL",IF(ISNUMBER(FIND(MID(AV$1,10,5),TbTradesBinance[[#This Row],[Par]])),IF(FIND(MID(AV$1,10,5),TbTradesBinance[[#This Row],[Par]])=1, -(AU155-AU156)/AU155*AV155,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Row],[Par]])),(-(AU155-AU156)/AU155*AV155)+IF(TbTradesBinance[[#This Row],[Resultado]]&gt;0,0,TbTradesBinance[[#This Row],[Taxa]]),0),0))</f>
        <v>59.540160499935794</v>
      </c>
      <c r="AW156" s="145">
        <f t="shared" si="50"/>
        <v>198.46720166645267</v>
      </c>
      <c r="AX15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Row],[Tipo]]="DROP"),AX155+TbTradesBinance[[#This Row],[Qtt]],AX155-TbTradesBinance[[#This Row],[Qtt]]),IF(TbTradesBinance[[#This Row],[Tipo]]="BUY",AX155-TbTradesBinance[[#This Row],[Qtt]]*TbTradesBinance[[#This Row],[Preço]],AX155+TbTradesBinance[[#This Row],[Qtt]]*TbTradesBinance[[#This Row],[Preço]])),AX155)-IF(TbTradesBinance[[#This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Row],[Tipo]]="DROP"),AX155+TbTradesBinance[[#This Row],[Qtt]],AX155-TbTradesBinance[[#This Row],[Qtt]]),IF(TbTradesBinance[[#This Row],[Tipo]]="BUY",AX155-TbTradesBinance[[#This Row],[Qtt]]*TbTradesBinance[[#This Row],[Preço]],AX155+TbTradesBinance[[#This Row],[Qtt]]*TbTradesBinance[[#This Row],[Preço]])),AX155)-IF(TbTradesBinance[[#This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Row],[Tipo]]="DROP"),AX155+TbTradesBinance[[#This Row],[Qtt]],AX155-TbTradesBinance[[#This Row],[Qtt]]),IF(TbTradesBinance[[#This Row],[Tipo]]="BUY",AX155-TbTradesBinance[[#This Row],[Qtt]]*TbTradesBinance[[#This Row],[Preço]],AX155+TbTradesBinance[[#This Row],[Qtt]]*TbTradesBinance[[#This Row],[Preço]])),AX155)-IF(TbTradesBinance[[#This Row],[Moeda da Taxa]]=MID(AX$1,9,5),TbTradesBinance[[#This Row],[Taxa]],0),8)))</f>
        <v>0</v>
      </c>
      <c r="AY156" s="145" cm="1">
        <f t="array" ref="AY156">IF(TbTradesBinance[[#This Row],[Tipo]]="EMPTY",0,AY155+IF(TbTradesBinance[[#This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Row],[Par]]))),$1:$1,0)),-(AX155-AX156)/AX155*AY155),0),0)+IF(TbTradesBinance[[#This Row],[Tipo]]="SELL",IF(ISNUMBER(FIND(MID(AY$1,10,5),TbTradesBinance[[#This Row],[Par]])),IF(FIND(MID(AY$1,10,5),TbTradesBinance[[#This Row],[Par]])=1, -(AX155-AX156)/AX155*AY155,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Row],[Par]])),(-(AX155-AX156)/AX155*AY155)+IF(TbTradesBinance[[#This Row],[Resultado]]&gt;0,0,TbTradesBinance[[#This Row],[Taxa]]),0),0))</f>
        <v>0</v>
      </c>
      <c r="AZ156" s="145">
        <f t="shared" si="51"/>
        <v>0</v>
      </c>
      <c r="BA15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Row],[Tipo]]="DROP"),BA155+TbTradesBinance[[#This Row],[Qtt]],BA155-TbTradesBinance[[#This Row],[Qtt]]),IF(TbTradesBinance[[#This Row],[Tipo]]="BUY",BA155-TbTradesBinance[[#This Row],[Qtt]]*TbTradesBinance[[#This Row],[Preço]],BA155+TbTradesBinance[[#This Row],[Qtt]]*TbTradesBinance[[#This Row],[Preço]])),BA155)-IF(TbTradesBinance[[#This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Row],[Tipo]]="DROP"),BA155+TbTradesBinance[[#This Row],[Qtt]],BA155-TbTradesBinance[[#This Row],[Qtt]]),IF(TbTradesBinance[[#This Row],[Tipo]]="BUY",BA155-TbTradesBinance[[#This Row],[Qtt]]*TbTradesBinance[[#This Row],[Preço]],BA155+TbTradesBinance[[#This Row],[Qtt]]*TbTradesBinance[[#This Row],[Preço]])),BA155)-IF(TbTradesBinance[[#This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Row],[Tipo]]="DROP"),BA155+TbTradesBinance[[#This Row],[Qtt]],BA155-TbTradesBinance[[#This Row],[Qtt]]),IF(TbTradesBinance[[#This Row],[Tipo]]="BUY",BA155-TbTradesBinance[[#This Row],[Qtt]]*TbTradesBinance[[#This Row],[Preço]],BA155+TbTradesBinance[[#This Row],[Qtt]]*TbTradesBinance[[#This Row],[Preço]])),BA155)-IF(TbTradesBinance[[#This Row],[Moeda da Taxa]]=MID(BA$1,9,5),TbTradesBinance[[#This Row],[Taxa]],0),8)))</f>
        <v>0</v>
      </c>
      <c r="BB156" s="145" cm="1">
        <f t="array" ref="BB156">IF(TbTradesBinance[[#This Row],[Tipo]]="EMPTY",0,BB155+IF(TbTradesBinance[[#This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Row],[Par]]))),$1:$1,0)),-(BA155-BA156)/BA155*BB155),0),0)+IF(TbTradesBinance[[#This Row],[Tipo]]="SELL",IF(ISNUMBER(FIND(MID(BB$1,10,5),TbTradesBinance[[#This Row],[Par]])),IF(FIND(MID(BB$1,10,5),TbTradesBinance[[#This Row],[Par]])=1, -(BA155-BA156)/BA155*BB155,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Row],[Par]])),(-(BA155-BA156)/BA155*BB155)+IF(TbTradesBinance[[#This Row],[Resultado]]&gt;0,0,TbTradesBinance[[#This Row],[Taxa]]),0),0))</f>
        <v>0</v>
      </c>
      <c r="BC156" s="145">
        <f t="shared" si="52"/>
        <v>0</v>
      </c>
      <c r="BD15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Row],[Tipo]]="DROP"),BD155+TbTradesBinance[[#This Row],[Qtt]],BD155-TbTradesBinance[[#This Row],[Qtt]]),IF(TbTradesBinance[[#This Row],[Tipo]]="BUY",BD155-TbTradesBinance[[#This Row],[Qtt]]*TbTradesBinance[[#This Row],[Preço]],BD155+TbTradesBinance[[#This Row],[Qtt]]*TbTradesBinance[[#This Row],[Preço]])),BD155)-IF(TbTradesBinance[[#This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Row],[Tipo]]="DROP"),BD155+TbTradesBinance[[#This Row],[Qtt]],BD155-TbTradesBinance[[#This Row],[Qtt]]),IF(TbTradesBinance[[#This Row],[Tipo]]="BUY",BD155-TbTradesBinance[[#This Row],[Qtt]]*TbTradesBinance[[#This Row],[Preço]],BD155+TbTradesBinance[[#This Row],[Qtt]]*TbTradesBinance[[#This Row],[Preço]])),BD155)-IF(TbTradesBinance[[#This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Row],[Tipo]]="DROP"),BD155+TbTradesBinance[[#This Row],[Qtt]],BD155-TbTradesBinance[[#This Row],[Qtt]]),IF(TbTradesBinance[[#This Row],[Tipo]]="BUY",BD155-TbTradesBinance[[#This Row],[Qtt]]*TbTradesBinance[[#This Row],[Preço]],BD155+TbTradesBinance[[#This Row],[Qtt]]*TbTradesBinance[[#This Row],[Preço]])),BD155)-IF(TbTradesBinance[[#This Row],[Moeda da Taxa]]=MID(BD$1,9,5),TbTradesBinance[[#This Row],[Taxa]],0),8)))</f>
        <v>0</v>
      </c>
      <c r="BE156" s="145" cm="1">
        <f t="array" ref="BE156">IF(TbTradesBinance[[#This Row],[Tipo]]="EMPTY",0,BE155+IF(TbTradesBinance[[#This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Row],[Par]]))),$1:$1,0)),-(BD155-BD156)/BD155*BE155),0),0)+IF(TbTradesBinance[[#This Row],[Tipo]]="SELL",IF(ISNUMBER(FIND(MID(BE$1,10,5),TbTradesBinance[[#This Row],[Par]])),IF(FIND(MID(BE$1,10,5),TbTradesBinance[[#This Row],[Par]])=1, -(BD155-BD156)/BD155*BE155,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Row],[Par]])),(-(BD155-BD156)/BD155*BE155)+IF(TbTradesBinance[[#This Row],[Resultado]]&gt;0,0,TbTradesBinance[[#This Row],[Taxa]]),0),0))</f>
        <v>0</v>
      </c>
      <c r="BF156" s="145">
        <f t="shared" si="53"/>
        <v>0</v>
      </c>
      <c r="BG15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Row],[Tipo]]="DROP"),BG155+TbTradesBinance[[#This Row],[Qtt]],BG155-TbTradesBinance[[#This Row],[Qtt]]),IF(TbTradesBinance[[#This Row],[Tipo]]="BUY",BG155-TbTradesBinance[[#This Row],[Qtt]]*TbTradesBinance[[#This Row],[Preço]],BG155+TbTradesBinance[[#This Row],[Qtt]]*TbTradesBinance[[#This Row],[Preço]])),BG155)-IF(TbTradesBinance[[#This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Row],[Tipo]]="DROP"),BG155+TbTradesBinance[[#This Row],[Qtt]],BG155-TbTradesBinance[[#This Row],[Qtt]]),IF(TbTradesBinance[[#This Row],[Tipo]]="BUY",BG155-TbTradesBinance[[#This Row],[Qtt]]*TbTradesBinance[[#This Row],[Preço]],BG155+TbTradesBinance[[#This Row],[Qtt]]*TbTradesBinance[[#This Row],[Preço]])),BG155)-IF(TbTradesBinance[[#This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Row],[Tipo]]="DROP"),BG155+TbTradesBinance[[#This Row],[Qtt]],BG155-TbTradesBinance[[#This Row],[Qtt]]),IF(TbTradesBinance[[#This Row],[Tipo]]="BUY",BG155-TbTradesBinance[[#This Row],[Qtt]]*TbTradesBinance[[#This Row],[Preço]],BG155+TbTradesBinance[[#This Row],[Qtt]]*TbTradesBinance[[#This Row],[Preço]])),BG155)-IF(TbTradesBinance[[#This Row],[Moeda da Taxa]]=MID(BG$1,9,5),TbTradesBinance[[#This Row],[Taxa]],0),8)))</f>
        <v>0</v>
      </c>
      <c r="BH156" s="145" cm="1">
        <f t="array" ref="BH156">IF(TbTradesBinance[[#This Row],[Tipo]]="EMPTY",0,BH155+IF(TbTradesBinance[[#This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Row],[Par]]))),$1:$1,0)),-(BG155-BG156)/BG155*BH155),0),0)+IF(TbTradesBinance[[#This Row],[Tipo]]="SELL",IF(ISNUMBER(FIND(MID(BH$1,10,5),TbTradesBinance[[#This Row],[Par]])),IF(FIND(MID(BH$1,10,5),TbTradesBinance[[#This Row],[Par]])=1, -(BG155-BG156)/BG155*BH155,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Row],[Par]])),(-(BG155-BG156)/BG155*BH155)+IF(TbTradesBinance[[#This Row],[Resultado]]&gt;0,0,TbTradesBinance[[#This Row],[Taxa]]),0),0))</f>
        <v>0</v>
      </c>
      <c r="BI156" s="145">
        <f t="shared" si="54"/>
        <v>0</v>
      </c>
      <c r="BJ15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Row],[Tipo]]="DROP"),BJ155+TbTradesBinance[[#This Row],[Qtt]],BJ155-TbTradesBinance[[#This Row],[Qtt]]),IF(TbTradesBinance[[#This Row],[Tipo]]="BUY",BJ155-TbTradesBinance[[#This Row],[Qtt]]*TbTradesBinance[[#This Row],[Preço]],BJ155+TbTradesBinance[[#This Row],[Qtt]]*TbTradesBinance[[#This Row],[Preço]])),BJ155)-IF(TbTradesBinance[[#This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Row],[Tipo]]="DROP"),BJ155+TbTradesBinance[[#This Row],[Qtt]],BJ155-TbTradesBinance[[#This Row],[Qtt]]),IF(TbTradesBinance[[#This Row],[Tipo]]="BUY",BJ155-TbTradesBinance[[#This Row],[Qtt]]*TbTradesBinance[[#This Row],[Preço]],BJ155+TbTradesBinance[[#This Row],[Qtt]]*TbTradesBinance[[#This Row],[Preço]])),BJ155)-IF(TbTradesBinance[[#This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Row],[Tipo]]="DROP"),BJ155+TbTradesBinance[[#This Row],[Qtt]],BJ155-TbTradesBinance[[#This Row],[Qtt]]),IF(TbTradesBinance[[#This Row],[Tipo]]="BUY",BJ155-TbTradesBinance[[#This Row],[Qtt]]*TbTradesBinance[[#This Row],[Preço]],BJ155+TbTradesBinance[[#This Row],[Qtt]]*TbTradesBinance[[#This Row],[Preço]])),BJ155)-IF(TbTradesBinance[[#This Row],[Moeda da Taxa]]=MID(BJ$1,9,5),TbTradesBinance[[#This Row],[Taxa]],0),8)))</f>
        <v>0</v>
      </c>
      <c r="BK156" s="145" cm="1">
        <f t="array" ref="BK156">IF(TbTradesBinance[[#This Row],[Tipo]]="EMPTY",0,BK155+IF(TbTradesBinance[[#This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Row],[Par]]))),$1:$1,0)),-(BJ155-BJ156)/BJ155*BK155),0),0)+IF(TbTradesBinance[[#This Row],[Tipo]]="SELL",IF(ISNUMBER(FIND(MID(BK$1,10,5),TbTradesBinance[[#This Row],[Par]])),IF(FIND(MID(BK$1,10,5),TbTradesBinance[[#This Row],[Par]])=1, -(BJ155-BJ156)/BJ155*BK155,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Row],[Par]])),(-(BJ155-BJ156)/BJ155*BK155)+IF(TbTradesBinance[[#This Row],[Resultado]]&gt;0,0,TbTradesBinance[[#This Row],[Taxa]]),0),0))</f>
        <v>0</v>
      </c>
      <c r="BL156" s="145">
        <f t="shared" si="55"/>
        <v>0</v>
      </c>
      <c r="BM15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Row],[Tipo]]="DROP"),BM155+TbTradesBinance[[#This Row],[Qtt]],BM155-TbTradesBinance[[#This Row],[Qtt]]),IF(TbTradesBinance[[#This Row],[Tipo]]="BUY",BM155-TbTradesBinance[[#This Row],[Qtt]]*TbTradesBinance[[#This Row],[Preço]],BM155+TbTradesBinance[[#This Row],[Qtt]]*TbTradesBinance[[#This Row],[Preço]])),BM155)-IF(TbTradesBinance[[#This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Row],[Tipo]]="DROP"),BM155+TbTradesBinance[[#This Row],[Qtt]],BM155-TbTradesBinance[[#This Row],[Qtt]]),IF(TbTradesBinance[[#This Row],[Tipo]]="BUY",BM155-TbTradesBinance[[#This Row],[Qtt]]*TbTradesBinance[[#This Row],[Preço]],BM155+TbTradesBinance[[#This Row],[Qtt]]*TbTradesBinance[[#This Row],[Preço]])),BM155)-IF(TbTradesBinance[[#This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Row],[Tipo]]="DROP"),BM155+TbTradesBinance[[#This Row],[Qtt]],BM155-TbTradesBinance[[#This Row],[Qtt]]),IF(TbTradesBinance[[#This Row],[Tipo]]="BUY",BM155-TbTradesBinance[[#This Row],[Qtt]]*TbTradesBinance[[#This Row],[Preço]],BM155+TbTradesBinance[[#This Row],[Qtt]]*TbTradesBinance[[#This Row],[Preço]])),BM155)-IF(TbTradesBinance[[#This Row],[Moeda da Taxa]]=MID(BM$1,9,5),TbTradesBinance[[#This Row],[Taxa]],0),8)))</f>
        <v>0.17338655</v>
      </c>
      <c r="BN156" s="145" cm="1">
        <f t="array" ref="BN156">IF(TbTradesBinance[[#This Row],[Tipo]]="EMPTY",0,BN155+IF(TbTradesBinance[[#This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Row],[Par]]))),$1:$1,0)),-(BM155-BM156)/BM155*BN155),0),0)+IF(TbTradesBinance[[#This Row],[Tipo]]="SELL",IF(ISNUMBER(FIND(MID(BN$1,10,5),TbTradesBinance[[#This Row],[Par]])),IF(FIND(MID(BN$1,10,5),TbTradesBinance[[#This Row],[Par]])=1, -(BM155-BM156)/BM155*BN155,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Row],[Par]])),(-(BM155-BM156)/BM155*BN155)+IF(TbTradesBinance[[#This Row],[Resultado]]&gt;0,0,TbTradesBinance[[#This Row],[Taxa]]),0),0))</f>
        <v>0</v>
      </c>
      <c r="BO156" s="145">
        <f t="shared" si="56"/>
        <v>0</v>
      </c>
    </row>
    <row r="157" spans="2:67" x14ac:dyDescent="0.3">
      <c r="B157" s="51"/>
      <c r="C157" s="40">
        <f>TRUNC(IF(AND(TbTradesBinance[[#This Row],[Tipo]]="SEND",TbTradesBinance[[#This Row],[Par]]="BRL"),TbTradesBinance[[#This Row],[Qtt]]*(1-P155)-IF(TbTradesBinance[[#This Row],[Moeda da Taxa]]="BRL",TbTradesBinance[[#This Row],[Taxa]],0),0)+IF(AND(TbTradesBinance[[#This Row],[Tipo]]="BURN",TbTradesBinance[[#This Row],[Par]]="BRL"),-TbTradesBinance[[#This Row],[Qtt]]*P155,0),2)</f>
        <v>0</v>
      </c>
      <c r="D157" s="53">
        <v>44303.994131944448</v>
      </c>
      <c r="E157" s="37" t="s">
        <v>146</v>
      </c>
      <c r="F157" s="47" t="s">
        <v>139</v>
      </c>
      <c r="G157" s="38">
        <v>38</v>
      </c>
      <c r="H157" s="38">
        <v>0.33</v>
      </c>
      <c r="I157" s="38">
        <v>1.8729999999999999E-5</v>
      </c>
      <c r="J157" s="37" t="s">
        <v>45</v>
      </c>
      <c r="K157" s="52">
        <v>5.5510000000000002</v>
      </c>
      <c r="L157" s="40">
        <f t="shared" si="38"/>
        <v>210.93</v>
      </c>
      <c r="M157" s="40">
        <f>IF(OR(TbTradesBinance[[#This Row],[Tipo]]="BUY",TbTradesBinance[[#This Row],[Tipo]]="RECEIVE",TbTradesBinance[[#This Row],[Tipo]]="DROP"),L157*H157,-L157*H157)</f>
        <v>69.60690000000001</v>
      </c>
      <c r="N15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Row],[Tipo]]="DROP"),N156+TbTradesBinance[[#This Row],[Qtt]],N156-TbTradesBinance[[#This Row],[Qtt]]),IF(TbTradesBinance[[#This Row],[Tipo]]="BUY",N156-TbTradesBinance[[#This Row],[Qtt]]*TbTradesBinance[[#This Row],[Preço]],N156+TbTradesBinance[[#This Row],[Qtt]]*TbTradesBinance[[#This Row],[Preço]])),N156)-IF(TbTradesBinance[[#This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Row],[Tipo]]="DROP"),N156+TbTradesBinance[[#This Row],[Qtt]],N156-TbTradesBinance[[#This Row],[Qtt]]),IF(TbTradesBinance[[#This Row],[Tipo]]="BUY",N156-TbTradesBinance[[#This Row],[Qtt]]*TbTradesBinance[[#This Row],[Preço]],N156+TbTradesBinance[[#This Row],[Qtt]]*TbTradesBinance[[#This Row],[Preço]])),N156)-IF(TbTradesBinance[[#This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Row],[Tipo]]="DROP"),N156+TbTradesBinance[[#This Row],[Qtt]],N156-TbTradesBinance[[#This Row],[Qtt]]),IF(TbTradesBinance[[#This Row],[Tipo]]="BUY",N156-TbTradesBinance[[#This Row],[Qtt]]*TbTradesBinance[[#This Row],[Preço]],N156+TbTradesBinance[[#This Row],[Qtt]]*TbTradesBinance[[#This Row],[Preço]])),N156)-IF(TbTradesBinance[[#This Row],[Moeda da Taxa]]=MID(N$1,9,5),TbTradesBinance[[#This Row],[Taxa]],0),8)))</f>
        <v>119823.58597417999</v>
      </c>
      <c r="O157" s="145" cm="1">
        <f t="array" ref="O157">IF(TbTradesBinance[[#This Row],[Tipo]]="EMPTY",0,O156+IF(TbTradesBinance[[#This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Row],[Par]]))),$1:$1,0)),-(N156-N157)/N156*O156),0),0)+IF(TbTradesBinance[[#This Row],[Tipo]]="SELL",IF(ISNUMBER(FIND(MID(O$1,10,5),TbTradesBinance[[#This Row],[Par]])),IF(FIND(MID(O$1,10,5),TbTradesBinance[[#This Row],[Par]])=1, -(N156-N157)/N156*O156,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Row],[Par]])),(-(N156-N157)/N156*O156)+IF(TbTradesBinance[[#This Row],[Resultado]]&gt;0,0,TbTradesBinance[[#This Row],[Taxa]]),0),0))</f>
        <v>119878.75132981267</v>
      </c>
      <c r="P157" s="145">
        <f t="shared" si="39"/>
        <v>1.0004603881212883</v>
      </c>
      <c r="Q15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Row],[Tipo]]="DROP"),Q156+TbTradesBinance[[#This Row],[Qtt]],Q156-TbTradesBinance[[#This Row],[Qtt]]),IF(TbTradesBinance[[#This Row],[Tipo]]="BUY",Q156-TbTradesBinance[[#This Row],[Qtt]]*TbTradesBinance[[#This Row],[Preço]],Q156+TbTradesBinance[[#This Row],[Qtt]]*TbTradesBinance[[#This Row],[Preço]])),Q156)-IF(TbTradesBinance[[#This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Row],[Tipo]]="DROP"),Q156+TbTradesBinance[[#This Row],[Qtt]],Q156-TbTradesBinance[[#This Row],[Qtt]]),IF(TbTradesBinance[[#This Row],[Tipo]]="BUY",Q156-TbTradesBinance[[#This Row],[Qtt]]*TbTradesBinance[[#This Row],[Preço]],Q156+TbTradesBinance[[#This Row],[Qtt]]*TbTradesBinance[[#This Row],[Preço]])),Q156)-IF(TbTradesBinance[[#This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Row],[Tipo]]="DROP"),Q156+TbTradesBinance[[#This Row],[Qtt]],Q156-TbTradesBinance[[#This Row],[Qtt]]),IF(TbTradesBinance[[#This Row],[Tipo]]="BUY",Q156-TbTradesBinance[[#This Row],[Qtt]]*TbTradesBinance[[#This Row],[Preço]],Q156+TbTradesBinance[[#This Row],[Qtt]]*TbTradesBinance[[#This Row],[Preço]])),Q156)-IF(TbTradesBinance[[#This Row],[Moeda da Taxa]]=MID(Q$1,9,5),TbTradesBinance[[#This Row],[Taxa]],0),8)))</f>
        <v>0.32130269</v>
      </c>
      <c r="R157" s="145" cm="1">
        <f t="array" ref="R157">IF(TbTradesBinance[[#This Row],[Tipo]]="EMPTY",0,R156+IF(TbTradesBinance[[#This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Row],[Par]]))),$1:$1,0)),-(Q156-Q157)/Q156*R156),0),0)+IF(TbTradesBinance[[#This Row],[Tipo]]="SELL",IF(ISNUMBER(FIND(MID(R$1,10,5),TbTradesBinance[[#This Row],[Par]])),IF(FIND(MID(R$1,10,5),TbTradesBinance[[#This Row],[Par]])=1, -(Q156-Q157)/Q156*R156,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Row],[Par]])),(-(Q156-Q157)/Q156*R156)+IF(TbTradesBinance[[#This Row],[Resultado]]&gt;0,0,TbTradesBinance[[#This Row],[Taxa]]),0),0))</f>
        <v>1.5310455167395816</v>
      </c>
      <c r="S157" s="145">
        <f t="shared" si="40"/>
        <v>4.7651188875498729</v>
      </c>
      <c r="T15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Row],[Tipo]]="DROP"),T156+TbTradesBinance[[#This Row],[Qtt]],T156-TbTradesBinance[[#This Row],[Qtt]]),IF(TbTradesBinance[[#This Row],[Tipo]]="BUY",T156-TbTradesBinance[[#This Row],[Qtt]]*TbTradesBinance[[#This Row],[Preço]],T156+TbTradesBinance[[#This Row],[Qtt]]*TbTradesBinance[[#This Row],[Preço]])),T156)-IF(TbTradesBinance[[#This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Row],[Tipo]]="DROP"),T156+TbTradesBinance[[#This Row],[Qtt]],T156-TbTradesBinance[[#This Row],[Qtt]]),IF(TbTradesBinance[[#This Row],[Tipo]]="BUY",T156-TbTradesBinance[[#This Row],[Qtt]]*TbTradesBinance[[#This Row],[Preço]],T156+TbTradesBinance[[#This Row],[Qtt]]*TbTradesBinance[[#This Row],[Preço]])),T156)-IF(TbTradesBinance[[#This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Row],[Tipo]]="DROP"),T156+TbTradesBinance[[#This Row],[Qtt]],T156-TbTradesBinance[[#This Row],[Qtt]]),IF(TbTradesBinance[[#This Row],[Tipo]]="BUY",T156-TbTradesBinance[[#This Row],[Qtt]]*TbTradesBinance[[#This Row],[Preço]],T156+TbTradesBinance[[#This Row],[Qtt]]*TbTradesBinance[[#This Row],[Preço]])),T156)-IF(TbTradesBinance[[#This Row],[Moeda da Taxa]]=MID(T$1,9,5),TbTradesBinance[[#This Row],[Taxa]],0),8)))</f>
        <v>219713.72000189999</v>
      </c>
      <c r="U157" s="145" cm="1">
        <f t="array" ref="U157">IF(TbTradesBinance[[#This Row],[Tipo]]="EMPTY",0,U156+IF(TbTradesBinance[[#This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Row],[Par]]))),$1:$1,0)),-(T156-T157)/T156*U156),0),0)+IF(TbTradesBinance[[#This Row],[Tipo]]="SELL",IF(ISNUMBER(FIND(MID(U$1,10,5),TbTradesBinance[[#This Row],[Par]])),IF(FIND(MID(U$1,10,5),TbTradesBinance[[#This Row],[Par]])=1, -(T156-T157)/T156*U156,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Row],[Par]])),(-(T156-T157)/T156*U156)+IF(TbTradesBinance[[#This Row],[Resultado]]&gt;0,0,TbTradesBinance[[#This Row],[Taxa]]),0),0))</f>
        <v>1461096.2409827893</v>
      </c>
      <c r="V157" s="145">
        <f t="shared" si="41"/>
        <v>6.6500000135182926</v>
      </c>
      <c r="W15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Row],[Tipo]]="DROP"),W156+TbTradesBinance[[#This Row],[Qtt]],W156-TbTradesBinance[[#This Row],[Qtt]]),IF(TbTradesBinance[[#This Row],[Tipo]]="BUY",W156-TbTradesBinance[[#This Row],[Qtt]]*TbTradesBinance[[#This Row],[Preço]],W156+TbTradesBinance[[#This Row],[Qtt]]*TbTradesBinance[[#This Row],[Preço]])),W156)-IF(TbTradesBinance[[#This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Row],[Tipo]]="DROP"),W156+TbTradesBinance[[#This Row],[Qtt]],W156-TbTradesBinance[[#This Row],[Qtt]]),IF(TbTradesBinance[[#This Row],[Tipo]]="BUY",W156-TbTradesBinance[[#This Row],[Qtt]]*TbTradesBinance[[#This Row],[Preço]],W156+TbTradesBinance[[#This Row],[Qtt]]*TbTradesBinance[[#This Row],[Preço]])),W156)-IF(TbTradesBinance[[#This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Row],[Tipo]]="DROP"),W156+TbTradesBinance[[#This Row],[Qtt]],W156-TbTradesBinance[[#This Row],[Qtt]]),IF(TbTradesBinance[[#This Row],[Tipo]]="BUY",W156-TbTradesBinance[[#This Row],[Qtt]]*TbTradesBinance[[#This Row],[Preço]],W156+TbTradesBinance[[#This Row],[Qtt]]*TbTradesBinance[[#This Row],[Preço]])),W156)-IF(TbTradesBinance[[#This Row],[Moeda da Taxa]]=MID(W$1,9,5),TbTradesBinance[[#This Row],[Taxa]],0),8)))</f>
        <v>5.9236E-4</v>
      </c>
      <c r="X157" s="145" cm="1">
        <f t="array" ref="X157">IF(TbTradesBinance[[#This Row],[Tipo]]="EMPTY",0,X156+IF(TbTradesBinance[[#This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Row],[Par]]))),$1:$1,0)),-(W156-W157)/W156*X156),0),0)+IF(TbTradesBinance[[#This Row],[Tipo]]="SELL",IF(ISNUMBER(FIND(MID(X$1,10,5),TbTradesBinance[[#This Row],[Par]])),IF(FIND(MID(X$1,10,5),TbTradesBinance[[#This Row],[Par]])=1, -(W156-W157)/W156*X156,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Row],[Par]])),(-(W156-W157)/W156*X156)+IF(TbTradesBinance[[#This Row],[Resultado]]&gt;0,0,TbTradesBinance[[#This Row],[Taxa]]),0),0))</f>
        <v>206.80783641683473</v>
      </c>
      <c r="Y157" s="145">
        <f t="shared" si="42"/>
        <v>349125.25561623799</v>
      </c>
      <c r="Z15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Row],[Tipo]]="DROP"),Z156+TbTradesBinance[[#This Row],[Qtt]],Z156-TbTradesBinance[[#This Row],[Qtt]]),IF(TbTradesBinance[[#This Row],[Tipo]]="BUY",Z156-TbTradesBinance[[#This Row],[Qtt]]*TbTradesBinance[[#This Row],[Preço]],Z156+TbTradesBinance[[#This Row],[Qtt]]*TbTradesBinance[[#This Row],[Preço]])),Z156)-IF(TbTradesBinance[[#This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Row],[Tipo]]="DROP"),Z156+TbTradesBinance[[#This Row],[Qtt]],Z156-TbTradesBinance[[#This Row],[Qtt]]),IF(TbTradesBinance[[#This Row],[Tipo]]="BUY",Z156-TbTradesBinance[[#This Row],[Qtt]]*TbTradesBinance[[#This Row],[Preço]],Z156+TbTradesBinance[[#This Row],[Qtt]]*TbTradesBinance[[#This Row],[Preço]])),Z156)-IF(TbTradesBinance[[#This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Row],[Tipo]]="DROP"),Z156+TbTradesBinance[[#This Row],[Qtt]],Z156-TbTradesBinance[[#This Row],[Qtt]]),IF(TbTradesBinance[[#This Row],[Tipo]]="BUY",Z156-TbTradesBinance[[#This Row],[Qtt]]*TbTradesBinance[[#This Row],[Preço]],Z156+TbTradesBinance[[#This Row],[Qtt]]*TbTradesBinance[[#This Row],[Preço]])),Z156)-IF(TbTradesBinance[[#This Row],[Moeda da Taxa]]=MID(Z$1,9,5),TbTradesBinance[[#This Row],[Taxa]],0),8)))</f>
        <v>0</v>
      </c>
      <c r="AA157" s="145" cm="1">
        <f t="array" ref="AA157">IF(TbTradesBinance[[#This Row],[Tipo]]="EMPTY",0,AA156+IF(TbTradesBinance[[#This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Row],[Par]]))),$1:$1,0)),-(Z156-Z157)/Z156*AA156),0),0)+IF(TbTradesBinance[[#This Row],[Tipo]]="SELL",IF(ISNUMBER(FIND(MID(AA$1,10,5),TbTradesBinance[[#This Row],[Par]])),IF(FIND(MID(AA$1,10,5),TbTradesBinance[[#This Row],[Par]])=1, -(Z156-Z157)/Z156*AA156,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Row],[Par]])),(-(Z156-Z157)/Z156*AA156)+IF(TbTradesBinance[[#This Row],[Resultado]]&gt;0,0,TbTradesBinance[[#This Row],[Taxa]]),0),0))</f>
        <v>0</v>
      </c>
      <c r="AB157" s="145">
        <f t="shared" si="43"/>
        <v>0</v>
      </c>
      <c r="AC15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Row],[Tipo]]="DROP"),AC156+TbTradesBinance[[#This Row],[Qtt]],AC156-TbTradesBinance[[#This Row],[Qtt]]),IF(TbTradesBinance[[#This Row],[Tipo]]="BUY",AC156-TbTradesBinance[[#This Row],[Qtt]]*TbTradesBinance[[#This Row],[Preço]],AC156+TbTradesBinance[[#This Row],[Qtt]]*TbTradesBinance[[#This Row],[Preço]])),AC156)-IF(TbTradesBinance[[#This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Row],[Tipo]]="DROP"),AC156+TbTradesBinance[[#This Row],[Qtt]],AC156-TbTradesBinance[[#This Row],[Qtt]]),IF(TbTradesBinance[[#This Row],[Tipo]]="BUY",AC156-TbTradesBinance[[#This Row],[Qtt]]*TbTradesBinance[[#This Row],[Preço]],AC156+TbTradesBinance[[#This Row],[Qtt]]*TbTradesBinance[[#This Row],[Preço]])),AC156)-IF(TbTradesBinance[[#This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Row],[Tipo]]="DROP"),AC156+TbTradesBinance[[#This Row],[Qtt]],AC156-TbTradesBinance[[#This Row],[Qtt]]),IF(TbTradesBinance[[#This Row],[Tipo]]="BUY",AC156-TbTradesBinance[[#This Row],[Qtt]]*TbTradesBinance[[#This Row],[Preço]],AC156+TbTradesBinance[[#This Row],[Qtt]]*TbTradesBinance[[#This Row],[Preço]])),AC156)-IF(TbTradesBinance[[#This Row],[Moeda da Taxa]]=MID(AC$1,9,5),TbTradesBinance[[#This Row],[Taxa]],0),8)))</f>
        <v>0</v>
      </c>
      <c r="AD157" s="145" cm="1">
        <f t="array" ref="AD157">IF(TbTradesBinance[[#This Row],[Tipo]]="EMPTY",0,AD156+IF(TbTradesBinance[[#This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Row],[Par]]))),$1:$1,0)),-(AC156-AC157)/AC156*AD156),0),0)+IF(TbTradesBinance[[#This Row],[Tipo]]="SELL",IF(ISNUMBER(FIND(MID(AD$1,10,5),TbTradesBinance[[#This Row],[Par]])),IF(FIND(MID(AD$1,10,5),TbTradesBinance[[#This Row],[Par]])=1, -(AC156-AC157)/AC156*AD156,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Row],[Par]])),(-(AC156-AC157)/AC156*AD156)+IF(TbTradesBinance[[#This Row],[Resultado]]&gt;0,0,TbTradesBinance[[#This Row],[Taxa]]),0),0))</f>
        <v>0</v>
      </c>
      <c r="AE157" s="145">
        <f t="shared" si="44"/>
        <v>0</v>
      </c>
      <c r="AF15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Row],[Tipo]]="DROP"),AF156+TbTradesBinance[[#This Row],[Qtt]],AF156-TbTradesBinance[[#This Row],[Qtt]]),IF(TbTradesBinance[[#This Row],[Tipo]]="BUY",AF156-TbTradesBinance[[#This Row],[Qtt]]*TbTradesBinance[[#This Row],[Preço]],AF156+TbTradesBinance[[#This Row],[Qtt]]*TbTradesBinance[[#This Row],[Preço]])),AF156)-IF(TbTradesBinance[[#This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Row],[Tipo]]="DROP"),AF156+TbTradesBinance[[#This Row],[Qtt]],AF156-TbTradesBinance[[#This Row],[Qtt]]),IF(TbTradesBinance[[#This Row],[Tipo]]="BUY",AF156-TbTradesBinance[[#This Row],[Qtt]]*TbTradesBinance[[#This Row],[Preço]],AF156+TbTradesBinance[[#This Row],[Qtt]]*TbTradesBinance[[#This Row],[Preço]])),AF156)-IF(TbTradesBinance[[#This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Row],[Tipo]]="DROP"),AF156+TbTradesBinance[[#This Row],[Qtt]],AF156-TbTradesBinance[[#This Row],[Qtt]]),IF(TbTradesBinance[[#This Row],[Tipo]]="BUY",AF156-TbTradesBinance[[#This Row],[Qtt]]*TbTradesBinance[[#This Row],[Preço]],AF156+TbTradesBinance[[#This Row],[Qtt]]*TbTradesBinance[[#This Row],[Preço]])),AF156)-IF(TbTradesBinance[[#This Row],[Moeda da Taxa]]=MID(AF$1,9,5),TbTradesBinance[[#This Row],[Taxa]],0),8)))</f>
        <v>0</v>
      </c>
      <c r="AG157" s="145" cm="1">
        <f t="array" ref="AG157">IF(TbTradesBinance[[#This Row],[Tipo]]="EMPTY",0,AG156+IF(TbTradesBinance[[#This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Row],[Par]]))),$1:$1,0)),-(AF156-AF157)/AF156*AG156),0),0)+IF(TbTradesBinance[[#This Row],[Tipo]]="SELL",IF(ISNUMBER(FIND(MID(AG$1,10,5),TbTradesBinance[[#This Row],[Par]])),IF(FIND(MID(AG$1,10,5),TbTradesBinance[[#This Row],[Par]])=1, -(AF156-AF157)/AF156*AG156,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Row],[Par]])),(-(AF156-AF157)/AF156*AG156)+IF(TbTradesBinance[[#This Row],[Resultado]]&gt;0,0,TbTradesBinance[[#This Row],[Taxa]]),0),0))</f>
        <v>0</v>
      </c>
      <c r="AH157" s="145">
        <f t="shared" si="45"/>
        <v>0</v>
      </c>
      <c r="AI15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Row],[Tipo]]="DROP"),AI156+TbTradesBinance[[#This Row],[Qtt]],AI156-TbTradesBinance[[#This Row],[Qtt]]),IF(TbTradesBinance[[#This Row],[Tipo]]="BUY",AI156-TbTradesBinance[[#This Row],[Qtt]]*TbTradesBinance[[#This Row],[Preço]],AI156+TbTradesBinance[[#This Row],[Qtt]]*TbTradesBinance[[#This Row],[Preço]])),AI156)-IF(TbTradesBinance[[#This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Row],[Tipo]]="DROP"),AI156+TbTradesBinance[[#This Row],[Qtt]],AI156-TbTradesBinance[[#This Row],[Qtt]]),IF(TbTradesBinance[[#This Row],[Tipo]]="BUY",AI156-TbTradesBinance[[#This Row],[Qtt]]*TbTradesBinance[[#This Row],[Preço]],AI156+TbTradesBinance[[#This Row],[Qtt]]*TbTradesBinance[[#This Row],[Preço]])),AI156)-IF(TbTradesBinance[[#This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Row],[Tipo]]="DROP"),AI156+TbTradesBinance[[#This Row],[Qtt]],AI156-TbTradesBinance[[#This Row],[Qtt]]),IF(TbTradesBinance[[#This Row],[Tipo]]="BUY",AI156-TbTradesBinance[[#This Row],[Qtt]]*TbTradesBinance[[#This Row],[Preço]],AI156+TbTradesBinance[[#This Row],[Qtt]]*TbTradesBinance[[#This Row],[Preço]])),AI156)-IF(TbTradesBinance[[#This Row],[Moeda da Taxa]]=MID(AI$1,9,5),TbTradesBinance[[#This Row],[Taxa]],0),8)))</f>
        <v>0</v>
      </c>
      <c r="AJ157" s="145" cm="1">
        <f t="array" ref="AJ157">IF(TbTradesBinance[[#This Row],[Tipo]]="EMPTY",0,AJ156+IF(TbTradesBinance[[#This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Row],[Par]]))),$1:$1,0)),-(AI156-AI157)/AI156*AJ156),0),0)+IF(TbTradesBinance[[#This Row],[Tipo]]="SELL",IF(ISNUMBER(FIND(MID(AJ$1,10,5),TbTradesBinance[[#This Row],[Par]])),IF(FIND(MID(AJ$1,10,5),TbTradesBinance[[#This Row],[Par]])=1, -(AI156-AI157)/AI156*AJ156,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Row],[Par]])),(-(AI156-AI157)/AI156*AJ156)+IF(TbTradesBinance[[#This Row],[Resultado]]&gt;0,0,TbTradesBinance[[#This Row],[Taxa]]),0),0))</f>
        <v>0</v>
      </c>
      <c r="AK157" s="145">
        <f t="shared" si="46"/>
        <v>0</v>
      </c>
      <c r="AL15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Row],[Tipo]]="DROP"),AL156+TbTradesBinance[[#This Row],[Qtt]],AL156-TbTradesBinance[[#This Row],[Qtt]]),IF(TbTradesBinance[[#This Row],[Tipo]]="BUY",AL156-TbTradesBinance[[#This Row],[Qtt]]*TbTradesBinance[[#This Row],[Preço]],AL156+TbTradesBinance[[#This Row],[Qtt]]*TbTradesBinance[[#This Row],[Preço]])),AL156)-IF(TbTradesBinance[[#This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Row],[Tipo]]="DROP"),AL156+TbTradesBinance[[#This Row],[Qtt]],AL156-TbTradesBinance[[#This Row],[Qtt]]),IF(TbTradesBinance[[#This Row],[Tipo]]="BUY",AL156-TbTradesBinance[[#This Row],[Qtt]]*TbTradesBinance[[#This Row],[Preço]],AL156+TbTradesBinance[[#This Row],[Qtt]]*TbTradesBinance[[#This Row],[Preço]])),AL156)-IF(TbTradesBinance[[#This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Row],[Tipo]]="DROP"),AL156+TbTradesBinance[[#This Row],[Qtt]],AL156-TbTradesBinance[[#This Row],[Qtt]]),IF(TbTradesBinance[[#This Row],[Tipo]]="BUY",AL156-TbTradesBinance[[#This Row],[Qtt]]*TbTradesBinance[[#This Row],[Preço]],AL156+TbTradesBinance[[#This Row],[Qtt]]*TbTradesBinance[[#This Row],[Preço]])),AL156)-IF(TbTradesBinance[[#This Row],[Moeda da Taxa]]=MID(AL$1,9,5),TbTradesBinance[[#This Row],[Taxa]],0),8)))</f>
        <v>0</v>
      </c>
      <c r="AM157" s="145" cm="1">
        <f t="array" ref="AM157">IF(TbTradesBinance[[#This Row],[Tipo]]="EMPTY",0,AM156+IF(TbTradesBinance[[#This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Row],[Par]]))),$1:$1,0)),-(AL156-AL157)/AL156*AM156),0),0)+IF(TbTradesBinance[[#This Row],[Tipo]]="SELL",IF(ISNUMBER(FIND(MID(AM$1,10,5),TbTradesBinance[[#This Row],[Par]])),IF(FIND(MID(AM$1,10,5),TbTradesBinance[[#This Row],[Par]])=1, -(AL156-AL157)/AL156*AM156,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Row],[Par]])),(-(AL156-AL157)/AL156*AM156)+IF(TbTradesBinance[[#This Row],[Resultado]]&gt;0,0,TbTradesBinance[[#This Row],[Taxa]]),0),0))</f>
        <v>0</v>
      </c>
      <c r="AN157" s="145">
        <f t="shared" si="47"/>
        <v>0</v>
      </c>
      <c r="AO15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Row],[Tipo]]="DROP"),AO156+TbTradesBinance[[#This Row],[Qtt]],AO156-TbTradesBinance[[#This Row],[Qtt]]),IF(TbTradesBinance[[#This Row],[Tipo]]="BUY",AO156-TbTradesBinance[[#This Row],[Qtt]]*TbTradesBinance[[#This Row],[Preço]],AO156+TbTradesBinance[[#This Row],[Qtt]]*TbTradesBinance[[#This Row],[Preço]])),AO156)-IF(TbTradesBinance[[#This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Row],[Tipo]]="DROP"),AO156+TbTradesBinance[[#This Row],[Qtt]],AO156-TbTradesBinance[[#This Row],[Qtt]]),IF(TbTradesBinance[[#This Row],[Tipo]]="BUY",AO156-TbTradesBinance[[#This Row],[Qtt]]*TbTradesBinance[[#This Row],[Preço]],AO156+TbTradesBinance[[#This Row],[Qtt]]*TbTradesBinance[[#This Row],[Preço]])),AO156)-IF(TbTradesBinance[[#This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Row],[Tipo]]="DROP"),AO156+TbTradesBinance[[#This Row],[Qtt]],AO156-TbTradesBinance[[#This Row],[Qtt]]),IF(TbTradesBinance[[#This Row],[Tipo]]="BUY",AO156-TbTradesBinance[[#This Row],[Qtt]]*TbTradesBinance[[#This Row],[Preço]],AO156+TbTradesBinance[[#This Row],[Qtt]]*TbTradesBinance[[#This Row],[Preço]])),AO156)-IF(TbTradesBinance[[#This Row],[Moeda da Taxa]]=MID(AO$1,9,5),TbTradesBinance[[#This Row],[Taxa]],0),8)))</f>
        <v>3.7323240000000001E-2</v>
      </c>
      <c r="AP157" s="145" cm="1">
        <f t="array" ref="AP157">IF(TbTradesBinance[[#This Row],[Tipo]]="EMPTY",0,AP156+IF(TbTradesBinance[[#This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Row],[Par]]))),$1:$1,0)),-(AO156-AO157)/AO156*AP156),0),0)+IF(TbTradesBinance[[#This Row],[Tipo]]="SELL",IF(ISNUMBER(FIND(MID(AP$1,10,5),TbTradesBinance[[#This Row],[Par]])),IF(FIND(MID(AP$1,10,5),TbTradesBinance[[#This Row],[Par]])=1, -(AO156-AO157)/AO156*AP156,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Row],[Par]])),(-(AO156-AO157)/AO156*AP156)+IF(TbTradesBinance[[#This Row],[Resultado]]&gt;0,0,TbTradesBinance[[#This Row],[Taxa]]),0),0))</f>
        <v>57.065298020032813</v>
      </c>
      <c r="AQ157" s="145">
        <f t="shared" si="48"/>
        <v>1528.9481304418591</v>
      </c>
      <c r="AR15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Row],[Tipo]]="DROP"),AR156+TbTradesBinance[[#This Row],[Qtt]],AR156-TbTradesBinance[[#This Row],[Qtt]]),IF(TbTradesBinance[[#This Row],[Tipo]]="BUY",AR156-TbTradesBinance[[#This Row],[Qtt]]*TbTradesBinance[[#This Row],[Preço]],AR156+TbTradesBinance[[#This Row],[Qtt]]*TbTradesBinance[[#This Row],[Preço]])),AR156)-IF(TbTradesBinance[[#This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Row],[Tipo]]="DROP"),AR156+TbTradesBinance[[#This Row],[Qtt]],AR156-TbTradesBinance[[#This Row],[Qtt]]),IF(TbTradesBinance[[#This Row],[Tipo]]="BUY",AR156-TbTradesBinance[[#This Row],[Qtt]]*TbTradesBinance[[#This Row],[Preço]],AR156+TbTradesBinance[[#This Row],[Qtt]]*TbTradesBinance[[#This Row],[Preço]])),AR156)-IF(TbTradesBinance[[#This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Row],[Tipo]]="DROP"),AR156+TbTradesBinance[[#This Row],[Qtt]],AR156-TbTradesBinance[[#This Row],[Qtt]]),IF(TbTradesBinance[[#This Row],[Tipo]]="BUY",AR156-TbTradesBinance[[#This Row],[Qtt]]*TbTradesBinance[[#This Row],[Preço]],AR156+TbTradesBinance[[#This Row],[Qtt]]*TbTradesBinance[[#This Row],[Preço]])),AR156)-IF(TbTradesBinance[[#This Row],[Moeda da Taxa]]=MID(AR$1,9,5),TbTradesBinance[[#This Row],[Taxa]],0),8)))</f>
        <v>0</v>
      </c>
      <c r="AS157" s="145" cm="1">
        <f t="array" ref="AS157">IF(TbTradesBinance[[#This Row],[Tipo]]="EMPTY",0,AS156+IF(TbTradesBinance[[#This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Row],[Par]]))),$1:$1,0)),-(AR156-AR157)/AR156*AS156),0),0)+IF(TbTradesBinance[[#This Row],[Tipo]]="SELL",IF(ISNUMBER(FIND(MID(AS$1,10,5),TbTradesBinance[[#This Row],[Par]])),IF(FIND(MID(AS$1,10,5),TbTradesBinance[[#This Row],[Par]])=1, -(AR156-AR157)/AR156*AS156,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Row],[Par]])),(-(AR156-AR157)/AR156*AS156)+IF(TbTradesBinance[[#This Row],[Resultado]]&gt;0,0,TbTradesBinance[[#This Row],[Taxa]]),0),0))</f>
        <v>0</v>
      </c>
      <c r="AT157" s="145">
        <f t="shared" si="49"/>
        <v>0</v>
      </c>
      <c r="AU15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Row],[Tipo]]="DROP"),AU156+TbTradesBinance[[#This Row],[Qtt]],AU156-TbTradesBinance[[#This Row],[Qtt]]),IF(TbTradesBinance[[#This Row],[Tipo]]="BUY",AU156-TbTradesBinance[[#This Row],[Qtt]]*TbTradesBinance[[#This Row],[Preço]],AU156+TbTradesBinance[[#This Row],[Qtt]]*TbTradesBinance[[#This Row],[Preço]])),AU156)-IF(TbTradesBinance[[#This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Row],[Tipo]]="DROP"),AU156+TbTradesBinance[[#This Row],[Qtt]],AU156-TbTradesBinance[[#This Row],[Qtt]]),IF(TbTradesBinance[[#This Row],[Tipo]]="BUY",AU156-TbTradesBinance[[#This Row],[Qtt]]*TbTradesBinance[[#This Row],[Preço]],AU156+TbTradesBinance[[#This Row],[Qtt]]*TbTradesBinance[[#This Row],[Preço]])),AU156)-IF(TbTradesBinance[[#This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Row],[Tipo]]="DROP"),AU156+TbTradesBinance[[#This Row],[Qtt]],AU156-TbTradesBinance[[#This Row],[Qtt]]),IF(TbTradesBinance[[#This Row],[Tipo]]="BUY",AU156-TbTradesBinance[[#This Row],[Qtt]]*TbTradesBinance[[#This Row],[Preço]],AU156+TbTradesBinance[[#This Row],[Qtt]]*TbTradesBinance[[#This Row],[Preço]])),AU156)-IF(TbTradesBinance[[#This Row],[Moeda da Taxa]]=MID(AU$1,9,5),TbTradesBinance[[#This Row],[Taxa]],0),8)))</f>
        <v>0.3</v>
      </c>
      <c r="AV157" s="145" cm="1">
        <f t="array" ref="AV157">IF(TbTradesBinance[[#This Row],[Tipo]]="EMPTY",0,AV156+IF(TbTradesBinance[[#This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Row],[Par]]))),$1:$1,0)),-(AU156-AU157)/AU156*AV156),0),0)+IF(TbTradesBinance[[#This Row],[Tipo]]="SELL",IF(ISNUMBER(FIND(MID(AV$1,10,5),TbTradesBinance[[#This Row],[Par]])),IF(FIND(MID(AV$1,10,5),TbTradesBinance[[#This Row],[Par]])=1, -(AU156-AU157)/AU156*AV156,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Row],[Par]])),(-(AU156-AU157)/AU156*AV156)+IF(TbTradesBinance[[#This Row],[Resultado]]&gt;0,0,TbTradesBinance[[#This Row],[Taxa]]),0),0))</f>
        <v>59.540160499935794</v>
      </c>
      <c r="AW157" s="145">
        <f t="shared" si="50"/>
        <v>198.46720166645267</v>
      </c>
      <c r="AX15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Row],[Tipo]]="DROP"),AX156+TbTradesBinance[[#This Row],[Qtt]],AX156-TbTradesBinance[[#This Row],[Qtt]]),IF(TbTradesBinance[[#This Row],[Tipo]]="BUY",AX156-TbTradesBinance[[#This Row],[Qtt]]*TbTradesBinance[[#This Row],[Preço]],AX156+TbTradesBinance[[#This Row],[Qtt]]*TbTradesBinance[[#This Row],[Preço]])),AX156)-IF(TbTradesBinance[[#This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Row],[Tipo]]="DROP"),AX156+TbTradesBinance[[#This Row],[Qtt]],AX156-TbTradesBinance[[#This Row],[Qtt]]),IF(TbTradesBinance[[#This Row],[Tipo]]="BUY",AX156-TbTradesBinance[[#This Row],[Qtt]]*TbTradesBinance[[#This Row],[Preço]],AX156+TbTradesBinance[[#This Row],[Qtt]]*TbTradesBinance[[#This Row],[Preço]])),AX156)-IF(TbTradesBinance[[#This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Row],[Tipo]]="DROP"),AX156+TbTradesBinance[[#This Row],[Qtt]],AX156-TbTradesBinance[[#This Row],[Qtt]]),IF(TbTradesBinance[[#This Row],[Tipo]]="BUY",AX156-TbTradesBinance[[#This Row],[Qtt]]*TbTradesBinance[[#This Row],[Preço]],AX156+TbTradesBinance[[#This Row],[Qtt]]*TbTradesBinance[[#This Row],[Preço]])),AX156)-IF(TbTradesBinance[[#This Row],[Moeda da Taxa]]=MID(AX$1,9,5),TbTradesBinance[[#This Row],[Taxa]],0),8)))</f>
        <v>0.33</v>
      </c>
      <c r="AY157" s="145" cm="1">
        <f t="array" ref="AY157">IF(TbTradesBinance[[#This Row],[Tipo]]="EMPTY",0,AY156+IF(TbTradesBinance[[#This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Row],[Par]]))),$1:$1,0)),-(AX156-AX157)/AX156*AY156),0),0)+IF(TbTradesBinance[[#This Row],[Tipo]]="SELL",IF(ISNUMBER(FIND(MID(AY$1,10,5),TbTradesBinance[[#This Row],[Par]])),IF(FIND(MID(AY$1,10,5),TbTradesBinance[[#This Row],[Par]])=1, -(AX156-AX157)/AX156*AY156,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Row],[Par]])),(-(AX156-AX157)/AX156*AY156)+IF(TbTradesBinance[[#This Row],[Resultado]]&gt;0,0,TbTradesBinance[[#This Row],[Taxa]]),0),0))</f>
        <v>59.754590897526725</v>
      </c>
      <c r="AZ157" s="145">
        <f t="shared" si="51"/>
        <v>181.0745178712931</v>
      </c>
      <c r="BA15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Row],[Tipo]]="DROP"),BA156+TbTradesBinance[[#This Row],[Qtt]],BA156-TbTradesBinance[[#This Row],[Qtt]]),IF(TbTradesBinance[[#This Row],[Tipo]]="BUY",BA156-TbTradesBinance[[#This Row],[Qtt]]*TbTradesBinance[[#This Row],[Preço]],BA156+TbTradesBinance[[#This Row],[Qtt]]*TbTradesBinance[[#This Row],[Preço]])),BA156)-IF(TbTradesBinance[[#This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Row],[Tipo]]="DROP"),BA156+TbTradesBinance[[#This Row],[Qtt]],BA156-TbTradesBinance[[#This Row],[Qtt]]),IF(TbTradesBinance[[#This Row],[Tipo]]="BUY",BA156-TbTradesBinance[[#This Row],[Qtt]]*TbTradesBinance[[#This Row],[Preço]],BA156+TbTradesBinance[[#This Row],[Qtt]]*TbTradesBinance[[#This Row],[Preço]])),BA156)-IF(TbTradesBinance[[#This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Row],[Tipo]]="DROP"),BA156+TbTradesBinance[[#This Row],[Qtt]],BA156-TbTradesBinance[[#This Row],[Qtt]]),IF(TbTradesBinance[[#This Row],[Tipo]]="BUY",BA156-TbTradesBinance[[#This Row],[Qtt]]*TbTradesBinance[[#This Row],[Preço]],BA156+TbTradesBinance[[#This Row],[Qtt]]*TbTradesBinance[[#This Row],[Preço]])),BA156)-IF(TbTradesBinance[[#This Row],[Moeda da Taxa]]=MID(BA$1,9,5),TbTradesBinance[[#This Row],[Taxa]],0),8)))</f>
        <v>0</v>
      </c>
      <c r="BB157" s="145" cm="1">
        <f t="array" ref="BB157">IF(TbTradesBinance[[#This Row],[Tipo]]="EMPTY",0,BB156+IF(TbTradesBinance[[#This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Row],[Par]]))),$1:$1,0)),-(BA156-BA157)/BA156*BB156),0),0)+IF(TbTradesBinance[[#This Row],[Tipo]]="SELL",IF(ISNUMBER(FIND(MID(BB$1,10,5),TbTradesBinance[[#This Row],[Par]])),IF(FIND(MID(BB$1,10,5),TbTradesBinance[[#This Row],[Par]])=1, -(BA156-BA157)/BA156*BB156,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Row],[Par]])),(-(BA156-BA157)/BA156*BB156)+IF(TbTradesBinance[[#This Row],[Resultado]]&gt;0,0,TbTradesBinance[[#This Row],[Taxa]]),0),0))</f>
        <v>0</v>
      </c>
      <c r="BC157" s="145">
        <f t="shared" si="52"/>
        <v>0</v>
      </c>
      <c r="BD15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Row],[Tipo]]="DROP"),BD156+TbTradesBinance[[#This Row],[Qtt]],BD156-TbTradesBinance[[#This Row],[Qtt]]),IF(TbTradesBinance[[#This Row],[Tipo]]="BUY",BD156-TbTradesBinance[[#This Row],[Qtt]]*TbTradesBinance[[#This Row],[Preço]],BD156+TbTradesBinance[[#This Row],[Qtt]]*TbTradesBinance[[#This Row],[Preço]])),BD156)-IF(TbTradesBinance[[#This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Row],[Tipo]]="DROP"),BD156+TbTradesBinance[[#This Row],[Qtt]],BD156-TbTradesBinance[[#This Row],[Qtt]]),IF(TbTradesBinance[[#This Row],[Tipo]]="BUY",BD156-TbTradesBinance[[#This Row],[Qtt]]*TbTradesBinance[[#This Row],[Preço]],BD156+TbTradesBinance[[#This Row],[Qtt]]*TbTradesBinance[[#This Row],[Preço]])),BD156)-IF(TbTradesBinance[[#This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Row],[Tipo]]="DROP"),BD156+TbTradesBinance[[#This Row],[Qtt]],BD156-TbTradesBinance[[#This Row],[Qtt]]),IF(TbTradesBinance[[#This Row],[Tipo]]="BUY",BD156-TbTradesBinance[[#This Row],[Qtt]]*TbTradesBinance[[#This Row],[Preço]],BD156+TbTradesBinance[[#This Row],[Qtt]]*TbTradesBinance[[#This Row],[Preço]])),BD156)-IF(TbTradesBinance[[#This Row],[Moeda da Taxa]]=MID(BD$1,9,5),TbTradesBinance[[#This Row],[Taxa]],0),8)))</f>
        <v>0</v>
      </c>
      <c r="BE157" s="145" cm="1">
        <f t="array" ref="BE157">IF(TbTradesBinance[[#This Row],[Tipo]]="EMPTY",0,BE156+IF(TbTradesBinance[[#This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Row],[Par]]))),$1:$1,0)),-(BD156-BD157)/BD156*BE156),0),0)+IF(TbTradesBinance[[#This Row],[Tipo]]="SELL",IF(ISNUMBER(FIND(MID(BE$1,10,5),TbTradesBinance[[#This Row],[Par]])),IF(FIND(MID(BE$1,10,5),TbTradesBinance[[#This Row],[Par]])=1, -(BD156-BD157)/BD156*BE156,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Row],[Par]])),(-(BD156-BD157)/BD156*BE156)+IF(TbTradesBinance[[#This Row],[Resultado]]&gt;0,0,TbTradesBinance[[#This Row],[Taxa]]),0),0))</f>
        <v>0</v>
      </c>
      <c r="BF157" s="145">
        <f t="shared" si="53"/>
        <v>0</v>
      </c>
      <c r="BG15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Row],[Tipo]]="DROP"),BG156+TbTradesBinance[[#This Row],[Qtt]],BG156-TbTradesBinance[[#This Row],[Qtt]]),IF(TbTradesBinance[[#This Row],[Tipo]]="BUY",BG156-TbTradesBinance[[#This Row],[Qtt]]*TbTradesBinance[[#This Row],[Preço]],BG156+TbTradesBinance[[#This Row],[Qtt]]*TbTradesBinance[[#This Row],[Preço]])),BG156)-IF(TbTradesBinance[[#This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Row],[Tipo]]="DROP"),BG156+TbTradesBinance[[#This Row],[Qtt]],BG156-TbTradesBinance[[#This Row],[Qtt]]),IF(TbTradesBinance[[#This Row],[Tipo]]="BUY",BG156-TbTradesBinance[[#This Row],[Qtt]]*TbTradesBinance[[#This Row],[Preço]],BG156+TbTradesBinance[[#This Row],[Qtt]]*TbTradesBinance[[#This Row],[Preço]])),BG156)-IF(TbTradesBinance[[#This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Row],[Tipo]]="DROP"),BG156+TbTradesBinance[[#This Row],[Qtt]],BG156-TbTradesBinance[[#This Row],[Qtt]]),IF(TbTradesBinance[[#This Row],[Tipo]]="BUY",BG156-TbTradesBinance[[#This Row],[Qtt]]*TbTradesBinance[[#This Row],[Preço]],BG156+TbTradesBinance[[#This Row],[Qtt]]*TbTradesBinance[[#This Row],[Preço]])),BG156)-IF(TbTradesBinance[[#This Row],[Moeda da Taxa]]=MID(BG$1,9,5),TbTradesBinance[[#This Row],[Taxa]],0),8)))</f>
        <v>0</v>
      </c>
      <c r="BH157" s="145" cm="1">
        <f t="array" ref="BH157">IF(TbTradesBinance[[#This Row],[Tipo]]="EMPTY",0,BH156+IF(TbTradesBinance[[#This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Row],[Par]]))),$1:$1,0)),-(BG156-BG157)/BG156*BH156),0),0)+IF(TbTradesBinance[[#This Row],[Tipo]]="SELL",IF(ISNUMBER(FIND(MID(BH$1,10,5),TbTradesBinance[[#This Row],[Par]])),IF(FIND(MID(BH$1,10,5),TbTradesBinance[[#This Row],[Par]])=1, -(BG156-BG157)/BG156*BH156,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Row],[Par]])),(-(BG156-BG157)/BG156*BH156)+IF(TbTradesBinance[[#This Row],[Resultado]]&gt;0,0,TbTradesBinance[[#This Row],[Taxa]]),0),0))</f>
        <v>0</v>
      </c>
      <c r="BI157" s="145">
        <f t="shared" si="54"/>
        <v>0</v>
      </c>
      <c r="BJ15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Row],[Tipo]]="DROP"),BJ156+TbTradesBinance[[#This Row],[Qtt]],BJ156-TbTradesBinance[[#This Row],[Qtt]]),IF(TbTradesBinance[[#This Row],[Tipo]]="BUY",BJ156-TbTradesBinance[[#This Row],[Qtt]]*TbTradesBinance[[#This Row],[Preço]],BJ156+TbTradesBinance[[#This Row],[Qtt]]*TbTradesBinance[[#This Row],[Preço]])),BJ156)-IF(TbTradesBinance[[#This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Row],[Tipo]]="DROP"),BJ156+TbTradesBinance[[#This Row],[Qtt]],BJ156-TbTradesBinance[[#This Row],[Qtt]]),IF(TbTradesBinance[[#This Row],[Tipo]]="BUY",BJ156-TbTradesBinance[[#This Row],[Qtt]]*TbTradesBinance[[#This Row],[Preço]],BJ156+TbTradesBinance[[#This Row],[Qtt]]*TbTradesBinance[[#This Row],[Preço]])),BJ156)-IF(TbTradesBinance[[#This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Row],[Tipo]]="DROP"),BJ156+TbTradesBinance[[#This Row],[Qtt]],BJ156-TbTradesBinance[[#This Row],[Qtt]]),IF(TbTradesBinance[[#This Row],[Tipo]]="BUY",BJ156-TbTradesBinance[[#This Row],[Qtt]]*TbTradesBinance[[#This Row],[Preço]],BJ156+TbTradesBinance[[#This Row],[Qtt]]*TbTradesBinance[[#This Row],[Preço]])),BJ156)-IF(TbTradesBinance[[#This Row],[Moeda da Taxa]]=MID(BJ$1,9,5),TbTradesBinance[[#This Row],[Taxa]],0),8)))</f>
        <v>0</v>
      </c>
      <c r="BK157" s="145" cm="1">
        <f t="array" ref="BK157">IF(TbTradesBinance[[#This Row],[Tipo]]="EMPTY",0,BK156+IF(TbTradesBinance[[#This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Row],[Par]]))),$1:$1,0)),-(BJ156-BJ157)/BJ156*BK156),0),0)+IF(TbTradesBinance[[#This Row],[Tipo]]="SELL",IF(ISNUMBER(FIND(MID(BK$1,10,5),TbTradesBinance[[#This Row],[Par]])),IF(FIND(MID(BK$1,10,5),TbTradesBinance[[#This Row],[Par]])=1, -(BJ156-BJ157)/BJ156*BK156,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Row],[Par]])),(-(BJ156-BJ157)/BJ156*BK156)+IF(TbTradesBinance[[#This Row],[Resultado]]&gt;0,0,TbTradesBinance[[#This Row],[Taxa]]),0),0))</f>
        <v>0</v>
      </c>
      <c r="BL157" s="145">
        <f t="shared" si="55"/>
        <v>0</v>
      </c>
      <c r="BM15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Row],[Tipo]]="DROP"),BM156+TbTradesBinance[[#This Row],[Qtt]],BM156-TbTradesBinance[[#This Row],[Qtt]]),IF(TbTradesBinance[[#This Row],[Tipo]]="BUY",BM156-TbTradesBinance[[#This Row],[Qtt]]*TbTradesBinance[[#This Row],[Preço]],BM156+TbTradesBinance[[#This Row],[Qtt]]*TbTradesBinance[[#This Row],[Preço]])),BM156)-IF(TbTradesBinance[[#This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Row],[Tipo]]="DROP"),BM156+TbTradesBinance[[#This Row],[Qtt]],BM156-TbTradesBinance[[#This Row],[Qtt]]),IF(TbTradesBinance[[#This Row],[Tipo]]="BUY",BM156-TbTradesBinance[[#This Row],[Qtt]]*TbTradesBinance[[#This Row],[Preço]],BM156+TbTradesBinance[[#This Row],[Qtt]]*TbTradesBinance[[#This Row],[Preço]])),BM156)-IF(TbTradesBinance[[#This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Row],[Tipo]]="DROP"),BM156+TbTradesBinance[[#This Row],[Qtt]],BM156-TbTradesBinance[[#This Row],[Qtt]]),IF(TbTradesBinance[[#This Row],[Tipo]]="BUY",BM156-TbTradesBinance[[#This Row],[Qtt]]*TbTradesBinance[[#This Row],[Preço]],BM156+TbTradesBinance[[#This Row],[Qtt]]*TbTradesBinance[[#This Row],[Preço]])),BM156)-IF(TbTradesBinance[[#This Row],[Moeda da Taxa]]=MID(BM$1,9,5),TbTradesBinance[[#This Row],[Taxa]],0),8)))</f>
        <v>0.17338655</v>
      </c>
      <c r="BN157" s="145" cm="1">
        <f t="array" ref="BN157">IF(TbTradesBinance[[#This Row],[Tipo]]="EMPTY",0,BN156+IF(TbTradesBinance[[#This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Row],[Par]]))),$1:$1,0)),-(BM156-BM157)/BM156*BN156),0),0)+IF(TbTradesBinance[[#This Row],[Tipo]]="SELL",IF(ISNUMBER(FIND(MID(BN$1,10,5),TbTradesBinance[[#This Row],[Par]])),IF(FIND(MID(BN$1,10,5),TbTradesBinance[[#This Row],[Par]])=1, -(BM156-BM157)/BM156*BN156,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Row],[Par]])),(-(BM156-BM157)/BM156*BN156)+IF(TbTradesBinance[[#This Row],[Resultado]]&gt;0,0,TbTradesBinance[[#This Row],[Taxa]]),0),0))</f>
        <v>0</v>
      </c>
      <c r="BO157" s="145">
        <f t="shared" si="56"/>
        <v>0</v>
      </c>
    </row>
    <row r="158" spans="2:67" x14ac:dyDescent="0.3">
      <c r="B158" s="51"/>
      <c r="C158" s="40">
        <f>TRUNC(IF(AND(TbTradesBinance[[#This Row],[Tipo]]="SEND",TbTradesBinance[[#This Row],[Par]]="BRL"),TbTradesBinance[[#This Row],[Qtt]]*(1-P156)-IF(TbTradesBinance[[#This Row],[Moeda da Taxa]]="BRL",TbTradesBinance[[#This Row],[Taxa]],0),0)+IF(AND(TbTradesBinance[[#This Row],[Tipo]]="BURN",TbTradesBinance[[#This Row],[Par]]="BRL"),-TbTradesBinance[[#This Row],[Qtt]]*P156,0),2)</f>
        <v>0</v>
      </c>
      <c r="D158" s="53">
        <v>44308.752384259256</v>
      </c>
      <c r="E158" s="37" t="s">
        <v>143</v>
      </c>
      <c r="F158" s="47" t="s">
        <v>139</v>
      </c>
      <c r="G158" s="38">
        <v>196</v>
      </c>
      <c r="H158" s="38">
        <v>0.20738000000000001</v>
      </c>
      <c r="I158" s="38">
        <v>1.129E-5</v>
      </c>
      <c r="J158" s="37" t="s">
        <v>45</v>
      </c>
      <c r="K158" s="52">
        <v>1</v>
      </c>
      <c r="L158" s="40">
        <f t="shared" si="38"/>
        <v>196</v>
      </c>
      <c r="M158" s="40">
        <f>IF(OR(TbTradesBinance[[#This Row],[Tipo]]="BUY",TbTradesBinance[[#This Row],[Tipo]]="RECEIVE",TbTradesBinance[[#This Row],[Tipo]]="DROP"),L158*H158,-L158*H158)</f>
        <v>40.646480000000004</v>
      </c>
      <c r="N15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Row],[Tipo]]="DROP"),N157+TbTradesBinance[[#This Row],[Qtt]],N157-TbTradesBinance[[#This Row],[Qtt]]),IF(TbTradesBinance[[#This Row],[Tipo]]="BUY",N157-TbTradesBinance[[#This Row],[Qtt]]*TbTradesBinance[[#This Row],[Preço]],N157+TbTradesBinance[[#This Row],[Qtt]]*TbTradesBinance[[#This Row],[Preço]])),N157)-IF(TbTradesBinance[[#This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Row],[Tipo]]="DROP"),N157+TbTradesBinance[[#This Row],[Qtt]],N157-TbTradesBinance[[#This Row],[Qtt]]),IF(TbTradesBinance[[#This Row],[Tipo]]="BUY",N157-TbTradesBinance[[#This Row],[Qtt]]*TbTradesBinance[[#This Row],[Preço]],N157+TbTradesBinance[[#This Row],[Qtt]]*TbTradesBinance[[#This Row],[Preço]])),N157)-IF(TbTradesBinance[[#This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Row],[Tipo]]="DROP"),N157+TbTradesBinance[[#This Row],[Qtt]],N157-TbTradesBinance[[#This Row],[Qtt]]),IF(TbTradesBinance[[#This Row],[Tipo]]="BUY",N157-TbTradesBinance[[#This Row],[Qtt]]*TbTradesBinance[[#This Row],[Preço]],N157+TbTradesBinance[[#This Row],[Qtt]]*TbTradesBinance[[#This Row],[Preço]])),N157)-IF(TbTradesBinance[[#This Row],[Moeda da Taxa]]=MID(N$1,9,5),TbTradesBinance[[#This Row],[Taxa]],0),8)))</f>
        <v>119782.93949418</v>
      </c>
      <c r="O158" s="145" cm="1">
        <f t="array" ref="O158">IF(TbTradesBinance[[#This Row],[Tipo]]="EMPTY",0,O157+IF(TbTradesBinance[[#This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Row],[Par]]))),$1:$1,0)),-(N157-N158)/N157*O157),0),0)+IF(TbTradesBinance[[#This Row],[Tipo]]="SELL",IF(ISNUMBER(FIND(MID(O$1,10,5),TbTradesBinance[[#This Row],[Par]])),IF(FIND(MID(O$1,10,5),TbTradesBinance[[#This Row],[Par]])=1, -(N157-N158)/N157*O157,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Row],[Par]])),(-(N157-N158)/N157*O157)+IF(TbTradesBinance[[#This Row],[Resultado]]&gt;0,0,TbTradesBinance[[#This Row],[Taxa]]),0),0))</f>
        <v>119838.08613665611</v>
      </c>
      <c r="P158" s="145">
        <f t="shared" si="39"/>
        <v>1.0004603881212883</v>
      </c>
      <c r="Q15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Row],[Tipo]]="DROP"),Q157+TbTradesBinance[[#This Row],[Qtt]],Q157-TbTradesBinance[[#This Row],[Qtt]]),IF(TbTradesBinance[[#This Row],[Tipo]]="BUY",Q157-TbTradesBinance[[#This Row],[Qtt]]*TbTradesBinance[[#This Row],[Preço]],Q157+TbTradesBinance[[#This Row],[Qtt]]*TbTradesBinance[[#This Row],[Preço]])),Q157)-IF(TbTradesBinance[[#This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Row],[Tipo]]="DROP"),Q157+TbTradesBinance[[#This Row],[Qtt]],Q157-TbTradesBinance[[#This Row],[Qtt]]),IF(TbTradesBinance[[#This Row],[Tipo]]="BUY",Q157-TbTradesBinance[[#This Row],[Qtt]]*TbTradesBinance[[#This Row],[Preço]],Q157+TbTradesBinance[[#This Row],[Qtt]]*TbTradesBinance[[#This Row],[Preço]])),Q157)-IF(TbTradesBinance[[#This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Row],[Tipo]]="DROP"),Q157+TbTradesBinance[[#This Row],[Qtt]],Q157-TbTradesBinance[[#This Row],[Qtt]]),IF(TbTradesBinance[[#This Row],[Tipo]]="BUY",Q157-TbTradesBinance[[#This Row],[Qtt]]*TbTradesBinance[[#This Row],[Preço]],Q157+TbTradesBinance[[#This Row],[Qtt]]*TbTradesBinance[[#This Row],[Preço]])),Q157)-IF(TbTradesBinance[[#This Row],[Moeda da Taxa]]=MID(Q$1,9,5),TbTradesBinance[[#This Row],[Taxa]],0),8)))</f>
        <v>0.32130269</v>
      </c>
      <c r="R158" s="145" cm="1">
        <f t="array" ref="R158">IF(TbTradesBinance[[#This Row],[Tipo]]="EMPTY",0,R157+IF(TbTradesBinance[[#This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Row],[Par]]))),$1:$1,0)),-(Q157-Q158)/Q157*R157),0),0)+IF(TbTradesBinance[[#This Row],[Tipo]]="SELL",IF(ISNUMBER(FIND(MID(R$1,10,5),TbTradesBinance[[#This Row],[Par]])),IF(FIND(MID(R$1,10,5),TbTradesBinance[[#This Row],[Par]])=1, -(Q157-Q158)/Q157*R157,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Row],[Par]])),(-(Q157-Q158)/Q157*R157)+IF(TbTradesBinance[[#This Row],[Resultado]]&gt;0,0,TbTradesBinance[[#This Row],[Taxa]]),0),0))</f>
        <v>1.5310455167395816</v>
      </c>
      <c r="S158" s="145">
        <f t="shared" si="40"/>
        <v>4.7651188875498729</v>
      </c>
      <c r="T15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Row],[Tipo]]="DROP"),T157+TbTradesBinance[[#This Row],[Qtt]],T157-TbTradesBinance[[#This Row],[Qtt]]),IF(TbTradesBinance[[#This Row],[Tipo]]="BUY",T157-TbTradesBinance[[#This Row],[Qtt]]*TbTradesBinance[[#This Row],[Preço]],T157+TbTradesBinance[[#This Row],[Qtt]]*TbTradesBinance[[#This Row],[Preço]])),T157)-IF(TbTradesBinance[[#This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Row],[Tipo]]="DROP"),T157+TbTradesBinance[[#This Row],[Qtt]],T157-TbTradesBinance[[#This Row],[Qtt]]),IF(TbTradesBinance[[#This Row],[Tipo]]="BUY",T157-TbTradesBinance[[#This Row],[Qtt]]*TbTradesBinance[[#This Row],[Preço]],T157+TbTradesBinance[[#This Row],[Qtt]]*TbTradesBinance[[#This Row],[Preço]])),T157)-IF(TbTradesBinance[[#This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Row],[Tipo]]="DROP"),T157+TbTradesBinance[[#This Row],[Qtt]],T157-TbTradesBinance[[#This Row],[Qtt]]),IF(TbTradesBinance[[#This Row],[Tipo]]="BUY",T157-TbTradesBinance[[#This Row],[Qtt]]*TbTradesBinance[[#This Row],[Preço]],T157+TbTradesBinance[[#This Row],[Qtt]]*TbTradesBinance[[#This Row],[Preço]])),T157)-IF(TbTradesBinance[[#This Row],[Moeda da Taxa]]=MID(T$1,9,5),TbTradesBinance[[#This Row],[Taxa]],0),8)))</f>
        <v>219713.72000189999</v>
      </c>
      <c r="U158" s="145" cm="1">
        <f t="array" ref="U158">IF(TbTradesBinance[[#This Row],[Tipo]]="EMPTY",0,U157+IF(TbTradesBinance[[#This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Row],[Par]]))),$1:$1,0)),-(T157-T158)/T157*U157),0),0)+IF(TbTradesBinance[[#This Row],[Tipo]]="SELL",IF(ISNUMBER(FIND(MID(U$1,10,5),TbTradesBinance[[#This Row],[Par]])),IF(FIND(MID(U$1,10,5),TbTradesBinance[[#This Row],[Par]])=1, -(T157-T158)/T157*U157,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Row],[Par]])),(-(T157-T158)/T157*U157)+IF(TbTradesBinance[[#This Row],[Resultado]]&gt;0,0,TbTradesBinance[[#This Row],[Taxa]]),0),0))</f>
        <v>1461096.2409827893</v>
      </c>
      <c r="V158" s="145">
        <f t="shared" si="41"/>
        <v>6.6500000135182926</v>
      </c>
      <c r="W15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Row],[Tipo]]="DROP"),W157+TbTradesBinance[[#This Row],[Qtt]],W157-TbTradesBinance[[#This Row],[Qtt]]),IF(TbTradesBinance[[#This Row],[Tipo]]="BUY",W157-TbTradesBinance[[#This Row],[Qtt]]*TbTradesBinance[[#This Row],[Preço]],W157+TbTradesBinance[[#This Row],[Qtt]]*TbTradesBinance[[#This Row],[Preço]])),W157)-IF(TbTradesBinance[[#This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Row],[Tipo]]="DROP"),W157+TbTradesBinance[[#This Row],[Qtt]],W157-TbTradesBinance[[#This Row],[Qtt]]),IF(TbTradesBinance[[#This Row],[Tipo]]="BUY",W157-TbTradesBinance[[#This Row],[Qtt]]*TbTradesBinance[[#This Row],[Preço]],W157+TbTradesBinance[[#This Row],[Qtt]]*TbTradesBinance[[#This Row],[Preço]])),W157)-IF(TbTradesBinance[[#This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Row],[Tipo]]="DROP"),W157+TbTradesBinance[[#This Row],[Qtt]],W157-TbTradesBinance[[#This Row],[Qtt]]),IF(TbTradesBinance[[#This Row],[Tipo]]="BUY",W157-TbTradesBinance[[#This Row],[Qtt]]*TbTradesBinance[[#This Row],[Preço]],W157+TbTradesBinance[[#This Row],[Qtt]]*TbTradesBinance[[#This Row],[Preço]])),W157)-IF(TbTradesBinance[[#This Row],[Moeda da Taxa]]=MID(W$1,9,5),TbTradesBinance[[#This Row],[Taxa]],0),8)))</f>
        <v>5.9236E-4</v>
      </c>
      <c r="X158" s="145" cm="1">
        <f t="array" ref="X158">IF(TbTradesBinance[[#This Row],[Tipo]]="EMPTY",0,X157+IF(TbTradesBinance[[#This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Row],[Par]]))),$1:$1,0)),-(W157-W158)/W157*X157),0),0)+IF(TbTradesBinance[[#This Row],[Tipo]]="SELL",IF(ISNUMBER(FIND(MID(X$1,10,5),TbTradesBinance[[#This Row],[Par]])),IF(FIND(MID(X$1,10,5),TbTradesBinance[[#This Row],[Par]])=1, -(W157-W158)/W157*X157,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Row],[Par]])),(-(W157-W158)/W157*X157)+IF(TbTradesBinance[[#This Row],[Resultado]]&gt;0,0,TbTradesBinance[[#This Row],[Taxa]]),0),0))</f>
        <v>206.80783641683473</v>
      </c>
      <c r="Y158" s="145">
        <f t="shared" si="42"/>
        <v>349125.25561623799</v>
      </c>
      <c r="Z15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Row],[Tipo]]="DROP"),Z157+TbTradesBinance[[#This Row],[Qtt]],Z157-TbTradesBinance[[#This Row],[Qtt]]),IF(TbTradesBinance[[#This Row],[Tipo]]="BUY",Z157-TbTradesBinance[[#This Row],[Qtt]]*TbTradesBinance[[#This Row],[Preço]],Z157+TbTradesBinance[[#This Row],[Qtt]]*TbTradesBinance[[#This Row],[Preço]])),Z157)-IF(TbTradesBinance[[#This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Row],[Tipo]]="DROP"),Z157+TbTradesBinance[[#This Row],[Qtt]],Z157-TbTradesBinance[[#This Row],[Qtt]]),IF(TbTradesBinance[[#This Row],[Tipo]]="BUY",Z157-TbTradesBinance[[#This Row],[Qtt]]*TbTradesBinance[[#This Row],[Preço]],Z157+TbTradesBinance[[#This Row],[Qtt]]*TbTradesBinance[[#This Row],[Preço]])),Z157)-IF(TbTradesBinance[[#This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Row],[Tipo]]="DROP"),Z157+TbTradesBinance[[#This Row],[Qtt]],Z157-TbTradesBinance[[#This Row],[Qtt]]),IF(TbTradesBinance[[#This Row],[Tipo]]="BUY",Z157-TbTradesBinance[[#This Row],[Qtt]]*TbTradesBinance[[#This Row],[Preço]],Z157+TbTradesBinance[[#This Row],[Qtt]]*TbTradesBinance[[#This Row],[Preço]])),Z157)-IF(TbTradesBinance[[#This Row],[Moeda da Taxa]]=MID(Z$1,9,5),TbTradesBinance[[#This Row],[Taxa]],0),8)))</f>
        <v>0</v>
      </c>
      <c r="AA158" s="145" cm="1">
        <f t="array" ref="AA158">IF(TbTradesBinance[[#This Row],[Tipo]]="EMPTY",0,AA157+IF(TbTradesBinance[[#This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Row],[Par]]))),$1:$1,0)),-(Z157-Z158)/Z157*AA157),0),0)+IF(TbTradesBinance[[#This Row],[Tipo]]="SELL",IF(ISNUMBER(FIND(MID(AA$1,10,5),TbTradesBinance[[#This Row],[Par]])),IF(FIND(MID(AA$1,10,5),TbTradesBinance[[#This Row],[Par]])=1, -(Z157-Z158)/Z157*AA157,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Row],[Par]])),(-(Z157-Z158)/Z157*AA157)+IF(TbTradesBinance[[#This Row],[Resultado]]&gt;0,0,TbTradesBinance[[#This Row],[Taxa]]),0),0))</f>
        <v>0</v>
      </c>
      <c r="AB158" s="145">
        <f t="shared" si="43"/>
        <v>0</v>
      </c>
      <c r="AC15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Row],[Tipo]]="DROP"),AC157+TbTradesBinance[[#This Row],[Qtt]],AC157-TbTradesBinance[[#This Row],[Qtt]]),IF(TbTradesBinance[[#This Row],[Tipo]]="BUY",AC157-TbTradesBinance[[#This Row],[Qtt]]*TbTradesBinance[[#This Row],[Preço]],AC157+TbTradesBinance[[#This Row],[Qtt]]*TbTradesBinance[[#This Row],[Preço]])),AC157)-IF(TbTradesBinance[[#This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Row],[Tipo]]="DROP"),AC157+TbTradesBinance[[#This Row],[Qtt]],AC157-TbTradesBinance[[#This Row],[Qtt]]),IF(TbTradesBinance[[#This Row],[Tipo]]="BUY",AC157-TbTradesBinance[[#This Row],[Qtt]]*TbTradesBinance[[#This Row],[Preço]],AC157+TbTradesBinance[[#This Row],[Qtt]]*TbTradesBinance[[#This Row],[Preço]])),AC157)-IF(TbTradesBinance[[#This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Row],[Tipo]]="DROP"),AC157+TbTradesBinance[[#This Row],[Qtt]],AC157-TbTradesBinance[[#This Row],[Qtt]]),IF(TbTradesBinance[[#This Row],[Tipo]]="BUY",AC157-TbTradesBinance[[#This Row],[Qtt]]*TbTradesBinance[[#This Row],[Preço]],AC157+TbTradesBinance[[#This Row],[Qtt]]*TbTradesBinance[[#This Row],[Preço]])),AC157)-IF(TbTradesBinance[[#This Row],[Moeda da Taxa]]=MID(AC$1,9,5),TbTradesBinance[[#This Row],[Taxa]],0),8)))</f>
        <v>0</v>
      </c>
      <c r="AD158" s="145" cm="1">
        <f t="array" ref="AD158">IF(TbTradesBinance[[#This Row],[Tipo]]="EMPTY",0,AD157+IF(TbTradesBinance[[#This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Row],[Par]]))),$1:$1,0)),-(AC157-AC158)/AC157*AD157),0),0)+IF(TbTradesBinance[[#This Row],[Tipo]]="SELL",IF(ISNUMBER(FIND(MID(AD$1,10,5),TbTradesBinance[[#This Row],[Par]])),IF(FIND(MID(AD$1,10,5),TbTradesBinance[[#This Row],[Par]])=1, -(AC157-AC158)/AC157*AD157,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Row],[Par]])),(-(AC157-AC158)/AC157*AD157)+IF(TbTradesBinance[[#This Row],[Resultado]]&gt;0,0,TbTradesBinance[[#This Row],[Taxa]]),0),0))</f>
        <v>0</v>
      </c>
      <c r="AE158" s="145">
        <f t="shared" si="44"/>
        <v>0</v>
      </c>
      <c r="AF15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Row],[Tipo]]="DROP"),AF157+TbTradesBinance[[#This Row],[Qtt]],AF157-TbTradesBinance[[#This Row],[Qtt]]),IF(TbTradesBinance[[#This Row],[Tipo]]="BUY",AF157-TbTradesBinance[[#This Row],[Qtt]]*TbTradesBinance[[#This Row],[Preço]],AF157+TbTradesBinance[[#This Row],[Qtt]]*TbTradesBinance[[#This Row],[Preço]])),AF157)-IF(TbTradesBinance[[#This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Row],[Tipo]]="DROP"),AF157+TbTradesBinance[[#This Row],[Qtt]],AF157-TbTradesBinance[[#This Row],[Qtt]]),IF(TbTradesBinance[[#This Row],[Tipo]]="BUY",AF157-TbTradesBinance[[#This Row],[Qtt]]*TbTradesBinance[[#This Row],[Preço]],AF157+TbTradesBinance[[#This Row],[Qtt]]*TbTradesBinance[[#This Row],[Preço]])),AF157)-IF(TbTradesBinance[[#This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Row],[Tipo]]="DROP"),AF157+TbTradesBinance[[#This Row],[Qtt]],AF157-TbTradesBinance[[#This Row],[Qtt]]),IF(TbTradesBinance[[#This Row],[Tipo]]="BUY",AF157-TbTradesBinance[[#This Row],[Qtt]]*TbTradesBinance[[#This Row],[Preço]],AF157+TbTradesBinance[[#This Row],[Qtt]]*TbTradesBinance[[#This Row],[Preço]])),AF157)-IF(TbTradesBinance[[#This Row],[Moeda da Taxa]]=MID(AF$1,9,5),TbTradesBinance[[#This Row],[Taxa]],0),8)))</f>
        <v>0</v>
      </c>
      <c r="AG158" s="145" cm="1">
        <f t="array" ref="AG158">IF(TbTradesBinance[[#This Row],[Tipo]]="EMPTY",0,AG157+IF(TbTradesBinance[[#This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Row],[Par]]))),$1:$1,0)),-(AF157-AF158)/AF157*AG157),0),0)+IF(TbTradesBinance[[#This Row],[Tipo]]="SELL",IF(ISNUMBER(FIND(MID(AG$1,10,5),TbTradesBinance[[#This Row],[Par]])),IF(FIND(MID(AG$1,10,5),TbTradesBinance[[#This Row],[Par]])=1, -(AF157-AF158)/AF157*AG157,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Row],[Par]])),(-(AF157-AF158)/AF157*AG157)+IF(TbTradesBinance[[#This Row],[Resultado]]&gt;0,0,TbTradesBinance[[#This Row],[Taxa]]),0),0))</f>
        <v>0</v>
      </c>
      <c r="AH158" s="145">
        <f t="shared" si="45"/>
        <v>0</v>
      </c>
      <c r="AI15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Row],[Tipo]]="DROP"),AI157+TbTradesBinance[[#This Row],[Qtt]],AI157-TbTradesBinance[[#This Row],[Qtt]]),IF(TbTradesBinance[[#This Row],[Tipo]]="BUY",AI157-TbTradesBinance[[#This Row],[Qtt]]*TbTradesBinance[[#This Row],[Preço]],AI157+TbTradesBinance[[#This Row],[Qtt]]*TbTradesBinance[[#This Row],[Preço]])),AI157)-IF(TbTradesBinance[[#This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Row],[Tipo]]="DROP"),AI157+TbTradesBinance[[#This Row],[Qtt]],AI157-TbTradesBinance[[#This Row],[Qtt]]),IF(TbTradesBinance[[#This Row],[Tipo]]="BUY",AI157-TbTradesBinance[[#This Row],[Qtt]]*TbTradesBinance[[#This Row],[Preço]],AI157+TbTradesBinance[[#This Row],[Qtt]]*TbTradesBinance[[#This Row],[Preço]])),AI157)-IF(TbTradesBinance[[#This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Row],[Tipo]]="DROP"),AI157+TbTradesBinance[[#This Row],[Qtt]],AI157-TbTradesBinance[[#This Row],[Qtt]]),IF(TbTradesBinance[[#This Row],[Tipo]]="BUY",AI157-TbTradesBinance[[#This Row],[Qtt]]*TbTradesBinance[[#This Row],[Preço]],AI157+TbTradesBinance[[#This Row],[Qtt]]*TbTradesBinance[[#This Row],[Preço]])),AI157)-IF(TbTradesBinance[[#This Row],[Moeda da Taxa]]=MID(AI$1,9,5),TbTradesBinance[[#This Row],[Taxa]],0),8)))</f>
        <v>0</v>
      </c>
      <c r="AJ158" s="145" cm="1">
        <f t="array" ref="AJ158">IF(TbTradesBinance[[#This Row],[Tipo]]="EMPTY",0,AJ157+IF(TbTradesBinance[[#This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Row],[Par]]))),$1:$1,0)),-(AI157-AI158)/AI157*AJ157),0),0)+IF(TbTradesBinance[[#This Row],[Tipo]]="SELL",IF(ISNUMBER(FIND(MID(AJ$1,10,5),TbTradesBinance[[#This Row],[Par]])),IF(FIND(MID(AJ$1,10,5),TbTradesBinance[[#This Row],[Par]])=1, -(AI157-AI158)/AI157*AJ157,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Row],[Par]])),(-(AI157-AI158)/AI157*AJ157)+IF(TbTradesBinance[[#This Row],[Resultado]]&gt;0,0,TbTradesBinance[[#This Row],[Taxa]]),0),0))</f>
        <v>0</v>
      </c>
      <c r="AK158" s="145">
        <f t="shared" si="46"/>
        <v>0</v>
      </c>
      <c r="AL15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Row],[Tipo]]="DROP"),AL157+TbTradesBinance[[#This Row],[Qtt]],AL157-TbTradesBinance[[#This Row],[Qtt]]),IF(TbTradesBinance[[#This Row],[Tipo]]="BUY",AL157-TbTradesBinance[[#This Row],[Qtt]]*TbTradesBinance[[#This Row],[Preço]],AL157+TbTradesBinance[[#This Row],[Qtt]]*TbTradesBinance[[#This Row],[Preço]])),AL157)-IF(TbTradesBinance[[#This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Row],[Tipo]]="DROP"),AL157+TbTradesBinance[[#This Row],[Qtt]],AL157-TbTradesBinance[[#This Row],[Qtt]]),IF(TbTradesBinance[[#This Row],[Tipo]]="BUY",AL157-TbTradesBinance[[#This Row],[Qtt]]*TbTradesBinance[[#This Row],[Preço]],AL157+TbTradesBinance[[#This Row],[Qtt]]*TbTradesBinance[[#This Row],[Preço]])),AL157)-IF(TbTradesBinance[[#This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Row],[Tipo]]="DROP"),AL157+TbTradesBinance[[#This Row],[Qtt]],AL157-TbTradesBinance[[#This Row],[Qtt]]),IF(TbTradesBinance[[#This Row],[Tipo]]="BUY",AL157-TbTradesBinance[[#This Row],[Qtt]]*TbTradesBinance[[#This Row],[Preço]],AL157+TbTradesBinance[[#This Row],[Qtt]]*TbTradesBinance[[#This Row],[Preço]])),AL157)-IF(TbTradesBinance[[#This Row],[Moeda da Taxa]]=MID(AL$1,9,5),TbTradesBinance[[#This Row],[Taxa]],0),8)))</f>
        <v>0</v>
      </c>
      <c r="AM158" s="145" cm="1">
        <f t="array" ref="AM158">IF(TbTradesBinance[[#This Row],[Tipo]]="EMPTY",0,AM157+IF(TbTradesBinance[[#This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Row],[Par]]))),$1:$1,0)),-(AL157-AL158)/AL157*AM157),0),0)+IF(TbTradesBinance[[#This Row],[Tipo]]="SELL",IF(ISNUMBER(FIND(MID(AM$1,10,5),TbTradesBinance[[#This Row],[Par]])),IF(FIND(MID(AM$1,10,5),TbTradesBinance[[#This Row],[Par]])=1, -(AL157-AL158)/AL157*AM157,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Row],[Par]])),(-(AL157-AL158)/AL157*AM157)+IF(TbTradesBinance[[#This Row],[Resultado]]&gt;0,0,TbTradesBinance[[#This Row],[Taxa]]),0),0))</f>
        <v>0</v>
      </c>
      <c r="AN158" s="145">
        <f t="shared" si="47"/>
        <v>0</v>
      </c>
      <c r="AO15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Row],[Tipo]]="DROP"),AO157+TbTradesBinance[[#This Row],[Qtt]],AO157-TbTradesBinance[[#This Row],[Qtt]]),IF(TbTradesBinance[[#This Row],[Tipo]]="BUY",AO157-TbTradesBinance[[#This Row],[Qtt]]*TbTradesBinance[[#This Row],[Preço]],AO157+TbTradesBinance[[#This Row],[Qtt]]*TbTradesBinance[[#This Row],[Preço]])),AO157)-IF(TbTradesBinance[[#This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Row],[Tipo]]="DROP"),AO157+TbTradesBinance[[#This Row],[Qtt]],AO157-TbTradesBinance[[#This Row],[Qtt]]),IF(TbTradesBinance[[#This Row],[Tipo]]="BUY",AO157-TbTradesBinance[[#This Row],[Qtt]]*TbTradesBinance[[#This Row],[Preço]],AO157+TbTradesBinance[[#This Row],[Qtt]]*TbTradesBinance[[#This Row],[Preço]])),AO157)-IF(TbTradesBinance[[#This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Row],[Tipo]]="DROP"),AO157+TbTradesBinance[[#This Row],[Qtt]],AO157-TbTradesBinance[[#This Row],[Qtt]]),IF(TbTradesBinance[[#This Row],[Tipo]]="BUY",AO157-TbTradesBinance[[#This Row],[Qtt]]*TbTradesBinance[[#This Row],[Preço]],AO157+TbTradesBinance[[#This Row],[Qtt]]*TbTradesBinance[[#This Row],[Preço]])),AO157)-IF(TbTradesBinance[[#This Row],[Moeda da Taxa]]=MID(AO$1,9,5),TbTradesBinance[[#This Row],[Taxa]],0),8)))</f>
        <v>3.7311950000000003E-2</v>
      </c>
      <c r="AP158" s="145" cm="1">
        <f t="array" ref="AP158">IF(TbTradesBinance[[#This Row],[Tipo]]="EMPTY",0,AP157+IF(TbTradesBinance[[#This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Row],[Par]]))),$1:$1,0)),-(AO157-AO158)/AO157*AP157),0),0)+IF(TbTradesBinance[[#This Row],[Tipo]]="SELL",IF(ISNUMBER(FIND(MID(AP$1,10,5),TbTradesBinance[[#This Row],[Par]])),IF(FIND(MID(AP$1,10,5),TbTradesBinance[[#This Row],[Par]])=1, -(AO157-AO158)/AO157*AP157,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Row],[Par]])),(-(AO157-AO158)/AO157*AP157)+IF(TbTradesBinance[[#This Row],[Resultado]]&gt;0,0,TbTradesBinance[[#This Row],[Taxa]]),0),0))</f>
        <v>57.065298020032813</v>
      </c>
      <c r="AQ158" s="145">
        <f t="shared" si="48"/>
        <v>1529.4107657207089</v>
      </c>
      <c r="AR15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Row],[Tipo]]="DROP"),AR157+TbTradesBinance[[#This Row],[Qtt]],AR157-TbTradesBinance[[#This Row],[Qtt]]),IF(TbTradesBinance[[#This Row],[Tipo]]="BUY",AR157-TbTradesBinance[[#This Row],[Qtt]]*TbTradesBinance[[#This Row],[Preço]],AR157+TbTradesBinance[[#This Row],[Qtt]]*TbTradesBinance[[#This Row],[Preço]])),AR157)-IF(TbTradesBinance[[#This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Row],[Tipo]]="DROP"),AR157+TbTradesBinance[[#This Row],[Qtt]],AR157-TbTradesBinance[[#This Row],[Qtt]]),IF(TbTradesBinance[[#This Row],[Tipo]]="BUY",AR157-TbTradesBinance[[#This Row],[Qtt]]*TbTradesBinance[[#This Row],[Preço]],AR157+TbTradesBinance[[#This Row],[Qtt]]*TbTradesBinance[[#This Row],[Preço]])),AR157)-IF(TbTradesBinance[[#This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Row],[Tipo]]="DROP"),AR157+TbTradesBinance[[#This Row],[Qtt]],AR157-TbTradesBinance[[#This Row],[Qtt]]),IF(TbTradesBinance[[#This Row],[Tipo]]="BUY",AR157-TbTradesBinance[[#This Row],[Qtt]]*TbTradesBinance[[#This Row],[Preço]],AR157+TbTradesBinance[[#This Row],[Qtt]]*TbTradesBinance[[#This Row],[Preço]])),AR157)-IF(TbTradesBinance[[#This Row],[Moeda da Taxa]]=MID(AR$1,9,5),TbTradesBinance[[#This Row],[Taxa]],0),8)))</f>
        <v>0</v>
      </c>
      <c r="AS158" s="145" cm="1">
        <f t="array" ref="AS158">IF(TbTradesBinance[[#This Row],[Tipo]]="EMPTY",0,AS157+IF(TbTradesBinance[[#This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Row],[Par]]))),$1:$1,0)),-(AR157-AR158)/AR157*AS157),0),0)+IF(TbTradesBinance[[#This Row],[Tipo]]="SELL",IF(ISNUMBER(FIND(MID(AS$1,10,5),TbTradesBinance[[#This Row],[Par]])),IF(FIND(MID(AS$1,10,5),TbTradesBinance[[#This Row],[Par]])=1, -(AR157-AR158)/AR157*AS157,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Row],[Par]])),(-(AR157-AR158)/AR157*AS157)+IF(TbTradesBinance[[#This Row],[Resultado]]&gt;0,0,TbTradesBinance[[#This Row],[Taxa]]),0),0))</f>
        <v>0</v>
      </c>
      <c r="AT158" s="145">
        <f t="shared" si="49"/>
        <v>0</v>
      </c>
      <c r="AU15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Row],[Tipo]]="DROP"),AU157+TbTradesBinance[[#This Row],[Qtt]],AU157-TbTradesBinance[[#This Row],[Qtt]]),IF(TbTradesBinance[[#This Row],[Tipo]]="BUY",AU157-TbTradesBinance[[#This Row],[Qtt]]*TbTradesBinance[[#This Row],[Preço]],AU157+TbTradesBinance[[#This Row],[Qtt]]*TbTradesBinance[[#This Row],[Preço]])),AU157)-IF(TbTradesBinance[[#This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Row],[Tipo]]="DROP"),AU157+TbTradesBinance[[#This Row],[Qtt]],AU157-TbTradesBinance[[#This Row],[Qtt]]),IF(TbTradesBinance[[#This Row],[Tipo]]="BUY",AU157-TbTradesBinance[[#This Row],[Qtt]]*TbTradesBinance[[#This Row],[Preço]],AU157+TbTradesBinance[[#This Row],[Qtt]]*TbTradesBinance[[#This Row],[Preço]])),AU157)-IF(TbTradesBinance[[#This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Row],[Tipo]]="DROP"),AU157+TbTradesBinance[[#This Row],[Qtt]],AU157-TbTradesBinance[[#This Row],[Qtt]]),IF(TbTradesBinance[[#This Row],[Tipo]]="BUY",AU157-TbTradesBinance[[#This Row],[Qtt]]*TbTradesBinance[[#This Row],[Preço]],AU157+TbTradesBinance[[#This Row],[Qtt]]*TbTradesBinance[[#This Row],[Preço]])),AU157)-IF(TbTradesBinance[[#This Row],[Moeda da Taxa]]=MID(AU$1,9,5),TbTradesBinance[[#This Row],[Taxa]],0),8)))</f>
        <v>0.3</v>
      </c>
      <c r="AV158" s="145" cm="1">
        <f t="array" ref="AV158">IF(TbTradesBinance[[#This Row],[Tipo]]="EMPTY",0,AV157+IF(TbTradesBinance[[#This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Row],[Par]]))),$1:$1,0)),-(AU157-AU158)/AU157*AV157),0),0)+IF(TbTradesBinance[[#This Row],[Tipo]]="SELL",IF(ISNUMBER(FIND(MID(AV$1,10,5),TbTradesBinance[[#This Row],[Par]])),IF(FIND(MID(AV$1,10,5),TbTradesBinance[[#This Row],[Par]])=1, -(AU157-AU158)/AU157*AV157,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Row],[Par]])),(-(AU157-AU158)/AU157*AV157)+IF(TbTradesBinance[[#This Row],[Resultado]]&gt;0,0,TbTradesBinance[[#This Row],[Taxa]]),0),0))</f>
        <v>59.540160499935794</v>
      </c>
      <c r="AW158" s="145">
        <f t="shared" si="50"/>
        <v>198.46720166645267</v>
      </c>
      <c r="AX15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Row],[Tipo]]="DROP"),AX157+TbTradesBinance[[#This Row],[Qtt]],AX157-TbTradesBinance[[#This Row],[Qtt]]),IF(TbTradesBinance[[#This Row],[Tipo]]="BUY",AX157-TbTradesBinance[[#This Row],[Qtt]]*TbTradesBinance[[#This Row],[Preço]],AX157+TbTradesBinance[[#This Row],[Qtt]]*TbTradesBinance[[#This Row],[Preço]])),AX157)-IF(TbTradesBinance[[#This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Row],[Tipo]]="DROP"),AX157+TbTradesBinance[[#This Row],[Qtt]],AX157-TbTradesBinance[[#This Row],[Qtt]]),IF(TbTradesBinance[[#This Row],[Tipo]]="BUY",AX157-TbTradesBinance[[#This Row],[Qtt]]*TbTradesBinance[[#This Row],[Preço]],AX157+TbTradesBinance[[#This Row],[Qtt]]*TbTradesBinance[[#This Row],[Preço]])),AX157)-IF(TbTradesBinance[[#This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Row],[Tipo]]="DROP"),AX157+TbTradesBinance[[#This Row],[Qtt]],AX157-TbTradesBinance[[#This Row],[Qtt]]),IF(TbTradesBinance[[#This Row],[Tipo]]="BUY",AX157-TbTradesBinance[[#This Row],[Qtt]]*TbTradesBinance[[#This Row],[Preço]],AX157+TbTradesBinance[[#This Row],[Qtt]]*TbTradesBinance[[#This Row],[Preço]])),AX157)-IF(TbTradesBinance[[#This Row],[Moeda da Taxa]]=MID(AX$1,9,5),TbTradesBinance[[#This Row],[Taxa]],0),8)))</f>
        <v>0.53737999999999997</v>
      </c>
      <c r="AY158" s="145" cm="1">
        <f t="array" ref="AY158">IF(TbTradesBinance[[#This Row],[Tipo]]="EMPTY",0,AY157+IF(TbTradesBinance[[#This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Row],[Par]]))),$1:$1,0)),-(AX157-AX158)/AX157*AY157),0),0)+IF(TbTradesBinance[[#This Row],[Tipo]]="SELL",IF(ISNUMBER(FIND(MID(AY$1,10,5),TbTradesBinance[[#This Row],[Par]])),IF(FIND(MID(AY$1,10,5),TbTradesBinance[[#This Row],[Par]])=1, -(AX157-AX158)/AX157*AY157,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Row],[Par]])),(-(AX157-AX158)/AX157*AY157)+IF(TbTradesBinance[[#This Row],[Resultado]]&gt;0,0,TbTradesBinance[[#This Row],[Taxa]]),0),0))</f>
        <v>100.4197840540867</v>
      </c>
      <c r="AZ158" s="145">
        <f t="shared" si="51"/>
        <v>186.869224857804</v>
      </c>
      <c r="BA15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Row],[Tipo]]="DROP"),BA157+TbTradesBinance[[#This Row],[Qtt]],BA157-TbTradesBinance[[#This Row],[Qtt]]),IF(TbTradesBinance[[#This Row],[Tipo]]="BUY",BA157-TbTradesBinance[[#This Row],[Qtt]]*TbTradesBinance[[#This Row],[Preço]],BA157+TbTradesBinance[[#This Row],[Qtt]]*TbTradesBinance[[#This Row],[Preço]])),BA157)-IF(TbTradesBinance[[#This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Row],[Tipo]]="DROP"),BA157+TbTradesBinance[[#This Row],[Qtt]],BA157-TbTradesBinance[[#This Row],[Qtt]]),IF(TbTradesBinance[[#This Row],[Tipo]]="BUY",BA157-TbTradesBinance[[#This Row],[Qtt]]*TbTradesBinance[[#This Row],[Preço]],BA157+TbTradesBinance[[#This Row],[Qtt]]*TbTradesBinance[[#This Row],[Preço]])),BA157)-IF(TbTradesBinance[[#This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Row],[Tipo]]="DROP"),BA157+TbTradesBinance[[#This Row],[Qtt]],BA157-TbTradesBinance[[#This Row],[Qtt]]),IF(TbTradesBinance[[#This Row],[Tipo]]="BUY",BA157-TbTradesBinance[[#This Row],[Qtt]]*TbTradesBinance[[#This Row],[Preço]],BA157+TbTradesBinance[[#This Row],[Qtt]]*TbTradesBinance[[#This Row],[Preço]])),BA157)-IF(TbTradesBinance[[#This Row],[Moeda da Taxa]]=MID(BA$1,9,5),TbTradesBinance[[#This Row],[Taxa]],0),8)))</f>
        <v>0</v>
      </c>
      <c r="BB158" s="145" cm="1">
        <f t="array" ref="BB158">IF(TbTradesBinance[[#This Row],[Tipo]]="EMPTY",0,BB157+IF(TbTradesBinance[[#This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Row],[Par]]))),$1:$1,0)),-(BA157-BA158)/BA157*BB157),0),0)+IF(TbTradesBinance[[#This Row],[Tipo]]="SELL",IF(ISNUMBER(FIND(MID(BB$1,10,5),TbTradesBinance[[#This Row],[Par]])),IF(FIND(MID(BB$1,10,5),TbTradesBinance[[#This Row],[Par]])=1, -(BA157-BA158)/BA157*BB157,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Row],[Par]])),(-(BA157-BA158)/BA157*BB157)+IF(TbTradesBinance[[#This Row],[Resultado]]&gt;0,0,TbTradesBinance[[#This Row],[Taxa]]),0),0))</f>
        <v>0</v>
      </c>
      <c r="BC158" s="145">
        <f t="shared" si="52"/>
        <v>0</v>
      </c>
      <c r="BD15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Row],[Tipo]]="DROP"),BD157+TbTradesBinance[[#This Row],[Qtt]],BD157-TbTradesBinance[[#This Row],[Qtt]]),IF(TbTradesBinance[[#This Row],[Tipo]]="BUY",BD157-TbTradesBinance[[#This Row],[Qtt]]*TbTradesBinance[[#This Row],[Preço]],BD157+TbTradesBinance[[#This Row],[Qtt]]*TbTradesBinance[[#This Row],[Preço]])),BD157)-IF(TbTradesBinance[[#This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Row],[Tipo]]="DROP"),BD157+TbTradesBinance[[#This Row],[Qtt]],BD157-TbTradesBinance[[#This Row],[Qtt]]),IF(TbTradesBinance[[#This Row],[Tipo]]="BUY",BD157-TbTradesBinance[[#This Row],[Qtt]]*TbTradesBinance[[#This Row],[Preço]],BD157+TbTradesBinance[[#This Row],[Qtt]]*TbTradesBinance[[#This Row],[Preço]])),BD157)-IF(TbTradesBinance[[#This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Row],[Tipo]]="DROP"),BD157+TbTradesBinance[[#This Row],[Qtt]],BD157-TbTradesBinance[[#This Row],[Qtt]]),IF(TbTradesBinance[[#This Row],[Tipo]]="BUY",BD157-TbTradesBinance[[#This Row],[Qtt]]*TbTradesBinance[[#This Row],[Preço]],BD157+TbTradesBinance[[#This Row],[Qtt]]*TbTradesBinance[[#This Row],[Preço]])),BD157)-IF(TbTradesBinance[[#This Row],[Moeda da Taxa]]=MID(BD$1,9,5),TbTradesBinance[[#This Row],[Taxa]],0),8)))</f>
        <v>0</v>
      </c>
      <c r="BE158" s="145" cm="1">
        <f t="array" ref="BE158">IF(TbTradesBinance[[#This Row],[Tipo]]="EMPTY",0,BE157+IF(TbTradesBinance[[#This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Row],[Par]]))),$1:$1,0)),-(BD157-BD158)/BD157*BE157),0),0)+IF(TbTradesBinance[[#This Row],[Tipo]]="SELL",IF(ISNUMBER(FIND(MID(BE$1,10,5),TbTradesBinance[[#This Row],[Par]])),IF(FIND(MID(BE$1,10,5),TbTradesBinance[[#This Row],[Par]])=1, -(BD157-BD158)/BD157*BE157,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Row],[Par]])),(-(BD157-BD158)/BD157*BE157)+IF(TbTradesBinance[[#This Row],[Resultado]]&gt;0,0,TbTradesBinance[[#This Row],[Taxa]]),0),0))</f>
        <v>0</v>
      </c>
      <c r="BF158" s="145">
        <f t="shared" si="53"/>
        <v>0</v>
      </c>
      <c r="BG15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Row],[Tipo]]="DROP"),BG157+TbTradesBinance[[#This Row],[Qtt]],BG157-TbTradesBinance[[#This Row],[Qtt]]),IF(TbTradesBinance[[#This Row],[Tipo]]="BUY",BG157-TbTradesBinance[[#This Row],[Qtt]]*TbTradesBinance[[#This Row],[Preço]],BG157+TbTradesBinance[[#This Row],[Qtt]]*TbTradesBinance[[#This Row],[Preço]])),BG157)-IF(TbTradesBinance[[#This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Row],[Tipo]]="DROP"),BG157+TbTradesBinance[[#This Row],[Qtt]],BG157-TbTradesBinance[[#This Row],[Qtt]]),IF(TbTradesBinance[[#This Row],[Tipo]]="BUY",BG157-TbTradesBinance[[#This Row],[Qtt]]*TbTradesBinance[[#This Row],[Preço]],BG157+TbTradesBinance[[#This Row],[Qtt]]*TbTradesBinance[[#This Row],[Preço]])),BG157)-IF(TbTradesBinance[[#This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Row],[Tipo]]="DROP"),BG157+TbTradesBinance[[#This Row],[Qtt]],BG157-TbTradesBinance[[#This Row],[Qtt]]),IF(TbTradesBinance[[#This Row],[Tipo]]="BUY",BG157-TbTradesBinance[[#This Row],[Qtt]]*TbTradesBinance[[#This Row],[Preço]],BG157+TbTradesBinance[[#This Row],[Qtt]]*TbTradesBinance[[#This Row],[Preço]])),BG157)-IF(TbTradesBinance[[#This Row],[Moeda da Taxa]]=MID(BG$1,9,5),TbTradesBinance[[#This Row],[Taxa]],0),8)))</f>
        <v>0</v>
      </c>
      <c r="BH158" s="145" cm="1">
        <f t="array" ref="BH158">IF(TbTradesBinance[[#This Row],[Tipo]]="EMPTY",0,BH157+IF(TbTradesBinance[[#This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Row],[Par]]))),$1:$1,0)),-(BG157-BG158)/BG157*BH157),0),0)+IF(TbTradesBinance[[#This Row],[Tipo]]="SELL",IF(ISNUMBER(FIND(MID(BH$1,10,5),TbTradesBinance[[#This Row],[Par]])),IF(FIND(MID(BH$1,10,5),TbTradesBinance[[#This Row],[Par]])=1, -(BG157-BG158)/BG157*BH157,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Row],[Par]])),(-(BG157-BG158)/BG157*BH157)+IF(TbTradesBinance[[#This Row],[Resultado]]&gt;0,0,TbTradesBinance[[#This Row],[Taxa]]),0),0))</f>
        <v>0</v>
      </c>
      <c r="BI158" s="145">
        <f t="shared" si="54"/>
        <v>0</v>
      </c>
      <c r="BJ15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Row],[Tipo]]="DROP"),BJ157+TbTradesBinance[[#This Row],[Qtt]],BJ157-TbTradesBinance[[#This Row],[Qtt]]),IF(TbTradesBinance[[#This Row],[Tipo]]="BUY",BJ157-TbTradesBinance[[#This Row],[Qtt]]*TbTradesBinance[[#This Row],[Preço]],BJ157+TbTradesBinance[[#This Row],[Qtt]]*TbTradesBinance[[#This Row],[Preço]])),BJ157)-IF(TbTradesBinance[[#This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Row],[Tipo]]="DROP"),BJ157+TbTradesBinance[[#This Row],[Qtt]],BJ157-TbTradesBinance[[#This Row],[Qtt]]),IF(TbTradesBinance[[#This Row],[Tipo]]="BUY",BJ157-TbTradesBinance[[#This Row],[Qtt]]*TbTradesBinance[[#This Row],[Preço]],BJ157+TbTradesBinance[[#This Row],[Qtt]]*TbTradesBinance[[#This Row],[Preço]])),BJ157)-IF(TbTradesBinance[[#This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Row],[Tipo]]="DROP"),BJ157+TbTradesBinance[[#This Row],[Qtt]],BJ157-TbTradesBinance[[#This Row],[Qtt]]),IF(TbTradesBinance[[#This Row],[Tipo]]="BUY",BJ157-TbTradesBinance[[#This Row],[Qtt]]*TbTradesBinance[[#This Row],[Preço]],BJ157+TbTradesBinance[[#This Row],[Qtt]]*TbTradesBinance[[#This Row],[Preço]])),BJ157)-IF(TbTradesBinance[[#This Row],[Moeda da Taxa]]=MID(BJ$1,9,5),TbTradesBinance[[#This Row],[Taxa]],0),8)))</f>
        <v>0</v>
      </c>
      <c r="BK158" s="145" cm="1">
        <f t="array" ref="BK158">IF(TbTradesBinance[[#This Row],[Tipo]]="EMPTY",0,BK157+IF(TbTradesBinance[[#This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Row],[Par]]))),$1:$1,0)),-(BJ157-BJ158)/BJ157*BK157),0),0)+IF(TbTradesBinance[[#This Row],[Tipo]]="SELL",IF(ISNUMBER(FIND(MID(BK$1,10,5),TbTradesBinance[[#This Row],[Par]])),IF(FIND(MID(BK$1,10,5),TbTradesBinance[[#This Row],[Par]])=1, -(BJ157-BJ158)/BJ157*BK157,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Row],[Par]])),(-(BJ157-BJ158)/BJ157*BK157)+IF(TbTradesBinance[[#This Row],[Resultado]]&gt;0,0,TbTradesBinance[[#This Row],[Taxa]]),0),0))</f>
        <v>0</v>
      </c>
      <c r="BL158" s="145">
        <f t="shared" si="55"/>
        <v>0</v>
      </c>
      <c r="BM15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Row],[Tipo]]="DROP"),BM157+TbTradesBinance[[#This Row],[Qtt]],BM157-TbTradesBinance[[#This Row],[Qtt]]),IF(TbTradesBinance[[#This Row],[Tipo]]="BUY",BM157-TbTradesBinance[[#This Row],[Qtt]]*TbTradesBinance[[#This Row],[Preço]],BM157+TbTradesBinance[[#This Row],[Qtt]]*TbTradesBinance[[#This Row],[Preço]])),BM157)-IF(TbTradesBinance[[#This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Row],[Tipo]]="DROP"),BM157+TbTradesBinance[[#This Row],[Qtt]],BM157-TbTradesBinance[[#This Row],[Qtt]]),IF(TbTradesBinance[[#This Row],[Tipo]]="BUY",BM157-TbTradesBinance[[#This Row],[Qtt]]*TbTradesBinance[[#This Row],[Preço]],BM157+TbTradesBinance[[#This Row],[Qtt]]*TbTradesBinance[[#This Row],[Preço]])),BM157)-IF(TbTradesBinance[[#This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Row],[Tipo]]="DROP"),BM157+TbTradesBinance[[#This Row],[Qtt]],BM157-TbTradesBinance[[#This Row],[Qtt]]),IF(TbTradesBinance[[#This Row],[Tipo]]="BUY",BM157-TbTradesBinance[[#This Row],[Qtt]]*TbTradesBinance[[#This Row],[Preço]],BM157+TbTradesBinance[[#This Row],[Qtt]]*TbTradesBinance[[#This Row],[Preço]])),BM157)-IF(TbTradesBinance[[#This Row],[Moeda da Taxa]]=MID(BM$1,9,5),TbTradesBinance[[#This Row],[Taxa]],0),8)))</f>
        <v>0.17338655</v>
      </c>
      <c r="BN158" s="145" cm="1">
        <f t="array" ref="BN158">IF(TbTradesBinance[[#This Row],[Tipo]]="EMPTY",0,BN157+IF(TbTradesBinance[[#This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Row],[Par]]))),$1:$1,0)),-(BM157-BM158)/BM157*BN157),0),0)+IF(TbTradesBinance[[#This Row],[Tipo]]="SELL",IF(ISNUMBER(FIND(MID(BN$1,10,5),TbTradesBinance[[#This Row],[Par]])),IF(FIND(MID(BN$1,10,5),TbTradesBinance[[#This Row],[Par]])=1, -(BM157-BM158)/BM157*BN157,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Row],[Par]])),(-(BM157-BM158)/BM157*BN157)+IF(TbTradesBinance[[#This Row],[Resultado]]&gt;0,0,TbTradesBinance[[#This Row],[Taxa]]),0),0))</f>
        <v>0</v>
      </c>
      <c r="BO158" s="145">
        <f t="shared" si="56"/>
        <v>0</v>
      </c>
    </row>
    <row r="159" spans="2:67" x14ac:dyDescent="0.3">
      <c r="B159" s="51"/>
      <c r="C159" s="40">
        <f>TRUNC(IF(AND(TbTradesBinance[[#This Row],[Tipo]]="SEND",TbTradesBinance[[#This Row],[Par]]="BRL"),TbTradesBinance[[#This Row],[Qtt]]*(1-P157)-IF(TbTradesBinance[[#This Row],[Moeda da Taxa]]="BRL",TbTradesBinance[[#This Row],[Taxa]],0),0)+IF(AND(TbTradesBinance[[#This Row],[Tipo]]="BURN",TbTradesBinance[[#This Row],[Par]]="BRL"),-TbTradesBinance[[#This Row],[Qtt]]*P157,0),2)</f>
        <v>0</v>
      </c>
      <c r="D159" s="53">
        <v>44308.950868055559</v>
      </c>
      <c r="E159" s="37" t="s">
        <v>144</v>
      </c>
      <c r="F159" s="47" t="s">
        <v>139</v>
      </c>
      <c r="G159" s="38">
        <v>171</v>
      </c>
      <c r="H159" s="38">
        <v>0.21</v>
      </c>
      <c r="I159" s="38">
        <v>1.029E-5</v>
      </c>
      <c r="J159" s="37" t="s">
        <v>45</v>
      </c>
      <c r="K159" s="52">
        <v>1</v>
      </c>
      <c r="L159" s="40">
        <f t="shared" si="38"/>
        <v>171</v>
      </c>
      <c r="M159" s="40">
        <f>IF(OR(TbTradesBinance[[#This Row],[Tipo]]="BUY",TbTradesBinance[[#This Row],[Tipo]]="RECEIVE",TbTradesBinance[[#This Row],[Tipo]]="DROP"),L159*H159,-L159*H159)</f>
        <v>35.909999999999997</v>
      </c>
      <c r="N15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Row],[Tipo]]="DROP"),N158+TbTradesBinance[[#This Row],[Qtt]],N158-TbTradesBinance[[#This Row],[Qtt]]),IF(TbTradesBinance[[#This Row],[Tipo]]="BUY",N158-TbTradesBinance[[#This Row],[Qtt]]*TbTradesBinance[[#This Row],[Preço]],N158+TbTradesBinance[[#This Row],[Qtt]]*TbTradesBinance[[#This Row],[Preço]])),N158)-IF(TbTradesBinance[[#This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Row],[Tipo]]="DROP"),N158+TbTradesBinance[[#This Row],[Qtt]],N158-TbTradesBinance[[#This Row],[Qtt]]),IF(TbTradesBinance[[#This Row],[Tipo]]="BUY",N158-TbTradesBinance[[#This Row],[Qtt]]*TbTradesBinance[[#This Row],[Preço]],N158+TbTradesBinance[[#This Row],[Qtt]]*TbTradesBinance[[#This Row],[Preço]])),N158)-IF(TbTradesBinance[[#This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Row],[Tipo]]="DROP"),N158+TbTradesBinance[[#This Row],[Qtt]],N158-TbTradesBinance[[#This Row],[Qtt]]),IF(TbTradesBinance[[#This Row],[Tipo]]="BUY",N158-TbTradesBinance[[#This Row],[Qtt]]*TbTradesBinance[[#This Row],[Preço]],N158+TbTradesBinance[[#This Row],[Qtt]]*TbTradesBinance[[#This Row],[Preço]])),N158)-IF(TbTradesBinance[[#This Row],[Moeda da Taxa]]=MID(N$1,9,5),TbTradesBinance[[#This Row],[Taxa]],0),8)))</f>
        <v>119747.02949417999</v>
      </c>
      <c r="O159" s="145" cm="1">
        <f t="array" ref="O159">IF(TbTradesBinance[[#This Row],[Tipo]]="EMPTY",0,O158+IF(TbTradesBinance[[#This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Row],[Par]]))),$1:$1,0)),-(N158-N159)/N158*O158),0),0)+IF(TbTradesBinance[[#This Row],[Tipo]]="SELL",IF(ISNUMBER(FIND(MID(O$1,10,5),TbTradesBinance[[#This Row],[Par]])),IF(FIND(MID(O$1,10,5),TbTradesBinance[[#This Row],[Par]])=1, -(N158-N159)/N158*O158,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Row],[Par]])),(-(N158-N159)/N158*O158)+IF(TbTradesBinance[[#This Row],[Resultado]]&gt;0,0,TbTradesBinance[[#This Row],[Taxa]]),0),0))</f>
        <v>119802.15960411867</v>
      </c>
      <c r="P159" s="145">
        <f t="shared" si="39"/>
        <v>1.0004603881212883</v>
      </c>
      <c r="Q15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Row],[Tipo]]="DROP"),Q158+TbTradesBinance[[#This Row],[Qtt]],Q158-TbTradesBinance[[#This Row],[Qtt]]),IF(TbTradesBinance[[#This Row],[Tipo]]="BUY",Q158-TbTradesBinance[[#This Row],[Qtt]]*TbTradesBinance[[#This Row],[Preço]],Q158+TbTradesBinance[[#This Row],[Qtt]]*TbTradesBinance[[#This Row],[Preço]])),Q158)-IF(TbTradesBinance[[#This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Row],[Tipo]]="DROP"),Q158+TbTradesBinance[[#This Row],[Qtt]],Q158-TbTradesBinance[[#This Row],[Qtt]]),IF(TbTradesBinance[[#This Row],[Tipo]]="BUY",Q158-TbTradesBinance[[#This Row],[Qtt]]*TbTradesBinance[[#This Row],[Preço]],Q158+TbTradesBinance[[#This Row],[Qtt]]*TbTradesBinance[[#This Row],[Preço]])),Q158)-IF(TbTradesBinance[[#This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Row],[Tipo]]="DROP"),Q158+TbTradesBinance[[#This Row],[Qtt]],Q158-TbTradesBinance[[#This Row],[Qtt]]),IF(TbTradesBinance[[#This Row],[Tipo]]="BUY",Q158-TbTradesBinance[[#This Row],[Qtt]]*TbTradesBinance[[#This Row],[Preço]],Q158+TbTradesBinance[[#This Row],[Qtt]]*TbTradesBinance[[#This Row],[Preço]])),Q158)-IF(TbTradesBinance[[#This Row],[Moeda da Taxa]]=MID(Q$1,9,5),TbTradesBinance[[#This Row],[Taxa]],0),8)))</f>
        <v>0.32130269</v>
      </c>
      <c r="R159" s="145" cm="1">
        <f t="array" ref="R159">IF(TbTradesBinance[[#This Row],[Tipo]]="EMPTY",0,R158+IF(TbTradesBinance[[#This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Row],[Par]]))),$1:$1,0)),-(Q158-Q159)/Q158*R158),0),0)+IF(TbTradesBinance[[#This Row],[Tipo]]="SELL",IF(ISNUMBER(FIND(MID(R$1,10,5),TbTradesBinance[[#This Row],[Par]])),IF(FIND(MID(R$1,10,5),TbTradesBinance[[#This Row],[Par]])=1, -(Q158-Q159)/Q158*R158,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Row],[Par]])),(-(Q158-Q159)/Q158*R158)+IF(TbTradesBinance[[#This Row],[Resultado]]&gt;0,0,TbTradesBinance[[#This Row],[Taxa]]),0),0))</f>
        <v>1.5310455167395816</v>
      </c>
      <c r="S159" s="145">
        <f t="shared" si="40"/>
        <v>4.7651188875498729</v>
      </c>
      <c r="T15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Row],[Tipo]]="DROP"),T158+TbTradesBinance[[#This Row],[Qtt]],T158-TbTradesBinance[[#This Row],[Qtt]]),IF(TbTradesBinance[[#This Row],[Tipo]]="BUY",T158-TbTradesBinance[[#This Row],[Qtt]]*TbTradesBinance[[#This Row],[Preço]],T158+TbTradesBinance[[#This Row],[Qtt]]*TbTradesBinance[[#This Row],[Preço]])),T158)-IF(TbTradesBinance[[#This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Row],[Tipo]]="DROP"),T158+TbTradesBinance[[#This Row],[Qtt]],T158-TbTradesBinance[[#This Row],[Qtt]]),IF(TbTradesBinance[[#This Row],[Tipo]]="BUY",T158-TbTradesBinance[[#This Row],[Qtt]]*TbTradesBinance[[#This Row],[Preço]],T158+TbTradesBinance[[#This Row],[Qtt]]*TbTradesBinance[[#This Row],[Preço]])),T158)-IF(TbTradesBinance[[#This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Row],[Tipo]]="DROP"),T158+TbTradesBinance[[#This Row],[Qtt]],T158-TbTradesBinance[[#This Row],[Qtt]]),IF(TbTradesBinance[[#This Row],[Tipo]]="BUY",T158-TbTradesBinance[[#This Row],[Qtt]]*TbTradesBinance[[#This Row],[Preço]],T158+TbTradesBinance[[#This Row],[Qtt]]*TbTradesBinance[[#This Row],[Preço]])),T158)-IF(TbTradesBinance[[#This Row],[Moeda da Taxa]]=MID(T$1,9,5),TbTradesBinance[[#This Row],[Taxa]],0),8)))</f>
        <v>219713.72000189999</v>
      </c>
      <c r="U159" s="145" cm="1">
        <f t="array" ref="U159">IF(TbTradesBinance[[#This Row],[Tipo]]="EMPTY",0,U158+IF(TbTradesBinance[[#This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Row],[Par]]))),$1:$1,0)),-(T158-T159)/T158*U158),0),0)+IF(TbTradesBinance[[#This Row],[Tipo]]="SELL",IF(ISNUMBER(FIND(MID(U$1,10,5),TbTradesBinance[[#This Row],[Par]])),IF(FIND(MID(U$1,10,5),TbTradesBinance[[#This Row],[Par]])=1, -(T158-T159)/T158*U158,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Row],[Par]])),(-(T158-T159)/T158*U158)+IF(TbTradesBinance[[#This Row],[Resultado]]&gt;0,0,TbTradesBinance[[#This Row],[Taxa]]),0),0))</f>
        <v>1461096.2409827893</v>
      </c>
      <c r="V159" s="145">
        <f t="shared" si="41"/>
        <v>6.6500000135182926</v>
      </c>
      <c r="W15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Row],[Tipo]]="DROP"),W158+TbTradesBinance[[#This Row],[Qtt]],W158-TbTradesBinance[[#This Row],[Qtt]]),IF(TbTradesBinance[[#This Row],[Tipo]]="BUY",W158-TbTradesBinance[[#This Row],[Qtt]]*TbTradesBinance[[#This Row],[Preço]],W158+TbTradesBinance[[#This Row],[Qtt]]*TbTradesBinance[[#This Row],[Preço]])),W158)-IF(TbTradesBinance[[#This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Row],[Tipo]]="DROP"),W158+TbTradesBinance[[#This Row],[Qtt]],W158-TbTradesBinance[[#This Row],[Qtt]]),IF(TbTradesBinance[[#This Row],[Tipo]]="BUY",W158-TbTradesBinance[[#This Row],[Qtt]]*TbTradesBinance[[#This Row],[Preço]],W158+TbTradesBinance[[#This Row],[Qtt]]*TbTradesBinance[[#This Row],[Preço]])),W158)-IF(TbTradesBinance[[#This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Row],[Tipo]]="DROP"),W158+TbTradesBinance[[#This Row],[Qtt]],W158-TbTradesBinance[[#This Row],[Qtt]]),IF(TbTradesBinance[[#This Row],[Tipo]]="BUY",W158-TbTradesBinance[[#This Row],[Qtt]]*TbTradesBinance[[#This Row],[Preço]],W158+TbTradesBinance[[#This Row],[Qtt]]*TbTradesBinance[[#This Row],[Preço]])),W158)-IF(TbTradesBinance[[#This Row],[Moeda da Taxa]]=MID(W$1,9,5),TbTradesBinance[[#This Row],[Taxa]],0),8)))</f>
        <v>5.9236E-4</v>
      </c>
      <c r="X159" s="145" cm="1">
        <f t="array" ref="X159">IF(TbTradesBinance[[#This Row],[Tipo]]="EMPTY",0,X158+IF(TbTradesBinance[[#This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Row],[Par]]))),$1:$1,0)),-(W158-W159)/W158*X158),0),0)+IF(TbTradesBinance[[#This Row],[Tipo]]="SELL",IF(ISNUMBER(FIND(MID(X$1,10,5),TbTradesBinance[[#This Row],[Par]])),IF(FIND(MID(X$1,10,5),TbTradesBinance[[#This Row],[Par]])=1, -(W158-W159)/W158*X158,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Row],[Par]])),(-(W158-W159)/W158*X158)+IF(TbTradesBinance[[#This Row],[Resultado]]&gt;0,0,TbTradesBinance[[#This Row],[Taxa]]),0),0))</f>
        <v>206.80783641683473</v>
      </c>
      <c r="Y159" s="145">
        <f t="shared" si="42"/>
        <v>349125.25561623799</v>
      </c>
      <c r="Z15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Row],[Tipo]]="DROP"),Z158+TbTradesBinance[[#This Row],[Qtt]],Z158-TbTradesBinance[[#This Row],[Qtt]]),IF(TbTradesBinance[[#This Row],[Tipo]]="BUY",Z158-TbTradesBinance[[#This Row],[Qtt]]*TbTradesBinance[[#This Row],[Preço]],Z158+TbTradesBinance[[#This Row],[Qtt]]*TbTradesBinance[[#This Row],[Preço]])),Z158)-IF(TbTradesBinance[[#This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Row],[Tipo]]="DROP"),Z158+TbTradesBinance[[#This Row],[Qtt]],Z158-TbTradesBinance[[#This Row],[Qtt]]),IF(TbTradesBinance[[#This Row],[Tipo]]="BUY",Z158-TbTradesBinance[[#This Row],[Qtt]]*TbTradesBinance[[#This Row],[Preço]],Z158+TbTradesBinance[[#This Row],[Qtt]]*TbTradesBinance[[#This Row],[Preço]])),Z158)-IF(TbTradesBinance[[#This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Row],[Tipo]]="DROP"),Z158+TbTradesBinance[[#This Row],[Qtt]],Z158-TbTradesBinance[[#This Row],[Qtt]]),IF(TbTradesBinance[[#This Row],[Tipo]]="BUY",Z158-TbTradesBinance[[#This Row],[Qtt]]*TbTradesBinance[[#This Row],[Preço]],Z158+TbTradesBinance[[#This Row],[Qtt]]*TbTradesBinance[[#This Row],[Preço]])),Z158)-IF(TbTradesBinance[[#This Row],[Moeda da Taxa]]=MID(Z$1,9,5),TbTradesBinance[[#This Row],[Taxa]],0),8)))</f>
        <v>0</v>
      </c>
      <c r="AA159" s="145" cm="1">
        <f t="array" ref="AA159">IF(TbTradesBinance[[#This Row],[Tipo]]="EMPTY",0,AA158+IF(TbTradesBinance[[#This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Row],[Par]]))),$1:$1,0)),-(Z158-Z159)/Z158*AA158),0),0)+IF(TbTradesBinance[[#This Row],[Tipo]]="SELL",IF(ISNUMBER(FIND(MID(AA$1,10,5),TbTradesBinance[[#This Row],[Par]])),IF(FIND(MID(AA$1,10,5),TbTradesBinance[[#This Row],[Par]])=1, -(Z158-Z159)/Z158*AA158,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Row],[Par]])),(-(Z158-Z159)/Z158*AA158)+IF(TbTradesBinance[[#This Row],[Resultado]]&gt;0,0,TbTradesBinance[[#This Row],[Taxa]]),0),0))</f>
        <v>0</v>
      </c>
      <c r="AB159" s="145">
        <f t="shared" si="43"/>
        <v>0</v>
      </c>
      <c r="AC15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Row],[Tipo]]="DROP"),AC158+TbTradesBinance[[#This Row],[Qtt]],AC158-TbTradesBinance[[#This Row],[Qtt]]),IF(TbTradesBinance[[#This Row],[Tipo]]="BUY",AC158-TbTradesBinance[[#This Row],[Qtt]]*TbTradesBinance[[#This Row],[Preço]],AC158+TbTradesBinance[[#This Row],[Qtt]]*TbTradesBinance[[#This Row],[Preço]])),AC158)-IF(TbTradesBinance[[#This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Row],[Tipo]]="DROP"),AC158+TbTradesBinance[[#This Row],[Qtt]],AC158-TbTradesBinance[[#This Row],[Qtt]]),IF(TbTradesBinance[[#This Row],[Tipo]]="BUY",AC158-TbTradesBinance[[#This Row],[Qtt]]*TbTradesBinance[[#This Row],[Preço]],AC158+TbTradesBinance[[#This Row],[Qtt]]*TbTradesBinance[[#This Row],[Preço]])),AC158)-IF(TbTradesBinance[[#This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Row],[Tipo]]="DROP"),AC158+TbTradesBinance[[#This Row],[Qtt]],AC158-TbTradesBinance[[#This Row],[Qtt]]),IF(TbTradesBinance[[#This Row],[Tipo]]="BUY",AC158-TbTradesBinance[[#This Row],[Qtt]]*TbTradesBinance[[#This Row],[Preço]],AC158+TbTradesBinance[[#This Row],[Qtt]]*TbTradesBinance[[#This Row],[Preço]])),AC158)-IF(TbTradesBinance[[#This Row],[Moeda da Taxa]]=MID(AC$1,9,5),TbTradesBinance[[#This Row],[Taxa]],0),8)))</f>
        <v>0</v>
      </c>
      <c r="AD159" s="145" cm="1">
        <f t="array" ref="AD159">IF(TbTradesBinance[[#This Row],[Tipo]]="EMPTY",0,AD158+IF(TbTradesBinance[[#This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Row],[Par]]))),$1:$1,0)),-(AC158-AC159)/AC158*AD158),0),0)+IF(TbTradesBinance[[#This Row],[Tipo]]="SELL",IF(ISNUMBER(FIND(MID(AD$1,10,5),TbTradesBinance[[#This Row],[Par]])),IF(FIND(MID(AD$1,10,5),TbTradesBinance[[#This Row],[Par]])=1, -(AC158-AC159)/AC158*AD158,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Row],[Par]])),(-(AC158-AC159)/AC158*AD158)+IF(TbTradesBinance[[#This Row],[Resultado]]&gt;0,0,TbTradesBinance[[#This Row],[Taxa]]),0),0))</f>
        <v>0</v>
      </c>
      <c r="AE159" s="145">
        <f t="shared" si="44"/>
        <v>0</v>
      </c>
      <c r="AF15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Row],[Tipo]]="DROP"),AF158+TbTradesBinance[[#This Row],[Qtt]],AF158-TbTradesBinance[[#This Row],[Qtt]]),IF(TbTradesBinance[[#This Row],[Tipo]]="BUY",AF158-TbTradesBinance[[#This Row],[Qtt]]*TbTradesBinance[[#This Row],[Preço]],AF158+TbTradesBinance[[#This Row],[Qtt]]*TbTradesBinance[[#This Row],[Preço]])),AF158)-IF(TbTradesBinance[[#This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Row],[Tipo]]="DROP"),AF158+TbTradesBinance[[#This Row],[Qtt]],AF158-TbTradesBinance[[#This Row],[Qtt]]),IF(TbTradesBinance[[#This Row],[Tipo]]="BUY",AF158-TbTradesBinance[[#This Row],[Qtt]]*TbTradesBinance[[#This Row],[Preço]],AF158+TbTradesBinance[[#This Row],[Qtt]]*TbTradesBinance[[#This Row],[Preço]])),AF158)-IF(TbTradesBinance[[#This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Row],[Tipo]]="DROP"),AF158+TbTradesBinance[[#This Row],[Qtt]],AF158-TbTradesBinance[[#This Row],[Qtt]]),IF(TbTradesBinance[[#This Row],[Tipo]]="BUY",AF158-TbTradesBinance[[#This Row],[Qtt]]*TbTradesBinance[[#This Row],[Preço]],AF158+TbTradesBinance[[#This Row],[Qtt]]*TbTradesBinance[[#This Row],[Preço]])),AF158)-IF(TbTradesBinance[[#This Row],[Moeda da Taxa]]=MID(AF$1,9,5),TbTradesBinance[[#This Row],[Taxa]],0),8)))</f>
        <v>0</v>
      </c>
      <c r="AG159" s="145" cm="1">
        <f t="array" ref="AG159">IF(TbTradesBinance[[#This Row],[Tipo]]="EMPTY",0,AG158+IF(TbTradesBinance[[#This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Row],[Par]]))),$1:$1,0)),-(AF158-AF159)/AF158*AG158),0),0)+IF(TbTradesBinance[[#This Row],[Tipo]]="SELL",IF(ISNUMBER(FIND(MID(AG$1,10,5),TbTradesBinance[[#This Row],[Par]])),IF(FIND(MID(AG$1,10,5),TbTradesBinance[[#This Row],[Par]])=1, -(AF158-AF159)/AF158*AG158,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Row],[Par]])),(-(AF158-AF159)/AF158*AG158)+IF(TbTradesBinance[[#This Row],[Resultado]]&gt;0,0,TbTradesBinance[[#This Row],[Taxa]]),0),0))</f>
        <v>0</v>
      </c>
      <c r="AH159" s="145">
        <f t="shared" si="45"/>
        <v>0</v>
      </c>
      <c r="AI15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Row],[Tipo]]="DROP"),AI158+TbTradesBinance[[#This Row],[Qtt]],AI158-TbTradesBinance[[#This Row],[Qtt]]),IF(TbTradesBinance[[#This Row],[Tipo]]="BUY",AI158-TbTradesBinance[[#This Row],[Qtt]]*TbTradesBinance[[#This Row],[Preço]],AI158+TbTradesBinance[[#This Row],[Qtt]]*TbTradesBinance[[#This Row],[Preço]])),AI158)-IF(TbTradesBinance[[#This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Row],[Tipo]]="DROP"),AI158+TbTradesBinance[[#This Row],[Qtt]],AI158-TbTradesBinance[[#This Row],[Qtt]]),IF(TbTradesBinance[[#This Row],[Tipo]]="BUY",AI158-TbTradesBinance[[#This Row],[Qtt]]*TbTradesBinance[[#This Row],[Preço]],AI158+TbTradesBinance[[#This Row],[Qtt]]*TbTradesBinance[[#This Row],[Preço]])),AI158)-IF(TbTradesBinance[[#This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Row],[Tipo]]="DROP"),AI158+TbTradesBinance[[#This Row],[Qtt]],AI158-TbTradesBinance[[#This Row],[Qtt]]),IF(TbTradesBinance[[#This Row],[Tipo]]="BUY",AI158-TbTradesBinance[[#This Row],[Qtt]]*TbTradesBinance[[#This Row],[Preço]],AI158+TbTradesBinance[[#This Row],[Qtt]]*TbTradesBinance[[#This Row],[Preço]])),AI158)-IF(TbTradesBinance[[#This Row],[Moeda da Taxa]]=MID(AI$1,9,5),TbTradesBinance[[#This Row],[Taxa]],0),8)))</f>
        <v>0</v>
      </c>
      <c r="AJ159" s="145" cm="1">
        <f t="array" ref="AJ159">IF(TbTradesBinance[[#This Row],[Tipo]]="EMPTY",0,AJ158+IF(TbTradesBinance[[#This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Row],[Par]]))),$1:$1,0)),-(AI158-AI159)/AI158*AJ158),0),0)+IF(TbTradesBinance[[#This Row],[Tipo]]="SELL",IF(ISNUMBER(FIND(MID(AJ$1,10,5),TbTradesBinance[[#This Row],[Par]])),IF(FIND(MID(AJ$1,10,5),TbTradesBinance[[#This Row],[Par]])=1, -(AI158-AI159)/AI158*AJ158,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Row],[Par]])),(-(AI158-AI159)/AI158*AJ158)+IF(TbTradesBinance[[#This Row],[Resultado]]&gt;0,0,TbTradesBinance[[#This Row],[Taxa]]),0),0))</f>
        <v>0</v>
      </c>
      <c r="AK159" s="145">
        <f t="shared" si="46"/>
        <v>0</v>
      </c>
      <c r="AL15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Row],[Tipo]]="DROP"),AL158+TbTradesBinance[[#This Row],[Qtt]],AL158-TbTradesBinance[[#This Row],[Qtt]]),IF(TbTradesBinance[[#This Row],[Tipo]]="BUY",AL158-TbTradesBinance[[#This Row],[Qtt]]*TbTradesBinance[[#This Row],[Preço]],AL158+TbTradesBinance[[#This Row],[Qtt]]*TbTradesBinance[[#This Row],[Preço]])),AL158)-IF(TbTradesBinance[[#This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Row],[Tipo]]="DROP"),AL158+TbTradesBinance[[#This Row],[Qtt]],AL158-TbTradesBinance[[#This Row],[Qtt]]),IF(TbTradesBinance[[#This Row],[Tipo]]="BUY",AL158-TbTradesBinance[[#This Row],[Qtt]]*TbTradesBinance[[#This Row],[Preço]],AL158+TbTradesBinance[[#This Row],[Qtt]]*TbTradesBinance[[#This Row],[Preço]])),AL158)-IF(TbTradesBinance[[#This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Row],[Tipo]]="DROP"),AL158+TbTradesBinance[[#This Row],[Qtt]],AL158-TbTradesBinance[[#This Row],[Qtt]]),IF(TbTradesBinance[[#This Row],[Tipo]]="BUY",AL158-TbTradesBinance[[#This Row],[Qtt]]*TbTradesBinance[[#This Row],[Preço]],AL158+TbTradesBinance[[#This Row],[Qtt]]*TbTradesBinance[[#This Row],[Preço]])),AL158)-IF(TbTradesBinance[[#This Row],[Moeda da Taxa]]=MID(AL$1,9,5),TbTradesBinance[[#This Row],[Taxa]],0),8)))</f>
        <v>0</v>
      </c>
      <c r="AM159" s="145" cm="1">
        <f t="array" ref="AM159">IF(TbTradesBinance[[#This Row],[Tipo]]="EMPTY",0,AM158+IF(TbTradesBinance[[#This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Row],[Par]]))),$1:$1,0)),-(AL158-AL159)/AL158*AM158),0),0)+IF(TbTradesBinance[[#This Row],[Tipo]]="SELL",IF(ISNUMBER(FIND(MID(AM$1,10,5),TbTradesBinance[[#This Row],[Par]])),IF(FIND(MID(AM$1,10,5),TbTradesBinance[[#This Row],[Par]])=1, -(AL158-AL159)/AL158*AM158,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Row],[Par]])),(-(AL158-AL159)/AL158*AM158)+IF(TbTradesBinance[[#This Row],[Resultado]]&gt;0,0,TbTradesBinance[[#This Row],[Taxa]]),0),0))</f>
        <v>0</v>
      </c>
      <c r="AN159" s="145">
        <f t="shared" si="47"/>
        <v>0</v>
      </c>
      <c r="AO15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Row],[Tipo]]="DROP"),AO158+TbTradesBinance[[#This Row],[Qtt]],AO158-TbTradesBinance[[#This Row],[Qtt]]),IF(TbTradesBinance[[#This Row],[Tipo]]="BUY",AO158-TbTradesBinance[[#This Row],[Qtt]]*TbTradesBinance[[#This Row],[Preço]],AO158+TbTradesBinance[[#This Row],[Qtt]]*TbTradesBinance[[#This Row],[Preço]])),AO158)-IF(TbTradesBinance[[#This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Row],[Tipo]]="DROP"),AO158+TbTradesBinance[[#This Row],[Qtt]],AO158-TbTradesBinance[[#This Row],[Qtt]]),IF(TbTradesBinance[[#This Row],[Tipo]]="BUY",AO158-TbTradesBinance[[#This Row],[Qtt]]*TbTradesBinance[[#This Row],[Preço]],AO158+TbTradesBinance[[#This Row],[Qtt]]*TbTradesBinance[[#This Row],[Preço]])),AO158)-IF(TbTradesBinance[[#This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Row],[Tipo]]="DROP"),AO158+TbTradesBinance[[#This Row],[Qtt]],AO158-TbTradesBinance[[#This Row],[Qtt]]),IF(TbTradesBinance[[#This Row],[Tipo]]="BUY",AO158-TbTradesBinance[[#This Row],[Qtt]]*TbTradesBinance[[#This Row],[Preço]],AO158+TbTradesBinance[[#This Row],[Qtt]]*TbTradesBinance[[#This Row],[Preço]])),AO158)-IF(TbTradesBinance[[#This Row],[Moeda da Taxa]]=MID(AO$1,9,5),TbTradesBinance[[#This Row],[Taxa]],0),8)))</f>
        <v>3.730166E-2</v>
      </c>
      <c r="AP159" s="145" cm="1">
        <f t="array" ref="AP159">IF(TbTradesBinance[[#This Row],[Tipo]]="EMPTY",0,AP158+IF(TbTradesBinance[[#This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Row],[Par]]))),$1:$1,0)),-(AO158-AO159)/AO158*AP158),0),0)+IF(TbTradesBinance[[#This Row],[Tipo]]="SELL",IF(ISNUMBER(FIND(MID(AP$1,10,5),TbTradesBinance[[#This Row],[Par]])),IF(FIND(MID(AP$1,10,5),TbTradesBinance[[#This Row],[Par]])=1, -(AO158-AO159)/AO158*AP158,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Row],[Par]])),(-(AO158-AO159)/AO158*AP158)+IF(TbTradesBinance[[#This Row],[Resultado]]&gt;0,0,TbTradesBinance[[#This Row],[Taxa]]),0),0))</f>
        <v>57.065298020032813</v>
      </c>
      <c r="AQ159" s="145">
        <f t="shared" si="48"/>
        <v>1529.832667501468</v>
      </c>
      <c r="AR15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Row],[Tipo]]="DROP"),AR158+TbTradesBinance[[#This Row],[Qtt]],AR158-TbTradesBinance[[#This Row],[Qtt]]),IF(TbTradesBinance[[#This Row],[Tipo]]="BUY",AR158-TbTradesBinance[[#This Row],[Qtt]]*TbTradesBinance[[#This Row],[Preço]],AR158+TbTradesBinance[[#This Row],[Qtt]]*TbTradesBinance[[#This Row],[Preço]])),AR158)-IF(TbTradesBinance[[#This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Row],[Tipo]]="DROP"),AR158+TbTradesBinance[[#This Row],[Qtt]],AR158-TbTradesBinance[[#This Row],[Qtt]]),IF(TbTradesBinance[[#This Row],[Tipo]]="BUY",AR158-TbTradesBinance[[#This Row],[Qtt]]*TbTradesBinance[[#This Row],[Preço]],AR158+TbTradesBinance[[#This Row],[Qtt]]*TbTradesBinance[[#This Row],[Preço]])),AR158)-IF(TbTradesBinance[[#This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Row],[Tipo]]="DROP"),AR158+TbTradesBinance[[#This Row],[Qtt]],AR158-TbTradesBinance[[#This Row],[Qtt]]),IF(TbTradesBinance[[#This Row],[Tipo]]="BUY",AR158-TbTradesBinance[[#This Row],[Qtt]]*TbTradesBinance[[#This Row],[Preço]],AR158+TbTradesBinance[[#This Row],[Qtt]]*TbTradesBinance[[#This Row],[Preço]])),AR158)-IF(TbTradesBinance[[#This Row],[Moeda da Taxa]]=MID(AR$1,9,5),TbTradesBinance[[#This Row],[Taxa]],0),8)))</f>
        <v>0</v>
      </c>
      <c r="AS159" s="145" cm="1">
        <f t="array" ref="AS159">IF(TbTradesBinance[[#This Row],[Tipo]]="EMPTY",0,AS158+IF(TbTradesBinance[[#This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Row],[Par]]))),$1:$1,0)),-(AR158-AR159)/AR158*AS158),0),0)+IF(TbTradesBinance[[#This Row],[Tipo]]="SELL",IF(ISNUMBER(FIND(MID(AS$1,10,5),TbTradesBinance[[#This Row],[Par]])),IF(FIND(MID(AS$1,10,5),TbTradesBinance[[#This Row],[Par]])=1, -(AR158-AR159)/AR158*AS158,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Row],[Par]])),(-(AR158-AR159)/AR158*AS158)+IF(TbTradesBinance[[#This Row],[Resultado]]&gt;0,0,TbTradesBinance[[#This Row],[Taxa]]),0),0))</f>
        <v>0</v>
      </c>
      <c r="AT159" s="145">
        <f t="shared" si="49"/>
        <v>0</v>
      </c>
      <c r="AU15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Row],[Tipo]]="DROP"),AU158+TbTradesBinance[[#This Row],[Qtt]],AU158-TbTradesBinance[[#This Row],[Qtt]]),IF(TbTradesBinance[[#This Row],[Tipo]]="BUY",AU158-TbTradesBinance[[#This Row],[Qtt]]*TbTradesBinance[[#This Row],[Preço]],AU158+TbTradesBinance[[#This Row],[Qtt]]*TbTradesBinance[[#This Row],[Preço]])),AU158)-IF(TbTradesBinance[[#This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Row],[Tipo]]="DROP"),AU158+TbTradesBinance[[#This Row],[Qtt]],AU158-TbTradesBinance[[#This Row],[Qtt]]),IF(TbTradesBinance[[#This Row],[Tipo]]="BUY",AU158-TbTradesBinance[[#This Row],[Qtt]]*TbTradesBinance[[#This Row],[Preço]],AU158+TbTradesBinance[[#This Row],[Qtt]]*TbTradesBinance[[#This Row],[Preço]])),AU158)-IF(TbTradesBinance[[#This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Row],[Tipo]]="DROP"),AU158+TbTradesBinance[[#This Row],[Qtt]],AU158-TbTradesBinance[[#This Row],[Qtt]]),IF(TbTradesBinance[[#This Row],[Tipo]]="BUY",AU158-TbTradesBinance[[#This Row],[Qtt]]*TbTradesBinance[[#This Row],[Preço]],AU158+TbTradesBinance[[#This Row],[Qtt]]*TbTradesBinance[[#This Row],[Preço]])),AU158)-IF(TbTradesBinance[[#This Row],[Moeda da Taxa]]=MID(AU$1,9,5),TbTradesBinance[[#This Row],[Taxa]],0),8)))</f>
        <v>0.51</v>
      </c>
      <c r="AV159" s="145" cm="1">
        <f t="array" ref="AV159">IF(TbTradesBinance[[#This Row],[Tipo]]="EMPTY",0,AV158+IF(TbTradesBinance[[#This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Row],[Par]]))),$1:$1,0)),-(AU158-AU159)/AU158*AV158),0),0)+IF(TbTradesBinance[[#This Row],[Tipo]]="SELL",IF(ISNUMBER(FIND(MID(AV$1,10,5),TbTradesBinance[[#This Row],[Par]])),IF(FIND(MID(AV$1,10,5),TbTradesBinance[[#This Row],[Par]])=1, -(AU158-AU159)/AU158*AV158,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Row],[Par]])),(-(AU158-AU159)/AU158*AV158)+IF(TbTradesBinance[[#This Row],[Resultado]]&gt;0,0,TbTradesBinance[[#This Row],[Taxa]]),0),0))</f>
        <v>95.466693037374753</v>
      </c>
      <c r="AW159" s="145">
        <f t="shared" si="50"/>
        <v>187.18959419093088</v>
      </c>
      <c r="AX15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Row],[Tipo]]="DROP"),AX158+TbTradesBinance[[#This Row],[Qtt]],AX158-TbTradesBinance[[#This Row],[Qtt]]),IF(TbTradesBinance[[#This Row],[Tipo]]="BUY",AX158-TbTradesBinance[[#This Row],[Qtt]]*TbTradesBinance[[#This Row],[Preço]],AX158+TbTradesBinance[[#This Row],[Qtt]]*TbTradesBinance[[#This Row],[Preço]])),AX158)-IF(TbTradesBinance[[#This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Row],[Tipo]]="DROP"),AX158+TbTradesBinance[[#This Row],[Qtt]],AX158-TbTradesBinance[[#This Row],[Qtt]]),IF(TbTradesBinance[[#This Row],[Tipo]]="BUY",AX158-TbTradesBinance[[#This Row],[Qtt]]*TbTradesBinance[[#This Row],[Preço]],AX158+TbTradesBinance[[#This Row],[Qtt]]*TbTradesBinance[[#This Row],[Preço]])),AX158)-IF(TbTradesBinance[[#This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Row],[Tipo]]="DROP"),AX158+TbTradesBinance[[#This Row],[Qtt]],AX158-TbTradesBinance[[#This Row],[Qtt]]),IF(TbTradesBinance[[#This Row],[Tipo]]="BUY",AX158-TbTradesBinance[[#This Row],[Qtt]]*TbTradesBinance[[#This Row],[Preço]],AX158+TbTradesBinance[[#This Row],[Qtt]]*TbTradesBinance[[#This Row],[Preço]])),AX158)-IF(TbTradesBinance[[#This Row],[Moeda da Taxa]]=MID(AX$1,9,5),TbTradesBinance[[#This Row],[Taxa]],0),8)))</f>
        <v>0.53737999999999997</v>
      </c>
      <c r="AY159" s="145" cm="1">
        <f t="array" ref="AY159">IF(TbTradesBinance[[#This Row],[Tipo]]="EMPTY",0,AY158+IF(TbTradesBinance[[#This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Row],[Par]]))),$1:$1,0)),-(AX158-AX159)/AX158*AY158),0),0)+IF(TbTradesBinance[[#This Row],[Tipo]]="SELL",IF(ISNUMBER(FIND(MID(AY$1,10,5),TbTradesBinance[[#This Row],[Par]])),IF(FIND(MID(AY$1,10,5),TbTradesBinance[[#This Row],[Par]])=1, -(AX158-AX159)/AX158*AY158,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Row],[Par]])),(-(AX158-AX159)/AX158*AY158)+IF(TbTradesBinance[[#This Row],[Resultado]]&gt;0,0,TbTradesBinance[[#This Row],[Taxa]]),0),0))</f>
        <v>100.4197840540867</v>
      </c>
      <c r="AZ159" s="145">
        <f t="shared" si="51"/>
        <v>186.869224857804</v>
      </c>
      <c r="BA15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Row],[Tipo]]="DROP"),BA158+TbTradesBinance[[#This Row],[Qtt]],BA158-TbTradesBinance[[#This Row],[Qtt]]),IF(TbTradesBinance[[#This Row],[Tipo]]="BUY",BA158-TbTradesBinance[[#This Row],[Qtt]]*TbTradesBinance[[#This Row],[Preço]],BA158+TbTradesBinance[[#This Row],[Qtt]]*TbTradesBinance[[#This Row],[Preço]])),BA158)-IF(TbTradesBinance[[#This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Row],[Tipo]]="DROP"),BA158+TbTradesBinance[[#This Row],[Qtt]],BA158-TbTradesBinance[[#This Row],[Qtt]]),IF(TbTradesBinance[[#This Row],[Tipo]]="BUY",BA158-TbTradesBinance[[#This Row],[Qtt]]*TbTradesBinance[[#This Row],[Preço]],BA158+TbTradesBinance[[#This Row],[Qtt]]*TbTradesBinance[[#This Row],[Preço]])),BA158)-IF(TbTradesBinance[[#This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Row],[Tipo]]="DROP"),BA158+TbTradesBinance[[#This Row],[Qtt]],BA158-TbTradesBinance[[#This Row],[Qtt]]),IF(TbTradesBinance[[#This Row],[Tipo]]="BUY",BA158-TbTradesBinance[[#This Row],[Qtt]]*TbTradesBinance[[#This Row],[Preço]],BA158+TbTradesBinance[[#This Row],[Qtt]]*TbTradesBinance[[#This Row],[Preço]])),BA158)-IF(TbTradesBinance[[#This Row],[Moeda da Taxa]]=MID(BA$1,9,5),TbTradesBinance[[#This Row],[Taxa]],0),8)))</f>
        <v>0</v>
      </c>
      <c r="BB159" s="145" cm="1">
        <f t="array" ref="BB159">IF(TbTradesBinance[[#This Row],[Tipo]]="EMPTY",0,BB158+IF(TbTradesBinance[[#This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Row],[Par]]))),$1:$1,0)),-(BA158-BA159)/BA158*BB158),0),0)+IF(TbTradesBinance[[#This Row],[Tipo]]="SELL",IF(ISNUMBER(FIND(MID(BB$1,10,5),TbTradesBinance[[#This Row],[Par]])),IF(FIND(MID(BB$1,10,5),TbTradesBinance[[#This Row],[Par]])=1, -(BA158-BA159)/BA158*BB158,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Row],[Par]])),(-(BA158-BA159)/BA158*BB158)+IF(TbTradesBinance[[#This Row],[Resultado]]&gt;0,0,TbTradesBinance[[#This Row],[Taxa]]),0),0))</f>
        <v>0</v>
      </c>
      <c r="BC159" s="145">
        <f t="shared" si="52"/>
        <v>0</v>
      </c>
      <c r="BD15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Row],[Tipo]]="DROP"),BD158+TbTradesBinance[[#This Row],[Qtt]],BD158-TbTradesBinance[[#This Row],[Qtt]]),IF(TbTradesBinance[[#This Row],[Tipo]]="BUY",BD158-TbTradesBinance[[#This Row],[Qtt]]*TbTradesBinance[[#This Row],[Preço]],BD158+TbTradesBinance[[#This Row],[Qtt]]*TbTradesBinance[[#This Row],[Preço]])),BD158)-IF(TbTradesBinance[[#This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Row],[Tipo]]="DROP"),BD158+TbTradesBinance[[#This Row],[Qtt]],BD158-TbTradesBinance[[#This Row],[Qtt]]),IF(TbTradesBinance[[#This Row],[Tipo]]="BUY",BD158-TbTradesBinance[[#This Row],[Qtt]]*TbTradesBinance[[#This Row],[Preço]],BD158+TbTradesBinance[[#This Row],[Qtt]]*TbTradesBinance[[#This Row],[Preço]])),BD158)-IF(TbTradesBinance[[#This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Row],[Tipo]]="DROP"),BD158+TbTradesBinance[[#This Row],[Qtt]],BD158-TbTradesBinance[[#This Row],[Qtt]]),IF(TbTradesBinance[[#This Row],[Tipo]]="BUY",BD158-TbTradesBinance[[#This Row],[Qtt]]*TbTradesBinance[[#This Row],[Preço]],BD158+TbTradesBinance[[#This Row],[Qtt]]*TbTradesBinance[[#This Row],[Preço]])),BD158)-IF(TbTradesBinance[[#This Row],[Moeda da Taxa]]=MID(BD$1,9,5),TbTradesBinance[[#This Row],[Taxa]],0),8)))</f>
        <v>0</v>
      </c>
      <c r="BE159" s="145" cm="1">
        <f t="array" ref="BE159">IF(TbTradesBinance[[#This Row],[Tipo]]="EMPTY",0,BE158+IF(TbTradesBinance[[#This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Row],[Par]]))),$1:$1,0)),-(BD158-BD159)/BD158*BE158),0),0)+IF(TbTradesBinance[[#This Row],[Tipo]]="SELL",IF(ISNUMBER(FIND(MID(BE$1,10,5),TbTradesBinance[[#This Row],[Par]])),IF(FIND(MID(BE$1,10,5),TbTradesBinance[[#This Row],[Par]])=1, -(BD158-BD159)/BD158*BE158,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Row],[Par]])),(-(BD158-BD159)/BD158*BE158)+IF(TbTradesBinance[[#This Row],[Resultado]]&gt;0,0,TbTradesBinance[[#This Row],[Taxa]]),0),0))</f>
        <v>0</v>
      </c>
      <c r="BF159" s="145">
        <f t="shared" si="53"/>
        <v>0</v>
      </c>
      <c r="BG15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Row],[Tipo]]="DROP"),BG158+TbTradesBinance[[#This Row],[Qtt]],BG158-TbTradesBinance[[#This Row],[Qtt]]),IF(TbTradesBinance[[#This Row],[Tipo]]="BUY",BG158-TbTradesBinance[[#This Row],[Qtt]]*TbTradesBinance[[#This Row],[Preço]],BG158+TbTradesBinance[[#This Row],[Qtt]]*TbTradesBinance[[#This Row],[Preço]])),BG158)-IF(TbTradesBinance[[#This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Row],[Tipo]]="DROP"),BG158+TbTradesBinance[[#This Row],[Qtt]],BG158-TbTradesBinance[[#This Row],[Qtt]]),IF(TbTradesBinance[[#This Row],[Tipo]]="BUY",BG158-TbTradesBinance[[#This Row],[Qtt]]*TbTradesBinance[[#This Row],[Preço]],BG158+TbTradesBinance[[#This Row],[Qtt]]*TbTradesBinance[[#This Row],[Preço]])),BG158)-IF(TbTradesBinance[[#This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Row],[Tipo]]="DROP"),BG158+TbTradesBinance[[#This Row],[Qtt]],BG158-TbTradesBinance[[#This Row],[Qtt]]),IF(TbTradesBinance[[#This Row],[Tipo]]="BUY",BG158-TbTradesBinance[[#This Row],[Qtt]]*TbTradesBinance[[#This Row],[Preço]],BG158+TbTradesBinance[[#This Row],[Qtt]]*TbTradesBinance[[#This Row],[Preço]])),BG158)-IF(TbTradesBinance[[#This Row],[Moeda da Taxa]]=MID(BG$1,9,5),TbTradesBinance[[#This Row],[Taxa]],0),8)))</f>
        <v>0</v>
      </c>
      <c r="BH159" s="145" cm="1">
        <f t="array" ref="BH159">IF(TbTradesBinance[[#This Row],[Tipo]]="EMPTY",0,BH158+IF(TbTradesBinance[[#This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Row],[Par]]))),$1:$1,0)),-(BG158-BG159)/BG158*BH158),0),0)+IF(TbTradesBinance[[#This Row],[Tipo]]="SELL",IF(ISNUMBER(FIND(MID(BH$1,10,5),TbTradesBinance[[#This Row],[Par]])),IF(FIND(MID(BH$1,10,5),TbTradesBinance[[#This Row],[Par]])=1, -(BG158-BG159)/BG158*BH158,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Row],[Par]])),(-(BG158-BG159)/BG158*BH158)+IF(TbTradesBinance[[#This Row],[Resultado]]&gt;0,0,TbTradesBinance[[#This Row],[Taxa]]),0),0))</f>
        <v>0</v>
      </c>
      <c r="BI159" s="145">
        <f t="shared" si="54"/>
        <v>0</v>
      </c>
      <c r="BJ15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Row],[Tipo]]="DROP"),BJ158+TbTradesBinance[[#This Row],[Qtt]],BJ158-TbTradesBinance[[#This Row],[Qtt]]),IF(TbTradesBinance[[#This Row],[Tipo]]="BUY",BJ158-TbTradesBinance[[#This Row],[Qtt]]*TbTradesBinance[[#This Row],[Preço]],BJ158+TbTradesBinance[[#This Row],[Qtt]]*TbTradesBinance[[#This Row],[Preço]])),BJ158)-IF(TbTradesBinance[[#This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Row],[Tipo]]="DROP"),BJ158+TbTradesBinance[[#This Row],[Qtt]],BJ158-TbTradesBinance[[#This Row],[Qtt]]),IF(TbTradesBinance[[#This Row],[Tipo]]="BUY",BJ158-TbTradesBinance[[#This Row],[Qtt]]*TbTradesBinance[[#This Row],[Preço]],BJ158+TbTradesBinance[[#This Row],[Qtt]]*TbTradesBinance[[#This Row],[Preço]])),BJ158)-IF(TbTradesBinance[[#This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Row],[Tipo]]="DROP"),BJ158+TbTradesBinance[[#This Row],[Qtt]],BJ158-TbTradesBinance[[#This Row],[Qtt]]),IF(TbTradesBinance[[#This Row],[Tipo]]="BUY",BJ158-TbTradesBinance[[#This Row],[Qtt]]*TbTradesBinance[[#This Row],[Preço]],BJ158+TbTradesBinance[[#This Row],[Qtt]]*TbTradesBinance[[#This Row],[Preço]])),BJ158)-IF(TbTradesBinance[[#This Row],[Moeda da Taxa]]=MID(BJ$1,9,5),TbTradesBinance[[#This Row],[Taxa]],0),8)))</f>
        <v>0</v>
      </c>
      <c r="BK159" s="145" cm="1">
        <f t="array" ref="BK159">IF(TbTradesBinance[[#This Row],[Tipo]]="EMPTY",0,BK158+IF(TbTradesBinance[[#This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Row],[Par]]))),$1:$1,0)),-(BJ158-BJ159)/BJ158*BK158),0),0)+IF(TbTradesBinance[[#This Row],[Tipo]]="SELL",IF(ISNUMBER(FIND(MID(BK$1,10,5),TbTradesBinance[[#This Row],[Par]])),IF(FIND(MID(BK$1,10,5),TbTradesBinance[[#This Row],[Par]])=1, -(BJ158-BJ159)/BJ158*BK158,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Row],[Par]])),(-(BJ158-BJ159)/BJ158*BK158)+IF(TbTradesBinance[[#This Row],[Resultado]]&gt;0,0,TbTradesBinance[[#This Row],[Taxa]]),0),0))</f>
        <v>0</v>
      </c>
      <c r="BL159" s="145">
        <f t="shared" si="55"/>
        <v>0</v>
      </c>
      <c r="BM15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Row],[Tipo]]="DROP"),BM158+TbTradesBinance[[#This Row],[Qtt]],BM158-TbTradesBinance[[#This Row],[Qtt]]),IF(TbTradesBinance[[#This Row],[Tipo]]="BUY",BM158-TbTradesBinance[[#This Row],[Qtt]]*TbTradesBinance[[#This Row],[Preço]],BM158+TbTradesBinance[[#This Row],[Qtt]]*TbTradesBinance[[#This Row],[Preço]])),BM158)-IF(TbTradesBinance[[#This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Row],[Tipo]]="DROP"),BM158+TbTradesBinance[[#This Row],[Qtt]],BM158-TbTradesBinance[[#This Row],[Qtt]]),IF(TbTradesBinance[[#This Row],[Tipo]]="BUY",BM158-TbTradesBinance[[#This Row],[Qtt]]*TbTradesBinance[[#This Row],[Preço]],BM158+TbTradesBinance[[#This Row],[Qtt]]*TbTradesBinance[[#This Row],[Preço]])),BM158)-IF(TbTradesBinance[[#This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Row],[Tipo]]="DROP"),BM158+TbTradesBinance[[#This Row],[Qtt]],BM158-TbTradesBinance[[#This Row],[Qtt]]),IF(TbTradesBinance[[#This Row],[Tipo]]="BUY",BM158-TbTradesBinance[[#This Row],[Qtt]]*TbTradesBinance[[#This Row],[Preço]],BM158+TbTradesBinance[[#This Row],[Qtt]]*TbTradesBinance[[#This Row],[Preço]])),BM158)-IF(TbTradesBinance[[#This Row],[Moeda da Taxa]]=MID(BM$1,9,5),TbTradesBinance[[#This Row],[Taxa]],0),8)))</f>
        <v>0.17338655</v>
      </c>
      <c r="BN159" s="145" cm="1">
        <f t="array" ref="BN159">IF(TbTradesBinance[[#This Row],[Tipo]]="EMPTY",0,BN158+IF(TbTradesBinance[[#This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Row],[Par]]))),$1:$1,0)),-(BM158-BM159)/BM158*BN158),0),0)+IF(TbTradesBinance[[#This Row],[Tipo]]="SELL",IF(ISNUMBER(FIND(MID(BN$1,10,5),TbTradesBinance[[#This Row],[Par]])),IF(FIND(MID(BN$1,10,5),TbTradesBinance[[#This Row],[Par]])=1, -(BM158-BM159)/BM158*BN158,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Row],[Par]])),(-(BM158-BM159)/BM158*BN158)+IF(TbTradesBinance[[#This Row],[Resultado]]&gt;0,0,TbTradesBinance[[#This Row],[Taxa]]),0),0))</f>
        <v>0</v>
      </c>
      <c r="BO159" s="145">
        <f t="shared" si="56"/>
        <v>0</v>
      </c>
    </row>
    <row r="160" spans="2:67" x14ac:dyDescent="0.3">
      <c r="B160" s="51" t="s">
        <v>107</v>
      </c>
      <c r="C160" s="40">
        <f>TRUNC(IF(AND(TbTradesBinance[[#This Row],[Tipo]]="SEND",TbTradesBinance[[#This Row],[Par]]="BRL"),TbTradesBinance[[#This Row],[Qtt]]*(1-P158)-IF(TbTradesBinance[[#This Row],[Moeda da Taxa]]="BRL",TbTradesBinance[[#This Row],[Taxa]],0),0)+IF(AND(TbTradesBinance[[#This Row],[Tipo]]="BURN",TbTradesBinance[[#This Row],[Par]]="BRL"),-TbTradesBinance[[#This Row],[Qtt]]*P158,0),2)</f>
        <v>0</v>
      </c>
      <c r="D160" s="53">
        <v>44313.904467592591</v>
      </c>
      <c r="E160" s="37" t="s">
        <v>248</v>
      </c>
      <c r="F160" s="47" t="s">
        <v>139</v>
      </c>
      <c r="G160" s="38">
        <v>3156.7375161800001</v>
      </c>
      <c r="H160" s="38">
        <v>5.0986E-4</v>
      </c>
      <c r="I160" s="38">
        <v>1.0200000000000001E-5</v>
      </c>
      <c r="J160" s="37" t="s">
        <v>45</v>
      </c>
      <c r="K160" s="52">
        <v>1</v>
      </c>
      <c r="L160" s="40">
        <f t="shared" si="38"/>
        <v>3156.73</v>
      </c>
      <c r="M160" s="40">
        <f>IF(OR(TbTradesBinance[[#This Row],[Tipo]]="BUY",TbTradesBinance[[#This Row],[Tipo]]="RECEIVE",TbTradesBinance[[#This Row],[Tipo]]="DROP"),L160*H160,-L160*H160)</f>
        <v>1.6094903577999999</v>
      </c>
      <c r="N16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Row],[Tipo]]="DROP"),N159+TbTradesBinance[[#This Row],[Qtt]],N159-TbTradesBinance[[#This Row],[Qtt]]),IF(TbTradesBinance[[#This Row],[Tipo]]="BUY",N159-TbTradesBinance[[#This Row],[Qtt]]*TbTradesBinance[[#This Row],[Preço]],N159+TbTradesBinance[[#This Row],[Qtt]]*TbTradesBinance[[#This Row],[Preço]])),N159)-IF(TbTradesBinance[[#This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Row],[Tipo]]="DROP"),N159+TbTradesBinance[[#This Row],[Qtt]],N159-TbTradesBinance[[#This Row],[Qtt]]),IF(TbTradesBinance[[#This Row],[Tipo]]="BUY",N159-TbTradesBinance[[#This Row],[Qtt]]*TbTradesBinance[[#This Row],[Preço]],N159+TbTradesBinance[[#This Row],[Qtt]]*TbTradesBinance[[#This Row],[Preço]])),N159)-IF(TbTradesBinance[[#This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Row],[Tipo]]="DROP"),N159+TbTradesBinance[[#This Row],[Qtt]],N159-TbTradesBinance[[#This Row],[Qtt]]),IF(TbTradesBinance[[#This Row],[Tipo]]="BUY",N159-TbTradesBinance[[#This Row],[Qtt]]*TbTradesBinance[[#This Row],[Preço]],N159+TbTradesBinance[[#This Row],[Qtt]]*TbTradesBinance[[#This Row],[Preço]])),N159)-IF(TbTradesBinance[[#This Row],[Moeda da Taxa]]=MID(N$1,9,5),TbTradesBinance[[#This Row],[Taxa]],0),8)))</f>
        <v>119745.41999999</v>
      </c>
      <c r="O160" s="145" cm="1">
        <f t="array" ref="O160">IF(TbTradesBinance[[#This Row],[Tipo]]="EMPTY",0,O159+IF(TbTradesBinance[[#This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Row],[Par]]))),$1:$1,0)),-(N159-N160)/N159*O159),0),0)+IF(TbTradesBinance[[#This Row],[Tipo]]="SELL",IF(ISNUMBER(FIND(MID(O$1,10,5),TbTradesBinance[[#This Row],[Par]])),IF(FIND(MID(O$1,10,5),TbTradesBinance[[#This Row],[Par]])=1, -(N159-N160)/N159*O159,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Row],[Par]])),(-(N159-N160)/N159*O159)+IF(TbTradesBinance[[#This Row],[Resultado]]&gt;0,0,TbTradesBinance[[#This Row],[Taxa]]),0),0))</f>
        <v>119800.54936893667</v>
      </c>
      <c r="P160" s="145">
        <f t="shared" si="39"/>
        <v>1.0004603881212883</v>
      </c>
      <c r="Q16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Row],[Tipo]]="DROP"),Q159+TbTradesBinance[[#This Row],[Qtt]],Q159-TbTradesBinance[[#This Row],[Qtt]]),IF(TbTradesBinance[[#This Row],[Tipo]]="BUY",Q159-TbTradesBinance[[#This Row],[Qtt]]*TbTradesBinance[[#This Row],[Preço]],Q159+TbTradesBinance[[#This Row],[Qtt]]*TbTradesBinance[[#This Row],[Preço]])),Q159)-IF(TbTradesBinance[[#This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Row],[Tipo]]="DROP"),Q159+TbTradesBinance[[#This Row],[Qtt]],Q159-TbTradesBinance[[#This Row],[Qtt]]),IF(TbTradesBinance[[#This Row],[Tipo]]="BUY",Q159-TbTradesBinance[[#This Row],[Qtt]]*TbTradesBinance[[#This Row],[Preço]],Q159+TbTradesBinance[[#This Row],[Qtt]]*TbTradesBinance[[#This Row],[Preço]])),Q159)-IF(TbTradesBinance[[#This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Row],[Tipo]]="DROP"),Q159+TbTradesBinance[[#This Row],[Qtt]],Q159-TbTradesBinance[[#This Row],[Qtt]]),IF(TbTradesBinance[[#This Row],[Tipo]]="BUY",Q159-TbTradesBinance[[#This Row],[Qtt]]*TbTradesBinance[[#This Row],[Preço]],Q159+TbTradesBinance[[#This Row],[Qtt]]*TbTradesBinance[[#This Row],[Preço]])),Q159)-IF(TbTradesBinance[[#This Row],[Moeda da Taxa]]=MID(Q$1,9,5),TbTradesBinance[[#This Row],[Taxa]],0),8)))</f>
        <v>0.32130269</v>
      </c>
      <c r="R160" s="145" cm="1">
        <f t="array" ref="R160">IF(TbTradesBinance[[#This Row],[Tipo]]="EMPTY",0,R159+IF(TbTradesBinance[[#This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Row],[Par]]))),$1:$1,0)),-(Q159-Q160)/Q159*R159),0),0)+IF(TbTradesBinance[[#This Row],[Tipo]]="SELL",IF(ISNUMBER(FIND(MID(R$1,10,5),TbTradesBinance[[#This Row],[Par]])),IF(FIND(MID(R$1,10,5),TbTradesBinance[[#This Row],[Par]])=1, -(Q159-Q160)/Q159*R159,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Row],[Par]])),(-(Q159-Q160)/Q159*R159)+IF(TbTradesBinance[[#This Row],[Resultado]]&gt;0,0,TbTradesBinance[[#This Row],[Taxa]]),0),0))</f>
        <v>1.5310455167395816</v>
      </c>
      <c r="S160" s="145">
        <f t="shared" si="40"/>
        <v>4.7651188875498729</v>
      </c>
      <c r="T16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Row],[Tipo]]="DROP"),T159+TbTradesBinance[[#This Row],[Qtt]],T159-TbTradesBinance[[#This Row],[Qtt]]),IF(TbTradesBinance[[#This Row],[Tipo]]="BUY",T159-TbTradesBinance[[#This Row],[Qtt]]*TbTradesBinance[[#This Row],[Preço]],T159+TbTradesBinance[[#This Row],[Qtt]]*TbTradesBinance[[#This Row],[Preço]])),T159)-IF(TbTradesBinance[[#This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Row],[Tipo]]="DROP"),T159+TbTradesBinance[[#This Row],[Qtt]],T159-TbTradesBinance[[#This Row],[Qtt]]),IF(TbTradesBinance[[#This Row],[Tipo]]="BUY",T159-TbTradesBinance[[#This Row],[Qtt]]*TbTradesBinance[[#This Row],[Preço]],T159+TbTradesBinance[[#This Row],[Qtt]]*TbTradesBinance[[#This Row],[Preço]])),T159)-IF(TbTradesBinance[[#This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Row],[Tipo]]="DROP"),T159+TbTradesBinance[[#This Row],[Qtt]],T159-TbTradesBinance[[#This Row],[Qtt]]),IF(TbTradesBinance[[#This Row],[Tipo]]="BUY",T159-TbTradesBinance[[#This Row],[Qtt]]*TbTradesBinance[[#This Row],[Preço]],T159+TbTradesBinance[[#This Row],[Qtt]]*TbTradesBinance[[#This Row],[Preço]])),T159)-IF(TbTradesBinance[[#This Row],[Moeda da Taxa]]=MID(T$1,9,5),TbTradesBinance[[#This Row],[Taxa]],0),8)))</f>
        <v>219713.72000189999</v>
      </c>
      <c r="U160" s="145" cm="1">
        <f t="array" ref="U160">IF(TbTradesBinance[[#This Row],[Tipo]]="EMPTY",0,U159+IF(TbTradesBinance[[#This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Row],[Par]]))),$1:$1,0)),-(T159-T160)/T159*U159),0),0)+IF(TbTradesBinance[[#This Row],[Tipo]]="SELL",IF(ISNUMBER(FIND(MID(U$1,10,5),TbTradesBinance[[#This Row],[Par]])),IF(FIND(MID(U$1,10,5),TbTradesBinance[[#This Row],[Par]])=1, -(T159-T160)/T159*U159,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Row],[Par]])),(-(T159-T160)/T159*U159)+IF(TbTradesBinance[[#This Row],[Resultado]]&gt;0,0,TbTradesBinance[[#This Row],[Taxa]]),0),0))</f>
        <v>1461096.2409827893</v>
      </c>
      <c r="V160" s="145">
        <f t="shared" si="41"/>
        <v>6.6500000135182926</v>
      </c>
      <c r="W16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Row],[Tipo]]="DROP"),W159+TbTradesBinance[[#This Row],[Qtt]],W159-TbTradesBinance[[#This Row],[Qtt]]),IF(TbTradesBinance[[#This Row],[Tipo]]="BUY",W159-TbTradesBinance[[#This Row],[Qtt]]*TbTradesBinance[[#This Row],[Preço]],W159+TbTradesBinance[[#This Row],[Qtt]]*TbTradesBinance[[#This Row],[Preço]])),W159)-IF(TbTradesBinance[[#This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Row],[Tipo]]="DROP"),W159+TbTradesBinance[[#This Row],[Qtt]],W159-TbTradesBinance[[#This Row],[Qtt]]),IF(TbTradesBinance[[#This Row],[Tipo]]="BUY",W159-TbTradesBinance[[#This Row],[Qtt]]*TbTradesBinance[[#This Row],[Preço]],W159+TbTradesBinance[[#This Row],[Qtt]]*TbTradesBinance[[#This Row],[Preço]])),W159)-IF(TbTradesBinance[[#This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Row],[Tipo]]="DROP"),W159+TbTradesBinance[[#This Row],[Qtt]],W159-TbTradesBinance[[#This Row],[Qtt]]),IF(TbTradesBinance[[#This Row],[Tipo]]="BUY",W159-TbTradesBinance[[#This Row],[Qtt]]*TbTradesBinance[[#This Row],[Preço]],W159+TbTradesBinance[[#This Row],[Qtt]]*TbTradesBinance[[#This Row],[Preço]])),W159)-IF(TbTradesBinance[[#This Row],[Moeda da Taxa]]=MID(W$1,9,5),TbTradesBinance[[#This Row],[Taxa]],0),8)))</f>
        <v>5.9236E-4</v>
      </c>
      <c r="X160" s="145" cm="1">
        <f t="array" ref="X160">IF(TbTradesBinance[[#This Row],[Tipo]]="EMPTY",0,X159+IF(TbTradesBinance[[#This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Row],[Par]]))),$1:$1,0)),-(W159-W160)/W159*X159),0),0)+IF(TbTradesBinance[[#This Row],[Tipo]]="SELL",IF(ISNUMBER(FIND(MID(X$1,10,5),TbTradesBinance[[#This Row],[Par]])),IF(FIND(MID(X$1,10,5),TbTradesBinance[[#This Row],[Par]])=1, -(W159-W160)/W159*X159,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Row],[Par]])),(-(W159-W160)/W159*X159)+IF(TbTradesBinance[[#This Row],[Resultado]]&gt;0,0,TbTradesBinance[[#This Row],[Taxa]]),0),0))</f>
        <v>206.80783641683473</v>
      </c>
      <c r="Y160" s="145">
        <f t="shared" si="42"/>
        <v>349125.25561623799</v>
      </c>
      <c r="Z16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Row],[Tipo]]="DROP"),Z159+TbTradesBinance[[#This Row],[Qtt]],Z159-TbTradesBinance[[#This Row],[Qtt]]),IF(TbTradesBinance[[#This Row],[Tipo]]="BUY",Z159-TbTradesBinance[[#This Row],[Qtt]]*TbTradesBinance[[#This Row],[Preço]],Z159+TbTradesBinance[[#This Row],[Qtt]]*TbTradesBinance[[#This Row],[Preço]])),Z159)-IF(TbTradesBinance[[#This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Row],[Tipo]]="DROP"),Z159+TbTradesBinance[[#This Row],[Qtt]],Z159-TbTradesBinance[[#This Row],[Qtt]]),IF(TbTradesBinance[[#This Row],[Tipo]]="BUY",Z159-TbTradesBinance[[#This Row],[Qtt]]*TbTradesBinance[[#This Row],[Preço]],Z159+TbTradesBinance[[#This Row],[Qtt]]*TbTradesBinance[[#This Row],[Preço]])),Z159)-IF(TbTradesBinance[[#This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Row],[Tipo]]="DROP"),Z159+TbTradesBinance[[#This Row],[Qtt]],Z159-TbTradesBinance[[#This Row],[Qtt]]),IF(TbTradesBinance[[#This Row],[Tipo]]="BUY",Z159-TbTradesBinance[[#This Row],[Qtt]]*TbTradesBinance[[#This Row],[Preço]],Z159+TbTradesBinance[[#This Row],[Qtt]]*TbTradesBinance[[#This Row],[Preço]])),Z159)-IF(TbTradesBinance[[#This Row],[Moeda da Taxa]]=MID(Z$1,9,5),TbTradesBinance[[#This Row],[Taxa]],0),8)))</f>
        <v>0</v>
      </c>
      <c r="AA160" s="145" cm="1">
        <f t="array" ref="AA160">IF(TbTradesBinance[[#This Row],[Tipo]]="EMPTY",0,AA159+IF(TbTradesBinance[[#This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Row],[Par]]))),$1:$1,0)),-(Z159-Z160)/Z159*AA159),0),0)+IF(TbTradesBinance[[#This Row],[Tipo]]="SELL",IF(ISNUMBER(FIND(MID(AA$1,10,5),TbTradesBinance[[#This Row],[Par]])),IF(FIND(MID(AA$1,10,5),TbTradesBinance[[#This Row],[Par]])=1, -(Z159-Z160)/Z159*AA159,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Row],[Par]])),(-(Z159-Z160)/Z159*AA159)+IF(TbTradesBinance[[#This Row],[Resultado]]&gt;0,0,TbTradesBinance[[#This Row],[Taxa]]),0),0))</f>
        <v>0</v>
      </c>
      <c r="AB160" s="145">
        <f t="shared" si="43"/>
        <v>0</v>
      </c>
      <c r="AC16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Row],[Tipo]]="DROP"),AC159+TbTradesBinance[[#This Row],[Qtt]],AC159-TbTradesBinance[[#This Row],[Qtt]]),IF(TbTradesBinance[[#This Row],[Tipo]]="BUY",AC159-TbTradesBinance[[#This Row],[Qtt]]*TbTradesBinance[[#This Row],[Preço]],AC159+TbTradesBinance[[#This Row],[Qtt]]*TbTradesBinance[[#This Row],[Preço]])),AC159)-IF(TbTradesBinance[[#This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Row],[Tipo]]="DROP"),AC159+TbTradesBinance[[#This Row],[Qtt]],AC159-TbTradesBinance[[#This Row],[Qtt]]),IF(TbTradesBinance[[#This Row],[Tipo]]="BUY",AC159-TbTradesBinance[[#This Row],[Qtt]]*TbTradesBinance[[#This Row],[Preço]],AC159+TbTradesBinance[[#This Row],[Qtt]]*TbTradesBinance[[#This Row],[Preço]])),AC159)-IF(TbTradesBinance[[#This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Row],[Tipo]]="DROP"),AC159+TbTradesBinance[[#This Row],[Qtt]],AC159-TbTradesBinance[[#This Row],[Qtt]]),IF(TbTradesBinance[[#This Row],[Tipo]]="BUY",AC159-TbTradesBinance[[#This Row],[Qtt]]*TbTradesBinance[[#This Row],[Preço]],AC159+TbTradesBinance[[#This Row],[Qtt]]*TbTradesBinance[[#This Row],[Preço]])),AC159)-IF(TbTradesBinance[[#This Row],[Moeda da Taxa]]=MID(AC$1,9,5),TbTradesBinance[[#This Row],[Taxa]],0),8)))</f>
        <v>0</v>
      </c>
      <c r="AD160" s="145" cm="1">
        <f t="array" ref="AD160">IF(TbTradesBinance[[#This Row],[Tipo]]="EMPTY",0,AD159+IF(TbTradesBinance[[#This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Row],[Par]]))),$1:$1,0)),-(AC159-AC160)/AC159*AD159),0),0)+IF(TbTradesBinance[[#This Row],[Tipo]]="SELL",IF(ISNUMBER(FIND(MID(AD$1,10,5),TbTradesBinance[[#This Row],[Par]])),IF(FIND(MID(AD$1,10,5),TbTradesBinance[[#This Row],[Par]])=1, -(AC159-AC160)/AC159*AD159,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Row],[Par]])),(-(AC159-AC160)/AC159*AD159)+IF(TbTradesBinance[[#This Row],[Resultado]]&gt;0,0,TbTradesBinance[[#This Row],[Taxa]]),0),0))</f>
        <v>0</v>
      </c>
      <c r="AE160" s="145">
        <f t="shared" si="44"/>
        <v>0</v>
      </c>
      <c r="AF16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Row],[Tipo]]="DROP"),AF159+TbTradesBinance[[#This Row],[Qtt]],AF159-TbTradesBinance[[#This Row],[Qtt]]),IF(TbTradesBinance[[#This Row],[Tipo]]="BUY",AF159-TbTradesBinance[[#This Row],[Qtt]]*TbTradesBinance[[#This Row],[Preço]],AF159+TbTradesBinance[[#This Row],[Qtt]]*TbTradesBinance[[#This Row],[Preço]])),AF159)-IF(TbTradesBinance[[#This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Row],[Tipo]]="DROP"),AF159+TbTradesBinance[[#This Row],[Qtt]],AF159-TbTradesBinance[[#This Row],[Qtt]]),IF(TbTradesBinance[[#This Row],[Tipo]]="BUY",AF159-TbTradesBinance[[#This Row],[Qtt]]*TbTradesBinance[[#This Row],[Preço]],AF159+TbTradesBinance[[#This Row],[Qtt]]*TbTradesBinance[[#This Row],[Preço]])),AF159)-IF(TbTradesBinance[[#This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Row],[Tipo]]="DROP"),AF159+TbTradesBinance[[#This Row],[Qtt]],AF159-TbTradesBinance[[#This Row],[Qtt]]),IF(TbTradesBinance[[#This Row],[Tipo]]="BUY",AF159-TbTradesBinance[[#This Row],[Qtt]]*TbTradesBinance[[#This Row],[Preço]],AF159+TbTradesBinance[[#This Row],[Qtt]]*TbTradesBinance[[#This Row],[Preço]])),AF159)-IF(TbTradesBinance[[#This Row],[Moeda da Taxa]]=MID(AF$1,9,5),TbTradesBinance[[#This Row],[Taxa]],0),8)))</f>
        <v>0</v>
      </c>
      <c r="AG160" s="145" cm="1">
        <f t="array" ref="AG160">IF(TbTradesBinance[[#This Row],[Tipo]]="EMPTY",0,AG159+IF(TbTradesBinance[[#This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Row],[Par]]))),$1:$1,0)),-(AF159-AF160)/AF159*AG159),0),0)+IF(TbTradesBinance[[#This Row],[Tipo]]="SELL",IF(ISNUMBER(FIND(MID(AG$1,10,5),TbTradesBinance[[#This Row],[Par]])),IF(FIND(MID(AG$1,10,5),TbTradesBinance[[#This Row],[Par]])=1, -(AF159-AF160)/AF159*AG159,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Row],[Par]])),(-(AF159-AF160)/AF159*AG159)+IF(TbTradesBinance[[#This Row],[Resultado]]&gt;0,0,TbTradesBinance[[#This Row],[Taxa]]),0),0))</f>
        <v>0</v>
      </c>
      <c r="AH160" s="145">
        <f t="shared" si="45"/>
        <v>0</v>
      </c>
      <c r="AI16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Row],[Tipo]]="DROP"),AI159+TbTradesBinance[[#This Row],[Qtt]],AI159-TbTradesBinance[[#This Row],[Qtt]]),IF(TbTradesBinance[[#This Row],[Tipo]]="BUY",AI159-TbTradesBinance[[#This Row],[Qtt]]*TbTradesBinance[[#This Row],[Preço]],AI159+TbTradesBinance[[#This Row],[Qtt]]*TbTradesBinance[[#This Row],[Preço]])),AI159)-IF(TbTradesBinance[[#This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Row],[Tipo]]="DROP"),AI159+TbTradesBinance[[#This Row],[Qtt]],AI159-TbTradesBinance[[#This Row],[Qtt]]),IF(TbTradesBinance[[#This Row],[Tipo]]="BUY",AI159-TbTradesBinance[[#This Row],[Qtt]]*TbTradesBinance[[#This Row],[Preço]],AI159+TbTradesBinance[[#This Row],[Qtt]]*TbTradesBinance[[#This Row],[Preço]])),AI159)-IF(TbTradesBinance[[#This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Row],[Tipo]]="DROP"),AI159+TbTradesBinance[[#This Row],[Qtt]],AI159-TbTradesBinance[[#This Row],[Qtt]]),IF(TbTradesBinance[[#This Row],[Tipo]]="BUY",AI159-TbTradesBinance[[#This Row],[Qtt]]*TbTradesBinance[[#This Row],[Preço]],AI159+TbTradesBinance[[#This Row],[Qtt]]*TbTradesBinance[[#This Row],[Preço]])),AI159)-IF(TbTradesBinance[[#This Row],[Moeda da Taxa]]=MID(AI$1,9,5),TbTradesBinance[[#This Row],[Taxa]],0),8)))</f>
        <v>0</v>
      </c>
      <c r="AJ160" s="145" cm="1">
        <f t="array" ref="AJ160">IF(TbTradesBinance[[#This Row],[Tipo]]="EMPTY",0,AJ159+IF(TbTradesBinance[[#This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Row],[Par]]))),$1:$1,0)),-(AI159-AI160)/AI159*AJ159),0),0)+IF(TbTradesBinance[[#This Row],[Tipo]]="SELL",IF(ISNUMBER(FIND(MID(AJ$1,10,5),TbTradesBinance[[#This Row],[Par]])),IF(FIND(MID(AJ$1,10,5),TbTradesBinance[[#This Row],[Par]])=1, -(AI159-AI160)/AI159*AJ159,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Row],[Par]])),(-(AI159-AI160)/AI159*AJ159)+IF(TbTradesBinance[[#This Row],[Resultado]]&gt;0,0,TbTradesBinance[[#This Row],[Taxa]]),0),0))</f>
        <v>0</v>
      </c>
      <c r="AK160" s="145">
        <f t="shared" si="46"/>
        <v>0</v>
      </c>
      <c r="AL16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Row],[Tipo]]="DROP"),AL159+TbTradesBinance[[#This Row],[Qtt]],AL159-TbTradesBinance[[#This Row],[Qtt]]),IF(TbTradesBinance[[#This Row],[Tipo]]="BUY",AL159-TbTradesBinance[[#This Row],[Qtt]]*TbTradesBinance[[#This Row],[Preço]],AL159+TbTradesBinance[[#This Row],[Qtt]]*TbTradesBinance[[#This Row],[Preço]])),AL159)-IF(TbTradesBinance[[#This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Row],[Tipo]]="DROP"),AL159+TbTradesBinance[[#This Row],[Qtt]],AL159-TbTradesBinance[[#This Row],[Qtt]]),IF(TbTradesBinance[[#This Row],[Tipo]]="BUY",AL159-TbTradesBinance[[#This Row],[Qtt]]*TbTradesBinance[[#This Row],[Preço]],AL159+TbTradesBinance[[#This Row],[Qtt]]*TbTradesBinance[[#This Row],[Preço]])),AL159)-IF(TbTradesBinance[[#This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Row],[Tipo]]="DROP"),AL159+TbTradesBinance[[#This Row],[Qtt]],AL159-TbTradesBinance[[#This Row],[Qtt]]),IF(TbTradesBinance[[#This Row],[Tipo]]="BUY",AL159-TbTradesBinance[[#This Row],[Qtt]]*TbTradesBinance[[#This Row],[Preço]],AL159+TbTradesBinance[[#This Row],[Qtt]]*TbTradesBinance[[#This Row],[Preço]])),AL159)-IF(TbTradesBinance[[#This Row],[Moeda da Taxa]]=MID(AL$1,9,5),TbTradesBinance[[#This Row],[Taxa]],0),8)))</f>
        <v>0</v>
      </c>
      <c r="AM160" s="145" cm="1">
        <f t="array" ref="AM160">IF(TbTradesBinance[[#This Row],[Tipo]]="EMPTY",0,AM159+IF(TbTradesBinance[[#This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Row],[Par]]))),$1:$1,0)),-(AL159-AL160)/AL159*AM159),0),0)+IF(TbTradesBinance[[#This Row],[Tipo]]="SELL",IF(ISNUMBER(FIND(MID(AM$1,10,5),TbTradesBinance[[#This Row],[Par]])),IF(FIND(MID(AM$1,10,5),TbTradesBinance[[#This Row],[Par]])=1, -(AL159-AL160)/AL159*AM159,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Row],[Par]])),(-(AL159-AL160)/AL159*AM159)+IF(TbTradesBinance[[#This Row],[Resultado]]&gt;0,0,TbTradesBinance[[#This Row],[Taxa]]),0),0))</f>
        <v>0</v>
      </c>
      <c r="AN160" s="145">
        <f t="shared" si="47"/>
        <v>0</v>
      </c>
      <c r="AO16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Row],[Tipo]]="DROP"),AO159+TbTradesBinance[[#This Row],[Qtt]],AO159-TbTradesBinance[[#This Row],[Qtt]]),IF(TbTradesBinance[[#This Row],[Tipo]]="BUY",AO159-TbTradesBinance[[#This Row],[Qtt]]*TbTradesBinance[[#This Row],[Preço]],AO159+TbTradesBinance[[#This Row],[Qtt]]*TbTradesBinance[[#This Row],[Preço]])),AO159)-IF(TbTradesBinance[[#This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Row],[Tipo]]="DROP"),AO159+TbTradesBinance[[#This Row],[Qtt]],AO159-TbTradesBinance[[#This Row],[Qtt]]),IF(TbTradesBinance[[#This Row],[Tipo]]="BUY",AO159-TbTradesBinance[[#This Row],[Qtt]]*TbTradesBinance[[#This Row],[Preço]],AO159+TbTradesBinance[[#This Row],[Qtt]]*TbTradesBinance[[#This Row],[Preço]])),AO159)-IF(TbTradesBinance[[#This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Row],[Tipo]]="DROP"),AO159+TbTradesBinance[[#This Row],[Qtt]],AO159-TbTradesBinance[[#This Row],[Qtt]]),IF(TbTradesBinance[[#This Row],[Tipo]]="BUY",AO159-TbTradesBinance[[#This Row],[Qtt]]*TbTradesBinance[[#This Row],[Preço]],AO159+TbTradesBinance[[#This Row],[Qtt]]*TbTradesBinance[[#This Row],[Preço]])),AO159)-IF(TbTradesBinance[[#This Row],[Moeda da Taxa]]=MID(AO$1,9,5),TbTradesBinance[[#This Row],[Taxa]],0),8)))</f>
        <v>3.7801319999999999E-2</v>
      </c>
      <c r="AP160" s="145" cm="1">
        <f t="array" ref="AP160">IF(TbTradesBinance[[#This Row],[Tipo]]="EMPTY",0,AP159+IF(TbTradesBinance[[#This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Row],[Par]]))),$1:$1,0)),-(AO159-AO160)/AO159*AP159),0),0)+IF(TbTradesBinance[[#This Row],[Tipo]]="SELL",IF(ISNUMBER(FIND(MID(AP$1,10,5),TbTradesBinance[[#This Row],[Par]])),IF(FIND(MID(AP$1,10,5),TbTradesBinance[[#This Row],[Par]])=1, -(AO159-AO160)/AO159*AP159,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Row],[Par]])),(-(AO159-AO160)/AO159*AP159)+IF(TbTradesBinance[[#This Row],[Resultado]]&gt;0,0,TbTradesBinance[[#This Row],[Taxa]]),0),0))</f>
        <v>58.675533202032881</v>
      </c>
      <c r="AQ160" s="145">
        <f t="shared" si="48"/>
        <v>1552.2085790134547</v>
      </c>
      <c r="AR16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Row],[Tipo]]="DROP"),AR159+TbTradesBinance[[#This Row],[Qtt]],AR159-TbTradesBinance[[#This Row],[Qtt]]),IF(TbTradesBinance[[#This Row],[Tipo]]="BUY",AR159-TbTradesBinance[[#This Row],[Qtt]]*TbTradesBinance[[#This Row],[Preço]],AR159+TbTradesBinance[[#This Row],[Qtt]]*TbTradesBinance[[#This Row],[Preço]])),AR159)-IF(TbTradesBinance[[#This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Row],[Tipo]]="DROP"),AR159+TbTradesBinance[[#This Row],[Qtt]],AR159-TbTradesBinance[[#This Row],[Qtt]]),IF(TbTradesBinance[[#This Row],[Tipo]]="BUY",AR159-TbTradesBinance[[#This Row],[Qtt]]*TbTradesBinance[[#This Row],[Preço]],AR159+TbTradesBinance[[#This Row],[Qtt]]*TbTradesBinance[[#This Row],[Preço]])),AR159)-IF(TbTradesBinance[[#This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Row],[Tipo]]="DROP"),AR159+TbTradesBinance[[#This Row],[Qtt]],AR159-TbTradesBinance[[#This Row],[Qtt]]),IF(TbTradesBinance[[#This Row],[Tipo]]="BUY",AR159-TbTradesBinance[[#This Row],[Qtt]]*TbTradesBinance[[#This Row],[Preço]],AR159+TbTradesBinance[[#This Row],[Qtt]]*TbTradesBinance[[#This Row],[Preço]])),AR159)-IF(TbTradesBinance[[#This Row],[Moeda da Taxa]]=MID(AR$1,9,5),TbTradesBinance[[#This Row],[Taxa]],0),8)))</f>
        <v>0</v>
      </c>
      <c r="AS160" s="145" cm="1">
        <f t="array" ref="AS160">IF(TbTradesBinance[[#This Row],[Tipo]]="EMPTY",0,AS159+IF(TbTradesBinance[[#This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Row],[Par]]))),$1:$1,0)),-(AR159-AR160)/AR159*AS159),0),0)+IF(TbTradesBinance[[#This Row],[Tipo]]="SELL",IF(ISNUMBER(FIND(MID(AS$1,10,5),TbTradesBinance[[#This Row],[Par]])),IF(FIND(MID(AS$1,10,5),TbTradesBinance[[#This Row],[Par]])=1, -(AR159-AR160)/AR159*AS159,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Row],[Par]])),(-(AR159-AR160)/AR159*AS159)+IF(TbTradesBinance[[#This Row],[Resultado]]&gt;0,0,TbTradesBinance[[#This Row],[Taxa]]),0),0))</f>
        <v>0</v>
      </c>
      <c r="AT160" s="145">
        <f t="shared" si="49"/>
        <v>0</v>
      </c>
      <c r="AU16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Row],[Tipo]]="DROP"),AU159+TbTradesBinance[[#This Row],[Qtt]],AU159-TbTradesBinance[[#This Row],[Qtt]]),IF(TbTradesBinance[[#This Row],[Tipo]]="BUY",AU159-TbTradesBinance[[#This Row],[Qtt]]*TbTradesBinance[[#This Row],[Preço]],AU159+TbTradesBinance[[#This Row],[Qtt]]*TbTradesBinance[[#This Row],[Preço]])),AU159)-IF(TbTradesBinance[[#This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Row],[Tipo]]="DROP"),AU159+TbTradesBinance[[#This Row],[Qtt]],AU159-TbTradesBinance[[#This Row],[Qtt]]),IF(TbTradesBinance[[#This Row],[Tipo]]="BUY",AU159-TbTradesBinance[[#This Row],[Qtt]]*TbTradesBinance[[#This Row],[Preço]],AU159+TbTradesBinance[[#This Row],[Qtt]]*TbTradesBinance[[#This Row],[Preço]])),AU159)-IF(TbTradesBinance[[#This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Row],[Tipo]]="DROP"),AU159+TbTradesBinance[[#This Row],[Qtt]],AU159-TbTradesBinance[[#This Row],[Qtt]]),IF(TbTradesBinance[[#This Row],[Tipo]]="BUY",AU159-TbTradesBinance[[#This Row],[Qtt]]*TbTradesBinance[[#This Row],[Preço]],AU159+TbTradesBinance[[#This Row],[Qtt]]*TbTradesBinance[[#This Row],[Preço]])),AU159)-IF(TbTradesBinance[[#This Row],[Moeda da Taxa]]=MID(AU$1,9,5),TbTradesBinance[[#This Row],[Taxa]],0),8)))</f>
        <v>0.51</v>
      </c>
      <c r="AV160" s="145" cm="1">
        <f t="array" ref="AV160">IF(TbTradesBinance[[#This Row],[Tipo]]="EMPTY",0,AV159+IF(TbTradesBinance[[#This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Row],[Par]]))),$1:$1,0)),-(AU159-AU160)/AU159*AV159),0),0)+IF(TbTradesBinance[[#This Row],[Tipo]]="SELL",IF(ISNUMBER(FIND(MID(AV$1,10,5),TbTradesBinance[[#This Row],[Par]])),IF(FIND(MID(AV$1,10,5),TbTradesBinance[[#This Row],[Par]])=1, -(AU159-AU160)/AU159*AV159,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Row],[Par]])),(-(AU159-AU160)/AU159*AV159)+IF(TbTradesBinance[[#This Row],[Resultado]]&gt;0,0,TbTradesBinance[[#This Row],[Taxa]]),0),0))</f>
        <v>95.466693037374753</v>
      </c>
      <c r="AW160" s="145">
        <f t="shared" si="50"/>
        <v>187.18959419093088</v>
      </c>
      <c r="AX16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Row],[Tipo]]="DROP"),AX159+TbTradesBinance[[#This Row],[Qtt]],AX159-TbTradesBinance[[#This Row],[Qtt]]),IF(TbTradesBinance[[#This Row],[Tipo]]="BUY",AX159-TbTradesBinance[[#This Row],[Qtt]]*TbTradesBinance[[#This Row],[Preço]],AX159+TbTradesBinance[[#This Row],[Qtt]]*TbTradesBinance[[#This Row],[Preço]])),AX159)-IF(TbTradesBinance[[#This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Row],[Tipo]]="DROP"),AX159+TbTradesBinance[[#This Row],[Qtt]],AX159-TbTradesBinance[[#This Row],[Qtt]]),IF(TbTradesBinance[[#This Row],[Tipo]]="BUY",AX159-TbTradesBinance[[#This Row],[Qtt]]*TbTradesBinance[[#This Row],[Preço]],AX159+TbTradesBinance[[#This Row],[Qtt]]*TbTradesBinance[[#This Row],[Preço]])),AX159)-IF(TbTradesBinance[[#This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Row],[Tipo]]="DROP"),AX159+TbTradesBinance[[#This Row],[Qtt]],AX159-TbTradesBinance[[#This Row],[Qtt]]),IF(TbTradesBinance[[#This Row],[Tipo]]="BUY",AX159-TbTradesBinance[[#This Row],[Qtt]]*TbTradesBinance[[#This Row],[Preço]],AX159+TbTradesBinance[[#This Row],[Qtt]]*TbTradesBinance[[#This Row],[Preço]])),AX159)-IF(TbTradesBinance[[#This Row],[Moeda da Taxa]]=MID(AX$1,9,5),TbTradesBinance[[#This Row],[Taxa]],0),8)))</f>
        <v>0.53737999999999997</v>
      </c>
      <c r="AY160" s="145" cm="1">
        <f t="array" ref="AY160">IF(TbTradesBinance[[#This Row],[Tipo]]="EMPTY",0,AY159+IF(TbTradesBinance[[#This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Row],[Par]]))),$1:$1,0)),-(AX159-AX160)/AX159*AY159),0),0)+IF(TbTradesBinance[[#This Row],[Tipo]]="SELL",IF(ISNUMBER(FIND(MID(AY$1,10,5),TbTradesBinance[[#This Row],[Par]])),IF(FIND(MID(AY$1,10,5),TbTradesBinance[[#This Row],[Par]])=1, -(AX159-AX160)/AX159*AY159,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Row],[Par]])),(-(AX159-AX160)/AX159*AY159)+IF(TbTradesBinance[[#This Row],[Resultado]]&gt;0,0,TbTradesBinance[[#This Row],[Taxa]]),0),0))</f>
        <v>100.4197840540867</v>
      </c>
      <c r="AZ160" s="145">
        <f t="shared" si="51"/>
        <v>186.869224857804</v>
      </c>
      <c r="BA16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Row],[Tipo]]="DROP"),BA159+TbTradesBinance[[#This Row],[Qtt]],BA159-TbTradesBinance[[#This Row],[Qtt]]),IF(TbTradesBinance[[#This Row],[Tipo]]="BUY",BA159-TbTradesBinance[[#This Row],[Qtt]]*TbTradesBinance[[#This Row],[Preço]],BA159+TbTradesBinance[[#This Row],[Qtt]]*TbTradesBinance[[#This Row],[Preço]])),BA159)-IF(TbTradesBinance[[#This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Row],[Tipo]]="DROP"),BA159+TbTradesBinance[[#This Row],[Qtt]],BA159-TbTradesBinance[[#This Row],[Qtt]]),IF(TbTradesBinance[[#This Row],[Tipo]]="BUY",BA159-TbTradesBinance[[#This Row],[Qtt]]*TbTradesBinance[[#This Row],[Preço]],BA159+TbTradesBinance[[#This Row],[Qtt]]*TbTradesBinance[[#This Row],[Preço]])),BA159)-IF(TbTradesBinance[[#This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Row],[Tipo]]="DROP"),BA159+TbTradesBinance[[#This Row],[Qtt]],BA159-TbTradesBinance[[#This Row],[Qtt]]),IF(TbTradesBinance[[#This Row],[Tipo]]="BUY",BA159-TbTradesBinance[[#This Row],[Qtt]]*TbTradesBinance[[#This Row],[Preço]],BA159+TbTradesBinance[[#This Row],[Qtt]]*TbTradesBinance[[#This Row],[Preço]])),BA159)-IF(TbTradesBinance[[#This Row],[Moeda da Taxa]]=MID(BA$1,9,5),TbTradesBinance[[#This Row],[Taxa]],0),8)))</f>
        <v>0</v>
      </c>
      <c r="BB160" s="145" cm="1">
        <f t="array" ref="BB160">IF(TbTradesBinance[[#This Row],[Tipo]]="EMPTY",0,BB159+IF(TbTradesBinance[[#This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Row],[Par]]))),$1:$1,0)),-(BA159-BA160)/BA159*BB159),0),0)+IF(TbTradesBinance[[#This Row],[Tipo]]="SELL",IF(ISNUMBER(FIND(MID(BB$1,10,5),TbTradesBinance[[#This Row],[Par]])),IF(FIND(MID(BB$1,10,5),TbTradesBinance[[#This Row],[Par]])=1, -(BA159-BA160)/BA159*BB159,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Row],[Par]])),(-(BA159-BA160)/BA159*BB159)+IF(TbTradesBinance[[#This Row],[Resultado]]&gt;0,0,TbTradesBinance[[#This Row],[Taxa]]),0),0))</f>
        <v>0</v>
      </c>
      <c r="BC160" s="145">
        <f t="shared" si="52"/>
        <v>0</v>
      </c>
      <c r="BD16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Row],[Tipo]]="DROP"),BD159+TbTradesBinance[[#This Row],[Qtt]],BD159-TbTradesBinance[[#This Row],[Qtt]]),IF(TbTradesBinance[[#This Row],[Tipo]]="BUY",BD159-TbTradesBinance[[#This Row],[Qtt]]*TbTradesBinance[[#This Row],[Preço]],BD159+TbTradesBinance[[#This Row],[Qtt]]*TbTradesBinance[[#This Row],[Preço]])),BD159)-IF(TbTradesBinance[[#This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Row],[Tipo]]="DROP"),BD159+TbTradesBinance[[#This Row],[Qtt]],BD159-TbTradesBinance[[#This Row],[Qtt]]),IF(TbTradesBinance[[#This Row],[Tipo]]="BUY",BD159-TbTradesBinance[[#This Row],[Qtt]]*TbTradesBinance[[#This Row],[Preço]],BD159+TbTradesBinance[[#This Row],[Qtt]]*TbTradesBinance[[#This Row],[Preço]])),BD159)-IF(TbTradesBinance[[#This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Row],[Tipo]]="DROP"),BD159+TbTradesBinance[[#This Row],[Qtt]],BD159-TbTradesBinance[[#This Row],[Qtt]]),IF(TbTradesBinance[[#This Row],[Tipo]]="BUY",BD159-TbTradesBinance[[#This Row],[Qtt]]*TbTradesBinance[[#This Row],[Preço]],BD159+TbTradesBinance[[#This Row],[Qtt]]*TbTradesBinance[[#This Row],[Preço]])),BD159)-IF(TbTradesBinance[[#This Row],[Moeda da Taxa]]=MID(BD$1,9,5),TbTradesBinance[[#This Row],[Taxa]],0),8)))</f>
        <v>0</v>
      </c>
      <c r="BE160" s="145" cm="1">
        <f t="array" ref="BE160">IF(TbTradesBinance[[#This Row],[Tipo]]="EMPTY",0,BE159+IF(TbTradesBinance[[#This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Row],[Par]]))),$1:$1,0)),-(BD159-BD160)/BD159*BE159),0),0)+IF(TbTradesBinance[[#This Row],[Tipo]]="SELL",IF(ISNUMBER(FIND(MID(BE$1,10,5),TbTradesBinance[[#This Row],[Par]])),IF(FIND(MID(BE$1,10,5),TbTradesBinance[[#This Row],[Par]])=1, -(BD159-BD160)/BD159*BE159,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Row],[Par]])),(-(BD159-BD160)/BD159*BE159)+IF(TbTradesBinance[[#This Row],[Resultado]]&gt;0,0,TbTradesBinance[[#This Row],[Taxa]]),0),0))</f>
        <v>0</v>
      </c>
      <c r="BF160" s="145">
        <f t="shared" si="53"/>
        <v>0</v>
      </c>
      <c r="BG16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Row],[Tipo]]="DROP"),BG159+TbTradesBinance[[#This Row],[Qtt]],BG159-TbTradesBinance[[#This Row],[Qtt]]),IF(TbTradesBinance[[#This Row],[Tipo]]="BUY",BG159-TbTradesBinance[[#This Row],[Qtt]]*TbTradesBinance[[#This Row],[Preço]],BG159+TbTradesBinance[[#This Row],[Qtt]]*TbTradesBinance[[#This Row],[Preço]])),BG159)-IF(TbTradesBinance[[#This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Row],[Tipo]]="DROP"),BG159+TbTradesBinance[[#This Row],[Qtt]],BG159-TbTradesBinance[[#This Row],[Qtt]]),IF(TbTradesBinance[[#This Row],[Tipo]]="BUY",BG159-TbTradesBinance[[#This Row],[Qtt]]*TbTradesBinance[[#This Row],[Preço]],BG159+TbTradesBinance[[#This Row],[Qtt]]*TbTradesBinance[[#This Row],[Preço]])),BG159)-IF(TbTradesBinance[[#This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Row],[Tipo]]="DROP"),BG159+TbTradesBinance[[#This Row],[Qtt]],BG159-TbTradesBinance[[#This Row],[Qtt]]),IF(TbTradesBinance[[#This Row],[Tipo]]="BUY",BG159-TbTradesBinance[[#This Row],[Qtt]]*TbTradesBinance[[#This Row],[Preço]],BG159+TbTradesBinance[[#This Row],[Qtt]]*TbTradesBinance[[#This Row],[Preço]])),BG159)-IF(TbTradesBinance[[#This Row],[Moeda da Taxa]]=MID(BG$1,9,5),TbTradesBinance[[#This Row],[Taxa]],0),8)))</f>
        <v>0</v>
      </c>
      <c r="BH160" s="145" cm="1">
        <f t="array" ref="BH160">IF(TbTradesBinance[[#This Row],[Tipo]]="EMPTY",0,BH159+IF(TbTradesBinance[[#This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Row],[Par]]))),$1:$1,0)),-(BG159-BG160)/BG159*BH159),0),0)+IF(TbTradesBinance[[#This Row],[Tipo]]="SELL",IF(ISNUMBER(FIND(MID(BH$1,10,5),TbTradesBinance[[#This Row],[Par]])),IF(FIND(MID(BH$1,10,5),TbTradesBinance[[#This Row],[Par]])=1, -(BG159-BG160)/BG159*BH159,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Row],[Par]])),(-(BG159-BG160)/BG159*BH159)+IF(TbTradesBinance[[#This Row],[Resultado]]&gt;0,0,TbTradesBinance[[#This Row],[Taxa]]),0),0))</f>
        <v>0</v>
      </c>
      <c r="BI160" s="145">
        <f t="shared" si="54"/>
        <v>0</v>
      </c>
      <c r="BJ16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Row],[Tipo]]="DROP"),BJ159+TbTradesBinance[[#This Row],[Qtt]],BJ159-TbTradesBinance[[#This Row],[Qtt]]),IF(TbTradesBinance[[#This Row],[Tipo]]="BUY",BJ159-TbTradesBinance[[#This Row],[Qtt]]*TbTradesBinance[[#This Row],[Preço]],BJ159+TbTradesBinance[[#This Row],[Qtt]]*TbTradesBinance[[#This Row],[Preço]])),BJ159)-IF(TbTradesBinance[[#This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Row],[Tipo]]="DROP"),BJ159+TbTradesBinance[[#This Row],[Qtt]],BJ159-TbTradesBinance[[#This Row],[Qtt]]),IF(TbTradesBinance[[#This Row],[Tipo]]="BUY",BJ159-TbTradesBinance[[#This Row],[Qtt]]*TbTradesBinance[[#This Row],[Preço]],BJ159+TbTradesBinance[[#This Row],[Qtt]]*TbTradesBinance[[#This Row],[Preço]])),BJ159)-IF(TbTradesBinance[[#This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Row],[Tipo]]="DROP"),BJ159+TbTradesBinance[[#This Row],[Qtt]],BJ159-TbTradesBinance[[#This Row],[Qtt]]),IF(TbTradesBinance[[#This Row],[Tipo]]="BUY",BJ159-TbTradesBinance[[#This Row],[Qtt]]*TbTradesBinance[[#This Row],[Preço]],BJ159+TbTradesBinance[[#This Row],[Qtt]]*TbTradesBinance[[#This Row],[Preço]])),BJ159)-IF(TbTradesBinance[[#This Row],[Moeda da Taxa]]=MID(BJ$1,9,5),TbTradesBinance[[#This Row],[Taxa]],0),8)))</f>
        <v>0</v>
      </c>
      <c r="BK160" s="145" cm="1">
        <f t="array" ref="BK160">IF(TbTradesBinance[[#This Row],[Tipo]]="EMPTY",0,BK159+IF(TbTradesBinance[[#This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Row],[Par]]))),$1:$1,0)),-(BJ159-BJ160)/BJ159*BK159),0),0)+IF(TbTradesBinance[[#This Row],[Tipo]]="SELL",IF(ISNUMBER(FIND(MID(BK$1,10,5),TbTradesBinance[[#This Row],[Par]])),IF(FIND(MID(BK$1,10,5),TbTradesBinance[[#This Row],[Par]])=1, -(BJ159-BJ160)/BJ159*BK159,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Row],[Par]])),(-(BJ159-BJ160)/BJ159*BK159)+IF(TbTradesBinance[[#This Row],[Resultado]]&gt;0,0,TbTradesBinance[[#This Row],[Taxa]]),0),0))</f>
        <v>0</v>
      </c>
      <c r="BL160" s="145">
        <f t="shared" si="55"/>
        <v>0</v>
      </c>
      <c r="BM16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Row],[Tipo]]="DROP"),BM159+TbTradesBinance[[#This Row],[Qtt]],BM159-TbTradesBinance[[#This Row],[Qtt]]),IF(TbTradesBinance[[#This Row],[Tipo]]="BUY",BM159-TbTradesBinance[[#This Row],[Qtt]]*TbTradesBinance[[#This Row],[Preço]],BM159+TbTradesBinance[[#This Row],[Qtt]]*TbTradesBinance[[#This Row],[Preço]])),BM159)-IF(TbTradesBinance[[#This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Row],[Tipo]]="DROP"),BM159+TbTradesBinance[[#This Row],[Qtt]],BM159-TbTradesBinance[[#This Row],[Qtt]]),IF(TbTradesBinance[[#This Row],[Tipo]]="BUY",BM159-TbTradesBinance[[#This Row],[Qtt]]*TbTradesBinance[[#This Row],[Preço]],BM159+TbTradesBinance[[#This Row],[Qtt]]*TbTradesBinance[[#This Row],[Preço]])),BM159)-IF(TbTradesBinance[[#This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Row],[Tipo]]="DROP"),BM159+TbTradesBinance[[#This Row],[Qtt]],BM159-TbTradesBinance[[#This Row],[Qtt]]),IF(TbTradesBinance[[#This Row],[Tipo]]="BUY",BM159-TbTradesBinance[[#This Row],[Qtt]]*TbTradesBinance[[#This Row],[Preço]],BM159+TbTradesBinance[[#This Row],[Qtt]]*TbTradesBinance[[#This Row],[Preço]])),BM159)-IF(TbTradesBinance[[#This Row],[Moeda da Taxa]]=MID(BM$1,9,5),TbTradesBinance[[#This Row],[Taxa]],0),8)))</f>
        <v>0.17338655</v>
      </c>
      <c r="BN160" s="145" cm="1">
        <f t="array" ref="BN160">IF(TbTradesBinance[[#This Row],[Tipo]]="EMPTY",0,BN159+IF(TbTradesBinance[[#This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Row],[Par]]))),$1:$1,0)),-(BM159-BM160)/BM159*BN159),0),0)+IF(TbTradesBinance[[#This Row],[Tipo]]="SELL",IF(ISNUMBER(FIND(MID(BN$1,10,5),TbTradesBinance[[#This Row],[Par]])),IF(FIND(MID(BN$1,10,5),TbTradesBinance[[#This Row],[Par]])=1, -(BM159-BM160)/BM159*BN159,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Row],[Par]])),(-(BM159-BM160)/BM159*BN159)+IF(TbTradesBinance[[#This Row],[Resultado]]&gt;0,0,TbTradesBinance[[#This Row],[Taxa]]),0),0))</f>
        <v>0</v>
      </c>
      <c r="BO160" s="145">
        <f t="shared" si="56"/>
        <v>0</v>
      </c>
    </row>
    <row r="161" spans="2:67" x14ac:dyDescent="0.3">
      <c r="B161" s="51" t="s">
        <v>107</v>
      </c>
      <c r="C161" s="40">
        <f>TRUNC(IF(AND(TbTradesBinance[[#This Row],[Tipo]]="SEND",TbTradesBinance[[#This Row],[Par]]="BRL"),TbTradesBinance[[#This Row],[Qtt]]*(1-P159)-IF(TbTradesBinance[[#This Row],[Moeda da Taxa]]="BRL",TbTradesBinance[[#This Row],[Taxa]],0),0)+IF(AND(TbTradesBinance[[#This Row],[Tipo]]="BURN",TbTradesBinance[[#This Row],[Par]]="BRL"),-TbTradesBinance[[#This Row],[Qtt]]*P159,0),2)</f>
        <v>0</v>
      </c>
      <c r="D161" s="53">
        <v>44313.904467592591</v>
      </c>
      <c r="E161" s="37" t="s">
        <v>269</v>
      </c>
      <c r="F161" s="47" t="s">
        <v>140</v>
      </c>
      <c r="G161" s="38">
        <v>5.7762000000000004E-4</v>
      </c>
      <c r="H161" s="38">
        <v>9.125366E-2</v>
      </c>
      <c r="I161" s="38">
        <v>1.0499999999999999E-6</v>
      </c>
      <c r="J161" s="37" t="s">
        <v>45</v>
      </c>
      <c r="K161" s="52">
        <v>3145</v>
      </c>
      <c r="L161" s="40">
        <f t="shared" si="38"/>
        <v>1.81</v>
      </c>
      <c r="M161" s="40">
        <f>IF(OR(TbTradesBinance[[#This Row],[Tipo]]="BUY",TbTradesBinance[[#This Row],[Tipo]]="RECEIVE",TbTradesBinance[[#This Row],[Tipo]]="DROP"),L161*H161,-L161*H161)</f>
        <v>-0.16516912459999999</v>
      </c>
      <c r="N16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Row],[Tipo]]="DROP"),N160+TbTradesBinance[[#This Row],[Qtt]],N160-TbTradesBinance[[#This Row],[Qtt]]),IF(TbTradesBinance[[#This Row],[Tipo]]="BUY",N160-TbTradesBinance[[#This Row],[Qtt]]*TbTradesBinance[[#This Row],[Preço]],N160+TbTradesBinance[[#This Row],[Qtt]]*TbTradesBinance[[#This Row],[Preço]])),N160)-IF(TbTradesBinance[[#This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Row],[Tipo]]="DROP"),N160+TbTradesBinance[[#This Row],[Qtt]],N160-TbTradesBinance[[#This Row],[Qtt]]),IF(TbTradesBinance[[#This Row],[Tipo]]="BUY",N160-TbTradesBinance[[#This Row],[Qtt]]*TbTradesBinance[[#This Row],[Preço]],N160+TbTradesBinance[[#This Row],[Qtt]]*TbTradesBinance[[#This Row],[Preço]])),N160)-IF(TbTradesBinance[[#This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Row],[Tipo]]="DROP"),N160+TbTradesBinance[[#This Row],[Qtt]],N160-TbTradesBinance[[#This Row],[Qtt]]),IF(TbTradesBinance[[#This Row],[Tipo]]="BUY",N160-TbTradesBinance[[#This Row],[Qtt]]*TbTradesBinance[[#This Row],[Preço]],N160+TbTradesBinance[[#This Row],[Qtt]]*TbTradesBinance[[#This Row],[Preço]])),N160)-IF(TbTradesBinance[[#This Row],[Moeda da Taxa]]=MID(N$1,9,5),TbTradesBinance[[#This Row],[Taxa]],0),8)))</f>
        <v>119745.41999999</v>
      </c>
      <c r="O161" s="145" cm="1">
        <f t="array" ref="O161">IF(TbTradesBinance[[#This Row],[Tipo]]="EMPTY",0,O160+IF(TbTradesBinance[[#This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Row],[Par]]))),$1:$1,0)),-(N160-N161)/N160*O160),0),0)+IF(TbTradesBinance[[#This Row],[Tipo]]="SELL",IF(ISNUMBER(FIND(MID(O$1,10,5),TbTradesBinance[[#This Row],[Par]])),IF(FIND(MID(O$1,10,5),TbTradesBinance[[#This Row],[Par]])=1, -(N160-N161)/N160*O160,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Row],[Par]])),(-(N160-N161)/N160*O160)+IF(TbTradesBinance[[#This Row],[Resultado]]&gt;0,0,TbTradesBinance[[#This Row],[Taxa]]),0),0))</f>
        <v>119800.54936893667</v>
      </c>
      <c r="P161" s="145">
        <f t="shared" si="39"/>
        <v>1.0004603881212883</v>
      </c>
      <c r="Q16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Row],[Tipo]]="DROP"),Q160+TbTradesBinance[[#This Row],[Qtt]],Q160-TbTradesBinance[[#This Row],[Qtt]]),IF(TbTradesBinance[[#This Row],[Tipo]]="BUY",Q160-TbTradesBinance[[#This Row],[Qtt]]*TbTradesBinance[[#This Row],[Preço]],Q160+TbTradesBinance[[#This Row],[Qtt]]*TbTradesBinance[[#This Row],[Preço]])),Q160)-IF(TbTradesBinance[[#This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Row],[Tipo]]="DROP"),Q160+TbTradesBinance[[#This Row],[Qtt]],Q160-TbTradesBinance[[#This Row],[Qtt]]),IF(TbTradesBinance[[#This Row],[Tipo]]="BUY",Q160-TbTradesBinance[[#This Row],[Qtt]]*TbTradesBinance[[#This Row],[Preço]],Q160+TbTradesBinance[[#This Row],[Qtt]]*TbTradesBinance[[#This Row],[Preço]])),Q160)-IF(TbTradesBinance[[#This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Row],[Tipo]]="DROP"),Q160+TbTradesBinance[[#This Row],[Qtt]],Q160-TbTradesBinance[[#This Row],[Qtt]]),IF(TbTradesBinance[[#This Row],[Tipo]]="BUY",Q160-TbTradesBinance[[#This Row],[Qtt]]*TbTradesBinance[[#This Row],[Preço]],Q160+TbTradesBinance[[#This Row],[Qtt]]*TbTradesBinance[[#This Row],[Preço]])),Q160)-IF(TbTradesBinance[[#This Row],[Moeda da Taxa]]=MID(Q$1,9,5),TbTradesBinance[[#This Row],[Taxa]],0),8)))</f>
        <v>0.32130269</v>
      </c>
      <c r="R161" s="145" cm="1">
        <f t="array" ref="R161">IF(TbTradesBinance[[#This Row],[Tipo]]="EMPTY",0,R160+IF(TbTradesBinance[[#This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Row],[Par]]))),$1:$1,0)),-(Q160-Q161)/Q160*R160),0),0)+IF(TbTradesBinance[[#This Row],[Tipo]]="SELL",IF(ISNUMBER(FIND(MID(R$1,10,5),TbTradesBinance[[#This Row],[Par]])),IF(FIND(MID(R$1,10,5),TbTradesBinance[[#This Row],[Par]])=1, -(Q160-Q161)/Q160*R160,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Row],[Par]])),(-(Q160-Q161)/Q160*R160)+IF(TbTradesBinance[[#This Row],[Resultado]]&gt;0,0,TbTradesBinance[[#This Row],[Taxa]]),0),0))</f>
        <v>1.5310455167395816</v>
      </c>
      <c r="S161" s="145">
        <f t="shared" si="40"/>
        <v>4.7651188875498729</v>
      </c>
      <c r="T16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Row],[Tipo]]="DROP"),T160+TbTradesBinance[[#This Row],[Qtt]],T160-TbTradesBinance[[#This Row],[Qtt]]),IF(TbTradesBinance[[#This Row],[Tipo]]="BUY",T160-TbTradesBinance[[#This Row],[Qtt]]*TbTradesBinance[[#This Row],[Preço]],T160+TbTradesBinance[[#This Row],[Qtt]]*TbTradesBinance[[#This Row],[Preço]])),T160)-IF(TbTradesBinance[[#This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Row],[Tipo]]="DROP"),T160+TbTradesBinance[[#This Row],[Qtt]],T160-TbTradesBinance[[#This Row],[Qtt]]),IF(TbTradesBinance[[#This Row],[Tipo]]="BUY",T160-TbTradesBinance[[#This Row],[Qtt]]*TbTradesBinance[[#This Row],[Preço]],T160+TbTradesBinance[[#This Row],[Qtt]]*TbTradesBinance[[#This Row],[Preço]])),T160)-IF(TbTradesBinance[[#This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Row],[Tipo]]="DROP"),T160+TbTradesBinance[[#This Row],[Qtt]],T160-TbTradesBinance[[#This Row],[Qtt]]),IF(TbTradesBinance[[#This Row],[Tipo]]="BUY",T160-TbTradesBinance[[#This Row],[Qtt]]*TbTradesBinance[[#This Row],[Preço]],T160+TbTradesBinance[[#This Row],[Qtt]]*TbTradesBinance[[#This Row],[Preço]])),T160)-IF(TbTradesBinance[[#This Row],[Moeda da Taxa]]=MID(T$1,9,5),TbTradesBinance[[#This Row],[Taxa]],0),8)))</f>
        <v>219713.72000189999</v>
      </c>
      <c r="U161" s="145" cm="1">
        <f t="array" ref="U161">IF(TbTradesBinance[[#This Row],[Tipo]]="EMPTY",0,U160+IF(TbTradesBinance[[#This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Row],[Par]]))),$1:$1,0)),-(T160-T161)/T160*U160),0),0)+IF(TbTradesBinance[[#This Row],[Tipo]]="SELL",IF(ISNUMBER(FIND(MID(U$1,10,5),TbTradesBinance[[#This Row],[Par]])),IF(FIND(MID(U$1,10,5),TbTradesBinance[[#This Row],[Par]])=1, -(T160-T161)/T160*U160,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Row],[Par]])),(-(T160-T161)/T160*U160)+IF(TbTradesBinance[[#This Row],[Resultado]]&gt;0,0,TbTradesBinance[[#This Row],[Taxa]]),0),0))</f>
        <v>1461096.2409827893</v>
      </c>
      <c r="V161" s="145">
        <f t="shared" si="41"/>
        <v>6.6500000135182926</v>
      </c>
      <c r="W16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Row],[Tipo]]="DROP"),W160+TbTradesBinance[[#This Row],[Qtt]],W160-TbTradesBinance[[#This Row],[Qtt]]),IF(TbTradesBinance[[#This Row],[Tipo]]="BUY",W160-TbTradesBinance[[#This Row],[Qtt]]*TbTradesBinance[[#This Row],[Preço]],W160+TbTradesBinance[[#This Row],[Qtt]]*TbTradesBinance[[#This Row],[Preço]])),W160)-IF(TbTradesBinance[[#This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Row],[Tipo]]="DROP"),W160+TbTradesBinance[[#This Row],[Qtt]],W160-TbTradesBinance[[#This Row],[Qtt]]),IF(TbTradesBinance[[#This Row],[Tipo]]="BUY",W160-TbTradesBinance[[#This Row],[Qtt]]*TbTradesBinance[[#This Row],[Preço]],W160+TbTradesBinance[[#This Row],[Qtt]]*TbTradesBinance[[#This Row],[Preço]])),W160)-IF(TbTradesBinance[[#This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Row],[Tipo]]="DROP"),W160+TbTradesBinance[[#This Row],[Qtt]],W160-TbTradesBinance[[#This Row],[Qtt]]),IF(TbTradesBinance[[#This Row],[Tipo]]="BUY",W160-TbTradesBinance[[#This Row],[Qtt]]*TbTradesBinance[[#This Row],[Preço]],W160+TbTradesBinance[[#This Row],[Qtt]]*TbTradesBinance[[#This Row],[Preço]])),W160)-IF(TbTradesBinance[[#This Row],[Moeda da Taxa]]=MID(W$1,9,5),TbTradesBinance[[#This Row],[Taxa]],0),8)))</f>
        <v>5.9236E-4</v>
      </c>
      <c r="X161" s="145" cm="1">
        <f t="array" ref="X161">IF(TbTradesBinance[[#This Row],[Tipo]]="EMPTY",0,X160+IF(TbTradesBinance[[#This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Row],[Par]]))),$1:$1,0)),-(W160-W161)/W160*X160),0),0)+IF(TbTradesBinance[[#This Row],[Tipo]]="SELL",IF(ISNUMBER(FIND(MID(X$1,10,5),TbTradesBinance[[#This Row],[Par]])),IF(FIND(MID(X$1,10,5),TbTradesBinance[[#This Row],[Par]])=1, -(W160-W161)/W160*X160,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Row],[Par]])),(-(W160-W161)/W160*X160)+IF(TbTradesBinance[[#This Row],[Resultado]]&gt;0,0,TbTradesBinance[[#This Row],[Taxa]]),0),0))</f>
        <v>206.80783641683473</v>
      </c>
      <c r="Y161" s="145">
        <f t="shared" si="42"/>
        <v>349125.25561623799</v>
      </c>
      <c r="Z16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Row],[Tipo]]="DROP"),Z160+TbTradesBinance[[#This Row],[Qtt]],Z160-TbTradesBinance[[#This Row],[Qtt]]),IF(TbTradesBinance[[#This Row],[Tipo]]="BUY",Z160-TbTradesBinance[[#This Row],[Qtt]]*TbTradesBinance[[#This Row],[Preço]],Z160+TbTradesBinance[[#This Row],[Qtt]]*TbTradesBinance[[#This Row],[Preço]])),Z160)-IF(TbTradesBinance[[#This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Row],[Tipo]]="DROP"),Z160+TbTradesBinance[[#This Row],[Qtt]],Z160-TbTradesBinance[[#This Row],[Qtt]]),IF(TbTradesBinance[[#This Row],[Tipo]]="BUY",Z160-TbTradesBinance[[#This Row],[Qtt]]*TbTradesBinance[[#This Row],[Preço]],Z160+TbTradesBinance[[#This Row],[Qtt]]*TbTradesBinance[[#This Row],[Preço]])),Z160)-IF(TbTradesBinance[[#This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Row],[Tipo]]="DROP"),Z160+TbTradesBinance[[#This Row],[Qtt]],Z160-TbTradesBinance[[#This Row],[Qtt]]),IF(TbTradesBinance[[#This Row],[Tipo]]="BUY",Z160-TbTradesBinance[[#This Row],[Qtt]]*TbTradesBinance[[#This Row],[Preço]],Z160+TbTradesBinance[[#This Row],[Qtt]]*TbTradesBinance[[#This Row],[Preço]])),Z160)-IF(TbTradesBinance[[#This Row],[Moeda da Taxa]]=MID(Z$1,9,5),TbTradesBinance[[#This Row],[Taxa]],0),8)))</f>
        <v>0</v>
      </c>
      <c r="AA161" s="145" cm="1">
        <f t="array" ref="AA161">IF(TbTradesBinance[[#This Row],[Tipo]]="EMPTY",0,AA160+IF(TbTradesBinance[[#This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Row],[Par]]))),$1:$1,0)),-(Z160-Z161)/Z160*AA160),0),0)+IF(TbTradesBinance[[#This Row],[Tipo]]="SELL",IF(ISNUMBER(FIND(MID(AA$1,10,5),TbTradesBinance[[#This Row],[Par]])),IF(FIND(MID(AA$1,10,5),TbTradesBinance[[#This Row],[Par]])=1, -(Z160-Z161)/Z160*AA160,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Row],[Par]])),(-(Z160-Z161)/Z160*AA160)+IF(TbTradesBinance[[#This Row],[Resultado]]&gt;0,0,TbTradesBinance[[#This Row],[Taxa]]),0),0))</f>
        <v>0</v>
      </c>
      <c r="AB161" s="145">
        <f t="shared" si="43"/>
        <v>0</v>
      </c>
      <c r="AC16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Row],[Tipo]]="DROP"),AC160+TbTradesBinance[[#This Row],[Qtt]],AC160-TbTradesBinance[[#This Row],[Qtt]]),IF(TbTradesBinance[[#This Row],[Tipo]]="BUY",AC160-TbTradesBinance[[#This Row],[Qtt]]*TbTradesBinance[[#This Row],[Preço]],AC160+TbTradesBinance[[#This Row],[Qtt]]*TbTradesBinance[[#This Row],[Preço]])),AC160)-IF(TbTradesBinance[[#This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Row],[Tipo]]="DROP"),AC160+TbTradesBinance[[#This Row],[Qtt]],AC160-TbTradesBinance[[#This Row],[Qtt]]),IF(TbTradesBinance[[#This Row],[Tipo]]="BUY",AC160-TbTradesBinance[[#This Row],[Qtt]]*TbTradesBinance[[#This Row],[Preço]],AC160+TbTradesBinance[[#This Row],[Qtt]]*TbTradesBinance[[#This Row],[Preço]])),AC160)-IF(TbTradesBinance[[#This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Row],[Tipo]]="DROP"),AC160+TbTradesBinance[[#This Row],[Qtt]],AC160-TbTradesBinance[[#This Row],[Qtt]]),IF(TbTradesBinance[[#This Row],[Tipo]]="BUY",AC160-TbTradesBinance[[#This Row],[Qtt]]*TbTradesBinance[[#This Row],[Preço]],AC160+TbTradesBinance[[#This Row],[Qtt]]*TbTradesBinance[[#This Row],[Preço]])),AC160)-IF(TbTradesBinance[[#This Row],[Moeda da Taxa]]=MID(AC$1,9,5),TbTradesBinance[[#This Row],[Taxa]],0),8)))</f>
        <v>0</v>
      </c>
      <c r="AD161" s="145" cm="1">
        <f t="array" ref="AD161">IF(TbTradesBinance[[#This Row],[Tipo]]="EMPTY",0,AD160+IF(TbTradesBinance[[#This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Row],[Par]]))),$1:$1,0)),-(AC160-AC161)/AC160*AD160),0),0)+IF(TbTradesBinance[[#This Row],[Tipo]]="SELL",IF(ISNUMBER(FIND(MID(AD$1,10,5),TbTradesBinance[[#This Row],[Par]])),IF(FIND(MID(AD$1,10,5),TbTradesBinance[[#This Row],[Par]])=1, -(AC160-AC161)/AC160*AD160,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Row],[Par]])),(-(AC160-AC161)/AC160*AD160)+IF(TbTradesBinance[[#This Row],[Resultado]]&gt;0,0,TbTradesBinance[[#This Row],[Taxa]]),0),0))</f>
        <v>0</v>
      </c>
      <c r="AE161" s="145">
        <f t="shared" si="44"/>
        <v>0</v>
      </c>
      <c r="AF16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Row],[Tipo]]="DROP"),AF160+TbTradesBinance[[#This Row],[Qtt]],AF160-TbTradesBinance[[#This Row],[Qtt]]),IF(TbTradesBinance[[#This Row],[Tipo]]="BUY",AF160-TbTradesBinance[[#This Row],[Qtt]]*TbTradesBinance[[#This Row],[Preço]],AF160+TbTradesBinance[[#This Row],[Qtt]]*TbTradesBinance[[#This Row],[Preço]])),AF160)-IF(TbTradesBinance[[#This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Row],[Tipo]]="DROP"),AF160+TbTradesBinance[[#This Row],[Qtt]],AF160-TbTradesBinance[[#This Row],[Qtt]]),IF(TbTradesBinance[[#This Row],[Tipo]]="BUY",AF160-TbTradesBinance[[#This Row],[Qtt]]*TbTradesBinance[[#This Row],[Preço]],AF160+TbTradesBinance[[#This Row],[Qtt]]*TbTradesBinance[[#This Row],[Preço]])),AF160)-IF(TbTradesBinance[[#This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Row],[Tipo]]="DROP"),AF160+TbTradesBinance[[#This Row],[Qtt]],AF160-TbTradesBinance[[#This Row],[Qtt]]),IF(TbTradesBinance[[#This Row],[Tipo]]="BUY",AF160-TbTradesBinance[[#This Row],[Qtt]]*TbTradesBinance[[#This Row],[Preço]],AF160+TbTradesBinance[[#This Row],[Qtt]]*TbTradesBinance[[#This Row],[Preço]])),AF160)-IF(TbTradesBinance[[#This Row],[Moeda da Taxa]]=MID(AF$1,9,5),TbTradesBinance[[#This Row],[Taxa]],0),8)))</f>
        <v>0</v>
      </c>
      <c r="AG161" s="145" cm="1">
        <f t="array" ref="AG161">IF(TbTradesBinance[[#This Row],[Tipo]]="EMPTY",0,AG160+IF(TbTradesBinance[[#This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Row],[Par]]))),$1:$1,0)),-(AF160-AF161)/AF160*AG160),0),0)+IF(TbTradesBinance[[#This Row],[Tipo]]="SELL",IF(ISNUMBER(FIND(MID(AG$1,10,5),TbTradesBinance[[#This Row],[Par]])),IF(FIND(MID(AG$1,10,5),TbTradesBinance[[#This Row],[Par]])=1, -(AF160-AF161)/AF160*AG160,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Row],[Par]])),(-(AF160-AF161)/AF160*AG160)+IF(TbTradesBinance[[#This Row],[Resultado]]&gt;0,0,TbTradesBinance[[#This Row],[Taxa]]),0),0))</f>
        <v>0</v>
      </c>
      <c r="AH161" s="145">
        <f t="shared" si="45"/>
        <v>0</v>
      </c>
      <c r="AI16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Row],[Tipo]]="DROP"),AI160+TbTradesBinance[[#This Row],[Qtt]],AI160-TbTradesBinance[[#This Row],[Qtt]]),IF(TbTradesBinance[[#This Row],[Tipo]]="BUY",AI160-TbTradesBinance[[#This Row],[Qtt]]*TbTradesBinance[[#This Row],[Preço]],AI160+TbTradesBinance[[#This Row],[Qtt]]*TbTradesBinance[[#This Row],[Preço]])),AI160)-IF(TbTradesBinance[[#This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Row],[Tipo]]="DROP"),AI160+TbTradesBinance[[#This Row],[Qtt]],AI160-TbTradesBinance[[#This Row],[Qtt]]),IF(TbTradesBinance[[#This Row],[Tipo]]="BUY",AI160-TbTradesBinance[[#This Row],[Qtt]]*TbTradesBinance[[#This Row],[Preço]],AI160+TbTradesBinance[[#This Row],[Qtt]]*TbTradesBinance[[#This Row],[Preço]])),AI160)-IF(TbTradesBinance[[#This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Row],[Tipo]]="DROP"),AI160+TbTradesBinance[[#This Row],[Qtt]],AI160-TbTradesBinance[[#This Row],[Qtt]]),IF(TbTradesBinance[[#This Row],[Tipo]]="BUY",AI160-TbTradesBinance[[#This Row],[Qtt]]*TbTradesBinance[[#This Row],[Preço]],AI160+TbTradesBinance[[#This Row],[Qtt]]*TbTradesBinance[[#This Row],[Preço]])),AI160)-IF(TbTradesBinance[[#This Row],[Moeda da Taxa]]=MID(AI$1,9,5),TbTradesBinance[[#This Row],[Taxa]],0),8)))</f>
        <v>0</v>
      </c>
      <c r="AJ161" s="145" cm="1">
        <f t="array" ref="AJ161">IF(TbTradesBinance[[#This Row],[Tipo]]="EMPTY",0,AJ160+IF(TbTradesBinance[[#This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Row],[Par]]))),$1:$1,0)),-(AI160-AI161)/AI160*AJ160),0),0)+IF(TbTradesBinance[[#This Row],[Tipo]]="SELL",IF(ISNUMBER(FIND(MID(AJ$1,10,5),TbTradesBinance[[#This Row],[Par]])),IF(FIND(MID(AJ$1,10,5),TbTradesBinance[[#This Row],[Par]])=1, -(AI160-AI161)/AI160*AJ160,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Row],[Par]])),(-(AI160-AI161)/AI160*AJ160)+IF(TbTradesBinance[[#This Row],[Resultado]]&gt;0,0,TbTradesBinance[[#This Row],[Taxa]]),0),0))</f>
        <v>0</v>
      </c>
      <c r="AK161" s="145">
        <f t="shared" si="46"/>
        <v>0</v>
      </c>
      <c r="AL16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Row],[Tipo]]="DROP"),AL160+TbTradesBinance[[#This Row],[Qtt]],AL160-TbTradesBinance[[#This Row],[Qtt]]),IF(TbTradesBinance[[#This Row],[Tipo]]="BUY",AL160-TbTradesBinance[[#This Row],[Qtt]]*TbTradesBinance[[#This Row],[Preço]],AL160+TbTradesBinance[[#This Row],[Qtt]]*TbTradesBinance[[#This Row],[Preço]])),AL160)-IF(TbTradesBinance[[#This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Row],[Tipo]]="DROP"),AL160+TbTradesBinance[[#This Row],[Qtt]],AL160-TbTradesBinance[[#This Row],[Qtt]]),IF(TbTradesBinance[[#This Row],[Tipo]]="BUY",AL160-TbTradesBinance[[#This Row],[Qtt]]*TbTradesBinance[[#This Row],[Preço]],AL160+TbTradesBinance[[#This Row],[Qtt]]*TbTradesBinance[[#This Row],[Preço]])),AL160)-IF(TbTradesBinance[[#This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Row],[Tipo]]="DROP"),AL160+TbTradesBinance[[#This Row],[Qtt]],AL160-TbTradesBinance[[#This Row],[Qtt]]),IF(TbTradesBinance[[#This Row],[Tipo]]="BUY",AL160-TbTradesBinance[[#This Row],[Qtt]]*TbTradesBinance[[#This Row],[Preço]],AL160+TbTradesBinance[[#This Row],[Qtt]]*TbTradesBinance[[#This Row],[Preço]])),AL160)-IF(TbTradesBinance[[#This Row],[Moeda da Taxa]]=MID(AL$1,9,5),TbTradesBinance[[#This Row],[Taxa]],0),8)))</f>
        <v>0</v>
      </c>
      <c r="AM161" s="145" cm="1">
        <f t="array" ref="AM161">IF(TbTradesBinance[[#This Row],[Tipo]]="EMPTY",0,AM160+IF(TbTradesBinance[[#This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Row],[Par]]))),$1:$1,0)),-(AL160-AL161)/AL160*AM160),0),0)+IF(TbTradesBinance[[#This Row],[Tipo]]="SELL",IF(ISNUMBER(FIND(MID(AM$1,10,5),TbTradesBinance[[#This Row],[Par]])),IF(FIND(MID(AM$1,10,5),TbTradesBinance[[#This Row],[Par]])=1, -(AL160-AL161)/AL160*AM160,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Row],[Par]])),(-(AL160-AL161)/AL160*AM160)+IF(TbTradesBinance[[#This Row],[Resultado]]&gt;0,0,TbTradesBinance[[#This Row],[Taxa]]),0),0))</f>
        <v>0</v>
      </c>
      <c r="AN161" s="145">
        <f t="shared" si="47"/>
        <v>0</v>
      </c>
      <c r="AO16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Row],[Tipo]]="DROP"),AO160+TbTradesBinance[[#This Row],[Qtt]],AO160-TbTradesBinance[[#This Row],[Qtt]]),IF(TbTradesBinance[[#This Row],[Tipo]]="BUY",AO160-TbTradesBinance[[#This Row],[Qtt]]*TbTradesBinance[[#This Row],[Preço]],AO160+TbTradesBinance[[#This Row],[Qtt]]*TbTradesBinance[[#This Row],[Preço]])),AO160)-IF(TbTradesBinance[[#This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Row],[Tipo]]="DROP"),AO160+TbTradesBinance[[#This Row],[Qtt]],AO160-TbTradesBinance[[#This Row],[Qtt]]),IF(TbTradesBinance[[#This Row],[Tipo]]="BUY",AO160-TbTradesBinance[[#This Row],[Qtt]]*TbTradesBinance[[#This Row],[Preço]],AO160+TbTradesBinance[[#This Row],[Qtt]]*TbTradesBinance[[#This Row],[Preço]])),AO160)-IF(TbTradesBinance[[#This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Row],[Tipo]]="DROP"),AO160+TbTradesBinance[[#This Row],[Qtt]],AO160-TbTradesBinance[[#This Row],[Qtt]]),IF(TbTradesBinance[[#This Row],[Tipo]]="BUY",AO160-TbTradesBinance[[#This Row],[Qtt]]*TbTradesBinance[[#This Row],[Preço]],AO160+TbTradesBinance[[#This Row],[Qtt]]*TbTradesBinance[[#This Row],[Preço]])),AO160)-IF(TbTradesBinance[[#This Row],[Moeda da Taxa]]=MID(AO$1,9,5),TbTradesBinance[[#This Row],[Taxa]],0),8)))</f>
        <v>3.785297E-2</v>
      </c>
      <c r="AP161" s="145" cm="1">
        <f t="array" ref="AP161">IF(TbTradesBinance[[#This Row],[Tipo]]="EMPTY",0,AP160+IF(TbTradesBinance[[#This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Row],[Par]]))),$1:$1,0)),-(AO160-AO161)/AO160*AP160),0),0)+IF(TbTradesBinance[[#This Row],[Tipo]]="SELL",IF(ISNUMBER(FIND(MID(AP$1,10,5),TbTradesBinance[[#This Row],[Par]])),IF(FIND(MID(AP$1,10,5),TbTradesBinance[[#This Row],[Par]])=1, -(AO160-AO161)/AO160*AP160,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Row],[Par]])),(-(AO160-AO161)/AO160*AP160)+IF(TbTradesBinance[[#This Row],[Resultado]]&gt;0,0,TbTradesBinance[[#This Row],[Taxa]]),0),0))</f>
        <v>58.675533202032881</v>
      </c>
      <c r="AQ161" s="145">
        <f t="shared" si="48"/>
        <v>1550.0906058899177</v>
      </c>
      <c r="AR16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Row],[Tipo]]="DROP"),AR160+TbTradesBinance[[#This Row],[Qtt]],AR160-TbTradesBinance[[#This Row],[Qtt]]),IF(TbTradesBinance[[#This Row],[Tipo]]="BUY",AR160-TbTradesBinance[[#This Row],[Qtt]]*TbTradesBinance[[#This Row],[Preço]],AR160+TbTradesBinance[[#This Row],[Qtt]]*TbTradesBinance[[#This Row],[Preço]])),AR160)-IF(TbTradesBinance[[#This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Row],[Tipo]]="DROP"),AR160+TbTradesBinance[[#This Row],[Qtt]],AR160-TbTradesBinance[[#This Row],[Qtt]]),IF(TbTradesBinance[[#This Row],[Tipo]]="BUY",AR160-TbTradesBinance[[#This Row],[Qtt]]*TbTradesBinance[[#This Row],[Preço]],AR160+TbTradesBinance[[#This Row],[Qtt]]*TbTradesBinance[[#This Row],[Preço]])),AR160)-IF(TbTradesBinance[[#This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Row],[Tipo]]="DROP"),AR160+TbTradesBinance[[#This Row],[Qtt]],AR160-TbTradesBinance[[#This Row],[Qtt]]),IF(TbTradesBinance[[#This Row],[Tipo]]="BUY",AR160-TbTradesBinance[[#This Row],[Qtt]]*TbTradesBinance[[#This Row],[Preço]],AR160+TbTradesBinance[[#This Row],[Qtt]]*TbTradesBinance[[#This Row],[Preço]])),AR160)-IF(TbTradesBinance[[#This Row],[Moeda da Taxa]]=MID(AR$1,9,5),TbTradesBinance[[#This Row],[Taxa]],0),8)))</f>
        <v>0</v>
      </c>
      <c r="AS161" s="145" cm="1">
        <f t="array" ref="AS161">IF(TbTradesBinance[[#This Row],[Tipo]]="EMPTY",0,AS160+IF(TbTradesBinance[[#This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Row],[Par]]))),$1:$1,0)),-(AR160-AR161)/AR160*AS160),0),0)+IF(TbTradesBinance[[#This Row],[Tipo]]="SELL",IF(ISNUMBER(FIND(MID(AS$1,10,5),TbTradesBinance[[#This Row],[Par]])),IF(FIND(MID(AS$1,10,5),TbTradesBinance[[#This Row],[Par]])=1, -(AR160-AR161)/AR160*AS160,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Row],[Par]])),(-(AR160-AR161)/AR160*AS160)+IF(TbTradesBinance[[#This Row],[Resultado]]&gt;0,0,TbTradesBinance[[#This Row],[Taxa]]),0),0))</f>
        <v>0</v>
      </c>
      <c r="AT161" s="145">
        <f t="shared" si="49"/>
        <v>0</v>
      </c>
      <c r="AU16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Row],[Tipo]]="DROP"),AU160+TbTradesBinance[[#This Row],[Qtt]],AU160-TbTradesBinance[[#This Row],[Qtt]]),IF(TbTradesBinance[[#This Row],[Tipo]]="BUY",AU160-TbTradesBinance[[#This Row],[Qtt]]*TbTradesBinance[[#This Row],[Preço]],AU160+TbTradesBinance[[#This Row],[Qtt]]*TbTradesBinance[[#This Row],[Preço]])),AU160)-IF(TbTradesBinance[[#This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Row],[Tipo]]="DROP"),AU160+TbTradesBinance[[#This Row],[Qtt]],AU160-TbTradesBinance[[#This Row],[Qtt]]),IF(TbTradesBinance[[#This Row],[Tipo]]="BUY",AU160-TbTradesBinance[[#This Row],[Qtt]]*TbTradesBinance[[#This Row],[Preço]],AU160+TbTradesBinance[[#This Row],[Qtt]]*TbTradesBinance[[#This Row],[Preço]])),AU160)-IF(TbTradesBinance[[#This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Row],[Tipo]]="DROP"),AU160+TbTradesBinance[[#This Row],[Qtt]],AU160-TbTradesBinance[[#This Row],[Qtt]]),IF(TbTradesBinance[[#This Row],[Tipo]]="BUY",AU160-TbTradesBinance[[#This Row],[Qtt]]*TbTradesBinance[[#This Row],[Preço]],AU160+TbTradesBinance[[#This Row],[Qtt]]*TbTradesBinance[[#This Row],[Preço]])),AU160)-IF(TbTradesBinance[[#This Row],[Moeda da Taxa]]=MID(AU$1,9,5),TbTradesBinance[[#This Row],[Taxa]],0),8)))</f>
        <v>0.51</v>
      </c>
      <c r="AV161" s="145" cm="1">
        <f t="array" ref="AV161">IF(TbTradesBinance[[#This Row],[Tipo]]="EMPTY",0,AV160+IF(TbTradesBinance[[#This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Row],[Par]]))),$1:$1,0)),-(AU160-AU161)/AU160*AV160),0),0)+IF(TbTradesBinance[[#This Row],[Tipo]]="SELL",IF(ISNUMBER(FIND(MID(AV$1,10,5),TbTradesBinance[[#This Row],[Par]])),IF(FIND(MID(AV$1,10,5),TbTradesBinance[[#This Row],[Par]])=1, -(AU160-AU161)/AU160*AV160,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Row],[Par]])),(-(AU160-AU161)/AU160*AV160)+IF(TbTradesBinance[[#This Row],[Resultado]]&gt;0,0,TbTradesBinance[[#This Row],[Taxa]]),0),0))</f>
        <v>95.466693037374753</v>
      </c>
      <c r="AW161" s="145">
        <f t="shared" si="50"/>
        <v>187.18959419093088</v>
      </c>
      <c r="AX16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Row],[Tipo]]="DROP"),AX160+TbTradesBinance[[#This Row],[Qtt]],AX160-TbTradesBinance[[#This Row],[Qtt]]),IF(TbTradesBinance[[#This Row],[Tipo]]="BUY",AX160-TbTradesBinance[[#This Row],[Qtt]]*TbTradesBinance[[#This Row],[Preço]],AX160+TbTradesBinance[[#This Row],[Qtt]]*TbTradesBinance[[#This Row],[Preço]])),AX160)-IF(TbTradesBinance[[#This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Row],[Tipo]]="DROP"),AX160+TbTradesBinance[[#This Row],[Qtt]],AX160-TbTradesBinance[[#This Row],[Qtt]]),IF(TbTradesBinance[[#This Row],[Tipo]]="BUY",AX160-TbTradesBinance[[#This Row],[Qtt]]*TbTradesBinance[[#This Row],[Preço]],AX160+TbTradesBinance[[#This Row],[Qtt]]*TbTradesBinance[[#This Row],[Preço]])),AX160)-IF(TbTradesBinance[[#This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Row],[Tipo]]="DROP"),AX160+TbTradesBinance[[#This Row],[Qtt]],AX160-TbTradesBinance[[#This Row],[Qtt]]),IF(TbTradesBinance[[#This Row],[Tipo]]="BUY",AX160-TbTradesBinance[[#This Row],[Qtt]]*TbTradesBinance[[#This Row],[Preço]],AX160+TbTradesBinance[[#This Row],[Qtt]]*TbTradesBinance[[#This Row],[Preço]])),AX160)-IF(TbTradesBinance[[#This Row],[Moeda da Taxa]]=MID(AX$1,9,5),TbTradesBinance[[#This Row],[Taxa]],0),8)))</f>
        <v>0.53737999999999997</v>
      </c>
      <c r="AY161" s="145" cm="1">
        <f t="array" ref="AY161">IF(TbTradesBinance[[#This Row],[Tipo]]="EMPTY",0,AY160+IF(TbTradesBinance[[#This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Row],[Par]]))),$1:$1,0)),-(AX160-AX161)/AX160*AY160),0),0)+IF(TbTradesBinance[[#This Row],[Tipo]]="SELL",IF(ISNUMBER(FIND(MID(AY$1,10,5),TbTradesBinance[[#This Row],[Par]])),IF(FIND(MID(AY$1,10,5),TbTradesBinance[[#This Row],[Par]])=1, -(AX160-AX161)/AX160*AY160,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Row],[Par]])),(-(AX160-AX161)/AX160*AY160)+IF(TbTradesBinance[[#This Row],[Resultado]]&gt;0,0,TbTradesBinance[[#This Row],[Taxa]]),0),0))</f>
        <v>100.4197840540867</v>
      </c>
      <c r="AZ161" s="145">
        <f t="shared" si="51"/>
        <v>186.869224857804</v>
      </c>
      <c r="BA16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Row],[Tipo]]="DROP"),BA160+TbTradesBinance[[#This Row],[Qtt]],BA160-TbTradesBinance[[#This Row],[Qtt]]),IF(TbTradesBinance[[#This Row],[Tipo]]="BUY",BA160-TbTradesBinance[[#This Row],[Qtt]]*TbTradesBinance[[#This Row],[Preço]],BA160+TbTradesBinance[[#This Row],[Qtt]]*TbTradesBinance[[#This Row],[Preço]])),BA160)-IF(TbTradesBinance[[#This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Row],[Tipo]]="DROP"),BA160+TbTradesBinance[[#This Row],[Qtt]],BA160-TbTradesBinance[[#This Row],[Qtt]]),IF(TbTradesBinance[[#This Row],[Tipo]]="BUY",BA160-TbTradesBinance[[#This Row],[Qtt]]*TbTradesBinance[[#This Row],[Preço]],BA160+TbTradesBinance[[#This Row],[Qtt]]*TbTradesBinance[[#This Row],[Preço]])),BA160)-IF(TbTradesBinance[[#This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Row],[Tipo]]="DROP"),BA160+TbTradesBinance[[#This Row],[Qtt]],BA160-TbTradesBinance[[#This Row],[Qtt]]),IF(TbTradesBinance[[#This Row],[Tipo]]="BUY",BA160-TbTradesBinance[[#This Row],[Qtt]]*TbTradesBinance[[#This Row],[Preço]],BA160+TbTradesBinance[[#This Row],[Qtt]]*TbTradesBinance[[#This Row],[Preço]])),BA160)-IF(TbTradesBinance[[#This Row],[Moeda da Taxa]]=MID(BA$1,9,5),TbTradesBinance[[#This Row],[Taxa]],0),8)))</f>
        <v>0</v>
      </c>
      <c r="BB161" s="145" cm="1">
        <f t="array" ref="BB161">IF(TbTradesBinance[[#This Row],[Tipo]]="EMPTY",0,BB160+IF(TbTradesBinance[[#This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Row],[Par]]))),$1:$1,0)),-(BA160-BA161)/BA160*BB160),0),0)+IF(TbTradesBinance[[#This Row],[Tipo]]="SELL",IF(ISNUMBER(FIND(MID(BB$1,10,5),TbTradesBinance[[#This Row],[Par]])),IF(FIND(MID(BB$1,10,5),TbTradesBinance[[#This Row],[Par]])=1, -(BA160-BA161)/BA160*BB160,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Row],[Par]])),(-(BA160-BA161)/BA160*BB160)+IF(TbTradesBinance[[#This Row],[Resultado]]&gt;0,0,TbTradesBinance[[#This Row],[Taxa]]),0),0))</f>
        <v>0</v>
      </c>
      <c r="BC161" s="145">
        <f t="shared" si="52"/>
        <v>0</v>
      </c>
      <c r="BD16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Row],[Tipo]]="DROP"),BD160+TbTradesBinance[[#This Row],[Qtt]],BD160-TbTradesBinance[[#This Row],[Qtt]]),IF(TbTradesBinance[[#This Row],[Tipo]]="BUY",BD160-TbTradesBinance[[#This Row],[Qtt]]*TbTradesBinance[[#This Row],[Preço]],BD160+TbTradesBinance[[#This Row],[Qtt]]*TbTradesBinance[[#This Row],[Preço]])),BD160)-IF(TbTradesBinance[[#This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Row],[Tipo]]="DROP"),BD160+TbTradesBinance[[#This Row],[Qtt]],BD160-TbTradesBinance[[#This Row],[Qtt]]),IF(TbTradesBinance[[#This Row],[Tipo]]="BUY",BD160-TbTradesBinance[[#This Row],[Qtt]]*TbTradesBinance[[#This Row],[Preço]],BD160+TbTradesBinance[[#This Row],[Qtt]]*TbTradesBinance[[#This Row],[Preço]])),BD160)-IF(TbTradesBinance[[#This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Row],[Tipo]]="DROP"),BD160+TbTradesBinance[[#This Row],[Qtt]],BD160-TbTradesBinance[[#This Row],[Qtt]]),IF(TbTradesBinance[[#This Row],[Tipo]]="BUY",BD160-TbTradesBinance[[#This Row],[Qtt]]*TbTradesBinance[[#This Row],[Preço]],BD160+TbTradesBinance[[#This Row],[Qtt]]*TbTradesBinance[[#This Row],[Preço]])),BD160)-IF(TbTradesBinance[[#This Row],[Moeda da Taxa]]=MID(BD$1,9,5),TbTradesBinance[[#This Row],[Taxa]],0),8)))</f>
        <v>0</v>
      </c>
      <c r="BE161" s="145" cm="1">
        <f t="array" ref="BE161">IF(TbTradesBinance[[#This Row],[Tipo]]="EMPTY",0,BE160+IF(TbTradesBinance[[#This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Row],[Par]]))),$1:$1,0)),-(BD160-BD161)/BD160*BE160),0),0)+IF(TbTradesBinance[[#This Row],[Tipo]]="SELL",IF(ISNUMBER(FIND(MID(BE$1,10,5),TbTradesBinance[[#This Row],[Par]])),IF(FIND(MID(BE$1,10,5),TbTradesBinance[[#This Row],[Par]])=1, -(BD160-BD161)/BD160*BE160,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Row],[Par]])),(-(BD160-BD161)/BD160*BE160)+IF(TbTradesBinance[[#This Row],[Resultado]]&gt;0,0,TbTradesBinance[[#This Row],[Taxa]]),0),0))</f>
        <v>0</v>
      </c>
      <c r="BF161" s="145">
        <f t="shared" si="53"/>
        <v>0</v>
      </c>
      <c r="BG16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Row],[Tipo]]="DROP"),BG160+TbTradesBinance[[#This Row],[Qtt]],BG160-TbTradesBinance[[#This Row],[Qtt]]),IF(TbTradesBinance[[#This Row],[Tipo]]="BUY",BG160-TbTradesBinance[[#This Row],[Qtt]]*TbTradesBinance[[#This Row],[Preço]],BG160+TbTradesBinance[[#This Row],[Qtt]]*TbTradesBinance[[#This Row],[Preço]])),BG160)-IF(TbTradesBinance[[#This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Row],[Tipo]]="DROP"),BG160+TbTradesBinance[[#This Row],[Qtt]],BG160-TbTradesBinance[[#This Row],[Qtt]]),IF(TbTradesBinance[[#This Row],[Tipo]]="BUY",BG160-TbTradesBinance[[#This Row],[Qtt]]*TbTradesBinance[[#This Row],[Preço]],BG160+TbTradesBinance[[#This Row],[Qtt]]*TbTradesBinance[[#This Row],[Preço]])),BG160)-IF(TbTradesBinance[[#This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Row],[Tipo]]="DROP"),BG160+TbTradesBinance[[#This Row],[Qtt]],BG160-TbTradesBinance[[#This Row],[Qtt]]),IF(TbTradesBinance[[#This Row],[Tipo]]="BUY",BG160-TbTradesBinance[[#This Row],[Qtt]]*TbTradesBinance[[#This Row],[Preço]],BG160+TbTradesBinance[[#This Row],[Qtt]]*TbTradesBinance[[#This Row],[Preço]])),BG160)-IF(TbTradesBinance[[#This Row],[Moeda da Taxa]]=MID(BG$1,9,5),TbTradesBinance[[#This Row],[Taxa]],0),8)))</f>
        <v>0</v>
      </c>
      <c r="BH161" s="145" cm="1">
        <f t="array" ref="BH161">IF(TbTradesBinance[[#This Row],[Tipo]]="EMPTY",0,BH160+IF(TbTradesBinance[[#This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Row],[Par]]))),$1:$1,0)),-(BG160-BG161)/BG160*BH160),0),0)+IF(TbTradesBinance[[#This Row],[Tipo]]="SELL",IF(ISNUMBER(FIND(MID(BH$1,10,5),TbTradesBinance[[#This Row],[Par]])),IF(FIND(MID(BH$1,10,5),TbTradesBinance[[#This Row],[Par]])=1, -(BG160-BG161)/BG160*BH160,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Row],[Par]])),(-(BG160-BG161)/BG160*BH160)+IF(TbTradesBinance[[#This Row],[Resultado]]&gt;0,0,TbTradesBinance[[#This Row],[Taxa]]),0),0))</f>
        <v>0</v>
      </c>
      <c r="BI161" s="145">
        <f t="shared" si="54"/>
        <v>0</v>
      </c>
      <c r="BJ16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Row],[Tipo]]="DROP"),BJ160+TbTradesBinance[[#This Row],[Qtt]],BJ160-TbTradesBinance[[#This Row],[Qtt]]),IF(TbTradesBinance[[#This Row],[Tipo]]="BUY",BJ160-TbTradesBinance[[#This Row],[Qtt]]*TbTradesBinance[[#This Row],[Preço]],BJ160+TbTradesBinance[[#This Row],[Qtt]]*TbTradesBinance[[#This Row],[Preço]])),BJ160)-IF(TbTradesBinance[[#This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Row],[Tipo]]="DROP"),BJ160+TbTradesBinance[[#This Row],[Qtt]],BJ160-TbTradesBinance[[#This Row],[Qtt]]),IF(TbTradesBinance[[#This Row],[Tipo]]="BUY",BJ160-TbTradesBinance[[#This Row],[Qtt]]*TbTradesBinance[[#This Row],[Preço]],BJ160+TbTradesBinance[[#This Row],[Qtt]]*TbTradesBinance[[#This Row],[Preço]])),BJ160)-IF(TbTradesBinance[[#This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Row],[Tipo]]="DROP"),BJ160+TbTradesBinance[[#This Row],[Qtt]],BJ160-TbTradesBinance[[#This Row],[Qtt]]),IF(TbTradesBinance[[#This Row],[Tipo]]="BUY",BJ160-TbTradesBinance[[#This Row],[Qtt]]*TbTradesBinance[[#This Row],[Preço]],BJ160+TbTradesBinance[[#This Row],[Qtt]]*TbTradesBinance[[#This Row],[Preço]])),BJ160)-IF(TbTradesBinance[[#This Row],[Moeda da Taxa]]=MID(BJ$1,9,5),TbTradesBinance[[#This Row],[Taxa]],0),8)))</f>
        <v>0</v>
      </c>
      <c r="BK161" s="145" cm="1">
        <f t="array" ref="BK161">IF(TbTradesBinance[[#This Row],[Tipo]]="EMPTY",0,BK160+IF(TbTradesBinance[[#This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Row],[Par]]))),$1:$1,0)),-(BJ160-BJ161)/BJ160*BK160),0),0)+IF(TbTradesBinance[[#This Row],[Tipo]]="SELL",IF(ISNUMBER(FIND(MID(BK$1,10,5),TbTradesBinance[[#This Row],[Par]])),IF(FIND(MID(BK$1,10,5),TbTradesBinance[[#This Row],[Par]])=1, -(BJ160-BJ161)/BJ160*BK160,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Row],[Par]])),(-(BJ160-BJ161)/BJ160*BK160)+IF(TbTradesBinance[[#This Row],[Resultado]]&gt;0,0,TbTradesBinance[[#This Row],[Taxa]]),0),0))</f>
        <v>0</v>
      </c>
      <c r="BL161" s="145">
        <f t="shared" si="55"/>
        <v>0</v>
      </c>
      <c r="BM16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Row],[Tipo]]="DROP"),BM160+TbTradesBinance[[#This Row],[Qtt]],BM160-TbTradesBinance[[#This Row],[Qtt]]),IF(TbTradesBinance[[#This Row],[Tipo]]="BUY",BM160-TbTradesBinance[[#This Row],[Qtt]]*TbTradesBinance[[#This Row],[Preço]],BM160+TbTradesBinance[[#This Row],[Qtt]]*TbTradesBinance[[#This Row],[Preço]])),BM160)-IF(TbTradesBinance[[#This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Row],[Tipo]]="DROP"),BM160+TbTradesBinance[[#This Row],[Qtt]],BM160-TbTradesBinance[[#This Row],[Qtt]]),IF(TbTradesBinance[[#This Row],[Tipo]]="BUY",BM160-TbTradesBinance[[#This Row],[Qtt]]*TbTradesBinance[[#This Row],[Preço]],BM160+TbTradesBinance[[#This Row],[Qtt]]*TbTradesBinance[[#This Row],[Preço]])),BM160)-IF(TbTradesBinance[[#This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Row],[Tipo]]="DROP"),BM160+TbTradesBinance[[#This Row],[Qtt]],BM160-TbTradesBinance[[#This Row],[Qtt]]),IF(TbTradesBinance[[#This Row],[Tipo]]="BUY",BM160-TbTradesBinance[[#This Row],[Qtt]]*TbTradesBinance[[#This Row],[Preço]],BM160+TbTradesBinance[[#This Row],[Qtt]]*TbTradesBinance[[#This Row],[Preço]])),BM160)-IF(TbTradesBinance[[#This Row],[Moeda da Taxa]]=MID(BM$1,9,5),TbTradesBinance[[#This Row],[Taxa]],0),8)))</f>
        <v>8.213289E-2</v>
      </c>
      <c r="BN161" s="145" cm="1">
        <f t="array" ref="BN161">IF(TbTradesBinance[[#This Row],[Tipo]]="EMPTY",0,BN160+IF(TbTradesBinance[[#This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Row],[Par]]))),$1:$1,0)),-(BM160-BM161)/BM160*BN160),0),0)+IF(TbTradesBinance[[#This Row],[Tipo]]="SELL",IF(ISNUMBER(FIND(MID(BN$1,10,5),TbTradesBinance[[#This Row],[Par]])),IF(FIND(MID(BN$1,10,5),TbTradesBinance[[#This Row],[Par]])=1, -(BM160-BM161)/BM160*BN160,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Row],[Par]])),(-(BM160-BM161)/BM160*BN160)+IF(TbTradesBinance[[#This Row],[Resultado]]&gt;0,0,TbTradesBinance[[#This Row],[Taxa]]),0),0))</f>
        <v>0</v>
      </c>
      <c r="BO161" s="145">
        <f t="shared" si="56"/>
        <v>0</v>
      </c>
    </row>
    <row r="162" spans="2:67" x14ac:dyDescent="0.3">
      <c r="B162" s="51" t="s">
        <v>107</v>
      </c>
      <c r="C162" s="40">
        <f>TRUNC(IF(AND(TbTradesBinance[[#This Row],[Tipo]]="SEND",TbTradesBinance[[#This Row],[Par]]="BRL"),TbTradesBinance[[#This Row],[Qtt]]*(1-P160)-IF(TbTradesBinance[[#This Row],[Moeda da Taxa]]="BRL",TbTradesBinance[[#This Row],[Taxa]],0),0)+IF(AND(TbTradesBinance[[#This Row],[Tipo]]="BURN",TbTradesBinance[[#This Row],[Par]]="BRL"),-TbTradesBinance[[#This Row],[Qtt]]*P160,0),2)</f>
        <v>0</v>
      </c>
      <c r="D162" s="53">
        <v>44313.904467592591</v>
      </c>
      <c r="E162" s="37" t="s">
        <v>243</v>
      </c>
      <c r="F162" s="47" t="s">
        <v>139</v>
      </c>
      <c r="G162" s="38">
        <v>574.98693629000002</v>
      </c>
      <c r="H162" s="38">
        <v>5.5880000000000003E-4</v>
      </c>
      <c r="I162" s="38">
        <v>1.118E-5</v>
      </c>
      <c r="J162" s="37" t="s">
        <v>45</v>
      </c>
      <c r="K162" s="52">
        <v>5.4969999999999999</v>
      </c>
      <c r="L162" s="40">
        <f t="shared" si="38"/>
        <v>3160.7</v>
      </c>
      <c r="M162" s="40">
        <f>IF(OR(TbTradesBinance[[#This Row],[Tipo]]="BUY",TbTradesBinance[[#This Row],[Tipo]]="RECEIVE",TbTradesBinance[[#This Row],[Tipo]]="DROP"),L162*H162,-L162*H162)</f>
        <v>1.76619916</v>
      </c>
      <c r="N16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Row],[Tipo]]="DROP"),N161+TbTradesBinance[[#This Row],[Qtt]],N161-TbTradesBinance[[#This Row],[Qtt]]),IF(TbTradesBinance[[#This Row],[Tipo]]="BUY",N161-TbTradesBinance[[#This Row],[Qtt]]*TbTradesBinance[[#This Row],[Preço]],N161+TbTradesBinance[[#This Row],[Qtt]]*TbTradesBinance[[#This Row],[Preço]])),N161)-IF(TbTradesBinance[[#This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Row],[Tipo]]="DROP"),N161+TbTradesBinance[[#This Row],[Qtt]],N161-TbTradesBinance[[#This Row],[Qtt]]),IF(TbTradesBinance[[#This Row],[Tipo]]="BUY",N161-TbTradesBinance[[#This Row],[Qtt]]*TbTradesBinance[[#This Row],[Preço]],N161+TbTradesBinance[[#This Row],[Qtt]]*TbTradesBinance[[#This Row],[Preço]])),N161)-IF(TbTradesBinance[[#This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Row],[Tipo]]="DROP"),N161+TbTradesBinance[[#This Row],[Qtt]],N161-TbTradesBinance[[#This Row],[Qtt]]),IF(TbTradesBinance[[#This Row],[Tipo]]="BUY",N161-TbTradesBinance[[#This Row],[Qtt]]*TbTradesBinance[[#This Row],[Preço]],N161+TbTradesBinance[[#This Row],[Qtt]]*TbTradesBinance[[#This Row],[Preço]])),N161)-IF(TbTradesBinance[[#This Row],[Moeda da Taxa]]=MID(N$1,9,5),TbTradesBinance[[#This Row],[Taxa]],0),8)))</f>
        <v>119745.41999999</v>
      </c>
      <c r="O162" s="145" cm="1">
        <f t="array" ref="O162">IF(TbTradesBinance[[#This Row],[Tipo]]="EMPTY",0,O161+IF(TbTradesBinance[[#This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Row],[Par]]))),$1:$1,0)),-(N161-N162)/N161*O161),0),0)+IF(TbTradesBinance[[#This Row],[Tipo]]="SELL",IF(ISNUMBER(FIND(MID(O$1,10,5),TbTradesBinance[[#This Row],[Par]])),IF(FIND(MID(O$1,10,5),TbTradesBinance[[#This Row],[Par]])=1, -(N161-N162)/N161*O161,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Row],[Par]])),(-(N161-N162)/N161*O161)+IF(TbTradesBinance[[#This Row],[Resultado]]&gt;0,0,TbTradesBinance[[#This Row],[Taxa]]),0),0))</f>
        <v>119800.54936893667</v>
      </c>
      <c r="P162" s="145">
        <f t="shared" si="39"/>
        <v>1.0004603881212883</v>
      </c>
      <c r="Q16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Row],[Tipo]]="DROP"),Q161+TbTradesBinance[[#This Row],[Qtt]],Q161-TbTradesBinance[[#This Row],[Qtt]]),IF(TbTradesBinance[[#This Row],[Tipo]]="BUY",Q161-TbTradesBinance[[#This Row],[Qtt]]*TbTradesBinance[[#This Row],[Preço]],Q161+TbTradesBinance[[#This Row],[Qtt]]*TbTradesBinance[[#This Row],[Preço]])),Q161)-IF(TbTradesBinance[[#This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Row],[Tipo]]="DROP"),Q161+TbTradesBinance[[#This Row],[Qtt]],Q161-TbTradesBinance[[#This Row],[Qtt]]),IF(TbTradesBinance[[#This Row],[Tipo]]="BUY",Q161-TbTradesBinance[[#This Row],[Qtt]]*TbTradesBinance[[#This Row],[Preço]],Q161+TbTradesBinance[[#This Row],[Qtt]]*TbTradesBinance[[#This Row],[Preço]])),Q161)-IF(TbTradesBinance[[#This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Row],[Tipo]]="DROP"),Q161+TbTradesBinance[[#This Row],[Qtt]],Q161-TbTradesBinance[[#This Row],[Qtt]]),IF(TbTradesBinance[[#This Row],[Tipo]]="BUY",Q161-TbTradesBinance[[#This Row],[Qtt]]*TbTradesBinance[[#This Row],[Preço]],Q161+TbTradesBinance[[#This Row],[Qtt]]*TbTradesBinance[[#This Row],[Preço]])),Q161)-IF(TbTradesBinance[[#This Row],[Moeda da Taxa]]=MID(Q$1,9,5),TbTradesBinance[[#This Row],[Taxa]],0),8)))</f>
        <v>0</v>
      </c>
      <c r="R162" s="145" cm="1">
        <f t="array" ref="R162">IF(TbTradesBinance[[#This Row],[Tipo]]="EMPTY",0,R161+IF(TbTradesBinance[[#This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Row],[Par]]))),$1:$1,0)),-(Q161-Q162)/Q161*R161),0),0)+IF(TbTradesBinance[[#This Row],[Tipo]]="SELL",IF(ISNUMBER(FIND(MID(R$1,10,5),TbTradesBinance[[#This Row],[Par]])),IF(FIND(MID(R$1,10,5),TbTradesBinance[[#This Row],[Par]])=1, -(Q161-Q162)/Q161*R161,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Row],[Par]])),(-(Q161-Q162)/Q161*R161)+IF(TbTradesBinance[[#This Row],[Resultado]]&gt;0,0,TbTradesBinance[[#This Row],[Taxa]]),0),0))</f>
        <v>0</v>
      </c>
      <c r="S162" s="145">
        <f t="shared" si="40"/>
        <v>0</v>
      </c>
      <c r="T16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Row],[Tipo]]="DROP"),T161+TbTradesBinance[[#This Row],[Qtt]],T161-TbTradesBinance[[#This Row],[Qtt]]),IF(TbTradesBinance[[#This Row],[Tipo]]="BUY",T161-TbTradesBinance[[#This Row],[Qtt]]*TbTradesBinance[[#This Row],[Preço]],T161+TbTradesBinance[[#This Row],[Qtt]]*TbTradesBinance[[#This Row],[Preço]])),T161)-IF(TbTradesBinance[[#This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Row],[Tipo]]="DROP"),T161+TbTradesBinance[[#This Row],[Qtt]],T161-TbTradesBinance[[#This Row],[Qtt]]),IF(TbTradesBinance[[#This Row],[Tipo]]="BUY",T161-TbTradesBinance[[#This Row],[Qtt]]*TbTradesBinance[[#This Row],[Preço]],T161+TbTradesBinance[[#This Row],[Qtt]]*TbTradesBinance[[#This Row],[Preço]])),T161)-IF(TbTradesBinance[[#This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Row],[Tipo]]="DROP"),T161+TbTradesBinance[[#This Row],[Qtt]],T161-TbTradesBinance[[#This Row],[Qtt]]),IF(TbTradesBinance[[#This Row],[Tipo]]="BUY",T161-TbTradesBinance[[#This Row],[Qtt]]*TbTradesBinance[[#This Row],[Preço]],T161+TbTradesBinance[[#This Row],[Qtt]]*TbTradesBinance[[#This Row],[Preço]])),T161)-IF(TbTradesBinance[[#This Row],[Moeda da Taxa]]=MID(T$1,9,5),TbTradesBinance[[#This Row],[Taxa]],0),8)))</f>
        <v>219713.72000189999</v>
      </c>
      <c r="U162" s="145" cm="1">
        <f t="array" ref="U162">IF(TbTradesBinance[[#This Row],[Tipo]]="EMPTY",0,U161+IF(TbTradesBinance[[#This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Row],[Par]]))),$1:$1,0)),-(T161-T162)/T161*U161),0),0)+IF(TbTradesBinance[[#This Row],[Tipo]]="SELL",IF(ISNUMBER(FIND(MID(U$1,10,5),TbTradesBinance[[#This Row],[Par]])),IF(FIND(MID(U$1,10,5),TbTradesBinance[[#This Row],[Par]])=1, -(T161-T162)/T161*U161,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Row],[Par]])),(-(T161-T162)/T161*U161)+IF(TbTradesBinance[[#This Row],[Resultado]]&gt;0,0,TbTradesBinance[[#This Row],[Taxa]]),0),0))</f>
        <v>1461096.2409827893</v>
      </c>
      <c r="V162" s="145">
        <f t="shared" si="41"/>
        <v>6.6500000135182926</v>
      </c>
      <c r="W16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Row],[Tipo]]="DROP"),W161+TbTradesBinance[[#This Row],[Qtt]],W161-TbTradesBinance[[#This Row],[Qtt]]),IF(TbTradesBinance[[#This Row],[Tipo]]="BUY",W161-TbTradesBinance[[#This Row],[Qtt]]*TbTradesBinance[[#This Row],[Preço]],W161+TbTradesBinance[[#This Row],[Qtt]]*TbTradesBinance[[#This Row],[Preço]])),W161)-IF(TbTradesBinance[[#This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Row],[Tipo]]="DROP"),W161+TbTradesBinance[[#This Row],[Qtt]],W161-TbTradesBinance[[#This Row],[Qtt]]),IF(TbTradesBinance[[#This Row],[Tipo]]="BUY",W161-TbTradesBinance[[#This Row],[Qtt]]*TbTradesBinance[[#This Row],[Preço]],W161+TbTradesBinance[[#This Row],[Qtt]]*TbTradesBinance[[#This Row],[Preço]])),W161)-IF(TbTradesBinance[[#This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Row],[Tipo]]="DROP"),W161+TbTradesBinance[[#This Row],[Qtt]],W161-TbTradesBinance[[#This Row],[Qtt]]),IF(TbTradesBinance[[#This Row],[Tipo]]="BUY",W161-TbTradesBinance[[#This Row],[Qtt]]*TbTradesBinance[[#This Row],[Preço]],W161+TbTradesBinance[[#This Row],[Qtt]]*TbTradesBinance[[#This Row],[Preço]])),W161)-IF(TbTradesBinance[[#This Row],[Moeda da Taxa]]=MID(W$1,9,5),TbTradesBinance[[#This Row],[Taxa]],0),8)))</f>
        <v>5.9236E-4</v>
      </c>
      <c r="X162" s="145" cm="1">
        <f t="array" ref="X162">IF(TbTradesBinance[[#This Row],[Tipo]]="EMPTY",0,X161+IF(TbTradesBinance[[#This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Row],[Par]]))),$1:$1,0)),-(W161-W162)/W161*X161),0),0)+IF(TbTradesBinance[[#This Row],[Tipo]]="SELL",IF(ISNUMBER(FIND(MID(X$1,10,5),TbTradesBinance[[#This Row],[Par]])),IF(FIND(MID(X$1,10,5),TbTradesBinance[[#This Row],[Par]])=1, -(W161-W162)/W161*X161,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Row],[Par]])),(-(W161-W162)/W161*X161)+IF(TbTradesBinance[[#This Row],[Resultado]]&gt;0,0,TbTradesBinance[[#This Row],[Taxa]]),0),0))</f>
        <v>206.80783641683473</v>
      </c>
      <c r="Y162" s="145">
        <f t="shared" si="42"/>
        <v>349125.25561623799</v>
      </c>
      <c r="Z16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Row],[Tipo]]="DROP"),Z161+TbTradesBinance[[#This Row],[Qtt]],Z161-TbTradesBinance[[#This Row],[Qtt]]),IF(TbTradesBinance[[#This Row],[Tipo]]="BUY",Z161-TbTradesBinance[[#This Row],[Qtt]]*TbTradesBinance[[#This Row],[Preço]],Z161+TbTradesBinance[[#This Row],[Qtt]]*TbTradesBinance[[#This Row],[Preço]])),Z161)-IF(TbTradesBinance[[#This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Row],[Tipo]]="DROP"),Z161+TbTradesBinance[[#This Row],[Qtt]],Z161-TbTradesBinance[[#This Row],[Qtt]]),IF(TbTradesBinance[[#This Row],[Tipo]]="BUY",Z161-TbTradesBinance[[#This Row],[Qtt]]*TbTradesBinance[[#This Row],[Preço]],Z161+TbTradesBinance[[#This Row],[Qtt]]*TbTradesBinance[[#This Row],[Preço]])),Z161)-IF(TbTradesBinance[[#This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Row],[Tipo]]="DROP"),Z161+TbTradesBinance[[#This Row],[Qtt]],Z161-TbTradesBinance[[#This Row],[Qtt]]),IF(TbTradesBinance[[#This Row],[Tipo]]="BUY",Z161-TbTradesBinance[[#This Row],[Qtt]]*TbTradesBinance[[#This Row],[Preço]],Z161+TbTradesBinance[[#This Row],[Qtt]]*TbTradesBinance[[#This Row],[Preço]])),Z161)-IF(TbTradesBinance[[#This Row],[Moeda da Taxa]]=MID(Z$1,9,5),TbTradesBinance[[#This Row],[Taxa]],0),8)))</f>
        <v>0</v>
      </c>
      <c r="AA162" s="145" cm="1">
        <f t="array" ref="AA162">IF(TbTradesBinance[[#This Row],[Tipo]]="EMPTY",0,AA161+IF(TbTradesBinance[[#This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Row],[Par]]))),$1:$1,0)),-(Z161-Z162)/Z161*AA161),0),0)+IF(TbTradesBinance[[#This Row],[Tipo]]="SELL",IF(ISNUMBER(FIND(MID(AA$1,10,5),TbTradesBinance[[#This Row],[Par]])),IF(FIND(MID(AA$1,10,5),TbTradesBinance[[#This Row],[Par]])=1, -(Z161-Z162)/Z161*AA161,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Row],[Par]])),(-(Z161-Z162)/Z161*AA161)+IF(TbTradesBinance[[#This Row],[Resultado]]&gt;0,0,TbTradesBinance[[#This Row],[Taxa]]),0),0))</f>
        <v>0</v>
      </c>
      <c r="AB162" s="145">
        <f t="shared" si="43"/>
        <v>0</v>
      </c>
      <c r="AC16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Row],[Tipo]]="DROP"),AC161+TbTradesBinance[[#This Row],[Qtt]],AC161-TbTradesBinance[[#This Row],[Qtt]]),IF(TbTradesBinance[[#This Row],[Tipo]]="BUY",AC161-TbTradesBinance[[#This Row],[Qtt]]*TbTradesBinance[[#This Row],[Preço]],AC161+TbTradesBinance[[#This Row],[Qtt]]*TbTradesBinance[[#This Row],[Preço]])),AC161)-IF(TbTradesBinance[[#This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Row],[Tipo]]="DROP"),AC161+TbTradesBinance[[#This Row],[Qtt]],AC161-TbTradesBinance[[#This Row],[Qtt]]),IF(TbTradesBinance[[#This Row],[Tipo]]="BUY",AC161-TbTradesBinance[[#This Row],[Qtt]]*TbTradesBinance[[#This Row],[Preço]],AC161+TbTradesBinance[[#This Row],[Qtt]]*TbTradesBinance[[#This Row],[Preço]])),AC161)-IF(TbTradesBinance[[#This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Row],[Tipo]]="DROP"),AC161+TbTradesBinance[[#This Row],[Qtt]],AC161-TbTradesBinance[[#This Row],[Qtt]]),IF(TbTradesBinance[[#This Row],[Tipo]]="BUY",AC161-TbTradesBinance[[#This Row],[Qtt]]*TbTradesBinance[[#This Row],[Preço]],AC161+TbTradesBinance[[#This Row],[Qtt]]*TbTradesBinance[[#This Row],[Preço]])),AC161)-IF(TbTradesBinance[[#This Row],[Moeda da Taxa]]=MID(AC$1,9,5),TbTradesBinance[[#This Row],[Taxa]],0),8)))</f>
        <v>0</v>
      </c>
      <c r="AD162" s="145" cm="1">
        <f t="array" ref="AD162">IF(TbTradesBinance[[#This Row],[Tipo]]="EMPTY",0,AD161+IF(TbTradesBinance[[#This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Row],[Par]]))),$1:$1,0)),-(AC161-AC162)/AC161*AD161),0),0)+IF(TbTradesBinance[[#This Row],[Tipo]]="SELL",IF(ISNUMBER(FIND(MID(AD$1,10,5),TbTradesBinance[[#This Row],[Par]])),IF(FIND(MID(AD$1,10,5),TbTradesBinance[[#This Row],[Par]])=1, -(AC161-AC162)/AC161*AD161,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Row],[Par]])),(-(AC161-AC162)/AC161*AD161)+IF(TbTradesBinance[[#This Row],[Resultado]]&gt;0,0,TbTradesBinance[[#This Row],[Taxa]]),0),0))</f>
        <v>0</v>
      </c>
      <c r="AE162" s="145">
        <f t="shared" si="44"/>
        <v>0</v>
      </c>
      <c r="AF16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Row],[Tipo]]="DROP"),AF161+TbTradesBinance[[#This Row],[Qtt]],AF161-TbTradesBinance[[#This Row],[Qtt]]),IF(TbTradesBinance[[#This Row],[Tipo]]="BUY",AF161-TbTradesBinance[[#This Row],[Qtt]]*TbTradesBinance[[#This Row],[Preço]],AF161+TbTradesBinance[[#This Row],[Qtt]]*TbTradesBinance[[#This Row],[Preço]])),AF161)-IF(TbTradesBinance[[#This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Row],[Tipo]]="DROP"),AF161+TbTradesBinance[[#This Row],[Qtt]],AF161-TbTradesBinance[[#This Row],[Qtt]]),IF(TbTradesBinance[[#This Row],[Tipo]]="BUY",AF161-TbTradesBinance[[#This Row],[Qtt]]*TbTradesBinance[[#This Row],[Preço]],AF161+TbTradesBinance[[#This Row],[Qtt]]*TbTradesBinance[[#This Row],[Preço]])),AF161)-IF(TbTradesBinance[[#This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Row],[Tipo]]="DROP"),AF161+TbTradesBinance[[#This Row],[Qtt]],AF161-TbTradesBinance[[#This Row],[Qtt]]),IF(TbTradesBinance[[#This Row],[Tipo]]="BUY",AF161-TbTradesBinance[[#This Row],[Qtt]]*TbTradesBinance[[#This Row],[Preço]],AF161+TbTradesBinance[[#This Row],[Qtt]]*TbTradesBinance[[#This Row],[Preço]])),AF161)-IF(TbTradesBinance[[#This Row],[Moeda da Taxa]]=MID(AF$1,9,5),TbTradesBinance[[#This Row],[Taxa]],0),8)))</f>
        <v>0</v>
      </c>
      <c r="AG162" s="145" cm="1">
        <f t="array" ref="AG162">IF(TbTradesBinance[[#This Row],[Tipo]]="EMPTY",0,AG161+IF(TbTradesBinance[[#This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Row],[Par]]))),$1:$1,0)),-(AF161-AF162)/AF161*AG161),0),0)+IF(TbTradesBinance[[#This Row],[Tipo]]="SELL",IF(ISNUMBER(FIND(MID(AG$1,10,5),TbTradesBinance[[#This Row],[Par]])),IF(FIND(MID(AG$1,10,5),TbTradesBinance[[#This Row],[Par]])=1, -(AF161-AF162)/AF161*AG161,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Row],[Par]])),(-(AF161-AF162)/AF161*AG161)+IF(TbTradesBinance[[#This Row],[Resultado]]&gt;0,0,TbTradesBinance[[#This Row],[Taxa]]),0),0))</f>
        <v>0</v>
      </c>
      <c r="AH162" s="145">
        <f t="shared" si="45"/>
        <v>0</v>
      </c>
      <c r="AI16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Row],[Tipo]]="DROP"),AI161+TbTradesBinance[[#This Row],[Qtt]],AI161-TbTradesBinance[[#This Row],[Qtt]]),IF(TbTradesBinance[[#This Row],[Tipo]]="BUY",AI161-TbTradesBinance[[#This Row],[Qtt]]*TbTradesBinance[[#This Row],[Preço]],AI161+TbTradesBinance[[#This Row],[Qtt]]*TbTradesBinance[[#This Row],[Preço]])),AI161)-IF(TbTradesBinance[[#This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Row],[Tipo]]="DROP"),AI161+TbTradesBinance[[#This Row],[Qtt]],AI161-TbTradesBinance[[#This Row],[Qtt]]),IF(TbTradesBinance[[#This Row],[Tipo]]="BUY",AI161-TbTradesBinance[[#This Row],[Qtt]]*TbTradesBinance[[#This Row],[Preço]],AI161+TbTradesBinance[[#This Row],[Qtt]]*TbTradesBinance[[#This Row],[Preço]])),AI161)-IF(TbTradesBinance[[#This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Row],[Tipo]]="DROP"),AI161+TbTradesBinance[[#This Row],[Qtt]],AI161-TbTradesBinance[[#This Row],[Qtt]]),IF(TbTradesBinance[[#This Row],[Tipo]]="BUY",AI161-TbTradesBinance[[#This Row],[Qtt]]*TbTradesBinance[[#This Row],[Preço]],AI161+TbTradesBinance[[#This Row],[Qtt]]*TbTradesBinance[[#This Row],[Preço]])),AI161)-IF(TbTradesBinance[[#This Row],[Moeda da Taxa]]=MID(AI$1,9,5),TbTradesBinance[[#This Row],[Taxa]],0),8)))</f>
        <v>0</v>
      </c>
      <c r="AJ162" s="145" cm="1">
        <f t="array" ref="AJ162">IF(TbTradesBinance[[#This Row],[Tipo]]="EMPTY",0,AJ161+IF(TbTradesBinance[[#This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Row],[Par]]))),$1:$1,0)),-(AI161-AI162)/AI161*AJ161),0),0)+IF(TbTradesBinance[[#This Row],[Tipo]]="SELL",IF(ISNUMBER(FIND(MID(AJ$1,10,5),TbTradesBinance[[#This Row],[Par]])),IF(FIND(MID(AJ$1,10,5),TbTradesBinance[[#This Row],[Par]])=1, -(AI161-AI162)/AI161*AJ161,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Row],[Par]])),(-(AI161-AI162)/AI161*AJ161)+IF(TbTradesBinance[[#This Row],[Resultado]]&gt;0,0,TbTradesBinance[[#This Row],[Taxa]]),0),0))</f>
        <v>0</v>
      </c>
      <c r="AK162" s="145">
        <f t="shared" si="46"/>
        <v>0</v>
      </c>
      <c r="AL16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Row],[Tipo]]="DROP"),AL161+TbTradesBinance[[#This Row],[Qtt]],AL161-TbTradesBinance[[#This Row],[Qtt]]),IF(TbTradesBinance[[#This Row],[Tipo]]="BUY",AL161-TbTradesBinance[[#This Row],[Qtt]]*TbTradesBinance[[#This Row],[Preço]],AL161+TbTradesBinance[[#This Row],[Qtt]]*TbTradesBinance[[#This Row],[Preço]])),AL161)-IF(TbTradesBinance[[#This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Row],[Tipo]]="DROP"),AL161+TbTradesBinance[[#This Row],[Qtt]],AL161-TbTradesBinance[[#This Row],[Qtt]]),IF(TbTradesBinance[[#This Row],[Tipo]]="BUY",AL161-TbTradesBinance[[#This Row],[Qtt]]*TbTradesBinance[[#This Row],[Preço]],AL161+TbTradesBinance[[#This Row],[Qtt]]*TbTradesBinance[[#This Row],[Preço]])),AL161)-IF(TbTradesBinance[[#This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Row],[Tipo]]="DROP"),AL161+TbTradesBinance[[#This Row],[Qtt]],AL161-TbTradesBinance[[#This Row],[Qtt]]),IF(TbTradesBinance[[#This Row],[Tipo]]="BUY",AL161-TbTradesBinance[[#This Row],[Qtt]]*TbTradesBinance[[#This Row],[Preço]],AL161+TbTradesBinance[[#This Row],[Qtt]]*TbTradesBinance[[#This Row],[Preço]])),AL161)-IF(TbTradesBinance[[#This Row],[Moeda da Taxa]]=MID(AL$1,9,5),TbTradesBinance[[#This Row],[Taxa]],0),8)))</f>
        <v>0</v>
      </c>
      <c r="AM162" s="145" cm="1">
        <f t="array" ref="AM162">IF(TbTradesBinance[[#This Row],[Tipo]]="EMPTY",0,AM161+IF(TbTradesBinance[[#This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Row],[Par]]))),$1:$1,0)),-(AL161-AL162)/AL161*AM161),0),0)+IF(TbTradesBinance[[#This Row],[Tipo]]="SELL",IF(ISNUMBER(FIND(MID(AM$1,10,5),TbTradesBinance[[#This Row],[Par]])),IF(FIND(MID(AM$1,10,5),TbTradesBinance[[#This Row],[Par]])=1, -(AL161-AL162)/AL161*AM161,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Row],[Par]])),(-(AL161-AL162)/AL161*AM161)+IF(TbTradesBinance[[#This Row],[Resultado]]&gt;0,0,TbTradesBinance[[#This Row],[Taxa]]),0),0))</f>
        <v>0</v>
      </c>
      <c r="AN162" s="145">
        <f t="shared" si="47"/>
        <v>0</v>
      </c>
      <c r="AO16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Row],[Tipo]]="DROP"),AO161+TbTradesBinance[[#This Row],[Qtt]],AO161-TbTradesBinance[[#This Row],[Qtt]]),IF(TbTradesBinance[[#This Row],[Tipo]]="BUY",AO161-TbTradesBinance[[#This Row],[Qtt]]*TbTradesBinance[[#This Row],[Preço]],AO161+TbTradesBinance[[#This Row],[Qtt]]*TbTradesBinance[[#This Row],[Preço]])),AO161)-IF(TbTradesBinance[[#This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Row],[Tipo]]="DROP"),AO161+TbTradesBinance[[#This Row],[Qtt]],AO161-TbTradesBinance[[#This Row],[Qtt]]),IF(TbTradesBinance[[#This Row],[Tipo]]="BUY",AO161-TbTradesBinance[[#This Row],[Qtt]]*TbTradesBinance[[#This Row],[Preço]],AO161+TbTradesBinance[[#This Row],[Qtt]]*TbTradesBinance[[#This Row],[Preço]])),AO161)-IF(TbTradesBinance[[#This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Row],[Tipo]]="DROP"),AO161+TbTradesBinance[[#This Row],[Qtt]],AO161-TbTradesBinance[[#This Row],[Qtt]]),IF(TbTradesBinance[[#This Row],[Tipo]]="BUY",AO161-TbTradesBinance[[#This Row],[Qtt]]*TbTradesBinance[[#This Row],[Preço]],AO161+TbTradesBinance[[#This Row],[Qtt]]*TbTradesBinance[[#This Row],[Preço]])),AO161)-IF(TbTradesBinance[[#This Row],[Moeda da Taxa]]=MID(AO$1,9,5),TbTradesBinance[[#This Row],[Taxa]],0),8)))</f>
        <v>3.8400589999999998E-2</v>
      </c>
      <c r="AP162" s="145" cm="1">
        <f t="array" ref="AP162">IF(TbTradesBinance[[#This Row],[Tipo]]="EMPTY",0,AP161+IF(TbTradesBinance[[#This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Row],[Par]]))),$1:$1,0)),-(AO161-AO162)/AO161*AP161),0),0)+IF(TbTradesBinance[[#This Row],[Tipo]]="SELL",IF(ISNUMBER(FIND(MID(AP$1,10,5),TbTradesBinance[[#This Row],[Par]])),IF(FIND(MID(AP$1,10,5),TbTradesBinance[[#This Row],[Par]])=1, -(AO161-AO162)/AO161*AP161,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Row],[Par]])),(-(AO161-AO162)/AO161*AP161)+IF(TbTradesBinance[[#This Row],[Resultado]]&gt;0,0,TbTradesBinance[[#This Row],[Taxa]]),0),0))</f>
        <v>60.206578718772462</v>
      </c>
      <c r="AQ162" s="145">
        <f t="shared" si="48"/>
        <v>1567.8555646872214</v>
      </c>
      <c r="AR16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Row],[Tipo]]="DROP"),AR161+TbTradesBinance[[#This Row],[Qtt]],AR161-TbTradesBinance[[#This Row],[Qtt]]),IF(TbTradesBinance[[#This Row],[Tipo]]="BUY",AR161-TbTradesBinance[[#This Row],[Qtt]]*TbTradesBinance[[#This Row],[Preço]],AR161+TbTradesBinance[[#This Row],[Qtt]]*TbTradesBinance[[#This Row],[Preço]])),AR161)-IF(TbTradesBinance[[#This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Row],[Tipo]]="DROP"),AR161+TbTradesBinance[[#This Row],[Qtt]],AR161-TbTradesBinance[[#This Row],[Qtt]]),IF(TbTradesBinance[[#This Row],[Tipo]]="BUY",AR161-TbTradesBinance[[#This Row],[Qtt]]*TbTradesBinance[[#This Row],[Preço]],AR161+TbTradesBinance[[#This Row],[Qtt]]*TbTradesBinance[[#This Row],[Preço]])),AR161)-IF(TbTradesBinance[[#This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Row],[Tipo]]="DROP"),AR161+TbTradesBinance[[#This Row],[Qtt]],AR161-TbTradesBinance[[#This Row],[Qtt]]),IF(TbTradesBinance[[#This Row],[Tipo]]="BUY",AR161-TbTradesBinance[[#This Row],[Qtt]]*TbTradesBinance[[#This Row],[Preço]],AR161+TbTradesBinance[[#This Row],[Qtt]]*TbTradesBinance[[#This Row],[Preço]])),AR161)-IF(TbTradesBinance[[#This Row],[Moeda da Taxa]]=MID(AR$1,9,5),TbTradesBinance[[#This Row],[Taxa]],0),8)))</f>
        <v>0</v>
      </c>
      <c r="AS162" s="145" cm="1">
        <f t="array" ref="AS162">IF(TbTradesBinance[[#This Row],[Tipo]]="EMPTY",0,AS161+IF(TbTradesBinance[[#This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Row],[Par]]))),$1:$1,0)),-(AR161-AR162)/AR161*AS161),0),0)+IF(TbTradesBinance[[#This Row],[Tipo]]="SELL",IF(ISNUMBER(FIND(MID(AS$1,10,5),TbTradesBinance[[#This Row],[Par]])),IF(FIND(MID(AS$1,10,5),TbTradesBinance[[#This Row],[Par]])=1, -(AR161-AR162)/AR161*AS161,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Row],[Par]])),(-(AR161-AR162)/AR161*AS161)+IF(TbTradesBinance[[#This Row],[Resultado]]&gt;0,0,TbTradesBinance[[#This Row],[Taxa]]),0),0))</f>
        <v>0</v>
      </c>
      <c r="AT162" s="145">
        <f t="shared" si="49"/>
        <v>0</v>
      </c>
      <c r="AU16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Row],[Tipo]]="DROP"),AU161+TbTradesBinance[[#This Row],[Qtt]],AU161-TbTradesBinance[[#This Row],[Qtt]]),IF(TbTradesBinance[[#This Row],[Tipo]]="BUY",AU161-TbTradesBinance[[#This Row],[Qtt]]*TbTradesBinance[[#This Row],[Preço]],AU161+TbTradesBinance[[#This Row],[Qtt]]*TbTradesBinance[[#This Row],[Preço]])),AU161)-IF(TbTradesBinance[[#This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Row],[Tipo]]="DROP"),AU161+TbTradesBinance[[#This Row],[Qtt]],AU161-TbTradesBinance[[#This Row],[Qtt]]),IF(TbTradesBinance[[#This Row],[Tipo]]="BUY",AU161-TbTradesBinance[[#This Row],[Qtt]]*TbTradesBinance[[#This Row],[Preço]],AU161+TbTradesBinance[[#This Row],[Qtt]]*TbTradesBinance[[#This Row],[Preço]])),AU161)-IF(TbTradesBinance[[#This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Row],[Tipo]]="DROP"),AU161+TbTradesBinance[[#This Row],[Qtt]],AU161-TbTradesBinance[[#This Row],[Qtt]]),IF(TbTradesBinance[[#This Row],[Tipo]]="BUY",AU161-TbTradesBinance[[#This Row],[Qtt]]*TbTradesBinance[[#This Row],[Preço]],AU161+TbTradesBinance[[#This Row],[Qtt]]*TbTradesBinance[[#This Row],[Preço]])),AU161)-IF(TbTradesBinance[[#This Row],[Moeda da Taxa]]=MID(AU$1,9,5),TbTradesBinance[[#This Row],[Taxa]],0),8)))</f>
        <v>0.51</v>
      </c>
      <c r="AV162" s="145" cm="1">
        <f t="array" ref="AV162">IF(TbTradesBinance[[#This Row],[Tipo]]="EMPTY",0,AV161+IF(TbTradesBinance[[#This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Row],[Par]]))),$1:$1,0)),-(AU161-AU162)/AU161*AV161),0),0)+IF(TbTradesBinance[[#This Row],[Tipo]]="SELL",IF(ISNUMBER(FIND(MID(AV$1,10,5),TbTradesBinance[[#This Row],[Par]])),IF(FIND(MID(AV$1,10,5),TbTradesBinance[[#This Row],[Par]])=1, -(AU161-AU162)/AU161*AV161,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Row],[Par]])),(-(AU161-AU162)/AU161*AV161)+IF(TbTradesBinance[[#This Row],[Resultado]]&gt;0,0,TbTradesBinance[[#This Row],[Taxa]]),0),0))</f>
        <v>95.466693037374753</v>
      </c>
      <c r="AW162" s="145">
        <f t="shared" si="50"/>
        <v>187.18959419093088</v>
      </c>
      <c r="AX16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Row],[Tipo]]="DROP"),AX161+TbTradesBinance[[#This Row],[Qtt]],AX161-TbTradesBinance[[#This Row],[Qtt]]),IF(TbTradesBinance[[#This Row],[Tipo]]="BUY",AX161-TbTradesBinance[[#This Row],[Qtt]]*TbTradesBinance[[#This Row],[Preço]],AX161+TbTradesBinance[[#This Row],[Qtt]]*TbTradesBinance[[#This Row],[Preço]])),AX161)-IF(TbTradesBinance[[#This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Row],[Tipo]]="DROP"),AX161+TbTradesBinance[[#This Row],[Qtt]],AX161-TbTradesBinance[[#This Row],[Qtt]]),IF(TbTradesBinance[[#This Row],[Tipo]]="BUY",AX161-TbTradesBinance[[#This Row],[Qtt]]*TbTradesBinance[[#This Row],[Preço]],AX161+TbTradesBinance[[#This Row],[Qtt]]*TbTradesBinance[[#This Row],[Preço]])),AX161)-IF(TbTradesBinance[[#This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Row],[Tipo]]="DROP"),AX161+TbTradesBinance[[#This Row],[Qtt]],AX161-TbTradesBinance[[#This Row],[Qtt]]),IF(TbTradesBinance[[#This Row],[Tipo]]="BUY",AX161-TbTradesBinance[[#This Row],[Qtt]]*TbTradesBinance[[#This Row],[Preço]],AX161+TbTradesBinance[[#This Row],[Qtt]]*TbTradesBinance[[#This Row],[Preço]])),AX161)-IF(TbTradesBinance[[#This Row],[Moeda da Taxa]]=MID(AX$1,9,5),TbTradesBinance[[#This Row],[Taxa]],0),8)))</f>
        <v>0.53737999999999997</v>
      </c>
      <c r="AY162" s="145" cm="1">
        <f t="array" ref="AY162">IF(TbTradesBinance[[#This Row],[Tipo]]="EMPTY",0,AY161+IF(TbTradesBinance[[#This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Row],[Par]]))),$1:$1,0)),-(AX161-AX162)/AX161*AY161),0),0)+IF(TbTradesBinance[[#This Row],[Tipo]]="SELL",IF(ISNUMBER(FIND(MID(AY$1,10,5),TbTradesBinance[[#This Row],[Par]])),IF(FIND(MID(AY$1,10,5),TbTradesBinance[[#This Row],[Par]])=1, -(AX161-AX162)/AX161*AY161,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Row],[Par]])),(-(AX161-AX162)/AX161*AY161)+IF(TbTradesBinance[[#This Row],[Resultado]]&gt;0,0,TbTradesBinance[[#This Row],[Taxa]]),0),0))</f>
        <v>100.4197840540867</v>
      </c>
      <c r="AZ162" s="145">
        <f t="shared" si="51"/>
        <v>186.869224857804</v>
      </c>
      <c r="BA16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Row],[Tipo]]="DROP"),BA161+TbTradesBinance[[#This Row],[Qtt]],BA161-TbTradesBinance[[#This Row],[Qtt]]),IF(TbTradesBinance[[#This Row],[Tipo]]="BUY",BA161-TbTradesBinance[[#This Row],[Qtt]]*TbTradesBinance[[#This Row],[Preço]],BA161+TbTradesBinance[[#This Row],[Qtt]]*TbTradesBinance[[#This Row],[Preço]])),BA161)-IF(TbTradesBinance[[#This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Row],[Tipo]]="DROP"),BA161+TbTradesBinance[[#This Row],[Qtt]],BA161-TbTradesBinance[[#This Row],[Qtt]]),IF(TbTradesBinance[[#This Row],[Tipo]]="BUY",BA161-TbTradesBinance[[#This Row],[Qtt]]*TbTradesBinance[[#This Row],[Preço]],BA161+TbTradesBinance[[#This Row],[Qtt]]*TbTradesBinance[[#This Row],[Preço]])),BA161)-IF(TbTradesBinance[[#This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Row],[Tipo]]="DROP"),BA161+TbTradesBinance[[#This Row],[Qtt]],BA161-TbTradesBinance[[#This Row],[Qtt]]),IF(TbTradesBinance[[#This Row],[Tipo]]="BUY",BA161-TbTradesBinance[[#This Row],[Qtt]]*TbTradesBinance[[#This Row],[Preço]],BA161+TbTradesBinance[[#This Row],[Qtt]]*TbTradesBinance[[#This Row],[Preço]])),BA161)-IF(TbTradesBinance[[#This Row],[Moeda da Taxa]]=MID(BA$1,9,5),TbTradesBinance[[#This Row],[Taxa]],0),8)))</f>
        <v>0</v>
      </c>
      <c r="BB162" s="145" cm="1">
        <f t="array" ref="BB162">IF(TbTradesBinance[[#This Row],[Tipo]]="EMPTY",0,BB161+IF(TbTradesBinance[[#This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Row],[Par]]))),$1:$1,0)),-(BA161-BA162)/BA161*BB161),0),0)+IF(TbTradesBinance[[#This Row],[Tipo]]="SELL",IF(ISNUMBER(FIND(MID(BB$1,10,5),TbTradesBinance[[#This Row],[Par]])),IF(FIND(MID(BB$1,10,5),TbTradesBinance[[#This Row],[Par]])=1, -(BA161-BA162)/BA161*BB161,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Row],[Par]])),(-(BA161-BA162)/BA161*BB161)+IF(TbTradesBinance[[#This Row],[Resultado]]&gt;0,0,TbTradesBinance[[#This Row],[Taxa]]),0),0))</f>
        <v>0</v>
      </c>
      <c r="BC162" s="145">
        <f t="shared" si="52"/>
        <v>0</v>
      </c>
      <c r="BD16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Row],[Tipo]]="DROP"),BD161+TbTradesBinance[[#This Row],[Qtt]],BD161-TbTradesBinance[[#This Row],[Qtt]]),IF(TbTradesBinance[[#This Row],[Tipo]]="BUY",BD161-TbTradesBinance[[#This Row],[Qtt]]*TbTradesBinance[[#This Row],[Preço]],BD161+TbTradesBinance[[#This Row],[Qtt]]*TbTradesBinance[[#This Row],[Preço]])),BD161)-IF(TbTradesBinance[[#This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Row],[Tipo]]="DROP"),BD161+TbTradesBinance[[#This Row],[Qtt]],BD161-TbTradesBinance[[#This Row],[Qtt]]),IF(TbTradesBinance[[#This Row],[Tipo]]="BUY",BD161-TbTradesBinance[[#This Row],[Qtt]]*TbTradesBinance[[#This Row],[Preço]],BD161+TbTradesBinance[[#This Row],[Qtt]]*TbTradesBinance[[#This Row],[Preço]])),BD161)-IF(TbTradesBinance[[#This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Row],[Tipo]]="DROP"),BD161+TbTradesBinance[[#This Row],[Qtt]],BD161-TbTradesBinance[[#This Row],[Qtt]]),IF(TbTradesBinance[[#This Row],[Tipo]]="BUY",BD161-TbTradesBinance[[#This Row],[Qtt]]*TbTradesBinance[[#This Row],[Preço]],BD161+TbTradesBinance[[#This Row],[Qtt]]*TbTradesBinance[[#This Row],[Preço]])),BD161)-IF(TbTradesBinance[[#This Row],[Moeda da Taxa]]=MID(BD$1,9,5),TbTradesBinance[[#This Row],[Taxa]],0),8)))</f>
        <v>0</v>
      </c>
      <c r="BE162" s="145" cm="1">
        <f t="array" ref="BE162">IF(TbTradesBinance[[#This Row],[Tipo]]="EMPTY",0,BE161+IF(TbTradesBinance[[#This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Row],[Par]]))),$1:$1,0)),-(BD161-BD162)/BD161*BE161),0),0)+IF(TbTradesBinance[[#This Row],[Tipo]]="SELL",IF(ISNUMBER(FIND(MID(BE$1,10,5),TbTradesBinance[[#This Row],[Par]])),IF(FIND(MID(BE$1,10,5),TbTradesBinance[[#This Row],[Par]])=1, -(BD161-BD162)/BD161*BE161,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Row],[Par]])),(-(BD161-BD162)/BD161*BE161)+IF(TbTradesBinance[[#This Row],[Resultado]]&gt;0,0,TbTradesBinance[[#This Row],[Taxa]]),0),0))</f>
        <v>0</v>
      </c>
      <c r="BF162" s="145">
        <f t="shared" si="53"/>
        <v>0</v>
      </c>
      <c r="BG16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Row],[Tipo]]="DROP"),BG161+TbTradesBinance[[#This Row],[Qtt]],BG161-TbTradesBinance[[#This Row],[Qtt]]),IF(TbTradesBinance[[#This Row],[Tipo]]="BUY",BG161-TbTradesBinance[[#This Row],[Qtt]]*TbTradesBinance[[#This Row],[Preço]],BG161+TbTradesBinance[[#This Row],[Qtt]]*TbTradesBinance[[#This Row],[Preço]])),BG161)-IF(TbTradesBinance[[#This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Row],[Tipo]]="DROP"),BG161+TbTradesBinance[[#This Row],[Qtt]],BG161-TbTradesBinance[[#This Row],[Qtt]]),IF(TbTradesBinance[[#This Row],[Tipo]]="BUY",BG161-TbTradesBinance[[#This Row],[Qtt]]*TbTradesBinance[[#This Row],[Preço]],BG161+TbTradesBinance[[#This Row],[Qtt]]*TbTradesBinance[[#This Row],[Preço]])),BG161)-IF(TbTradesBinance[[#This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Row],[Tipo]]="DROP"),BG161+TbTradesBinance[[#This Row],[Qtt]],BG161-TbTradesBinance[[#This Row],[Qtt]]),IF(TbTradesBinance[[#This Row],[Tipo]]="BUY",BG161-TbTradesBinance[[#This Row],[Qtt]]*TbTradesBinance[[#This Row],[Preço]],BG161+TbTradesBinance[[#This Row],[Qtt]]*TbTradesBinance[[#This Row],[Preço]])),BG161)-IF(TbTradesBinance[[#This Row],[Moeda da Taxa]]=MID(BG$1,9,5),TbTradesBinance[[#This Row],[Taxa]],0),8)))</f>
        <v>0</v>
      </c>
      <c r="BH162" s="145" cm="1">
        <f t="array" ref="BH162">IF(TbTradesBinance[[#This Row],[Tipo]]="EMPTY",0,BH161+IF(TbTradesBinance[[#This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Row],[Par]]))),$1:$1,0)),-(BG161-BG162)/BG161*BH161),0),0)+IF(TbTradesBinance[[#This Row],[Tipo]]="SELL",IF(ISNUMBER(FIND(MID(BH$1,10,5),TbTradesBinance[[#This Row],[Par]])),IF(FIND(MID(BH$1,10,5),TbTradesBinance[[#This Row],[Par]])=1, -(BG161-BG162)/BG161*BH161,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Row],[Par]])),(-(BG161-BG162)/BG161*BH161)+IF(TbTradesBinance[[#This Row],[Resultado]]&gt;0,0,TbTradesBinance[[#This Row],[Taxa]]),0),0))</f>
        <v>0</v>
      </c>
      <c r="BI162" s="145">
        <f t="shared" si="54"/>
        <v>0</v>
      </c>
      <c r="BJ16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Row],[Tipo]]="DROP"),BJ161+TbTradesBinance[[#This Row],[Qtt]],BJ161-TbTradesBinance[[#This Row],[Qtt]]),IF(TbTradesBinance[[#This Row],[Tipo]]="BUY",BJ161-TbTradesBinance[[#This Row],[Qtt]]*TbTradesBinance[[#This Row],[Preço]],BJ161+TbTradesBinance[[#This Row],[Qtt]]*TbTradesBinance[[#This Row],[Preço]])),BJ161)-IF(TbTradesBinance[[#This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Row],[Tipo]]="DROP"),BJ161+TbTradesBinance[[#This Row],[Qtt]],BJ161-TbTradesBinance[[#This Row],[Qtt]]),IF(TbTradesBinance[[#This Row],[Tipo]]="BUY",BJ161-TbTradesBinance[[#This Row],[Qtt]]*TbTradesBinance[[#This Row],[Preço]],BJ161+TbTradesBinance[[#This Row],[Qtt]]*TbTradesBinance[[#This Row],[Preço]])),BJ161)-IF(TbTradesBinance[[#This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Row],[Tipo]]="DROP"),BJ161+TbTradesBinance[[#This Row],[Qtt]],BJ161-TbTradesBinance[[#This Row],[Qtt]]),IF(TbTradesBinance[[#This Row],[Tipo]]="BUY",BJ161-TbTradesBinance[[#This Row],[Qtt]]*TbTradesBinance[[#This Row],[Preço]],BJ161+TbTradesBinance[[#This Row],[Qtt]]*TbTradesBinance[[#This Row],[Preço]])),BJ161)-IF(TbTradesBinance[[#This Row],[Moeda da Taxa]]=MID(BJ$1,9,5),TbTradesBinance[[#This Row],[Taxa]],0),8)))</f>
        <v>0</v>
      </c>
      <c r="BK162" s="145" cm="1">
        <f t="array" ref="BK162">IF(TbTradesBinance[[#This Row],[Tipo]]="EMPTY",0,BK161+IF(TbTradesBinance[[#This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Row],[Par]]))),$1:$1,0)),-(BJ161-BJ162)/BJ161*BK161),0),0)+IF(TbTradesBinance[[#This Row],[Tipo]]="SELL",IF(ISNUMBER(FIND(MID(BK$1,10,5),TbTradesBinance[[#This Row],[Par]])),IF(FIND(MID(BK$1,10,5),TbTradesBinance[[#This Row],[Par]])=1, -(BJ161-BJ162)/BJ161*BK161,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Row],[Par]])),(-(BJ161-BJ162)/BJ161*BK161)+IF(TbTradesBinance[[#This Row],[Resultado]]&gt;0,0,TbTradesBinance[[#This Row],[Taxa]]),0),0))</f>
        <v>0</v>
      </c>
      <c r="BL162" s="145">
        <f t="shared" si="55"/>
        <v>0</v>
      </c>
      <c r="BM16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Row],[Tipo]]="DROP"),BM161+TbTradesBinance[[#This Row],[Qtt]],BM161-TbTradesBinance[[#This Row],[Qtt]]),IF(TbTradesBinance[[#This Row],[Tipo]]="BUY",BM161-TbTradesBinance[[#This Row],[Qtt]]*TbTradesBinance[[#This Row],[Preço]],BM161+TbTradesBinance[[#This Row],[Qtt]]*TbTradesBinance[[#This Row],[Preço]])),BM161)-IF(TbTradesBinance[[#This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Row],[Tipo]]="DROP"),BM161+TbTradesBinance[[#This Row],[Qtt]],BM161-TbTradesBinance[[#This Row],[Qtt]]),IF(TbTradesBinance[[#This Row],[Tipo]]="BUY",BM161-TbTradesBinance[[#This Row],[Qtt]]*TbTradesBinance[[#This Row],[Preço]],BM161+TbTradesBinance[[#This Row],[Qtt]]*TbTradesBinance[[#This Row],[Preço]])),BM161)-IF(TbTradesBinance[[#This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Row],[Tipo]]="DROP"),BM161+TbTradesBinance[[#This Row],[Qtt]],BM161-TbTradesBinance[[#This Row],[Qtt]]),IF(TbTradesBinance[[#This Row],[Tipo]]="BUY",BM161-TbTradesBinance[[#This Row],[Qtt]]*TbTradesBinance[[#This Row],[Preço]],BM161+TbTradesBinance[[#This Row],[Qtt]]*TbTradesBinance[[#This Row],[Preço]])),BM161)-IF(TbTradesBinance[[#This Row],[Moeda da Taxa]]=MID(BM$1,9,5),TbTradesBinance[[#This Row],[Taxa]],0),8)))</f>
        <v>8.213289E-2</v>
      </c>
      <c r="BN162" s="145" cm="1">
        <f t="array" ref="BN162">IF(TbTradesBinance[[#This Row],[Tipo]]="EMPTY",0,BN161+IF(TbTradesBinance[[#This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Row],[Par]]))),$1:$1,0)),-(BM161-BM162)/BM161*BN161),0),0)+IF(TbTradesBinance[[#This Row],[Tipo]]="SELL",IF(ISNUMBER(FIND(MID(BN$1,10,5),TbTradesBinance[[#This Row],[Par]])),IF(FIND(MID(BN$1,10,5),TbTradesBinance[[#This Row],[Par]])=1, -(BM161-BM162)/BM161*BN161,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Row],[Par]])),(-(BM161-BM162)/BM161*BN161)+IF(TbTradesBinance[[#This Row],[Resultado]]&gt;0,0,TbTradesBinance[[#This Row],[Taxa]]),0),0))</f>
        <v>0</v>
      </c>
      <c r="BO162" s="145">
        <f t="shared" si="56"/>
        <v>0</v>
      </c>
    </row>
    <row r="163" spans="2:67" x14ac:dyDescent="0.3">
      <c r="B163" s="51"/>
      <c r="C163" s="40">
        <f>TRUNC(IF(AND(TbTradesBinance[[#This Row],[Tipo]]="SEND",TbTradesBinance[[#This Row],[Par]]="BRL"),TbTradesBinance[[#This Row],[Qtt]]*(1-P161)-IF(TbTradesBinance[[#This Row],[Moeda da Taxa]]="BRL",TbTradesBinance[[#This Row],[Taxa]],0),0)+IF(AND(TbTradesBinance[[#This Row],[Tipo]]="BURN",TbTradesBinance[[#This Row],[Par]]="BRL"),-TbTradesBinance[[#This Row],[Qtt]]*P161,0),2)</f>
        <v>0</v>
      </c>
      <c r="D163" s="53">
        <v>44316.538113425922</v>
      </c>
      <c r="E163" s="37" t="s">
        <v>138</v>
      </c>
      <c r="F163" s="47" t="s">
        <v>140</v>
      </c>
      <c r="G163" s="38">
        <v>310813</v>
      </c>
      <c r="H163" s="38">
        <v>2.9399999999999999E-4</v>
      </c>
      <c r="I163" s="38">
        <v>2.0769999999999999E-5</v>
      </c>
      <c r="J163" s="37" t="s">
        <v>45</v>
      </c>
      <c r="K163" s="52">
        <v>1</v>
      </c>
      <c r="L163" s="40">
        <f t="shared" si="38"/>
        <v>310813</v>
      </c>
      <c r="M163" s="40">
        <f>IF(OR(TbTradesBinance[[#This Row],[Tipo]]="BUY",TbTradesBinance[[#This Row],[Tipo]]="RECEIVE",TbTradesBinance[[#This Row],[Tipo]]="DROP"),L163*H163,-L163*H163)</f>
        <v>-91.379021999999992</v>
      </c>
      <c r="N16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Row],[Tipo]]="DROP"),N162+TbTradesBinance[[#This Row],[Qtt]],N162-TbTradesBinance[[#This Row],[Qtt]]),IF(TbTradesBinance[[#This Row],[Tipo]]="BUY",N162-TbTradesBinance[[#This Row],[Qtt]]*TbTradesBinance[[#This Row],[Preço]],N162+TbTradesBinance[[#This Row],[Qtt]]*TbTradesBinance[[#This Row],[Preço]])),N162)-IF(TbTradesBinance[[#This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Row],[Tipo]]="DROP"),N162+TbTradesBinance[[#This Row],[Qtt]],N162-TbTradesBinance[[#This Row],[Qtt]]),IF(TbTradesBinance[[#This Row],[Tipo]]="BUY",N162-TbTradesBinance[[#This Row],[Qtt]]*TbTradesBinance[[#This Row],[Preço]],N162+TbTradesBinance[[#This Row],[Qtt]]*TbTradesBinance[[#This Row],[Preço]])),N162)-IF(TbTradesBinance[[#This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Row],[Tipo]]="DROP"),N162+TbTradesBinance[[#This Row],[Qtt]],N162-TbTradesBinance[[#This Row],[Qtt]]),IF(TbTradesBinance[[#This Row],[Tipo]]="BUY",N162-TbTradesBinance[[#This Row],[Qtt]]*TbTradesBinance[[#This Row],[Preço]],N162+TbTradesBinance[[#This Row],[Qtt]]*TbTradesBinance[[#This Row],[Preço]])),N162)-IF(TbTradesBinance[[#This Row],[Moeda da Taxa]]=MID(N$1,9,5),TbTradesBinance[[#This Row],[Taxa]],0),8)))</f>
        <v>119836.79902198999</v>
      </c>
      <c r="O163" s="145" cm="1">
        <f t="array" ref="O163">IF(TbTradesBinance[[#This Row],[Tipo]]="EMPTY",0,O162+IF(TbTradesBinance[[#This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Row],[Par]]))),$1:$1,0)),-(N162-N163)/N162*O162),0),0)+IF(TbTradesBinance[[#This Row],[Tipo]]="SELL",IF(ISNUMBER(FIND(MID(O$1,10,5),TbTradesBinance[[#This Row],[Par]])),IF(FIND(MID(O$1,10,5),TbTradesBinance[[#This Row],[Par]])=1, -(N162-N163)/N162*O162,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Row],[Par]])),(-(N162-N163)/N162*O162)+IF(TbTradesBinance[[#This Row],[Resultado]]&gt;0,0,TbTradesBinance[[#This Row],[Taxa]]),0),0))</f>
        <v>119903.19219408784</v>
      </c>
      <c r="P163" s="145">
        <f t="shared" si="39"/>
        <v>1.0005540299193545</v>
      </c>
      <c r="Q16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Row],[Tipo]]="DROP"),Q162+TbTradesBinance[[#This Row],[Qtt]],Q162-TbTradesBinance[[#This Row],[Qtt]]),IF(TbTradesBinance[[#This Row],[Tipo]]="BUY",Q162-TbTradesBinance[[#This Row],[Qtt]]*TbTradesBinance[[#This Row],[Preço]],Q162+TbTradesBinance[[#This Row],[Qtt]]*TbTradesBinance[[#This Row],[Preço]])),Q162)-IF(TbTradesBinance[[#This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Row],[Tipo]]="DROP"),Q162+TbTradesBinance[[#This Row],[Qtt]],Q162-TbTradesBinance[[#This Row],[Qtt]]),IF(TbTradesBinance[[#This Row],[Tipo]]="BUY",Q162-TbTradesBinance[[#This Row],[Qtt]]*TbTradesBinance[[#This Row],[Preço]],Q162+TbTradesBinance[[#This Row],[Qtt]]*TbTradesBinance[[#This Row],[Preço]])),Q162)-IF(TbTradesBinance[[#This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Row],[Tipo]]="DROP"),Q162+TbTradesBinance[[#This Row],[Qtt]],Q162-TbTradesBinance[[#This Row],[Qtt]]),IF(TbTradesBinance[[#This Row],[Tipo]]="BUY",Q162-TbTradesBinance[[#This Row],[Qtt]]*TbTradesBinance[[#This Row],[Preço]],Q162+TbTradesBinance[[#This Row],[Qtt]]*TbTradesBinance[[#This Row],[Preço]])),Q162)-IF(TbTradesBinance[[#This Row],[Moeda da Taxa]]=MID(Q$1,9,5),TbTradesBinance[[#This Row],[Taxa]],0),8)))</f>
        <v>0</v>
      </c>
      <c r="R163" s="145" cm="1">
        <f t="array" ref="R163">IF(TbTradesBinance[[#This Row],[Tipo]]="EMPTY",0,R162+IF(TbTradesBinance[[#This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Row],[Par]]))),$1:$1,0)),-(Q162-Q163)/Q162*R162),0),0)+IF(TbTradesBinance[[#This Row],[Tipo]]="SELL",IF(ISNUMBER(FIND(MID(R$1,10,5),TbTradesBinance[[#This Row],[Par]])),IF(FIND(MID(R$1,10,5),TbTradesBinance[[#This Row],[Par]])=1, -(Q162-Q163)/Q162*R162,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Row],[Par]])),(-(Q162-Q163)/Q162*R162)+IF(TbTradesBinance[[#This Row],[Resultado]]&gt;0,0,TbTradesBinance[[#This Row],[Taxa]]),0),0))</f>
        <v>0</v>
      </c>
      <c r="S163" s="145">
        <f t="shared" si="40"/>
        <v>0</v>
      </c>
      <c r="T16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Row],[Tipo]]="DROP"),T162+TbTradesBinance[[#This Row],[Qtt]],T162-TbTradesBinance[[#This Row],[Qtt]]),IF(TbTradesBinance[[#This Row],[Tipo]]="BUY",T162-TbTradesBinance[[#This Row],[Qtt]]*TbTradesBinance[[#This Row],[Preço]],T162+TbTradesBinance[[#This Row],[Qtt]]*TbTradesBinance[[#This Row],[Preço]])),T162)-IF(TbTradesBinance[[#This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Row],[Tipo]]="DROP"),T162+TbTradesBinance[[#This Row],[Qtt]],T162-TbTradesBinance[[#This Row],[Qtt]]),IF(TbTradesBinance[[#This Row],[Tipo]]="BUY",T162-TbTradesBinance[[#This Row],[Qtt]]*TbTradesBinance[[#This Row],[Preço]],T162+TbTradesBinance[[#This Row],[Qtt]]*TbTradesBinance[[#This Row],[Preço]])),T162)-IF(TbTradesBinance[[#This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Row],[Tipo]]="DROP"),T162+TbTradesBinance[[#This Row],[Qtt]],T162-TbTradesBinance[[#This Row],[Qtt]]),IF(TbTradesBinance[[#This Row],[Tipo]]="BUY",T162-TbTradesBinance[[#This Row],[Qtt]]*TbTradesBinance[[#This Row],[Preço]],T162+TbTradesBinance[[#This Row],[Qtt]]*TbTradesBinance[[#This Row],[Preço]])),T162)-IF(TbTradesBinance[[#This Row],[Moeda da Taxa]]=MID(T$1,9,5),TbTradesBinance[[#This Row],[Taxa]],0),8)))</f>
        <v>219713.72000189999</v>
      </c>
      <c r="U163" s="145" cm="1">
        <f t="array" ref="U163">IF(TbTradesBinance[[#This Row],[Tipo]]="EMPTY",0,U162+IF(TbTradesBinance[[#This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Row],[Par]]))),$1:$1,0)),-(T162-T163)/T162*U162),0),0)+IF(TbTradesBinance[[#This Row],[Tipo]]="SELL",IF(ISNUMBER(FIND(MID(U$1,10,5),TbTradesBinance[[#This Row],[Par]])),IF(FIND(MID(U$1,10,5),TbTradesBinance[[#This Row],[Par]])=1, -(T162-T163)/T162*U162,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Row],[Par]])),(-(T162-T163)/T162*U162)+IF(TbTradesBinance[[#This Row],[Resultado]]&gt;0,0,TbTradesBinance[[#This Row],[Taxa]]),0),0))</f>
        <v>1461096.2409827893</v>
      </c>
      <c r="V163" s="145">
        <f t="shared" si="41"/>
        <v>6.6500000135182926</v>
      </c>
      <c r="W16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Row],[Tipo]]="DROP"),W162+TbTradesBinance[[#This Row],[Qtt]],W162-TbTradesBinance[[#This Row],[Qtt]]),IF(TbTradesBinance[[#This Row],[Tipo]]="BUY",W162-TbTradesBinance[[#This Row],[Qtt]]*TbTradesBinance[[#This Row],[Preço]],W162+TbTradesBinance[[#This Row],[Qtt]]*TbTradesBinance[[#This Row],[Preço]])),W162)-IF(TbTradesBinance[[#This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Row],[Tipo]]="DROP"),W162+TbTradesBinance[[#This Row],[Qtt]],W162-TbTradesBinance[[#This Row],[Qtt]]),IF(TbTradesBinance[[#This Row],[Tipo]]="BUY",W162-TbTradesBinance[[#This Row],[Qtt]]*TbTradesBinance[[#This Row],[Preço]],W162+TbTradesBinance[[#This Row],[Qtt]]*TbTradesBinance[[#This Row],[Preço]])),W162)-IF(TbTradesBinance[[#This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Row],[Tipo]]="DROP"),W162+TbTradesBinance[[#This Row],[Qtt]],W162-TbTradesBinance[[#This Row],[Qtt]]),IF(TbTradesBinance[[#This Row],[Tipo]]="BUY",W162-TbTradesBinance[[#This Row],[Qtt]]*TbTradesBinance[[#This Row],[Preço]],W162+TbTradesBinance[[#This Row],[Qtt]]*TbTradesBinance[[#This Row],[Preço]])),W162)-IF(TbTradesBinance[[#This Row],[Moeda da Taxa]]=MID(W$1,9,5),TbTradesBinance[[#This Row],[Taxa]],0),8)))</f>
        <v>2.9836000000000001E-4</v>
      </c>
      <c r="X163" s="145" cm="1">
        <f t="array" ref="X163">IF(TbTradesBinance[[#This Row],[Tipo]]="EMPTY",0,X162+IF(TbTradesBinance[[#This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Row],[Par]]))),$1:$1,0)),-(W162-W163)/W162*X162),0),0)+IF(TbTradesBinance[[#This Row],[Tipo]]="SELL",IF(ISNUMBER(FIND(MID(X$1,10,5),TbTradesBinance[[#This Row],[Par]])),IF(FIND(MID(X$1,10,5),TbTradesBinance[[#This Row],[Par]])=1, -(W162-W163)/W162*X162,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Row],[Par]])),(-(W162-W163)/W162*X162)+IF(TbTradesBinance[[#This Row],[Resultado]]&gt;0,0,TbTradesBinance[[#This Row],[Taxa]]),0),0))</f>
        <v>104.16501126566077</v>
      </c>
      <c r="Y163" s="145">
        <f t="shared" si="42"/>
        <v>349125.25561623799</v>
      </c>
      <c r="Z16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Row],[Tipo]]="DROP"),Z162+TbTradesBinance[[#This Row],[Qtt]],Z162-TbTradesBinance[[#This Row],[Qtt]]),IF(TbTradesBinance[[#This Row],[Tipo]]="BUY",Z162-TbTradesBinance[[#This Row],[Qtt]]*TbTradesBinance[[#This Row],[Preço]],Z162+TbTradesBinance[[#This Row],[Qtt]]*TbTradesBinance[[#This Row],[Preço]])),Z162)-IF(TbTradesBinance[[#This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Row],[Tipo]]="DROP"),Z162+TbTradesBinance[[#This Row],[Qtt]],Z162-TbTradesBinance[[#This Row],[Qtt]]),IF(TbTradesBinance[[#This Row],[Tipo]]="BUY",Z162-TbTradesBinance[[#This Row],[Qtt]]*TbTradesBinance[[#This Row],[Preço]],Z162+TbTradesBinance[[#This Row],[Qtt]]*TbTradesBinance[[#This Row],[Preço]])),Z162)-IF(TbTradesBinance[[#This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Row],[Tipo]]="DROP"),Z162+TbTradesBinance[[#This Row],[Qtt]],Z162-TbTradesBinance[[#This Row],[Qtt]]),IF(TbTradesBinance[[#This Row],[Tipo]]="BUY",Z162-TbTradesBinance[[#This Row],[Qtt]]*TbTradesBinance[[#This Row],[Preço]],Z162+TbTradesBinance[[#This Row],[Qtt]]*TbTradesBinance[[#This Row],[Preço]])),Z162)-IF(TbTradesBinance[[#This Row],[Moeda da Taxa]]=MID(Z$1,9,5),TbTradesBinance[[#This Row],[Taxa]],0),8)))</f>
        <v>0</v>
      </c>
      <c r="AA163" s="145" cm="1">
        <f t="array" ref="AA163">IF(TbTradesBinance[[#This Row],[Tipo]]="EMPTY",0,AA162+IF(TbTradesBinance[[#This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Row],[Par]]))),$1:$1,0)),-(Z162-Z163)/Z162*AA162),0),0)+IF(TbTradesBinance[[#This Row],[Tipo]]="SELL",IF(ISNUMBER(FIND(MID(AA$1,10,5),TbTradesBinance[[#This Row],[Par]])),IF(FIND(MID(AA$1,10,5),TbTradesBinance[[#This Row],[Par]])=1, -(Z162-Z163)/Z162*AA162,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Row],[Par]])),(-(Z162-Z163)/Z162*AA162)+IF(TbTradesBinance[[#This Row],[Resultado]]&gt;0,0,TbTradesBinance[[#This Row],[Taxa]]),0),0))</f>
        <v>0</v>
      </c>
      <c r="AB163" s="145">
        <f t="shared" si="43"/>
        <v>0</v>
      </c>
      <c r="AC16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Row],[Tipo]]="DROP"),AC162+TbTradesBinance[[#This Row],[Qtt]],AC162-TbTradesBinance[[#This Row],[Qtt]]),IF(TbTradesBinance[[#This Row],[Tipo]]="BUY",AC162-TbTradesBinance[[#This Row],[Qtt]]*TbTradesBinance[[#This Row],[Preço]],AC162+TbTradesBinance[[#This Row],[Qtt]]*TbTradesBinance[[#This Row],[Preço]])),AC162)-IF(TbTradesBinance[[#This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Row],[Tipo]]="DROP"),AC162+TbTradesBinance[[#This Row],[Qtt]],AC162-TbTradesBinance[[#This Row],[Qtt]]),IF(TbTradesBinance[[#This Row],[Tipo]]="BUY",AC162-TbTradesBinance[[#This Row],[Qtt]]*TbTradesBinance[[#This Row],[Preço]],AC162+TbTradesBinance[[#This Row],[Qtt]]*TbTradesBinance[[#This Row],[Preço]])),AC162)-IF(TbTradesBinance[[#This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Row],[Tipo]]="DROP"),AC162+TbTradesBinance[[#This Row],[Qtt]],AC162-TbTradesBinance[[#This Row],[Qtt]]),IF(TbTradesBinance[[#This Row],[Tipo]]="BUY",AC162-TbTradesBinance[[#This Row],[Qtt]]*TbTradesBinance[[#This Row],[Preço]],AC162+TbTradesBinance[[#This Row],[Qtt]]*TbTradesBinance[[#This Row],[Preço]])),AC162)-IF(TbTradesBinance[[#This Row],[Moeda da Taxa]]=MID(AC$1,9,5),TbTradesBinance[[#This Row],[Taxa]],0),8)))</f>
        <v>0</v>
      </c>
      <c r="AD163" s="145" cm="1">
        <f t="array" ref="AD163">IF(TbTradesBinance[[#This Row],[Tipo]]="EMPTY",0,AD162+IF(TbTradesBinance[[#This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Row],[Par]]))),$1:$1,0)),-(AC162-AC163)/AC162*AD162),0),0)+IF(TbTradesBinance[[#This Row],[Tipo]]="SELL",IF(ISNUMBER(FIND(MID(AD$1,10,5),TbTradesBinance[[#This Row],[Par]])),IF(FIND(MID(AD$1,10,5),TbTradesBinance[[#This Row],[Par]])=1, -(AC162-AC163)/AC162*AD162,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Row],[Par]])),(-(AC162-AC163)/AC162*AD162)+IF(TbTradesBinance[[#This Row],[Resultado]]&gt;0,0,TbTradesBinance[[#This Row],[Taxa]]),0),0))</f>
        <v>0</v>
      </c>
      <c r="AE163" s="145">
        <f t="shared" si="44"/>
        <v>0</v>
      </c>
      <c r="AF16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Row],[Tipo]]="DROP"),AF162+TbTradesBinance[[#This Row],[Qtt]],AF162-TbTradesBinance[[#This Row],[Qtt]]),IF(TbTradesBinance[[#This Row],[Tipo]]="BUY",AF162-TbTradesBinance[[#This Row],[Qtt]]*TbTradesBinance[[#This Row],[Preço]],AF162+TbTradesBinance[[#This Row],[Qtt]]*TbTradesBinance[[#This Row],[Preço]])),AF162)-IF(TbTradesBinance[[#This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Row],[Tipo]]="DROP"),AF162+TbTradesBinance[[#This Row],[Qtt]],AF162-TbTradesBinance[[#This Row],[Qtt]]),IF(TbTradesBinance[[#This Row],[Tipo]]="BUY",AF162-TbTradesBinance[[#This Row],[Qtt]]*TbTradesBinance[[#This Row],[Preço]],AF162+TbTradesBinance[[#This Row],[Qtt]]*TbTradesBinance[[#This Row],[Preço]])),AF162)-IF(TbTradesBinance[[#This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Row],[Tipo]]="DROP"),AF162+TbTradesBinance[[#This Row],[Qtt]],AF162-TbTradesBinance[[#This Row],[Qtt]]),IF(TbTradesBinance[[#This Row],[Tipo]]="BUY",AF162-TbTradesBinance[[#This Row],[Qtt]]*TbTradesBinance[[#This Row],[Preço]],AF162+TbTradesBinance[[#This Row],[Qtt]]*TbTradesBinance[[#This Row],[Preço]])),AF162)-IF(TbTradesBinance[[#This Row],[Moeda da Taxa]]=MID(AF$1,9,5),TbTradesBinance[[#This Row],[Taxa]],0),8)))</f>
        <v>0</v>
      </c>
      <c r="AG163" s="145" cm="1">
        <f t="array" ref="AG163">IF(TbTradesBinance[[#This Row],[Tipo]]="EMPTY",0,AG162+IF(TbTradesBinance[[#This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Row],[Par]]))),$1:$1,0)),-(AF162-AF163)/AF162*AG162),0),0)+IF(TbTradesBinance[[#This Row],[Tipo]]="SELL",IF(ISNUMBER(FIND(MID(AG$1,10,5),TbTradesBinance[[#This Row],[Par]])),IF(FIND(MID(AG$1,10,5),TbTradesBinance[[#This Row],[Par]])=1, -(AF162-AF163)/AF162*AG162,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Row],[Par]])),(-(AF162-AF163)/AF162*AG162)+IF(TbTradesBinance[[#This Row],[Resultado]]&gt;0,0,TbTradesBinance[[#This Row],[Taxa]]),0),0))</f>
        <v>0</v>
      </c>
      <c r="AH163" s="145">
        <f t="shared" si="45"/>
        <v>0</v>
      </c>
      <c r="AI16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Row],[Tipo]]="DROP"),AI162+TbTradesBinance[[#This Row],[Qtt]],AI162-TbTradesBinance[[#This Row],[Qtt]]),IF(TbTradesBinance[[#This Row],[Tipo]]="BUY",AI162-TbTradesBinance[[#This Row],[Qtt]]*TbTradesBinance[[#This Row],[Preço]],AI162+TbTradesBinance[[#This Row],[Qtt]]*TbTradesBinance[[#This Row],[Preço]])),AI162)-IF(TbTradesBinance[[#This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Row],[Tipo]]="DROP"),AI162+TbTradesBinance[[#This Row],[Qtt]],AI162-TbTradesBinance[[#This Row],[Qtt]]),IF(TbTradesBinance[[#This Row],[Tipo]]="BUY",AI162-TbTradesBinance[[#This Row],[Qtt]]*TbTradesBinance[[#This Row],[Preço]],AI162+TbTradesBinance[[#This Row],[Qtt]]*TbTradesBinance[[#This Row],[Preço]])),AI162)-IF(TbTradesBinance[[#This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Row],[Tipo]]="DROP"),AI162+TbTradesBinance[[#This Row],[Qtt]],AI162-TbTradesBinance[[#This Row],[Qtt]]),IF(TbTradesBinance[[#This Row],[Tipo]]="BUY",AI162-TbTradesBinance[[#This Row],[Qtt]]*TbTradesBinance[[#This Row],[Preço]],AI162+TbTradesBinance[[#This Row],[Qtt]]*TbTradesBinance[[#This Row],[Preço]])),AI162)-IF(TbTradesBinance[[#This Row],[Moeda da Taxa]]=MID(AI$1,9,5),TbTradesBinance[[#This Row],[Taxa]],0),8)))</f>
        <v>0</v>
      </c>
      <c r="AJ163" s="145" cm="1">
        <f t="array" ref="AJ163">IF(TbTradesBinance[[#This Row],[Tipo]]="EMPTY",0,AJ162+IF(TbTradesBinance[[#This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Row],[Par]]))),$1:$1,0)),-(AI162-AI163)/AI162*AJ162),0),0)+IF(TbTradesBinance[[#This Row],[Tipo]]="SELL",IF(ISNUMBER(FIND(MID(AJ$1,10,5),TbTradesBinance[[#This Row],[Par]])),IF(FIND(MID(AJ$1,10,5),TbTradesBinance[[#This Row],[Par]])=1, -(AI162-AI163)/AI162*AJ162,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Row],[Par]])),(-(AI162-AI163)/AI162*AJ162)+IF(TbTradesBinance[[#This Row],[Resultado]]&gt;0,0,TbTradesBinance[[#This Row],[Taxa]]),0),0))</f>
        <v>0</v>
      </c>
      <c r="AK163" s="145">
        <f t="shared" si="46"/>
        <v>0</v>
      </c>
      <c r="AL16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Row],[Tipo]]="DROP"),AL162+TbTradesBinance[[#This Row],[Qtt]],AL162-TbTradesBinance[[#This Row],[Qtt]]),IF(TbTradesBinance[[#This Row],[Tipo]]="BUY",AL162-TbTradesBinance[[#This Row],[Qtt]]*TbTradesBinance[[#This Row],[Preço]],AL162+TbTradesBinance[[#This Row],[Qtt]]*TbTradesBinance[[#This Row],[Preço]])),AL162)-IF(TbTradesBinance[[#This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Row],[Tipo]]="DROP"),AL162+TbTradesBinance[[#This Row],[Qtt]],AL162-TbTradesBinance[[#This Row],[Qtt]]),IF(TbTradesBinance[[#This Row],[Tipo]]="BUY",AL162-TbTradesBinance[[#This Row],[Qtt]]*TbTradesBinance[[#This Row],[Preço]],AL162+TbTradesBinance[[#This Row],[Qtt]]*TbTradesBinance[[#This Row],[Preço]])),AL162)-IF(TbTradesBinance[[#This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Row],[Tipo]]="DROP"),AL162+TbTradesBinance[[#This Row],[Qtt]],AL162-TbTradesBinance[[#This Row],[Qtt]]),IF(TbTradesBinance[[#This Row],[Tipo]]="BUY",AL162-TbTradesBinance[[#This Row],[Qtt]]*TbTradesBinance[[#This Row],[Preço]],AL162+TbTradesBinance[[#This Row],[Qtt]]*TbTradesBinance[[#This Row],[Preço]])),AL162)-IF(TbTradesBinance[[#This Row],[Moeda da Taxa]]=MID(AL$1,9,5),TbTradesBinance[[#This Row],[Taxa]],0),8)))</f>
        <v>0</v>
      </c>
      <c r="AM163" s="145" cm="1">
        <f t="array" ref="AM163">IF(TbTradesBinance[[#This Row],[Tipo]]="EMPTY",0,AM162+IF(TbTradesBinance[[#This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Row],[Par]]))),$1:$1,0)),-(AL162-AL163)/AL162*AM162),0),0)+IF(TbTradesBinance[[#This Row],[Tipo]]="SELL",IF(ISNUMBER(FIND(MID(AM$1,10,5),TbTradesBinance[[#This Row],[Par]])),IF(FIND(MID(AM$1,10,5),TbTradesBinance[[#This Row],[Par]])=1, -(AL162-AL163)/AL162*AM162,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Row],[Par]])),(-(AL162-AL163)/AL162*AM162)+IF(TbTradesBinance[[#This Row],[Resultado]]&gt;0,0,TbTradesBinance[[#This Row],[Taxa]]),0),0))</f>
        <v>0</v>
      </c>
      <c r="AN163" s="145">
        <f t="shared" si="47"/>
        <v>0</v>
      </c>
      <c r="AO16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Row],[Tipo]]="DROP"),AO162+TbTradesBinance[[#This Row],[Qtt]],AO162-TbTradesBinance[[#This Row],[Qtt]]),IF(TbTradesBinance[[#This Row],[Tipo]]="BUY",AO162-TbTradesBinance[[#This Row],[Qtt]]*TbTradesBinance[[#This Row],[Preço]],AO162+TbTradesBinance[[#This Row],[Qtt]]*TbTradesBinance[[#This Row],[Preço]])),AO162)-IF(TbTradesBinance[[#This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Row],[Tipo]]="DROP"),AO162+TbTradesBinance[[#This Row],[Qtt]],AO162-TbTradesBinance[[#This Row],[Qtt]]),IF(TbTradesBinance[[#This Row],[Tipo]]="BUY",AO162-TbTradesBinance[[#This Row],[Qtt]]*TbTradesBinance[[#This Row],[Preço]],AO162+TbTradesBinance[[#This Row],[Qtt]]*TbTradesBinance[[#This Row],[Preço]])),AO162)-IF(TbTradesBinance[[#This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Row],[Tipo]]="DROP"),AO162+TbTradesBinance[[#This Row],[Qtt]],AO162-TbTradesBinance[[#This Row],[Qtt]]),IF(TbTradesBinance[[#This Row],[Tipo]]="BUY",AO162-TbTradesBinance[[#This Row],[Qtt]]*TbTradesBinance[[#This Row],[Preço]],AO162+TbTradesBinance[[#This Row],[Qtt]]*TbTradesBinance[[#This Row],[Preço]])),AO162)-IF(TbTradesBinance[[#This Row],[Moeda da Taxa]]=MID(AO$1,9,5),TbTradesBinance[[#This Row],[Taxa]],0),8)))</f>
        <v>3.8379820000000002E-2</v>
      </c>
      <c r="AP163" s="145" cm="1">
        <f t="array" ref="AP163">IF(TbTradesBinance[[#This Row],[Tipo]]="EMPTY",0,AP162+IF(TbTradesBinance[[#This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Row],[Par]]))),$1:$1,0)),-(AO162-AO163)/AO162*AP162),0),0)+IF(TbTradesBinance[[#This Row],[Tipo]]="SELL",IF(ISNUMBER(FIND(MID(AP$1,10,5),TbTradesBinance[[#This Row],[Par]])),IF(FIND(MID(AP$1,10,5),TbTradesBinance[[#This Row],[Par]])=1, -(AO162-AO163)/AO162*AP162,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Row],[Par]])),(-(AO162-AO163)/AO162*AP162)+IF(TbTradesBinance[[#This Row],[Resultado]]&gt;0,0,TbTradesBinance[[#This Row],[Taxa]]),0),0))</f>
        <v>60.206578718772462</v>
      </c>
      <c r="AQ163" s="145">
        <f t="shared" si="48"/>
        <v>1568.7040407894685</v>
      </c>
      <c r="AR16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Row],[Tipo]]="DROP"),AR162+TbTradesBinance[[#This Row],[Qtt]],AR162-TbTradesBinance[[#This Row],[Qtt]]),IF(TbTradesBinance[[#This Row],[Tipo]]="BUY",AR162-TbTradesBinance[[#This Row],[Qtt]]*TbTradesBinance[[#This Row],[Preço]],AR162+TbTradesBinance[[#This Row],[Qtt]]*TbTradesBinance[[#This Row],[Preço]])),AR162)-IF(TbTradesBinance[[#This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Row],[Tipo]]="DROP"),AR162+TbTradesBinance[[#This Row],[Qtt]],AR162-TbTradesBinance[[#This Row],[Qtt]]),IF(TbTradesBinance[[#This Row],[Tipo]]="BUY",AR162-TbTradesBinance[[#This Row],[Qtt]]*TbTradesBinance[[#This Row],[Preço]],AR162+TbTradesBinance[[#This Row],[Qtt]]*TbTradesBinance[[#This Row],[Preço]])),AR162)-IF(TbTradesBinance[[#This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Row],[Tipo]]="DROP"),AR162+TbTradesBinance[[#This Row],[Qtt]],AR162-TbTradesBinance[[#This Row],[Qtt]]),IF(TbTradesBinance[[#This Row],[Tipo]]="BUY",AR162-TbTradesBinance[[#This Row],[Qtt]]*TbTradesBinance[[#This Row],[Preço]],AR162+TbTradesBinance[[#This Row],[Qtt]]*TbTradesBinance[[#This Row],[Preço]])),AR162)-IF(TbTradesBinance[[#This Row],[Moeda da Taxa]]=MID(AR$1,9,5),TbTradesBinance[[#This Row],[Taxa]],0),8)))</f>
        <v>0</v>
      </c>
      <c r="AS163" s="145" cm="1">
        <f t="array" ref="AS163">IF(TbTradesBinance[[#This Row],[Tipo]]="EMPTY",0,AS162+IF(TbTradesBinance[[#This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Row],[Par]]))),$1:$1,0)),-(AR162-AR163)/AR162*AS162),0),0)+IF(TbTradesBinance[[#This Row],[Tipo]]="SELL",IF(ISNUMBER(FIND(MID(AS$1,10,5),TbTradesBinance[[#This Row],[Par]])),IF(FIND(MID(AS$1,10,5),TbTradesBinance[[#This Row],[Par]])=1, -(AR162-AR163)/AR162*AS162,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Row],[Par]])),(-(AR162-AR163)/AR162*AS162)+IF(TbTradesBinance[[#This Row],[Resultado]]&gt;0,0,TbTradesBinance[[#This Row],[Taxa]]),0),0))</f>
        <v>0</v>
      </c>
      <c r="AT163" s="145">
        <f t="shared" si="49"/>
        <v>0</v>
      </c>
      <c r="AU16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Row],[Tipo]]="DROP"),AU162+TbTradesBinance[[#This Row],[Qtt]],AU162-TbTradesBinance[[#This Row],[Qtt]]),IF(TbTradesBinance[[#This Row],[Tipo]]="BUY",AU162-TbTradesBinance[[#This Row],[Qtt]]*TbTradesBinance[[#This Row],[Preço]],AU162+TbTradesBinance[[#This Row],[Qtt]]*TbTradesBinance[[#This Row],[Preço]])),AU162)-IF(TbTradesBinance[[#This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Row],[Tipo]]="DROP"),AU162+TbTradesBinance[[#This Row],[Qtt]],AU162-TbTradesBinance[[#This Row],[Qtt]]),IF(TbTradesBinance[[#This Row],[Tipo]]="BUY",AU162-TbTradesBinance[[#This Row],[Qtt]]*TbTradesBinance[[#This Row],[Preço]],AU162+TbTradesBinance[[#This Row],[Qtt]]*TbTradesBinance[[#This Row],[Preço]])),AU162)-IF(TbTradesBinance[[#This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Row],[Tipo]]="DROP"),AU162+TbTradesBinance[[#This Row],[Qtt]],AU162-TbTradesBinance[[#This Row],[Qtt]]),IF(TbTradesBinance[[#This Row],[Tipo]]="BUY",AU162-TbTradesBinance[[#This Row],[Qtt]]*TbTradesBinance[[#This Row],[Preço]],AU162+TbTradesBinance[[#This Row],[Qtt]]*TbTradesBinance[[#This Row],[Preço]])),AU162)-IF(TbTradesBinance[[#This Row],[Moeda da Taxa]]=MID(AU$1,9,5),TbTradesBinance[[#This Row],[Taxa]],0),8)))</f>
        <v>0.51</v>
      </c>
      <c r="AV163" s="145" cm="1">
        <f t="array" ref="AV163">IF(TbTradesBinance[[#This Row],[Tipo]]="EMPTY",0,AV162+IF(TbTradesBinance[[#This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Row],[Par]]))),$1:$1,0)),-(AU162-AU163)/AU162*AV162),0),0)+IF(TbTradesBinance[[#This Row],[Tipo]]="SELL",IF(ISNUMBER(FIND(MID(AV$1,10,5),TbTradesBinance[[#This Row],[Par]])),IF(FIND(MID(AV$1,10,5),TbTradesBinance[[#This Row],[Par]])=1, -(AU162-AU163)/AU162*AV162,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Row],[Par]])),(-(AU162-AU163)/AU162*AV162)+IF(TbTradesBinance[[#This Row],[Resultado]]&gt;0,0,TbTradesBinance[[#This Row],[Taxa]]),0),0))</f>
        <v>95.466693037374753</v>
      </c>
      <c r="AW163" s="145">
        <f t="shared" si="50"/>
        <v>187.18959419093088</v>
      </c>
      <c r="AX16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Row],[Tipo]]="DROP"),AX162+TbTradesBinance[[#This Row],[Qtt]],AX162-TbTradesBinance[[#This Row],[Qtt]]),IF(TbTradesBinance[[#This Row],[Tipo]]="BUY",AX162-TbTradesBinance[[#This Row],[Qtt]]*TbTradesBinance[[#This Row],[Preço]],AX162+TbTradesBinance[[#This Row],[Qtt]]*TbTradesBinance[[#This Row],[Preço]])),AX162)-IF(TbTradesBinance[[#This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Row],[Tipo]]="DROP"),AX162+TbTradesBinance[[#This Row],[Qtt]],AX162-TbTradesBinance[[#This Row],[Qtt]]),IF(TbTradesBinance[[#This Row],[Tipo]]="BUY",AX162-TbTradesBinance[[#This Row],[Qtt]]*TbTradesBinance[[#This Row],[Preço]],AX162+TbTradesBinance[[#This Row],[Qtt]]*TbTradesBinance[[#This Row],[Preço]])),AX162)-IF(TbTradesBinance[[#This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Row],[Tipo]]="DROP"),AX162+TbTradesBinance[[#This Row],[Qtt]],AX162-TbTradesBinance[[#This Row],[Qtt]]),IF(TbTradesBinance[[#This Row],[Tipo]]="BUY",AX162-TbTradesBinance[[#This Row],[Qtt]]*TbTradesBinance[[#This Row],[Preço]],AX162+TbTradesBinance[[#This Row],[Qtt]]*TbTradesBinance[[#This Row],[Preço]])),AX162)-IF(TbTradesBinance[[#This Row],[Moeda da Taxa]]=MID(AX$1,9,5),TbTradesBinance[[#This Row],[Taxa]],0),8)))</f>
        <v>0.53737999999999997</v>
      </c>
      <c r="AY163" s="145" cm="1">
        <f t="array" ref="AY163">IF(TbTradesBinance[[#This Row],[Tipo]]="EMPTY",0,AY162+IF(TbTradesBinance[[#This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Row],[Par]]))),$1:$1,0)),-(AX162-AX163)/AX162*AY162),0),0)+IF(TbTradesBinance[[#This Row],[Tipo]]="SELL",IF(ISNUMBER(FIND(MID(AY$1,10,5),TbTradesBinance[[#This Row],[Par]])),IF(FIND(MID(AY$1,10,5),TbTradesBinance[[#This Row],[Par]])=1, -(AX162-AX163)/AX162*AY162,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Row],[Par]])),(-(AX162-AX163)/AX162*AY162)+IF(TbTradesBinance[[#This Row],[Resultado]]&gt;0,0,TbTradesBinance[[#This Row],[Taxa]]),0),0))</f>
        <v>100.4197840540867</v>
      </c>
      <c r="AZ163" s="145">
        <f t="shared" si="51"/>
        <v>186.869224857804</v>
      </c>
      <c r="BA16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Row],[Tipo]]="DROP"),BA162+TbTradesBinance[[#This Row],[Qtt]],BA162-TbTradesBinance[[#This Row],[Qtt]]),IF(TbTradesBinance[[#This Row],[Tipo]]="BUY",BA162-TbTradesBinance[[#This Row],[Qtt]]*TbTradesBinance[[#This Row],[Preço]],BA162+TbTradesBinance[[#This Row],[Qtt]]*TbTradesBinance[[#This Row],[Preço]])),BA162)-IF(TbTradesBinance[[#This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Row],[Tipo]]="DROP"),BA162+TbTradesBinance[[#This Row],[Qtt]],BA162-TbTradesBinance[[#This Row],[Qtt]]),IF(TbTradesBinance[[#This Row],[Tipo]]="BUY",BA162-TbTradesBinance[[#This Row],[Qtt]]*TbTradesBinance[[#This Row],[Preço]],BA162+TbTradesBinance[[#This Row],[Qtt]]*TbTradesBinance[[#This Row],[Preço]])),BA162)-IF(TbTradesBinance[[#This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Row],[Tipo]]="DROP"),BA162+TbTradesBinance[[#This Row],[Qtt]],BA162-TbTradesBinance[[#This Row],[Qtt]]),IF(TbTradesBinance[[#This Row],[Tipo]]="BUY",BA162-TbTradesBinance[[#This Row],[Qtt]]*TbTradesBinance[[#This Row],[Preço]],BA162+TbTradesBinance[[#This Row],[Qtt]]*TbTradesBinance[[#This Row],[Preço]])),BA162)-IF(TbTradesBinance[[#This Row],[Moeda da Taxa]]=MID(BA$1,9,5),TbTradesBinance[[#This Row],[Taxa]],0),8)))</f>
        <v>0</v>
      </c>
      <c r="BB163" s="145" cm="1">
        <f t="array" ref="BB163">IF(TbTradesBinance[[#This Row],[Tipo]]="EMPTY",0,BB162+IF(TbTradesBinance[[#This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Row],[Par]]))),$1:$1,0)),-(BA162-BA163)/BA162*BB162),0),0)+IF(TbTradesBinance[[#This Row],[Tipo]]="SELL",IF(ISNUMBER(FIND(MID(BB$1,10,5),TbTradesBinance[[#This Row],[Par]])),IF(FIND(MID(BB$1,10,5),TbTradesBinance[[#This Row],[Par]])=1, -(BA162-BA163)/BA162*BB162,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Row],[Par]])),(-(BA162-BA163)/BA162*BB162)+IF(TbTradesBinance[[#This Row],[Resultado]]&gt;0,0,TbTradesBinance[[#This Row],[Taxa]]),0),0))</f>
        <v>0</v>
      </c>
      <c r="BC163" s="145">
        <f t="shared" si="52"/>
        <v>0</v>
      </c>
      <c r="BD16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Row],[Tipo]]="DROP"),BD162+TbTradesBinance[[#This Row],[Qtt]],BD162-TbTradesBinance[[#This Row],[Qtt]]),IF(TbTradesBinance[[#This Row],[Tipo]]="BUY",BD162-TbTradesBinance[[#This Row],[Qtt]]*TbTradesBinance[[#This Row],[Preço]],BD162+TbTradesBinance[[#This Row],[Qtt]]*TbTradesBinance[[#This Row],[Preço]])),BD162)-IF(TbTradesBinance[[#This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Row],[Tipo]]="DROP"),BD162+TbTradesBinance[[#This Row],[Qtt]],BD162-TbTradesBinance[[#This Row],[Qtt]]),IF(TbTradesBinance[[#This Row],[Tipo]]="BUY",BD162-TbTradesBinance[[#This Row],[Qtt]]*TbTradesBinance[[#This Row],[Preço]],BD162+TbTradesBinance[[#This Row],[Qtt]]*TbTradesBinance[[#This Row],[Preço]])),BD162)-IF(TbTradesBinance[[#This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Row],[Tipo]]="DROP"),BD162+TbTradesBinance[[#This Row],[Qtt]],BD162-TbTradesBinance[[#This Row],[Qtt]]),IF(TbTradesBinance[[#This Row],[Tipo]]="BUY",BD162-TbTradesBinance[[#This Row],[Qtt]]*TbTradesBinance[[#This Row],[Preço]],BD162+TbTradesBinance[[#This Row],[Qtt]]*TbTradesBinance[[#This Row],[Preço]])),BD162)-IF(TbTradesBinance[[#This Row],[Moeda da Taxa]]=MID(BD$1,9,5),TbTradesBinance[[#This Row],[Taxa]],0),8)))</f>
        <v>0</v>
      </c>
      <c r="BE163" s="145" cm="1">
        <f t="array" ref="BE163">IF(TbTradesBinance[[#This Row],[Tipo]]="EMPTY",0,BE162+IF(TbTradesBinance[[#This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Row],[Par]]))),$1:$1,0)),-(BD162-BD163)/BD162*BE162),0),0)+IF(TbTradesBinance[[#This Row],[Tipo]]="SELL",IF(ISNUMBER(FIND(MID(BE$1,10,5),TbTradesBinance[[#This Row],[Par]])),IF(FIND(MID(BE$1,10,5),TbTradesBinance[[#This Row],[Par]])=1, -(BD162-BD163)/BD162*BE162,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Row],[Par]])),(-(BD162-BD163)/BD162*BE162)+IF(TbTradesBinance[[#This Row],[Resultado]]&gt;0,0,TbTradesBinance[[#This Row],[Taxa]]),0),0))</f>
        <v>0</v>
      </c>
      <c r="BF163" s="145">
        <f t="shared" si="53"/>
        <v>0</v>
      </c>
      <c r="BG16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Row],[Tipo]]="DROP"),BG162+TbTradesBinance[[#This Row],[Qtt]],BG162-TbTradesBinance[[#This Row],[Qtt]]),IF(TbTradesBinance[[#This Row],[Tipo]]="BUY",BG162-TbTradesBinance[[#This Row],[Qtt]]*TbTradesBinance[[#This Row],[Preço]],BG162+TbTradesBinance[[#This Row],[Qtt]]*TbTradesBinance[[#This Row],[Preço]])),BG162)-IF(TbTradesBinance[[#This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Row],[Tipo]]="DROP"),BG162+TbTradesBinance[[#This Row],[Qtt]],BG162-TbTradesBinance[[#This Row],[Qtt]]),IF(TbTradesBinance[[#This Row],[Tipo]]="BUY",BG162-TbTradesBinance[[#This Row],[Qtt]]*TbTradesBinance[[#This Row],[Preço]],BG162+TbTradesBinance[[#This Row],[Qtt]]*TbTradesBinance[[#This Row],[Preço]])),BG162)-IF(TbTradesBinance[[#This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Row],[Tipo]]="DROP"),BG162+TbTradesBinance[[#This Row],[Qtt]],BG162-TbTradesBinance[[#This Row],[Qtt]]),IF(TbTradesBinance[[#This Row],[Tipo]]="BUY",BG162-TbTradesBinance[[#This Row],[Qtt]]*TbTradesBinance[[#This Row],[Preço]],BG162+TbTradesBinance[[#This Row],[Qtt]]*TbTradesBinance[[#This Row],[Preço]])),BG162)-IF(TbTradesBinance[[#This Row],[Moeda da Taxa]]=MID(BG$1,9,5),TbTradesBinance[[#This Row],[Taxa]],0),8)))</f>
        <v>0</v>
      </c>
      <c r="BH163" s="145" cm="1">
        <f t="array" ref="BH163">IF(TbTradesBinance[[#This Row],[Tipo]]="EMPTY",0,BH162+IF(TbTradesBinance[[#This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Row],[Par]]))),$1:$1,0)),-(BG162-BG163)/BG162*BH162),0),0)+IF(TbTradesBinance[[#This Row],[Tipo]]="SELL",IF(ISNUMBER(FIND(MID(BH$1,10,5),TbTradesBinance[[#This Row],[Par]])),IF(FIND(MID(BH$1,10,5),TbTradesBinance[[#This Row],[Par]])=1, -(BG162-BG163)/BG162*BH162,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Row],[Par]])),(-(BG162-BG163)/BG162*BH162)+IF(TbTradesBinance[[#This Row],[Resultado]]&gt;0,0,TbTradesBinance[[#This Row],[Taxa]]),0),0))</f>
        <v>0</v>
      </c>
      <c r="BI163" s="145">
        <f t="shared" si="54"/>
        <v>0</v>
      </c>
      <c r="BJ16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Row],[Tipo]]="DROP"),BJ162+TbTradesBinance[[#This Row],[Qtt]],BJ162-TbTradesBinance[[#This Row],[Qtt]]),IF(TbTradesBinance[[#This Row],[Tipo]]="BUY",BJ162-TbTradesBinance[[#This Row],[Qtt]]*TbTradesBinance[[#This Row],[Preço]],BJ162+TbTradesBinance[[#This Row],[Qtt]]*TbTradesBinance[[#This Row],[Preço]])),BJ162)-IF(TbTradesBinance[[#This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Row],[Tipo]]="DROP"),BJ162+TbTradesBinance[[#This Row],[Qtt]],BJ162-TbTradesBinance[[#This Row],[Qtt]]),IF(TbTradesBinance[[#This Row],[Tipo]]="BUY",BJ162-TbTradesBinance[[#This Row],[Qtt]]*TbTradesBinance[[#This Row],[Preço]],BJ162+TbTradesBinance[[#This Row],[Qtt]]*TbTradesBinance[[#This Row],[Preço]])),BJ162)-IF(TbTradesBinance[[#This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Row],[Tipo]]="DROP"),BJ162+TbTradesBinance[[#This Row],[Qtt]],BJ162-TbTradesBinance[[#This Row],[Qtt]]),IF(TbTradesBinance[[#This Row],[Tipo]]="BUY",BJ162-TbTradesBinance[[#This Row],[Qtt]]*TbTradesBinance[[#This Row],[Preço]],BJ162+TbTradesBinance[[#This Row],[Qtt]]*TbTradesBinance[[#This Row],[Preço]])),BJ162)-IF(TbTradesBinance[[#This Row],[Moeda da Taxa]]=MID(BJ$1,9,5),TbTradesBinance[[#This Row],[Taxa]],0),8)))</f>
        <v>0</v>
      </c>
      <c r="BK163" s="145" cm="1">
        <f t="array" ref="BK163">IF(TbTradesBinance[[#This Row],[Tipo]]="EMPTY",0,BK162+IF(TbTradesBinance[[#This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Row],[Par]]))),$1:$1,0)),-(BJ162-BJ163)/BJ162*BK162),0),0)+IF(TbTradesBinance[[#This Row],[Tipo]]="SELL",IF(ISNUMBER(FIND(MID(BK$1,10,5),TbTradesBinance[[#This Row],[Par]])),IF(FIND(MID(BK$1,10,5),TbTradesBinance[[#This Row],[Par]])=1, -(BJ162-BJ163)/BJ162*BK162,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Row],[Par]])),(-(BJ162-BJ163)/BJ162*BK162)+IF(TbTradesBinance[[#This Row],[Resultado]]&gt;0,0,TbTradesBinance[[#This Row],[Taxa]]),0),0))</f>
        <v>0</v>
      </c>
      <c r="BL163" s="145">
        <f t="shared" si="55"/>
        <v>0</v>
      </c>
      <c r="BM16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Row],[Tipo]]="DROP"),BM162+TbTradesBinance[[#This Row],[Qtt]],BM162-TbTradesBinance[[#This Row],[Qtt]]),IF(TbTradesBinance[[#This Row],[Tipo]]="BUY",BM162-TbTradesBinance[[#This Row],[Qtt]]*TbTradesBinance[[#This Row],[Preço]],BM162+TbTradesBinance[[#This Row],[Qtt]]*TbTradesBinance[[#This Row],[Preço]])),BM162)-IF(TbTradesBinance[[#This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Row],[Tipo]]="DROP"),BM162+TbTradesBinance[[#This Row],[Qtt]],BM162-TbTradesBinance[[#This Row],[Qtt]]),IF(TbTradesBinance[[#This Row],[Tipo]]="BUY",BM162-TbTradesBinance[[#This Row],[Qtt]]*TbTradesBinance[[#This Row],[Preço]],BM162+TbTradesBinance[[#This Row],[Qtt]]*TbTradesBinance[[#This Row],[Preço]])),BM162)-IF(TbTradesBinance[[#This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Row],[Tipo]]="DROP"),BM162+TbTradesBinance[[#This Row],[Qtt]],BM162-TbTradesBinance[[#This Row],[Qtt]]),IF(TbTradesBinance[[#This Row],[Tipo]]="BUY",BM162-TbTradesBinance[[#This Row],[Qtt]]*TbTradesBinance[[#This Row],[Preço]],BM162+TbTradesBinance[[#This Row],[Qtt]]*TbTradesBinance[[#This Row],[Preço]])),BM162)-IF(TbTradesBinance[[#This Row],[Moeda da Taxa]]=MID(BM$1,9,5),TbTradesBinance[[#This Row],[Taxa]],0),8)))</f>
        <v>8.213289E-2</v>
      </c>
      <c r="BN163" s="145" cm="1">
        <f t="array" ref="BN163">IF(TbTradesBinance[[#This Row],[Tipo]]="EMPTY",0,BN162+IF(TbTradesBinance[[#This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Row],[Par]]))),$1:$1,0)),-(BM162-BM163)/BM162*BN162),0),0)+IF(TbTradesBinance[[#This Row],[Tipo]]="SELL",IF(ISNUMBER(FIND(MID(BN$1,10,5),TbTradesBinance[[#This Row],[Par]])),IF(FIND(MID(BN$1,10,5),TbTradesBinance[[#This Row],[Par]])=1, -(BM162-BM163)/BM162*BN162,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Row],[Par]])),(-(BM162-BM163)/BM162*BN162)+IF(TbTradesBinance[[#This Row],[Resultado]]&gt;0,0,TbTradesBinance[[#This Row],[Taxa]]),0),0))</f>
        <v>0</v>
      </c>
      <c r="BO163" s="145">
        <f t="shared" si="56"/>
        <v>0</v>
      </c>
    </row>
    <row r="164" spans="2:67" x14ac:dyDescent="0.3">
      <c r="B164" s="51"/>
      <c r="C164" s="40">
        <f>TRUNC(IF(AND(TbTradesBinance[[#This Row],[Tipo]]="SEND",TbTradesBinance[[#This Row],[Par]]="BRL"),TbTradesBinance[[#This Row],[Qtt]]*(1-P162)-IF(TbTradesBinance[[#This Row],[Moeda da Taxa]]="BRL",TbTradesBinance[[#This Row],[Taxa]],0),0)+IF(AND(TbTradesBinance[[#This Row],[Tipo]]="BURN",TbTradesBinance[[#This Row],[Par]]="BRL"),-TbTradesBinance[[#This Row],[Qtt]]*P162,0),2)</f>
        <v>0</v>
      </c>
      <c r="D164" s="53">
        <v>44319.914652777778</v>
      </c>
      <c r="E164" s="37" t="s">
        <v>138</v>
      </c>
      <c r="F164" s="47" t="s">
        <v>139</v>
      </c>
      <c r="G164" s="38">
        <v>303000</v>
      </c>
      <c r="H164" s="38">
        <v>1.5100000000000001E-4</v>
      </c>
      <c r="I164" s="38">
        <v>9.6500000000000008E-6</v>
      </c>
      <c r="J164" s="37" t="s">
        <v>45</v>
      </c>
      <c r="K164" s="52">
        <v>1</v>
      </c>
      <c r="L164" s="40">
        <f t="shared" si="38"/>
        <v>303000</v>
      </c>
      <c r="M164" s="40">
        <f>IF(OR(TbTradesBinance[[#This Row],[Tipo]]="BUY",TbTradesBinance[[#This Row],[Tipo]]="RECEIVE",TbTradesBinance[[#This Row],[Tipo]]="DROP"),L164*H164,-L164*H164)</f>
        <v>45.753</v>
      </c>
      <c r="N16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Row],[Tipo]]="DROP"),N163+TbTradesBinance[[#This Row],[Qtt]],N163-TbTradesBinance[[#This Row],[Qtt]]),IF(TbTradesBinance[[#This Row],[Tipo]]="BUY",N163-TbTradesBinance[[#This Row],[Qtt]]*TbTradesBinance[[#This Row],[Preço]],N163+TbTradesBinance[[#This Row],[Qtt]]*TbTradesBinance[[#This Row],[Preço]])),N163)-IF(TbTradesBinance[[#This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Row],[Tipo]]="DROP"),N163+TbTradesBinance[[#This Row],[Qtt]],N163-TbTradesBinance[[#This Row],[Qtt]]),IF(TbTradesBinance[[#This Row],[Tipo]]="BUY",N163-TbTradesBinance[[#This Row],[Qtt]]*TbTradesBinance[[#This Row],[Preço]],N163+TbTradesBinance[[#This Row],[Qtt]]*TbTradesBinance[[#This Row],[Preço]])),N163)-IF(TbTradesBinance[[#This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Row],[Tipo]]="DROP"),N163+TbTradesBinance[[#This Row],[Qtt]],N163-TbTradesBinance[[#This Row],[Qtt]]),IF(TbTradesBinance[[#This Row],[Tipo]]="BUY",N163-TbTradesBinance[[#This Row],[Qtt]]*TbTradesBinance[[#This Row],[Preço]],N163+TbTradesBinance[[#This Row],[Qtt]]*TbTradesBinance[[#This Row],[Preço]])),N163)-IF(TbTradesBinance[[#This Row],[Moeda da Taxa]]=MID(N$1,9,5),TbTradesBinance[[#This Row],[Taxa]],0),8)))</f>
        <v>119791.04602199</v>
      </c>
      <c r="O164" s="145" cm="1">
        <f t="array" ref="O164">IF(TbTradesBinance[[#This Row],[Tipo]]="EMPTY",0,O163+IF(TbTradesBinance[[#This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Row],[Par]]))),$1:$1,0)),-(N163-N164)/N163*O163),0),0)+IF(TbTradesBinance[[#This Row],[Tipo]]="SELL",IF(ISNUMBER(FIND(MID(O$1,10,5),TbTradesBinance[[#This Row],[Par]])),IF(FIND(MID(O$1,10,5),TbTradesBinance[[#This Row],[Par]])=1, -(N163-N164)/N163*O163,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Row],[Par]])),(-(N163-N164)/N163*O163)+IF(TbTradesBinance[[#This Row],[Resultado]]&gt;0,0,TbTradesBinance[[#This Row],[Taxa]]),0),0))</f>
        <v>119857.41384555695</v>
      </c>
      <c r="P164" s="145">
        <f t="shared" si="39"/>
        <v>1.0005540299193545</v>
      </c>
      <c r="Q16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Row],[Tipo]]="DROP"),Q163+TbTradesBinance[[#This Row],[Qtt]],Q163-TbTradesBinance[[#This Row],[Qtt]]),IF(TbTradesBinance[[#This Row],[Tipo]]="BUY",Q163-TbTradesBinance[[#This Row],[Qtt]]*TbTradesBinance[[#This Row],[Preço]],Q163+TbTradesBinance[[#This Row],[Qtt]]*TbTradesBinance[[#This Row],[Preço]])),Q163)-IF(TbTradesBinance[[#This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Row],[Tipo]]="DROP"),Q163+TbTradesBinance[[#This Row],[Qtt]],Q163-TbTradesBinance[[#This Row],[Qtt]]),IF(TbTradesBinance[[#This Row],[Tipo]]="BUY",Q163-TbTradesBinance[[#This Row],[Qtt]]*TbTradesBinance[[#This Row],[Preço]],Q163+TbTradesBinance[[#This Row],[Qtt]]*TbTradesBinance[[#This Row],[Preço]])),Q163)-IF(TbTradesBinance[[#This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Row],[Tipo]]="DROP"),Q163+TbTradesBinance[[#This Row],[Qtt]],Q163-TbTradesBinance[[#This Row],[Qtt]]),IF(TbTradesBinance[[#This Row],[Tipo]]="BUY",Q163-TbTradesBinance[[#This Row],[Qtt]]*TbTradesBinance[[#This Row],[Preço]],Q163+TbTradesBinance[[#This Row],[Qtt]]*TbTradesBinance[[#This Row],[Preço]])),Q163)-IF(TbTradesBinance[[#This Row],[Moeda da Taxa]]=MID(Q$1,9,5),TbTradesBinance[[#This Row],[Taxa]],0),8)))</f>
        <v>0</v>
      </c>
      <c r="R164" s="145" cm="1">
        <f t="array" ref="R164">IF(TbTradesBinance[[#This Row],[Tipo]]="EMPTY",0,R163+IF(TbTradesBinance[[#This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Row],[Par]]))),$1:$1,0)),-(Q163-Q164)/Q163*R163),0),0)+IF(TbTradesBinance[[#This Row],[Tipo]]="SELL",IF(ISNUMBER(FIND(MID(R$1,10,5),TbTradesBinance[[#This Row],[Par]])),IF(FIND(MID(R$1,10,5),TbTradesBinance[[#This Row],[Par]])=1, -(Q163-Q164)/Q163*R163,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Row],[Par]])),(-(Q163-Q164)/Q163*R163)+IF(TbTradesBinance[[#This Row],[Resultado]]&gt;0,0,TbTradesBinance[[#This Row],[Taxa]]),0),0))</f>
        <v>0</v>
      </c>
      <c r="S164" s="145">
        <f t="shared" si="40"/>
        <v>0</v>
      </c>
      <c r="T16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Row],[Tipo]]="DROP"),T163+TbTradesBinance[[#This Row],[Qtt]],T163-TbTradesBinance[[#This Row],[Qtt]]),IF(TbTradesBinance[[#This Row],[Tipo]]="BUY",T163-TbTradesBinance[[#This Row],[Qtt]]*TbTradesBinance[[#This Row],[Preço]],T163+TbTradesBinance[[#This Row],[Qtt]]*TbTradesBinance[[#This Row],[Preço]])),T163)-IF(TbTradesBinance[[#This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Row],[Tipo]]="DROP"),T163+TbTradesBinance[[#This Row],[Qtt]],T163-TbTradesBinance[[#This Row],[Qtt]]),IF(TbTradesBinance[[#This Row],[Tipo]]="BUY",T163-TbTradesBinance[[#This Row],[Qtt]]*TbTradesBinance[[#This Row],[Preço]],T163+TbTradesBinance[[#This Row],[Qtt]]*TbTradesBinance[[#This Row],[Preço]])),T163)-IF(TbTradesBinance[[#This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Row],[Tipo]]="DROP"),T163+TbTradesBinance[[#This Row],[Qtt]],T163-TbTradesBinance[[#This Row],[Qtt]]),IF(TbTradesBinance[[#This Row],[Tipo]]="BUY",T163-TbTradesBinance[[#This Row],[Qtt]]*TbTradesBinance[[#This Row],[Preço]],T163+TbTradesBinance[[#This Row],[Qtt]]*TbTradesBinance[[#This Row],[Preço]])),T163)-IF(TbTradesBinance[[#This Row],[Moeda da Taxa]]=MID(T$1,9,5),TbTradesBinance[[#This Row],[Taxa]],0),8)))</f>
        <v>219713.72000189999</v>
      </c>
      <c r="U164" s="145" cm="1">
        <f t="array" ref="U164">IF(TbTradesBinance[[#This Row],[Tipo]]="EMPTY",0,U163+IF(TbTradesBinance[[#This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Row],[Par]]))),$1:$1,0)),-(T163-T164)/T163*U163),0),0)+IF(TbTradesBinance[[#This Row],[Tipo]]="SELL",IF(ISNUMBER(FIND(MID(U$1,10,5),TbTradesBinance[[#This Row],[Par]])),IF(FIND(MID(U$1,10,5),TbTradesBinance[[#This Row],[Par]])=1, -(T163-T164)/T163*U163,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Row],[Par]])),(-(T163-T164)/T163*U163)+IF(TbTradesBinance[[#This Row],[Resultado]]&gt;0,0,TbTradesBinance[[#This Row],[Taxa]]),0),0))</f>
        <v>1461096.2409827893</v>
      </c>
      <c r="V164" s="145">
        <f t="shared" si="41"/>
        <v>6.6500000135182926</v>
      </c>
      <c r="W16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Row],[Tipo]]="DROP"),W163+TbTradesBinance[[#This Row],[Qtt]],W163-TbTradesBinance[[#This Row],[Qtt]]),IF(TbTradesBinance[[#This Row],[Tipo]]="BUY",W163-TbTradesBinance[[#This Row],[Qtt]]*TbTradesBinance[[#This Row],[Preço]],W163+TbTradesBinance[[#This Row],[Qtt]]*TbTradesBinance[[#This Row],[Preço]])),W163)-IF(TbTradesBinance[[#This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Row],[Tipo]]="DROP"),W163+TbTradesBinance[[#This Row],[Qtt]],W163-TbTradesBinance[[#This Row],[Qtt]]),IF(TbTradesBinance[[#This Row],[Tipo]]="BUY",W163-TbTradesBinance[[#This Row],[Qtt]]*TbTradesBinance[[#This Row],[Preço]],W163+TbTradesBinance[[#This Row],[Qtt]]*TbTradesBinance[[#This Row],[Preço]])),W163)-IF(TbTradesBinance[[#This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Row],[Tipo]]="DROP"),W163+TbTradesBinance[[#This Row],[Qtt]],W163-TbTradesBinance[[#This Row],[Qtt]]),IF(TbTradesBinance[[#This Row],[Tipo]]="BUY",W163-TbTradesBinance[[#This Row],[Qtt]]*TbTradesBinance[[#This Row],[Preço]],W163+TbTradesBinance[[#This Row],[Qtt]]*TbTradesBinance[[#This Row],[Preço]])),W163)-IF(TbTradesBinance[[#This Row],[Moeda da Taxa]]=MID(W$1,9,5),TbTradesBinance[[#This Row],[Taxa]],0),8)))</f>
        <v>4.4935999999999999E-4</v>
      </c>
      <c r="X164" s="145" cm="1">
        <f t="array" ref="X164">IF(TbTradesBinance[[#This Row],[Tipo]]="EMPTY",0,X163+IF(TbTradesBinance[[#This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Row],[Par]]))),$1:$1,0)),-(W163-W164)/W163*X163),0),0)+IF(TbTradesBinance[[#This Row],[Tipo]]="SELL",IF(ISNUMBER(FIND(MID(X$1,10,5),TbTradesBinance[[#This Row],[Par]])),IF(FIND(MID(X$1,10,5),TbTradesBinance[[#This Row],[Par]])=1, -(W163-W164)/W163*X163,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Row],[Par]])),(-(W163-W164)/W163*X163)+IF(TbTradesBinance[[#This Row],[Resultado]]&gt;0,0,TbTradesBinance[[#This Row],[Taxa]]),0),0))</f>
        <v>149.94335979655796</v>
      </c>
      <c r="Y164" s="145">
        <f t="shared" si="42"/>
        <v>333682.03622164403</v>
      </c>
      <c r="Z16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Row],[Tipo]]="DROP"),Z163+TbTradesBinance[[#This Row],[Qtt]],Z163-TbTradesBinance[[#This Row],[Qtt]]),IF(TbTradesBinance[[#This Row],[Tipo]]="BUY",Z163-TbTradesBinance[[#This Row],[Qtt]]*TbTradesBinance[[#This Row],[Preço]],Z163+TbTradesBinance[[#This Row],[Qtt]]*TbTradesBinance[[#This Row],[Preço]])),Z163)-IF(TbTradesBinance[[#This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Row],[Tipo]]="DROP"),Z163+TbTradesBinance[[#This Row],[Qtt]],Z163-TbTradesBinance[[#This Row],[Qtt]]),IF(TbTradesBinance[[#This Row],[Tipo]]="BUY",Z163-TbTradesBinance[[#This Row],[Qtt]]*TbTradesBinance[[#This Row],[Preço]],Z163+TbTradesBinance[[#This Row],[Qtt]]*TbTradesBinance[[#This Row],[Preço]])),Z163)-IF(TbTradesBinance[[#This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Row],[Tipo]]="DROP"),Z163+TbTradesBinance[[#This Row],[Qtt]],Z163-TbTradesBinance[[#This Row],[Qtt]]),IF(TbTradesBinance[[#This Row],[Tipo]]="BUY",Z163-TbTradesBinance[[#This Row],[Qtt]]*TbTradesBinance[[#This Row],[Preço]],Z163+TbTradesBinance[[#This Row],[Qtt]]*TbTradesBinance[[#This Row],[Preço]])),Z163)-IF(TbTradesBinance[[#This Row],[Moeda da Taxa]]=MID(Z$1,9,5),TbTradesBinance[[#This Row],[Taxa]],0),8)))</f>
        <v>0</v>
      </c>
      <c r="AA164" s="145" cm="1">
        <f t="array" ref="AA164">IF(TbTradesBinance[[#This Row],[Tipo]]="EMPTY",0,AA163+IF(TbTradesBinance[[#This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Row],[Par]]))),$1:$1,0)),-(Z163-Z164)/Z163*AA163),0),0)+IF(TbTradesBinance[[#This Row],[Tipo]]="SELL",IF(ISNUMBER(FIND(MID(AA$1,10,5),TbTradesBinance[[#This Row],[Par]])),IF(FIND(MID(AA$1,10,5),TbTradesBinance[[#This Row],[Par]])=1, -(Z163-Z164)/Z163*AA163,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Row],[Par]])),(-(Z163-Z164)/Z163*AA163)+IF(TbTradesBinance[[#This Row],[Resultado]]&gt;0,0,TbTradesBinance[[#This Row],[Taxa]]),0),0))</f>
        <v>0</v>
      </c>
      <c r="AB164" s="145">
        <f t="shared" si="43"/>
        <v>0</v>
      </c>
      <c r="AC16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Row],[Tipo]]="DROP"),AC163+TbTradesBinance[[#This Row],[Qtt]],AC163-TbTradesBinance[[#This Row],[Qtt]]),IF(TbTradesBinance[[#This Row],[Tipo]]="BUY",AC163-TbTradesBinance[[#This Row],[Qtt]]*TbTradesBinance[[#This Row],[Preço]],AC163+TbTradesBinance[[#This Row],[Qtt]]*TbTradesBinance[[#This Row],[Preço]])),AC163)-IF(TbTradesBinance[[#This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Row],[Tipo]]="DROP"),AC163+TbTradesBinance[[#This Row],[Qtt]],AC163-TbTradesBinance[[#This Row],[Qtt]]),IF(TbTradesBinance[[#This Row],[Tipo]]="BUY",AC163-TbTradesBinance[[#This Row],[Qtt]]*TbTradesBinance[[#This Row],[Preço]],AC163+TbTradesBinance[[#This Row],[Qtt]]*TbTradesBinance[[#This Row],[Preço]])),AC163)-IF(TbTradesBinance[[#This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Row],[Tipo]]="DROP"),AC163+TbTradesBinance[[#This Row],[Qtt]],AC163-TbTradesBinance[[#This Row],[Qtt]]),IF(TbTradesBinance[[#This Row],[Tipo]]="BUY",AC163-TbTradesBinance[[#This Row],[Qtt]]*TbTradesBinance[[#This Row],[Preço]],AC163+TbTradesBinance[[#This Row],[Qtt]]*TbTradesBinance[[#This Row],[Preço]])),AC163)-IF(TbTradesBinance[[#This Row],[Moeda da Taxa]]=MID(AC$1,9,5),TbTradesBinance[[#This Row],[Taxa]],0),8)))</f>
        <v>0</v>
      </c>
      <c r="AD164" s="145" cm="1">
        <f t="array" ref="AD164">IF(TbTradesBinance[[#This Row],[Tipo]]="EMPTY",0,AD163+IF(TbTradesBinance[[#This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Row],[Par]]))),$1:$1,0)),-(AC163-AC164)/AC163*AD163),0),0)+IF(TbTradesBinance[[#This Row],[Tipo]]="SELL",IF(ISNUMBER(FIND(MID(AD$1,10,5),TbTradesBinance[[#This Row],[Par]])),IF(FIND(MID(AD$1,10,5),TbTradesBinance[[#This Row],[Par]])=1, -(AC163-AC164)/AC163*AD163,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Row],[Par]])),(-(AC163-AC164)/AC163*AD163)+IF(TbTradesBinance[[#This Row],[Resultado]]&gt;0,0,TbTradesBinance[[#This Row],[Taxa]]),0),0))</f>
        <v>0</v>
      </c>
      <c r="AE164" s="145">
        <f t="shared" si="44"/>
        <v>0</v>
      </c>
      <c r="AF16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Row],[Tipo]]="DROP"),AF163+TbTradesBinance[[#This Row],[Qtt]],AF163-TbTradesBinance[[#This Row],[Qtt]]),IF(TbTradesBinance[[#This Row],[Tipo]]="BUY",AF163-TbTradesBinance[[#This Row],[Qtt]]*TbTradesBinance[[#This Row],[Preço]],AF163+TbTradesBinance[[#This Row],[Qtt]]*TbTradesBinance[[#This Row],[Preço]])),AF163)-IF(TbTradesBinance[[#This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Row],[Tipo]]="DROP"),AF163+TbTradesBinance[[#This Row],[Qtt]],AF163-TbTradesBinance[[#This Row],[Qtt]]),IF(TbTradesBinance[[#This Row],[Tipo]]="BUY",AF163-TbTradesBinance[[#This Row],[Qtt]]*TbTradesBinance[[#This Row],[Preço]],AF163+TbTradesBinance[[#This Row],[Qtt]]*TbTradesBinance[[#This Row],[Preço]])),AF163)-IF(TbTradesBinance[[#This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Row],[Tipo]]="DROP"),AF163+TbTradesBinance[[#This Row],[Qtt]],AF163-TbTradesBinance[[#This Row],[Qtt]]),IF(TbTradesBinance[[#This Row],[Tipo]]="BUY",AF163-TbTradesBinance[[#This Row],[Qtt]]*TbTradesBinance[[#This Row],[Preço]],AF163+TbTradesBinance[[#This Row],[Qtt]]*TbTradesBinance[[#This Row],[Preço]])),AF163)-IF(TbTradesBinance[[#This Row],[Moeda da Taxa]]=MID(AF$1,9,5),TbTradesBinance[[#This Row],[Taxa]],0),8)))</f>
        <v>0</v>
      </c>
      <c r="AG164" s="145" cm="1">
        <f t="array" ref="AG164">IF(TbTradesBinance[[#This Row],[Tipo]]="EMPTY",0,AG163+IF(TbTradesBinance[[#This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Row],[Par]]))),$1:$1,0)),-(AF163-AF164)/AF163*AG163),0),0)+IF(TbTradesBinance[[#This Row],[Tipo]]="SELL",IF(ISNUMBER(FIND(MID(AG$1,10,5),TbTradesBinance[[#This Row],[Par]])),IF(FIND(MID(AG$1,10,5),TbTradesBinance[[#This Row],[Par]])=1, -(AF163-AF164)/AF163*AG163,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Row],[Par]])),(-(AF163-AF164)/AF163*AG163)+IF(TbTradesBinance[[#This Row],[Resultado]]&gt;0,0,TbTradesBinance[[#This Row],[Taxa]]),0),0))</f>
        <v>0</v>
      </c>
      <c r="AH164" s="145">
        <f t="shared" si="45"/>
        <v>0</v>
      </c>
      <c r="AI16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Row],[Tipo]]="DROP"),AI163+TbTradesBinance[[#This Row],[Qtt]],AI163-TbTradesBinance[[#This Row],[Qtt]]),IF(TbTradesBinance[[#This Row],[Tipo]]="BUY",AI163-TbTradesBinance[[#This Row],[Qtt]]*TbTradesBinance[[#This Row],[Preço]],AI163+TbTradesBinance[[#This Row],[Qtt]]*TbTradesBinance[[#This Row],[Preço]])),AI163)-IF(TbTradesBinance[[#This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Row],[Tipo]]="DROP"),AI163+TbTradesBinance[[#This Row],[Qtt]],AI163-TbTradesBinance[[#This Row],[Qtt]]),IF(TbTradesBinance[[#This Row],[Tipo]]="BUY",AI163-TbTradesBinance[[#This Row],[Qtt]]*TbTradesBinance[[#This Row],[Preço]],AI163+TbTradesBinance[[#This Row],[Qtt]]*TbTradesBinance[[#This Row],[Preço]])),AI163)-IF(TbTradesBinance[[#This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Row],[Tipo]]="DROP"),AI163+TbTradesBinance[[#This Row],[Qtt]],AI163-TbTradesBinance[[#This Row],[Qtt]]),IF(TbTradesBinance[[#This Row],[Tipo]]="BUY",AI163-TbTradesBinance[[#This Row],[Qtt]]*TbTradesBinance[[#This Row],[Preço]],AI163+TbTradesBinance[[#This Row],[Qtt]]*TbTradesBinance[[#This Row],[Preço]])),AI163)-IF(TbTradesBinance[[#This Row],[Moeda da Taxa]]=MID(AI$1,9,5),TbTradesBinance[[#This Row],[Taxa]],0),8)))</f>
        <v>0</v>
      </c>
      <c r="AJ164" s="145" cm="1">
        <f t="array" ref="AJ164">IF(TbTradesBinance[[#This Row],[Tipo]]="EMPTY",0,AJ163+IF(TbTradesBinance[[#This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Row],[Par]]))),$1:$1,0)),-(AI163-AI164)/AI163*AJ163),0),0)+IF(TbTradesBinance[[#This Row],[Tipo]]="SELL",IF(ISNUMBER(FIND(MID(AJ$1,10,5),TbTradesBinance[[#This Row],[Par]])),IF(FIND(MID(AJ$1,10,5),TbTradesBinance[[#This Row],[Par]])=1, -(AI163-AI164)/AI163*AJ163,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Row],[Par]])),(-(AI163-AI164)/AI163*AJ163)+IF(TbTradesBinance[[#This Row],[Resultado]]&gt;0,0,TbTradesBinance[[#This Row],[Taxa]]),0),0))</f>
        <v>0</v>
      </c>
      <c r="AK164" s="145">
        <f t="shared" si="46"/>
        <v>0</v>
      </c>
      <c r="AL16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Row],[Tipo]]="DROP"),AL163+TbTradesBinance[[#This Row],[Qtt]],AL163-TbTradesBinance[[#This Row],[Qtt]]),IF(TbTradesBinance[[#This Row],[Tipo]]="BUY",AL163-TbTradesBinance[[#This Row],[Qtt]]*TbTradesBinance[[#This Row],[Preço]],AL163+TbTradesBinance[[#This Row],[Qtt]]*TbTradesBinance[[#This Row],[Preço]])),AL163)-IF(TbTradesBinance[[#This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Row],[Tipo]]="DROP"),AL163+TbTradesBinance[[#This Row],[Qtt]],AL163-TbTradesBinance[[#This Row],[Qtt]]),IF(TbTradesBinance[[#This Row],[Tipo]]="BUY",AL163-TbTradesBinance[[#This Row],[Qtt]]*TbTradesBinance[[#This Row],[Preço]],AL163+TbTradesBinance[[#This Row],[Qtt]]*TbTradesBinance[[#This Row],[Preço]])),AL163)-IF(TbTradesBinance[[#This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Row],[Tipo]]="DROP"),AL163+TbTradesBinance[[#This Row],[Qtt]],AL163-TbTradesBinance[[#This Row],[Qtt]]),IF(TbTradesBinance[[#This Row],[Tipo]]="BUY",AL163-TbTradesBinance[[#This Row],[Qtt]]*TbTradesBinance[[#This Row],[Preço]],AL163+TbTradesBinance[[#This Row],[Qtt]]*TbTradesBinance[[#This Row],[Preço]])),AL163)-IF(TbTradesBinance[[#This Row],[Moeda da Taxa]]=MID(AL$1,9,5),TbTradesBinance[[#This Row],[Taxa]],0),8)))</f>
        <v>0</v>
      </c>
      <c r="AM164" s="145" cm="1">
        <f t="array" ref="AM164">IF(TbTradesBinance[[#This Row],[Tipo]]="EMPTY",0,AM163+IF(TbTradesBinance[[#This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Row],[Par]]))),$1:$1,0)),-(AL163-AL164)/AL163*AM163),0),0)+IF(TbTradesBinance[[#This Row],[Tipo]]="SELL",IF(ISNUMBER(FIND(MID(AM$1,10,5),TbTradesBinance[[#This Row],[Par]])),IF(FIND(MID(AM$1,10,5),TbTradesBinance[[#This Row],[Par]])=1, -(AL163-AL164)/AL163*AM163,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Row],[Par]])),(-(AL163-AL164)/AL163*AM163)+IF(TbTradesBinance[[#This Row],[Resultado]]&gt;0,0,TbTradesBinance[[#This Row],[Taxa]]),0),0))</f>
        <v>0</v>
      </c>
      <c r="AN164" s="145">
        <f t="shared" si="47"/>
        <v>0</v>
      </c>
      <c r="AO16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Row],[Tipo]]="DROP"),AO163+TbTradesBinance[[#This Row],[Qtt]],AO163-TbTradesBinance[[#This Row],[Qtt]]),IF(TbTradesBinance[[#This Row],[Tipo]]="BUY",AO163-TbTradesBinance[[#This Row],[Qtt]]*TbTradesBinance[[#This Row],[Preço]],AO163+TbTradesBinance[[#This Row],[Qtt]]*TbTradesBinance[[#This Row],[Preço]])),AO163)-IF(TbTradesBinance[[#This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Row],[Tipo]]="DROP"),AO163+TbTradesBinance[[#This Row],[Qtt]],AO163-TbTradesBinance[[#This Row],[Qtt]]),IF(TbTradesBinance[[#This Row],[Tipo]]="BUY",AO163-TbTradesBinance[[#This Row],[Qtt]]*TbTradesBinance[[#This Row],[Preço]],AO163+TbTradesBinance[[#This Row],[Qtt]]*TbTradesBinance[[#This Row],[Preço]])),AO163)-IF(TbTradesBinance[[#This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Row],[Tipo]]="DROP"),AO163+TbTradesBinance[[#This Row],[Qtt]],AO163-TbTradesBinance[[#This Row],[Qtt]]),IF(TbTradesBinance[[#This Row],[Tipo]]="BUY",AO163-TbTradesBinance[[#This Row],[Qtt]]*TbTradesBinance[[#This Row],[Preço]],AO163+TbTradesBinance[[#This Row],[Qtt]]*TbTradesBinance[[#This Row],[Preço]])),AO163)-IF(TbTradesBinance[[#This Row],[Moeda da Taxa]]=MID(AO$1,9,5),TbTradesBinance[[#This Row],[Taxa]],0),8)))</f>
        <v>3.8370170000000002E-2</v>
      </c>
      <c r="AP164" s="145" cm="1">
        <f t="array" ref="AP164">IF(TbTradesBinance[[#This Row],[Tipo]]="EMPTY",0,AP163+IF(TbTradesBinance[[#This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Row],[Par]]))),$1:$1,0)),-(AO163-AO164)/AO163*AP163),0),0)+IF(TbTradesBinance[[#This Row],[Tipo]]="SELL",IF(ISNUMBER(FIND(MID(AP$1,10,5),TbTradesBinance[[#This Row],[Par]])),IF(FIND(MID(AP$1,10,5),TbTradesBinance[[#This Row],[Par]])=1, -(AO163-AO164)/AO163*AP163,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Row],[Par]])),(-(AO163-AO164)/AO163*AP163)+IF(TbTradesBinance[[#This Row],[Resultado]]&gt;0,0,TbTradesBinance[[#This Row],[Taxa]]),0),0))</f>
        <v>60.206578718772462</v>
      </c>
      <c r="AQ164" s="145">
        <f t="shared" si="48"/>
        <v>1569.0985658591676</v>
      </c>
      <c r="AR16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Row],[Tipo]]="DROP"),AR163+TbTradesBinance[[#This Row],[Qtt]],AR163-TbTradesBinance[[#This Row],[Qtt]]),IF(TbTradesBinance[[#This Row],[Tipo]]="BUY",AR163-TbTradesBinance[[#This Row],[Qtt]]*TbTradesBinance[[#This Row],[Preço]],AR163+TbTradesBinance[[#This Row],[Qtt]]*TbTradesBinance[[#This Row],[Preço]])),AR163)-IF(TbTradesBinance[[#This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Row],[Tipo]]="DROP"),AR163+TbTradesBinance[[#This Row],[Qtt]],AR163-TbTradesBinance[[#This Row],[Qtt]]),IF(TbTradesBinance[[#This Row],[Tipo]]="BUY",AR163-TbTradesBinance[[#This Row],[Qtt]]*TbTradesBinance[[#This Row],[Preço]],AR163+TbTradesBinance[[#This Row],[Qtt]]*TbTradesBinance[[#This Row],[Preço]])),AR163)-IF(TbTradesBinance[[#This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Row],[Tipo]]="DROP"),AR163+TbTradesBinance[[#This Row],[Qtt]],AR163-TbTradesBinance[[#This Row],[Qtt]]),IF(TbTradesBinance[[#This Row],[Tipo]]="BUY",AR163-TbTradesBinance[[#This Row],[Qtt]]*TbTradesBinance[[#This Row],[Preço]],AR163+TbTradesBinance[[#This Row],[Qtt]]*TbTradesBinance[[#This Row],[Preço]])),AR163)-IF(TbTradesBinance[[#This Row],[Moeda da Taxa]]=MID(AR$1,9,5),TbTradesBinance[[#This Row],[Taxa]],0),8)))</f>
        <v>0</v>
      </c>
      <c r="AS164" s="145" cm="1">
        <f t="array" ref="AS164">IF(TbTradesBinance[[#This Row],[Tipo]]="EMPTY",0,AS163+IF(TbTradesBinance[[#This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Row],[Par]]))),$1:$1,0)),-(AR163-AR164)/AR163*AS163),0),0)+IF(TbTradesBinance[[#This Row],[Tipo]]="SELL",IF(ISNUMBER(FIND(MID(AS$1,10,5),TbTradesBinance[[#This Row],[Par]])),IF(FIND(MID(AS$1,10,5),TbTradesBinance[[#This Row],[Par]])=1, -(AR163-AR164)/AR163*AS163,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Row],[Par]])),(-(AR163-AR164)/AR163*AS163)+IF(TbTradesBinance[[#This Row],[Resultado]]&gt;0,0,TbTradesBinance[[#This Row],[Taxa]]),0),0))</f>
        <v>0</v>
      </c>
      <c r="AT164" s="145">
        <f t="shared" si="49"/>
        <v>0</v>
      </c>
      <c r="AU16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Row],[Tipo]]="DROP"),AU163+TbTradesBinance[[#This Row],[Qtt]],AU163-TbTradesBinance[[#This Row],[Qtt]]),IF(TbTradesBinance[[#This Row],[Tipo]]="BUY",AU163-TbTradesBinance[[#This Row],[Qtt]]*TbTradesBinance[[#This Row],[Preço]],AU163+TbTradesBinance[[#This Row],[Qtt]]*TbTradesBinance[[#This Row],[Preço]])),AU163)-IF(TbTradesBinance[[#This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Row],[Tipo]]="DROP"),AU163+TbTradesBinance[[#This Row],[Qtt]],AU163-TbTradesBinance[[#This Row],[Qtt]]),IF(TbTradesBinance[[#This Row],[Tipo]]="BUY",AU163-TbTradesBinance[[#This Row],[Qtt]]*TbTradesBinance[[#This Row],[Preço]],AU163+TbTradesBinance[[#This Row],[Qtt]]*TbTradesBinance[[#This Row],[Preço]])),AU163)-IF(TbTradesBinance[[#This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Row],[Tipo]]="DROP"),AU163+TbTradesBinance[[#This Row],[Qtt]],AU163-TbTradesBinance[[#This Row],[Qtt]]),IF(TbTradesBinance[[#This Row],[Tipo]]="BUY",AU163-TbTradesBinance[[#This Row],[Qtt]]*TbTradesBinance[[#This Row],[Preço]],AU163+TbTradesBinance[[#This Row],[Qtt]]*TbTradesBinance[[#This Row],[Preço]])),AU163)-IF(TbTradesBinance[[#This Row],[Moeda da Taxa]]=MID(AU$1,9,5),TbTradesBinance[[#This Row],[Taxa]],0),8)))</f>
        <v>0.51</v>
      </c>
      <c r="AV164" s="145" cm="1">
        <f t="array" ref="AV164">IF(TbTradesBinance[[#This Row],[Tipo]]="EMPTY",0,AV163+IF(TbTradesBinance[[#This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Row],[Par]]))),$1:$1,0)),-(AU163-AU164)/AU163*AV163),0),0)+IF(TbTradesBinance[[#This Row],[Tipo]]="SELL",IF(ISNUMBER(FIND(MID(AV$1,10,5),TbTradesBinance[[#This Row],[Par]])),IF(FIND(MID(AV$1,10,5),TbTradesBinance[[#This Row],[Par]])=1, -(AU163-AU164)/AU163*AV163,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Row],[Par]])),(-(AU163-AU164)/AU163*AV163)+IF(TbTradesBinance[[#This Row],[Resultado]]&gt;0,0,TbTradesBinance[[#This Row],[Taxa]]),0),0))</f>
        <v>95.466693037374753</v>
      </c>
      <c r="AW164" s="145">
        <f t="shared" si="50"/>
        <v>187.18959419093088</v>
      </c>
      <c r="AX16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Row],[Tipo]]="DROP"),AX163+TbTradesBinance[[#This Row],[Qtt]],AX163-TbTradesBinance[[#This Row],[Qtt]]),IF(TbTradesBinance[[#This Row],[Tipo]]="BUY",AX163-TbTradesBinance[[#This Row],[Qtt]]*TbTradesBinance[[#This Row],[Preço]],AX163+TbTradesBinance[[#This Row],[Qtt]]*TbTradesBinance[[#This Row],[Preço]])),AX163)-IF(TbTradesBinance[[#This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Row],[Tipo]]="DROP"),AX163+TbTradesBinance[[#This Row],[Qtt]],AX163-TbTradesBinance[[#This Row],[Qtt]]),IF(TbTradesBinance[[#This Row],[Tipo]]="BUY",AX163-TbTradesBinance[[#This Row],[Qtt]]*TbTradesBinance[[#This Row],[Preço]],AX163+TbTradesBinance[[#This Row],[Qtt]]*TbTradesBinance[[#This Row],[Preço]])),AX163)-IF(TbTradesBinance[[#This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Row],[Tipo]]="DROP"),AX163+TbTradesBinance[[#This Row],[Qtt]],AX163-TbTradesBinance[[#This Row],[Qtt]]),IF(TbTradesBinance[[#This Row],[Tipo]]="BUY",AX163-TbTradesBinance[[#This Row],[Qtt]]*TbTradesBinance[[#This Row],[Preço]],AX163+TbTradesBinance[[#This Row],[Qtt]]*TbTradesBinance[[#This Row],[Preço]])),AX163)-IF(TbTradesBinance[[#This Row],[Moeda da Taxa]]=MID(AX$1,9,5),TbTradesBinance[[#This Row],[Taxa]],0),8)))</f>
        <v>0.53737999999999997</v>
      </c>
      <c r="AY164" s="145" cm="1">
        <f t="array" ref="AY164">IF(TbTradesBinance[[#This Row],[Tipo]]="EMPTY",0,AY163+IF(TbTradesBinance[[#This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Row],[Par]]))),$1:$1,0)),-(AX163-AX164)/AX163*AY163),0),0)+IF(TbTradesBinance[[#This Row],[Tipo]]="SELL",IF(ISNUMBER(FIND(MID(AY$1,10,5),TbTradesBinance[[#This Row],[Par]])),IF(FIND(MID(AY$1,10,5),TbTradesBinance[[#This Row],[Par]])=1, -(AX163-AX164)/AX163*AY163,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Row],[Par]])),(-(AX163-AX164)/AX163*AY163)+IF(TbTradesBinance[[#This Row],[Resultado]]&gt;0,0,TbTradesBinance[[#This Row],[Taxa]]),0),0))</f>
        <v>100.4197840540867</v>
      </c>
      <c r="AZ164" s="145">
        <f t="shared" si="51"/>
        <v>186.869224857804</v>
      </c>
      <c r="BA16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Row],[Tipo]]="DROP"),BA163+TbTradesBinance[[#This Row],[Qtt]],BA163-TbTradesBinance[[#This Row],[Qtt]]),IF(TbTradesBinance[[#This Row],[Tipo]]="BUY",BA163-TbTradesBinance[[#This Row],[Qtt]]*TbTradesBinance[[#This Row],[Preço]],BA163+TbTradesBinance[[#This Row],[Qtt]]*TbTradesBinance[[#This Row],[Preço]])),BA163)-IF(TbTradesBinance[[#This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Row],[Tipo]]="DROP"),BA163+TbTradesBinance[[#This Row],[Qtt]],BA163-TbTradesBinance[[#This Row],[Qtt]]),IF(TbTradesBinance[[#This Row],[Tipo]]="BUY",BA163-TbTradesBinance[[#This Row],[Qtt]]*TbTradesBinance[[#This Row],[Preço]],BA163+TbTradesBinance[[#This Row],[Qtt]]*TbTradesBinance[[#This Row],[Preço]])),BA163)-IF(TbTradesBinance[[#This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Row],[Tipo]]="DROP"),BA163+TbTradesBinance[[#This Row],[Qtt]],BA163-TbTradesBinance[[#This Row],[Qtt]]),IF(TbTradesBinance[[#This Row],[Tipo]]="BUY",BA163-TbTradesBinance[[#This Row],[Qtt]]*TbTradesBinance[[#This Row],[Preço]],BA163+TbTradesBinance[[#This Row],[Qtt]]*TbTradesBinance[[#This Row],[Preço]])),BA163)-IF(TbTradesBinance[[#This Row],[Moeda da Taxa]]=MID(BA$1,9,5),TbTradesBinance[[#This Row],[Taxa]],0),8)))</f>
        <v>0</v>
      </c>
      <c r="BB164" s="145" cm="1">
        <f t="array" ref="BB164">IF(TbTradesBinance[[#This Row],[Tipo]]="EMPTY",0,BB163+IF(TbTradesBinance[[#This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Row],[Par]]))),$1:$1,0)),-(BA163-BA164)/BA163*BB163),0),0)+IF(TbTradesBinance[[#This Row],[Tipo]]="SELL",IF(ISNUMBER(FIND(MID(BB$1,10,5),TbTradesBinance[[#This Row],[Par]])),IF(FIND(MID(BB$1,10,5),TbTradesBinance[[#This Row],[Par]])=1, -(BA163-BA164)/BA163*BB163,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Row],[Par]])),(-(BA163-BA164)/BA163*BB163)+IF(TbTradesBinance[[#This Row],[Resultado]]&gt;0,0,TbTradesBinance[[#This Row],[Taxa]]),0),0))</f>
        <v>0</v>
      </c>
      <c r="BC164" s="145">
        <f t="shared" si="52"/>
        <v>0</v>
      </c>
      <c r="BD16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Row],[Tipo]]="DROP"),BD163+TbTradesBinance[[#This Row],[Qtt]],BD163-TbTradesBinance[[#This Row],[Qtt]]),IF(TbTradesBinance[[#This Row],[Tipo]]="BUY",BD163-TbTradesBinance[[#This Row],[Qtt]]*TbTradesBinance[[#This Row],[Preço]],BD163+TbTradesBinance[[#This Row],[Qtt]]*TbTradesBinance[[#This Row],[Preço]])),BD163)-IF(TbTradesBinance[[#This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Row],[Tipo]]="DROP"),BD163+TbTradesBinance[[#This Row],[Qtt]],BD163-TbTradesBinance[[#This Row],[Qtt]]),IF(TbTradesBinance[[#This Row],[Tipo]]="BUY",BD163-TbTradesBinance[[#This Row],[Qtt]]*TbTradesBinance[[#This Row],[Preço]],BD163+TbTradesBinance[[#This Row],[Qtt]]*TbTradesBinance[[#This Row],[Preço]])),BD163)-IF(TbTradesBinance[[#This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Row],[Tipo]]="DROP"),BD163+TbTradesBinance[[#This Row],[Qtt]],BD163-TbTradesBinance[[#This Row],[Qtt]]),IF(TbTradesBinance[[#This Row],[Tipo]]="BUY",BD163-TbTradesBinance[[#This Row],[Qtt]]*TbTradesBinance[[#This Row],[Preço]],BD163+TbTradesBinance[[#This Row],[Qtt]]*TbTradesBinance[[#This Row],[Preço]])),BD163)-IF(TbTradesBinance[[#This Row],[Moeda da Taxa]]=MID(BD$1,9,5),TbTradesBinance[[#This Row],[Taxa]],0),8)))</f>
        <v>0</v>
      </c>
      <c r="BE164" s="145" cm="1">
        <f t="array" ref="BE164">IF(TbTradesBinance[[#This Row],[Tipo]]="EMPTY",0,BE163+IF(TbTradesBinance[[#This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Row],[Par]]))),$1:$1,0)),-(BD163-BD164)/BD163*BE163),0),0)+IF(TbTradesBinance[[#This Row],[Tipo]]="SELL",IF(ISNUMBER(FIND(MID(BE$1,10,5),TbTradesBinance[[#This Row],[Par]])),IF(FIND(MID(BE$1,10,5),TbTradesBinance[[#This Row],[Par]])=1, -(BD163-BD164)/BD163*BE163,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Row],[Par]])),(-(BD163-BD164)/BD163*BE163)+IF(TbTradesBinance[[#This Row],[Resultado]]&gt;0,0,TbTradesBinance[[#This Row],[Taxa]]),0),0))</f>
        <v>0</v>
      </c>
      <c r="BF164" s="145">
        <f t="shared" si="53"/>
        <v>0</v>
      </c>
      <c r="BG16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Row],[Tipo]]="DROP"),BG163+TbTradesBinance[[#This Row],[Qtt]],BG163-TbTradesBinance[[#This Row],[Qtt]]),IF(TbTradesBinance[[#This Row],[Tipo]]="BUY",BG163-TbTradesBinance[[#This Row],[Qtt]]*TbTradesBinance[[#This Row],[Preço]],BG163+TbTradesBinance[[#This Row],[Qtt]]*TbTradesBinance[[#This Row],[Preço]])),BG163)-IF(TbTradesBinance[[#This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Row],[Tipo]]="DROP"),BG163+TbTradesBinance[[#This Row],[Qtt]],BG163-TbTradesBinance[[#This Row],[Qtt]]),IF(TbTradesBinance[[#This Row],[Tipo]]="BUY",BG163-TbTradesBinance[[#This Row],[Qtt]]*TbTradesBinance[[#This Row],[Preço]],BG163+TbTradesBinance[[#This Row],[Qtt]]*TbTradesBinance[[#This Row],[Preço]])),BG163)-IF(TbTradesBinance[[#This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Row],[Tipo]]="DROP"),BG163+TbTradesBinance[[#This Row],[Qtt]],BG163-TbTradesBinance[[#This Row],[Qtt]]),IF(TbTradesBinance[[#This Row],[Tipo]]="BUY",BG163-TbTradesBinance[[#This Row],[Qtt]]*TbTradesBinance[[#This Row],[Preço]],BG163+TbTradesBinance[[#This Row],[Qtt]]*TbTradesBinance[[#This Row],[Preço]])),BG163)-IF(TbTradesBinance[[#This Row],[Moeda da Taxa]]=MID(BG$1,9,5),TbTradesBinance[[#This Row],[Taxa]],0),8)))</f>
        <v>0</v>
      </c>
      <c r="BH164" s="145" cm="1">
        <f t="array" ref="BH164">IF(TbTradesBinance[[#This Row],[Tipo]]="EMPTY",0,BH163+IF(TbTradesBinance[[#This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Row],[Par]]))),$1:$1,0)),-(BG163-BG164)/BG163*BH163),0),0)+IF(TbTradesBinance[[#This Row],[Tipo]]="SELL",IF(ISNUMBER(FIND(MID(BH$1,10,5),TbTradesBinance[[#This Row],[Par]])),IF(FIND(MID(BH$1,10,5),TbTradesBinance[[#This Row],[Par]])=1, -(BG163-BG164)/BG163*BH163,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Row],[Par]])),(-(BG163-BG164)/BG163*BH163)+IF(TbTradesBinance[[#This Row],[Resultado]]&gt;0,0,TbTradesBinance[[#This Row],[Taxa]]),0),0))</f>
        <v>0</v>
      </c>
      <c r="BI164" s="145">
        <f t="shared" si="54"/>
        <v>0</v>
      </c>
      <c r="BJ16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Row],[Tipo]]="DROP"),BJ163+TbTradesBinance[[#This Row],[Qtt]],BJ163-TbTradesBinance[[#This Row],[Qtt]]),IF(TbTradesBinance[[#This Row],[Tipo]]="BUY",BJ163-TbTradesBinance[[#This Row],[Qtt]]*TbTradesBinance[[#This Row],[Preço]],BJ163+TbTradesBinance[[#This Row],[Qtt]]*TbTradesBinance[[#This Row],[Preço]])),BJ163)-IF(TbTradesBinance[[#This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Row],[Tipo]]="DROP"),BJ163+TbTradesBinance[[#This Row],[Qtt]],BJ163-TbTradesBinance[[#This Row],[Qtt]]),IF(TbTradesBinance[[#This Row],[Tipo]]="BUY",BJ163-TbTradesBinance[[#This Row],[Qtt]]*TbTradesBinance[[#This Row],[Preço]],BJ163+TbTradesBinance[[#This Row],[Qtt]]*TbTradesBinance[[#This Row],[Preço]])),BJ163)-IF(TbTradesBinance[[#This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Row],[Tipo]]="DROP"),BJ163+TbTradesBinance[[#This Row],[Qtt]],BJ163-TbTradesBinance[[#This Row],[Qtt]]),IF(TbTradesBinance[[#This Row],[Tipo]]="BUY",BJ163-TbTradesBinance[[#This Row],[Qtt]]*TbTradesBinance[[#This Row],[Preço]],BJ163+TbTradesBinance[[#This Row],[Qtt]]*TbTradesBinance[[#This Row],[Preço]])),BJ163)-IF(TbTradesBinance[[#This Row],[Moeda da Taxa]]=MID(BJ$1,9,5),TbTradesBinance[[#This Row],[Taxa]],0),8)))</f>
        <v>0</v>
      </c>
      <c r="BK164" s="145" cm="1">
        <f t="array" ref="BK164">IF(TbTradesBinance[[#This Row],[Tipo]]="EMPTY",0,BK163+IF(TbTradesBinance[[#This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Row],[Par]]))),$1:$1,0)),-(BJ163-BJ164)/BJ163*BK163),0),0)+IF(TbTradesBinance[[#This Row],[Tipo]]="SELL",IF(ISNUMBER(FIND(MID(BK$1,10,5),TbTradesBinance[[#This Row],[Par]])),IF(FIND(MID(BK$1,10,5),TbTradesBinance[[#This Row],[Par]])=1, -(BJ163-BJ164)/BJ163*BK163,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Row],[Par]])),(-(BJ163-BJ164)/BJ163*BK163)+IF(TbTradesBinance[[#This Row],[Resultado]]&gt;0,0,TbTradesBinance[[#This Row],[Taxa]]),0),0))</f>
        <v>0</v>
      </c>
      <c r="BL164" s="145">
        <f t="shared" si="55"/>
        <v>0</v>
      </c>
      <c r="BM16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Row],[Tipo]]="DROP"),BM163+TbTradesBinance[[#This Row],[Qtt]],BM163-TbTradesBinance[[#This Row],[Qtt]]),IF(TbTradesBinance[[#This Row],[Tipo]]="BUY",BM163-TbTradesBinance[[#This Row],[Qtt]]*TbTradesBinance[[#This Row],[Preço]],BM163+TbTradesBinance[[#This Row],[Qtt]]*TbTradesBinance[[#This Row],[Preço]])),BM163)-IF(TbTradesBinance[[#This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Row],[Tipo]]="DROP"),BM163+TbTradesBinance[[#This Row],[Qtt]],BM163-TbTradesBinance[[#This Row],[Qtt]]),IF(TbTradesBinance[[#This Row],[Tipo]]="BUY",BM163-TbTradesBinance[[#This Row],[Qtt]]*TbTradesBinance[[#This Row],[Preço]],BM163+TbTradesBinance[[#This Row],[Qtt]]*TbTradesBinance[[#This Row],[Preço]])),BM163)-IF(TbTradesBinance[[#This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Row],[Tipo]]="DROP"),BM163+TbTradesBinance[[#This Row],[Qtt]],BM163-TbTradesBinance[[#This Row],[Qtt]]),IF(TbTradesBinance[[#This Row],[Tipo]]="BUY",BM163-TbTradesBinance[[#This Row],[Qtt]]*TbTradesBinance[[#This Row],[Preço]],BM163+TbTradesBinance[[#This Row],[Qtt]]*TbTradesBinance[[#This Row],[Preço]])),BM163)-IF(TbTradesBinance[[#This Row],[Moeda da Taxa]]=MID(BM$1,9,5),TbTradesBinance[[#This Row],[Taxa]],0),8)))</f>
        <v>8.213289E-2</v>
      </c>
      <c r="BN164" s="145" cm="1">
        <f t="array" ref="BN164">IF(TbTradesBinance[[#This Row],[Tipo]]="EMPTY",0,BN163+IF(TbTradesBinance[[#This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Row],[Par]]))),$1:$1,0)),-(BM163-BM164)/BM163*BN163),0),0)+IF(TbTradesBinance[[#This Row],[Tipo]]="SELL",IF(ISNUMBER(FIND(MID(BN$1,10,5),TbTradesBinance[[#This Row],[Par]])),IF(FIND(MID(BN$1,10,5),TbTradesBinance[[#This Row],[Par]])=1, -(BM163-BM164)/BM163*BN163,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Row],[Par]])),(-(BM163-BM164)/BM163*BN163)+IF(TbTradesBinance[[#This Row],[Resultado]]&gt;0,0,TbTradesBinance[[#This Row],[Taxa]]),0),0))</f>
        <v>0</v>
      </c>
      <c r="BO164" s="145">
        <f t="shared" si="56"/>
        <v>0</v>
      </c>
    </row>
    <row r="165" spans="2:67" x14ac:dyDescent="0.3">
      <c r="B165" s="51"/>
      <c r="C165" s="40">
        <f>TRUNC(IF(AND(TbTradesBinance[[#This Row],[Tipo]]="SEND",TbTradesBinance[[#This Row],[Par]]="BRL"),TbTradesBinance[[#This Row],[Qtt]]*(1-P163)-IF(TbTradesBinance[[#This Row],[Moeda da Taxa]]="BRL",TbTradesBinance[[#This Row],[Taxa]],0),0)+IF(AND(TbTradesBinance[[#This Row],[Tipo]]="BURN",TbTradesBinance[[#This Row],[Par]]="BRL"),-TbTradesBinance[[#This Row],[Qtt]]*P163,0),2)</f>
        <v>0</v>
      </c>
      <c r="D165" s="53">
        <v>44320.867152777777</v>
      </c>
      <c r="E165" s="37" t="s">
        <v>138</v>
      </c>
      <c r="F165" s="47" t="s">
        <v>139</v>
      </c>
      <c r="G165" s="38">
        <v>295343</v>
      </c>
      <c r="H165" s="38">
        <v>3.9999999999999998E-6</v>
      </c>
      <c r="I165" s="38">
        <v>6.5000000000000002E-7</v>
      </c>
      <c r="J165" s="37" t="s">
        <v>45</v>
      </c>
      <c r="K165" s="52">
        <v>1</v>
      </c>
      <c r="L165" s="40">
        <f t="shared" si="38"/>
        <v>295343</v>
      </c>
      <c r="M165" s="40">
        <f>IF(OR(TbTradesBinance[[#This Row],[Tipo]]="BUY",TbTradesBinance[[#This Row],[Tipo]]="RECEIVE",TbTradesBinance[[#This Row],[Tipo]]="DROP"),L165*H165,-L165*H165)</f>
        <v>1.1813719999999999</v>
      </c>
      <c r="N16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Row],[Tipo]]="DROP"),N164+TbTradesBinance[[#This Row],[Qtt]],N164-TbTradesBinance[[#This Row],[Qtt]]),IF(TbTradesBinance[[#This Row],[Tipo]]="BUY",N164-TbTradesBinance[[#This Row],[Qtt]]*TbTradesBinance[[#This Row],[Preço]],N164+TbTradesBinance[[#This Row],[Qtt]]*TbTradesBinance[[#This Row],[Preço]])),N164)-IF(TbTradesBinance[[#This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Row],[Tipo]]="DROP"),N164+TbTradesBinance[[#This Row],[Qtt]],N164-TbTradesBinance[[#This Row],[Qtt]]),IF(TbTradesBinance[[#This Row],[Tipo]]="BUY",N164-TbTradesBinance[[#This Row],[Qtt]]*TbTradesBinance[[#This Row],[Preço]],N164+TbTradesBinance[[#This Row],[Qtt]]*TbTradesBinance[[#This Row],[Preço]])),N164)-IF(TbTradesBinance[[#This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Row],[Tipo]]="DROP"),N164+TbTradesBinance[[#This Row],[Qtt]],N164-TbTradesBinance[[#This Row],[Qtt]]),IF(TbTradesBinance[[#This Row],[Tipo]]="BUY",N164-TbTradesBinance[[#This Row],[Qtt]]*TbTradesBinance[[#This Row],[Preço]],N164+TbTradesBinance[[#This Row],[Qtt]]*TbTradesBinance[[#This Row],[Preço]])),N164)-IF(TbTradesBinance[[#This Row],[Moeda da Taxa]]=MID(N$1,9,5),TbTradesBinance[[#This Row],[Taxa]],0),8)))</f>
        <v>119789.86464999001</v>
      </c>
      <c r="O165" s="145" cm="1">
        <f t="array" ref="O165">IF(TbTradesBinance[[#This Row],[Tipo]]="EMPTY",0,O164+IF(TbTradesBinance[[#This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Row],[Par]]))),$1:$1,0)),-(N164-N165)/N164*O164),0),0)+IF(TbTradesBinance[[#This Row],[Tipo]]="SELL",IF(ISNUMBER(FIND(MID(O$1,10,5),TbTradesBinance[[#This Row],[Par]])),IF(FIND(MID(O$1,10,5),TbTradesBinance[[#This Row],[Par]])=1, -(N164-N165)/N164*O164,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Row],[Par]])),(-(N164-N165)/N164*O164)+IF(TbTradesBinance[[#This Row],[Resultado]]&gt;0,0,TbTradesBinance[[#This Row],[Taxa]]),0),0))</f>
        <v>119856.23181904152</v>
      </c>
      <c r="P165" s="145">
        <f t="shared" si="39"/>
        <v>1.0005540299193545</v>
      </c>
      <c r="Q16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Row],[Tipo]]="DROP"),Q164+TbTradesBinance[[#This Row],[Qtt]],Q164-TbTradesBinance[[#This Row],[Qtt]]),IF(TbTradesBinance[[#This Row],[Tipo]]="BUY",Q164-TbTradesBinance[[#This Row],[Qtt]]*TbTradesBinance[[#This Row],[Preço]],Q164+TbTradesBinance[[#This Row],[Qtt]]*TbTradesBinance[[#This Row],[Preço]])),Q164)-IF(TbTradesBinance[[#This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Row],[Tipo]]="DROP"),Q164+TbTradesBinance[[#This Row],[Qtt]],Q164-TbTradesBinance[[#This Row],[Qtt]]),IF(TbTradesBinance[[#This Row],[Tipo]]="BUY",Q164-TbTradesBinance[[#This Row],[Qtt]]*TbTradesBinance[[#This Row],[Preço]],Q164+TbTradesBinance[[#This Row],[Qtt]]*TbTradesBinance[[#This Row],[Preço]])),Q164)-IF(TbTradesBinance[[#This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Row],[Tipo]]="DROP"),Q164+TbTradesBinance[[#This Row],[Qtt]],Q164-TbTradesBinance[[#This Row],[Qtt]]),IF(TbTradesBinance[[#This Row],[Tipo]]="BUY",Q164-TbTradesBinance[[#This Row],[Qtt]]*TbTradesBinance[[#This Row],[Preço]],Q164+TbTradesBinance[[#This Row],[Qtt]]*TbTradesBinance[[#This Row],[Preço]])),Q164)-IF(TbTradesBinance[[#This Row],[Moeda da Taxa]]=MID(Q$1,9,5),TbTradesBinance[[#This Row],[Taxa]],0),8)))</f>
        <v>0</v>
      </c>
      <c r="R165" s="145" cm="1">
        <f t="array" ref="R165">IF(TbTradesBinance[[#This Row],[Tipo]]="EMPTY",0,R164+IF(TbTradesBinance[[#This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Row],[Par]]))),$1:$1,0)),-(Q164-Q165)/Q164*R164),0),0)+IF(TbTradesBinance[[#This Row],[Tipo]]="SELL",IF(ISNUMBER(FIND(MID(R$1,10,5),TbTradesBinance[[#This Row],[Par]])),IF(FIND(MID(R$1,10,5),TbTradesBinance[[#This Row],[Par]])=1, -(Q164-Q165)/Q164*R164,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Row],[Par]])),(-(Q164-Q165)/Q164*R164)+IF(TbTradesBinance[[#This Row],[Resultado]]&gt;0,0,TbTradesBinance[[#This Row],[Taxa]]),0),0))</f>
        <v>0</v>
      </c>
      <c r="S165" s="145">
        <f t="shared" si="40"/>
        <v>0</v>
      </c>
      <c r="T16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Row],[Tipo]]="DROP"),T164+TbTradesBinance[[#This Row],[Qtt]],T164-TbTradesBinance[[#This Row],[Qtt]]),IF(TbTradesBinance[[#This Row],[Tipo]]="BUY",T164-TbTradesBinance[[#This Row],[Qtt]]*TbTradesBinance[[#This Row],[Preço]],T164+TbTradesBinance[[#This Row],[Qtt]]*TbTradesBinance[[#This Row],[Preço]])),T164)-IF(TbTradesBinance[[#This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Row],[Tipo]]="DROP"),T164+TbTradesBinance[[#This Row],[Qtt]],T164-TbTradesBinance[[#This Row],[Qtt]]),IF(TbTradesBinance[[#This Row],[Tipo]]="BUY",T164-TbTradesBinance[[#This Row],[Qtt]]*TbTradesBinance[[#This Row],[Preço]],T164+TbTradesBinance[[#This Row],[Qtt]]*TbTradesBinance[[#This Row],[Preço]])),T164)-IF(TbTradesBinance[[#This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Row],[Tipo]]="DROP"),T164+TbTradesBinance[[#This Row],[Qtt]],T164-TbTradesBinance[[#This Row],[Qtt]]),IF(TbTradesBinance[[#This Row],[Tipo]]="BUY",T164-TbTradesBinance[[#This Row],[Qtt]]*TbTradesBinance[[#This Row],[Preço]],T164+TbTradesBinance[[#This Row],[Qtt]]*TbTradesBinance[[#This Row],[Preço]])),T164)-IF(TbTradesBinance[[#This Row],[Moeda da Taxa]]=MID(T$1,9,5),TbTradesBinance[[#This Row],[Taxa]],0),8)))</f>
        <v>219713.72000189999</v>
      </c>
      <c r="U165" s="145" cm="1">
        <f t="array" ref="U165">IF(TbTradesBinance[[#This Row],[Tipo]]="EMPTY",0,U164+IF(TbTradesBinance[[#This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Row],[Par]]))),$1:$1,0)),-(T164-T165)/T164*U164),0),0)+IF(TbTradesBinance[[#This Row],[Tipo]]="SELL",IF(ISNUMBER(FIND(MID(U$1,10,5),TbTradesBinance[[#This Row],[Par]])),IF(FIND(MID(U$1,10,5),TbTradesBinance[[#This Row],[Par]])=1, -(T164-T165)/T164*U164,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Row],[Par]])),(-(T164-T165)/T164*U164)+IF(TbTradesBinance[[#This Row],[Resultado]]&gt;0,0,TbTradesBinance[[#This Row],[Taxa]]),0),0))</f>
        <v>1461096.2409827893</v>
      </c>
      <c r="V165" s="145">
        <f t="shared" si="41"/>
        <v>6.6500000135182926</v>
      </c>
      <c r="W16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Row],[Tipo]]="DROP"),W164+TbTradesBinance[[#This Row],[Qtt]],W164-TbTradesBinance[[#This Row],[Qtt]]),IF(TbTradesBinance[[#This Row],[Tipo]]="BUY",W164-TbTradesBinance[[#This Row],[Qtt]]*TbTradesBinance[[#This Row],[Preço]],W164+TbTradesBinance[[#This Row],[Qtt]]*TbTradesBinance[[#This Row],[Preço]])),W164)-IF(TbTradesBinance[[#This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Row],[Tipo]]="DROP"),W164+TbTradesBinance[[#This Row],[Qtt]],W164-TbTradesBinance[[#This Row],[Qtt]]),IF(TbTradesBinance[[#This Row],[Tipo]]="BUY",W164-TbTradesBinance[[#This Row],[Qtt]]*TbTradesBinance[[#This Row],[Preço]],W164+TbTradesBinance[[#This Row],[Qtt]]*TbTradesBinance[[#This Row],[Preço]])),W164)-IF(TbTradesBinance[[#This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Row],[Tipo]]="DROP"),W164+TbTradesBinance[[#This Row],[Qtt]],W164-TbTradesBinance[[#This Row],[Qtt]]),IF(TbTradesBinance[[#This Row],[Tipo]]="BUY",W164-TbTradesBinance[[#This Row],[Qtt]]*TbTradesBinance[[#This Row],[Preço]],W164+TbTradesBinance[[#This Row],[Qtt]]*TbTradesBinance[[#This Row],[Preço]])),W164)-IF(TbTradesBinance[[#This Row],[Moeda da Taxa]]=MID(W$1,9,5),TbTradesBinance[[#This Row],[Taxa]],0),8)))</f>
        <v>4.5335999999999998E-4</v>
      </c>
      <c r="X165" s="145" cm="1">
        <f t="array" ref="X165">IF(TbTradesBinance[[#This Row],[Tipo]]="EMPTY",0,X164+IF(TbTradesBinance[[#This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Row],[Par]]))),$1:$1,0)),-(W164-W165)/W164*X164),0),0)+IF(TbTradesBinance[[#This Row],[Tipo]]="SELL",IF(ISNUMBER(FIND(MID(X$1,10,5),TbTradesBinance[[#This Row],[Par]])),IF(FIND(MID(X$1,10,5),TbTradesBinance[[#This Row],[Par]])=1, -(W164-W165)/W164*X164,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Row],[Par]])),(-(W164-W165)/W164*X164)+IF(TbTradesBinance[[#This Row],[Resultado]]&gt;0,0,TbTradesBinance[[#This Row],[Taxa]]),0),0))</f>
        <v>151.12538631198368</v>
      </c>
      <c r="Y165" s="145">
        <f t="shared" si="42"/>
        <v>333345.21420501079</v>
      </c>
      <c r="Z16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Row],[Tipo]]="DROP"),Z164+TbTradesBinance[[#This Row],[Qtt]],Z164-TbTradesBinance[[#This Row],[Qtt]]),IF(TbTradesBinance[[#This Row],[Tipo]]="BUY",Z164-TbTradesBinance[[#This Row],[Qtt]]*TbTradesBinance[[#This Row],[Preço]],Z164+TbTradesBinance[[#This Row],[Qtt]]*TbTradesBinance[[#This Row],[Preço]])),Z164)-IF(TbTradesBinance[[#This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Row],[Tipo]]="DROP"),Z164+TbTradesBinance[[#This Row],[Qtt]],Z164-TbTradesBinance[[#This Row],[Qtt]]),IF(TbTradesBinance[[#This Row],[Tipo]]="BUY",Z164-TbTradesBinance[[#This Row],[Qtt]]*TbTradesBinance[[#This Row],[Preço]],Z164+TbTradesBinance[[#This Row],[Qtt]]*TbTradesBinance[[#This Row],[Preço]])),Z164)-IF(TbTradesBinance[[#This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Row],[Tipo]]="DROP"),Z164+TbTradesBinance[[#This Row],[Qtt]],Z164-TbTradesBinance[[#This Row],[Qtt]]),IF(TbTradesBinance[[#This Row],[Tipo]]="BUY",Z164-TbTradesBinance[[#This Row],[Qtt]]*TbTradesBinance[[#This Row],[Preço]],Z164+TbTradesBinance[[#This Row],[Qtt]]*TbTradesBinance[[#This Row],[Preço]])),Z164)-IF(TbTradesBinance[[#This Row],[Moeda da Taxa]]=MID(Z$1,9,5),TbTradesBinance[[#This Row],[Taxa]],0),8)))</f>
        <v>0</v>
      </c>
      <c r="AA165" s="145" cm="1">
        <f t="array" ref="AA165">IF(TbTradesBinance[[#This Row],[Tipo]]="EMPTY",0,AA164+IF(TbTradesBinance[[#This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Row],[Par]]))),$1:$1,0)),-(Z164-Z165)/Z164*AA164),0),0)+IF(TbTradesBinance[[#This Row],[Tipo]]="SELL",IF(ISNUMBER(FIND(MID(AA$1,10,5),TbTradesBinance[[#This Row],[Par]])),IF(FIND(MID(AA$1,10,5),TbTradesBinance[[#This Row],[Par]])=1, -(Z164-Z165)/Z164*AA164,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Row],[Par]])),(-(Z164-Z165)/Z164*AA164)+IF(TbTradesBinance[[#This Row],[Resultado]]&gt;0,0,TbTradesBinance[[#This Row],[Taxa]]),0),0))</f>
        <v>0</v>
      </c>
      <c r="AB165" s="145">
        <f t="shared" si="43"/>
        <v>0</v>
      </c>
      <c r="AC16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Row],[Tipo]]="DROP"),AC164+TbTradesBinance[[#This Row],[Qtt]],AC164-TbTradesBinance[[#This Row],[Qtt]]),IF(TbTradesBinance[[#This Row],[Tipo]]="BUY",AC164-TbTradesBinance[[#This Row],[Qtt]]*TbTradesBinance[[#This Row],[Preço]],AC164+TbTradesBinance[[#This Row],[Qtt]]*TbTradesBinance[[#This Row],[Preço]])),AC164)-IF(TbTradesBinance[[#This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Row],[Tipo]]="DROP"),AC164+TbTradesBinance[[#This Row],[Qtt]],AC164-TbTradesBinance[[#This Row],[Qtt]]),IF(TbTradesBinance[[#This Row],[Tipo]]="BUY",AC164-TbTradesBinance[[#This Row],[Qtt]]*TbTradesBinance[[#This Row],[Preço]],AC164+TbTradesBinance[[#This Row],[Qtt]]*TbTradesBinance[[#This Row],[Preço]])),AC164)-IF(TbTradesBinance[[#This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Row],[Tipo]]="DROP"),AC164+TbTradesBinance[[#This Row],[Qtt]],AC164-TbTradesBinance[[#This Row],[Qtt]]),IF(TbTradesBinance[[#This Row],[Tipo]]="BUY",AC164-TbTradesBinance[[#This Row],[Qtt]]*TbTradesBinance[[#This Row],[Preço]],AC164+TbTradesBinance[[#This Row],[Qtt]]*TbTradesBinance[[#This Row],[Preço]])),AC164)-IF(TbTradesBinance[[#This Row],[Moeda da Taxa]]=MID(AC$1,9,5),TbTradesBinance[[#This Row],[Taxa]],0),8)))</f>
        <v>0</v>
      </c>
      <c r="AD165" s="145" cm="1">
        <f t="array" ref="AD165">IF(TbTradesBinance[[#This Row],[Tipo]]="EMPTY",0,AD164+IF(TbTradesBinance[[#This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Row],[Par]]))),$1:$1,0)),-(AC164-AC165)/AC164*AD164),0),0)+IF(TbTradesBinance[[#This Row],[Tipo]]="SELL",IF(ISNUMBER(FIND(MID(AD$1,10,5),TbTradesBinance[[#This Row],[Par]])),IF(FIND(MID(AD$1,10,5),TbTradesBinance[[#This Row],[Par]])=1, -(AC164-AC165)/AC164*AD164,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Row],[Par]])),(-(AC164-AC165)/AC164*AD164)+IF(TbTradesBinance[[#This Row],[Resultado]]&gt;0,0,TbTradesBinance[[#This Row],[Taxa]]),0),0))</f>
        <v>0</v>
      </c>
      <c r="AE165" s="145">
        <f t="shared" si="44"/>
        <v>0</v>
      </c>
      <c r="AF16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Row],[Tipo]]="DROP"),AF164+TbTradesBinance[[#This Row],[Qtt]],AF164-TbTradesBinance[[#This Row],[Qtt]]),IF(TbTradesBinance[[#This Row],[Tipo]]="BUY",AF164-TbTradesBinance[[#This Row],[Qtt]]*TbTradesBinance[[#This Row],[Preço]],AF164+TbTradesBinance[[#This Row],[Qtt]]*TbTradesBinance[[#This Row],[Preço]])),AF164)-IF(TbTradesBinance[[#This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Row],[Tipo]]="DROP"),AF164+TbTradesBinance[[#This Row],[Qtt]],AF164-TbTradesBinance[[#This Row],[Qtt]]),IF(TbTradesBinance[[#This Row],[Tipo]]="BUY",AF164-TbTradesBinance[[#This Row],[Qtt]]*TbTradesBinance[[#This Row],[Preço]],AF164+TbTradesBinance[[#This Row],[Qtt]]*TbTradesBinance[[#This Row],[Preço]])),AF164)-IF(TbTradesBinance[[#This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Row],[Tipo]]="DROP"),AF164+TbTradesBinance[[#This Row],[Qtt]],AF164-TbTradesBinance[[#This Row],[Qtt]]),IF(TbTradesBinance[[#This Row],[Tipo]]="BUY",AF164-TbTradesBinance[[#This Row],[Qtt]]*TbTradesBinance[[#This Row],[Preço]],AF164+TbTradesBinance[[#This Row],[Qtt]]*TbTradesBinance[[#This Row],[Preço]])),AF164)-IF(TbTradesBinance[[#This Row],[Moeda da Taxa]]=MID(AF$1,9,5),TbTradesBinance[[#This Row],[Taxa]],0),8)))</f>
        <v>0</v>
      </c>
      <c r="AG165" s="145" cm="1">
        <f t="array" ref="AG165">IF(TbTradesBinance[[#This Row],[Tipo]]="EMPTY",0,AG164+IF(TbTradesBinance[[#This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Row],[Par]]))),$1:$1,0)),-(AF164-AF165)/AF164*AG164),0),0)+IF(TbTradesBinance[[#This Row],[Tipo]]="SELL",IF(ISNUMBER(FIND(MID(AG$1,10,5),TbTradesBinance[[#This Row],[Par]])),IF(FIND(MID(AG$1,10,5),TbTradesBinance[[#This Row],[Par]])=1, -(AF164-AF165)/AF164*AG164,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Row],[Par]])),(-(AF164-AF165)/AF164*AG164)+IF(TbTradesBinance[[#This Row],[Resultado]]&gt;0,0,TbTradesBinance[[#This Row],[Taxa]]),0),0))</f>
        <v>0</v>
      </c>
      <c r="AH165" s="145">
        <f t="shared" si="45"/>
        <v>0</v>
      </c>
      <c r="AI16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Row],[Tipo]]="DROP"),AI164+TbTradesBinance[[#This Row],[Qtt]],AI164-TbTradesBinance[[#This Row],[Qtt]]),IF(TbTradesBinance[[#This Row],[Tipo]]="BUY",AI164-TbTradesBinance[[#This Row],[Qtt]]*TbTradesBinance[[#This Row],[Preço]],AI164+TbTradesBinance[[#This Row],[Qtt]]*TbTradesBinance[[#This Row],[Preço]])),AI164)-IF(TbTradesBinance[[#This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Row],[Tipo]]="DROP"),AI164+TbTradesBinance[[#This Row],[Qtt]],AI164-TbTradesBinance[[#This Row],[Qtt]]),IF(TbTradesBinance[[#This Row],[Tipo]]="BUY",AI164-TbTradesBinance[[#This Row],[Qtt]]*TbTradesBinance[[#This Row],[Preço]],AI164+TbTradesBinance[[#This Row],[Qtt]]*TbTradesBinance[[#This Row],[Preço]])),AI164)-IF(TbTradesBinance[[#This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Row],[Tipo]]="DROP"),AI164+TbTradesBinance[[#This Row],[Qtt]],AI164-TbTradesBinance[[#This Row],[Qtt]]),IF(TbTradesBinance[[#This Row],[Tipo]]="BUY",AI164-TbTradesBinance[[#This Row],[Qtt]]*TbTradesBinance[[#This Row],[Preço]],AI164+TbTradesBinance[[#This Row],[Qtt]]*TbTradesBinance[[#This Row],[Preço]])),AI164)-IF(TbTradesBinance[[#This Row],[Moeda da Taxa]]=MID(AI$1,9,5),TbTradesBinance[[#This Row],[Taxa]],0),8)))</f>
        <v>0</v>
      </c>
      <c r="AJ165" s="145" cm="1">
        <f t="array" ref="AJ165">IF(TbTradesBinance[[#This Row],[Tipo]]="EMPTY",0,AJ164+IF(TbTradesBinance[[#This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Row],[Par]]))),$1:$1,0)),-(AI164-AI165)/AI164*AJ164),0),0)+IF(TbTradesBinance[[#This Row],[Tipo]]="SELL",IF(ISNUMBER(FIND(MID(AJ$1,10,5),TbTradesBinance[[#This Row],[Par]])),IF(FIND(MID(AJ$1,10,5),TbTradesBinance[[#This Row],[Par]])=1, -(AI164-AI165)/AI164*AJ164,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Row],[Par]])),(-(AI164-AI165)/AI164*AJ164)+IF(TbTradesBinance[[#This Row],[Resultado]]&gt;0,0,TbTradesBinance[[#This Row],[Taxa]]),0),0))</f>
        <v>0</v>
      </c>
      <c r="AK165" s="145">
        <f t="shared" si="46"/>
        <v>0</v>
      </c>
      <c r="AL16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Row],[Tipo]]="DROP"),AL164+TbTradesBinance[[#This Row],[Qtt]],AL164-TbTradesBinance[[#This Row],[Qtt]]),IF(TbTradesBinance[[#This Row],[Tipo]]="BUY",AL164-TbTradesBinance[[#This Row],[Qtt]]*TbTradesBinance[[#This Row],[Preço]],AL164+TbTradesBinance[[#This Row],[Qtt]]*TbTradesBinance[[#This Row],[Preço]])),AL164)-IF(TbTradesBinance[[#This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Row],[Tipo]]="DROP"),AL164+TbTradesBinance[[#This Row],[Qtt]],AL164-TbTradesBinance[[#This Row],[Qtt]]),IF(TbTradesBinance[[#This Row],[Tipo]]="BUY",AL164-TbTradesBinance[[#This Row],[Qtt]]*TbTradesBinance[[#This Row],[Preço]],AL164+TbTradesBinance[[#This Row],[Qtt]]*TbTradesBinance[[#This Row],[Preço]])),AL164)-IF(TbTradesBinance[[#This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Row],[Tipo]]="DROP"),AL164+TbTradesBinance[[#This Row],[Qtt]],AL164-TbTradesBinance[[#This Row],[Qtt]]),IF(TbTradesBinance[[#This Row],[Tipo]]="BUY",AL164-TbTradesBinance[[#This Row],[Qtt]]*TbTradesBinance[[#This Row],[Preço]],AL164+TbTradesBinance[[#This Row],[Qtt]]*TbTradesBinance[[#This Row],[Preço]])),AL164)-IF(TbTradesBinance[[#This Row],[Moeda da Taxa]]=MID(AL$1,9,5),TbTradesBinance[[#This Row],[Taxa]],0),8)))</f>
        <v>0</v>
      </c>
      <c r="AM165" s="145" cm="1">
        <f t="array" ref="AM165">IF(TbTradesBinance[[#This Row],[Tipo]]="EMPTY",0,AM164+IF(TbTradesBinance[[#This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Row],[Par]]))),$1:$1,0)),-(AL164-AL165)/AL164*AM164),0),0)+IF(TbTradesBinance[[#This Row],[Tipo]]="SELL",IF(ISNUMBER(FIND(MID(AM$1,10,5),TbTradesBinance[[#This Row],[Par]])),IF(FIND(MID(AM$1,10,5),TbTradesBinance[[#This Row],[Par]])=1, -(AL164-AL165)/AL164*AM164,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Row],[Par]])),(-(AL164-AL165)/AL164*AM164)+IF(TbTradesBinance[[#This Row],[Resultado]]&gt;0,0,TbTradesBinance[[#This Row],[Taxa]]),0),0))</f>
        <v>0</v>
      </c>
      <c r="AN165" s="145">
        <f t="shared" si="47"/>
        <v>0</v>
      </c>
      <c r="AO16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Row],[Tipo]]="DROP"),AO164+TbTradesBinance[[#This Row],[Qtt]],AO164-TbTradesBinance[[#This Row],[Qtt]]),IF(TbTradesBinance[[#This Row],[Tipo]]="BUY",AO164-TbTradesBinance[[#This Row],[Qtt]]*TbTradesBinance[[#This Row],[Preço]],AO164+TbTradesBinance[[#This Row],[Qtt]]*TbTradesBinance[[#This Row],[Preço]])),AO164)-IF(TbTradesBinance[[#This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Row],[Tipo]]="DROP"),AO164+TbTradesBinance[[#This Row],[Qtt]],AO164-TbTradesBinance[[#This Row],[Qtt]]),IF(TbTradesBinance[[#This Row],[Tipo]]="BUY",AO164-TbTradesBinance[[#This Row],[Qtt]]*TbTradesBinance[[#This Row],[Preço]],AO164+TbTradesBinance[[#This Row],[Qtt]]*TbTradesBinance[[#This Row],[Preço]])),AO164)-IF(TbTradesBinance[[#This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Row],[Tipo]]="DROP"),AO164+TbTradesBinance[[#This Row],[Qtt]],AO164-TbTradesBinance[[#This Row],[Qtt]]),IF(TbTradesBinance[[#This Row],[Tipo]]="BUY",AO164-TbTradesBinance[[#This Row],[Qtt]]*TbTradesBinance[[#This Row],[Preço]],AO164+TbTradesBinance[[#This Row],[Qtt]]*TbTradesBinance[[#This Row],[Preço]])),AO164)-IF(TbTradesBinance[[#This Row],[Moeda da Taxa]]=MID(AO$1,9,5),TbTradesBinance[[#This Row],[Taxa]],0),8)))</f>
        <v>3.8369519999999997E-2</v>
      </c>
      <c r="AP165" s="145" cm="1">
        <f t="array" ref="AP165">IF(TbTradesBinance[[#This Row],[Tipo]]="EMPTY",0,AP164+IF(TbTradesBinance[[#This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Row],[Par]]))),$1:$1,0)),-(AO164-AO165)/AO164*AP164),0),0)+IF(TbTradesBinance[[#This Row],[Tipo]]="SELL",IF(ISNUMBER(FIND(MID(AP$1,10,5),TbTradesBinance[[#This Row],[Par]])),IF(FIND(MID(AP$1,10,5),TbTradesBinance[[#This Row],[Par]])=1, -(AO164-AO165)/AO164*AP164,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Row],[Par]])),(-(AO164-AO165)/AO164*AP164)+IF(TbTradesBinance[[#This Row],[Resultado]]&gt;0,0,TbTradesBinance[[#This Row],[Taxa]]),0),0))</f>
        <v>60.206578718772462</v>
      </c>
      <c r="AQ165" s="145">
        <f t="shared" si="48"/>
        <v>1569.1251472203057</v>
      </c>
      <c r="AR16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Row],[Tipo]]="DROP"),AR164+TbTradesBinance[[#This Row],[Qtt]],AR164-TbTradesBinance[[#This Row],[Qtt]]),IF(TbTradesBinance[[#This Row],[Tipo]]="BUY",AR164-TbTradesBinance[[#This Row],[Qtt]]*TbTradesBinance[[#This Row],[Preço]],AR164+TbTradesBinance[[#This Row],[Qtt]]*TbTradesBinance[[#This Row],[Preço]])),AR164)-IF(TbTradesBinance[[#This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Row],[Tipo]]="DROP"),AR164+TbTradesBinance[[#This Row],[Qtt]],AR164-TbTradesBinance[[#This Row],[Qtt]]),IF(TbTradesBinance[[#This Row],[Tipo]]="BUY",AR164-TbTradesBinance[[#This Row],[Qtt]]*TbTradesBinance[[#This Row],[Preço]],AR164+TbTradesBinance[[#This Row],[Qtt]]*TbTradesBinance[[#This Row],[Preço]])),AR164)-IF(TbTradesBinance[[#This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Row],[Tipo]]="DROP"),AR164+TbTradesBinance[[#This Row],[Qtt]],AR164-TbTradesBinance[[#This Row],[Qtt]]),IF(TbTradesBinance[[#This Row],[Tipo]]="BUY",AR164-TbTradesBinance[[#This Row],[Qtt]]*TbTradesBinance[[#This Row],[Preço]],AR164+TbTradesBinance[[#This Row],[Qtt]]*TbTradesBinance[[#This Row],[Preço]])),AR164)-IF(TbTradesBinance[[#This Row],[Moeda da Taxa]]=MID(AR$1,9,5),TbTradesBinance[[#This Row],[Taxa]],0),8)))</f>
        <v>0</v>
      </c>
      <c r="AS165" s="145" cm="1">
        <f t="array" ref="AS165">IF(TbTradesBinance[[#This Row],[Tipo]]="EMPTY",0,AS164+IF(TbTradesBinance[[#This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Row],[Par]]))),$1:$1,0)),-(AR164-AR165)/AR164*AS164),0),0)+IF(TbTradesBinance[[#This Row],[Tipo]]="SELL",IF(ISNUMBER(FIND(MID(AS$1,10,5),TbTradesBinance[[#This Row],[Par]])),IF(FIND(MID(AS$1,10,5),TbTradesBinance[[#This Row],[Par]])=1, -(AR164-AR165)/AR164*AS164,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Row],[Par]])),(-(AR164-AR165)/AR164*AS164)+IF(TbTradesBinance[[#This Row],[Resultado]]&gt;0,0,TbTradesBinance[[#This Row],[Taxa]]),0),0))</f>
        <v>0</v>
      </c>
      <c r="AT165" s="145">
        <f t="shared" si="49"/>
        <v>0</v>
      </c>
      <c r="AU16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Row],[Tipo]]="DROP"),AU164+TbTradesBinance[[#This Row],[Qtt]],AU164-TbTradesBinance[[#This Row],[Qtt]]),IF(TbTradesBinance[[#This Row],[Tipo]]="BUY",AU164-TbTradesBinance[[#This Row],[Qtt]]*TbTradesBinance[[#This Row],[Preço]],AU164+TbTradesBinance[[#This Row],[Qtt]]*TbTradesBinance[[#This Row],[Preço]])),AU164)-IF(TbTradesBinance[[#This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Row],[Tipo]]="DROP"),AU164+TbTradesBinance[[#This Row],[Qtt]],AU164-TbTradesBinance[[#This Row],[Qtt]]),IF(TbTradesBinance[[#This Row],[Tipo]]="BUY",AU164-TbTradesBinance[[#This Row],[Qtt]]*TbTradesBinance[[#This Row],[Preço]],AU164+TbTradesBinance[[#This Row],[Qtt]]*TbTradesBinance[[#This Row],[Preço]])),AU164)-IF(TbTradesBinance[[#This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Row],[Tipo]]="DROP"),AU164+TbTradesBinance[[#This Row],[Qtt]],AU164-TbTradesBinance[[#This Row],[Qtt]]),IF(TbTradesBinance[[#This Row],[Tipo]]="BUY",AU164-TbTradesBinance[[#This Row],[Qtt]]*TbTradesBinance[[#This Row],[Preço]],AU164+TbTradesBinance[[#This Row],[Qtt]]*TbTradesBinance[[#This Row],[Preço]])),AU164)-IF(TbTradesBinance[[#This Row],[Moeda da Taxa]]=MID(AU$1,9,5),TbTradesBinance[[#This Row],[Taxa]],0),8)))</f>
        <v>0.51</v>
      </c>
      <c r="AV165" s="145" cm="1">
        <f t="array" ref="AV165">IF(TbTradesBinance[[#This Row],[Tipo]]="EMPTY",0,AV164+IF(TbTradesBinance[[#This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Row],[Par]]))),$1:$1,0)),-(AU164-AU165)/AU164*AV164),0),0)+IF(TbTradesBinance[[#This Row],[Tipo]]="SELL",IF(ISNUMBER(FIND(MID(AV$1,10,5),TbTradesBinance[[#This Row],[Par]])),IF(FIND(MID(AV$1,10,5),TbTradesBinance[[#This Row],[Par]])=1, -(AU164-AU165)/AU164*AV164,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Row],[Par]])),(-(AU164-AU165)/AU164*AV164)+IF(TbTradesBinance[[#This Row],[Resultado]]&gt;0,0,TbTradesBinance[[#This Row],[Taxa]]),0),0))</f>
        <v>95.466693037374753</v>
      </c>
      <c r="AW165" s="145">
        <f t="shared" si="50"/>
        <v>187.18959419093088</v>
      </c>
      <c r="AX16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Row],[Tipo]]="DROP"),AX164+TbTradesBinance[[#This Row],[Qtt]],AX164-TbTradesBinance[[#This Row],[Qtt]]),IF(TbTradesBinance[[#This Row],[Tipo]]="BUY",AX164-TbTradesBinance[[#This Row],[Qtt]]*TbTradesBinance[[#This Row],[Preço]],AX164+TbTradesBinance[[#This Row],[Qtt]]*TbTradesBinance[[#This Row],[Preço]])),AX164)-IF(TbTradesBinance[[#This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Row],[Tipo]]="DROP"),AX164+TbTradesBinance[[#This Row],[Qtt]],AX164-TbTradesBinance[[#This Row],[Qtt]]),IF(TbTradesBinance[[#This Row],[Tipo]]="BUY",AX164-TbTradesBinance[[#This Row],[Qtt]]*TbTradesBinance[[#This Row],[Preço]],AX164+TbTradesBinance[[#This Row],[Qtt]]*TbTradesBinance[[#This Row],[Preço]])),AX164)-IF(TbTradesBinance[[#This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Row],[Tipo]]="DROP"),AX164+TbTradesBinance[[#This Row],[Qtt]],AX164-TbTradesBinance[[#This Row],[Qtt]]),IF(TbTradesBinance[[#This Row],[Tipo]]="BUY",AX164-TbTradesBinance[[#This Row],[Qtt]]*TbTradesBinance[[#This Row],[Preço]],AX164+TbTradesBinance[[#This Row],[Qtt]]*TbTradesBinance[[#This Row],[Preço]])),AX164)-IF(TbTradesBinance[[#This Row],[Moeda da Taxa]]=MID(AX$1,9,5),TbTradesBinance[[#This Row],[Taxa]],0),8)))</f>
        <v>0.53737999999999997</v>
      </c>
      <c r="AY165" s="145" cm="1">
        <f t="array" ref="AY165">IF(TbTradesBinance[[#This Row],[Tipo]]="EMPTY",0,AY164+IF(TbTradesBinance[[#This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Row],[Par]]))),$1:$1,0)),-(AX164-AX165)/AX164*AY164),0),0)+IF(TbTradesBinance[[#This Row],[Tipo]]="SELL",IF(ISNUMBER(FIND(MID(AY$1,10,5),TbTradesBinance[[#This Row],[Par]])),IF(FIND(MID(AY$1,10,5),TbTradesBinance[[#This Row],[Par]])=1, -(AX164-AX165)/AX164*AY164,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Row],[Par]])),(-(AX164-AX165)/AX164*AY164)+IF(TbTradesBinance[[#This Row],[Resultado]]&gt;0,0,TbTradesBinance[[#This Row],[Taxa]]),0),0))</f>
        <v>100.4197840540867</v>
      </c>
      <c r="AZ165" s="145">
        <f t="shared" si="51"/>
        <v>186.869224857804</v>
      </c>
      <c r="BA16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Row],[Tipo]]="DROP"),BA164+TbTradesBinance[[#This Row],[Qtt]],BA164-TbTradesBinance[[#This Row],[Qtt]]),IF(TbTradesBinance[[#This Row],[Tipo]]="BUY",BA164-TbTradesBinance[[#This Row],[Qtt]]*TbTradesBinance[[#This Row],[Preço]],BA164+TbTradesBinance[[#This Row],[Qtt]]*TbTradesBinance[[#This Row],[Preço]])),BA164)-IF(TbTradesBinance[[#This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Row],[Tipo]]="DROP"),BA164+TbTradesBinance[[#This Row],[Qtt]],BA164-TbTradesBinance[[#This Row],[Qtt]]),IF(TbTradesBinance[[#This Row],[Tipo]]="BUY",BA164-TbTradesBinance[[#This Row],[Qtt]]*TbTradesBinance[[#This Row],[Preço]],BA164+TbTradesBinance[[#This Row],[Qtt]]*TbTradesBinance[[#This Row],[Preço]])),BA164)-IF(TbTradesBinance[[#This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Row],[Tipo]]="DROP"),BA164+TbTradesBinance[[#This Row],[Qtt]],BA164-TbTradesBinance[[#This Row],[Qtt]]),IF(TbTradesBinance[[#This Row],[Tipo]]="BUY",BA164-TbTradesBinance[[#This Row],[Qtt]]*TbTradesBinance[[#This Row],[Preço]],BA164+TbTradesBinance[[#This Row],[Qtt]]*TbTradesBinance[[#This Row],[Preço]])),BA164)-IF(TbTradesBinance[[#This Row],[Moeda da Taxa]]=MID(BA$1,9,5),TbTradesBinance[[#This Row],[Taxa]],0),8)))</f>
        <v>0</v>
      </c>
      <c r="BB165" s="145" cm="1">
        <f t="array" ref="BB165">IF(TbTradesBinance[[#This Row],[Tipo]]="EMPTY",0,BB164+IF(TbTradesBinance[[#This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Row],[Par]]))),$1:$1,0)),-(BA164-BA165)/BA164*BB164),0),0)+IF(TbTradesBinance[[#This Row],[Tipo]]="SELL",IF(ISNUMBER(FIND(MID(BB$1,10,5),TbTradesBinance[[#This Row],[Par]])),IF(FIND(MID(BB$1,10,5),TbTradesBinance[[#This Row],[Par]])=1, -(BA164-BA165)/BA164*BB164,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Row],[Par]])),(-(BA164-BA165)/BA164*BB164)+IF(TbTradesBinance[[#This Row],[Resultado]]&gt;0,0,TbTradesBinance[[#This Row],[Taxa]]),0),0))</f>
        <v>0</v>
      </c>
      <c r="BC165" s="145">
        <f t="shared" si="52"/>
        <v>0</v>
      </c>
      <c r="BD16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Row],[Tipo]]="DROP"),BD164+TbTradesBinance[[#This Row],[Qtt]],BD164-TbTradesBinance[[#This Row],[Qtt]]),IF(TbTradesBinance[[#This Row],[Tipo]]="BUY",BD164-TbTradesBinance[[#This Row],[Qtt]]*TbTradesBinance[[#This Row],[Preço]],BD164+TbTradesBinance[[#This Row],[Qtt]]*TbTradesBinance[[#This Row],[Preço]])),BD164)-IF(TbTradesBinance[[#This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Row],[Tipo]]="DROP"),BD164+TbTradesBinance[[#This Row],[Qtt]],BD164-TbTradesBinance[[#This Row],[Qtt]]),IF(TbTradesBinance[[#This Row],[Tipo]]="BUY",BD164-TbTradesBinance[[#This Row],[Qtt]]*TbTradesBinance[[#This Row],[Preço]],BD164+TbTradesBinance[[#This Row],[Qtt]]*TbTradesBinance[[#This Row],[Preço]])),BD164)-IF(TbTradesBinance[[#This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Row],[Tipo]]="DROP"),BD164+TbTradesBinance[[#This Row],[Qtt]],BD164-TbTradesBinance[[#This Row],[Qtt]]),IF(TbTradesBinance[[#This Row],[Tipo]]="BUY",BD164-TbTradesBinance[[#This Row],[Qtt]]*TbTradesBinance[[#This Row],[Preço]],BD164+TbTradesBinance[[#This Row],[Qtt]]*TbTradesBinance[[#This Row],[Preço]])),BD164)-IF(TbTradesBinance[[#This Row],[Moeda da Taxa]]=MID(BD$1,9,5),TbTradesBinance[[#This Row],[Taxa]],0),8)))</f>
        <v>0</v>
      </c>
      <c r="BE165" s="145" cm="1">
        <f t="array" ref="BE165">IF(TbTradesBinance[[#This Row],[Tipo]]="EMPTY",0,BE164+IF(TbTradesBinance[[#This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Row],[Par]]))),$1:$1,0)),-(BD164-BD165)/BD164*BE164),0),0)+IF(TbTradesBinance[[#This Row],[Tipo]]="SELL",IF(ISNUMBER(FIND(MID(BE$1,10,5),TbTradesBinance[[#This Row],[Par]])),IF(FIND(MID(BE$1,10,5),TbTradesBinance[[#This Row],[Par]])=1, -(BD164-BD165)/BD164*BE164,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Row],[Par]])),(-(BD164-BD165)/BD164*BE164)+IF(TbTradesBinance[[#This Row],[Resultado]]&gt;0,0,TbTradesBinance[[#This Row],[Taxa]]),0),0))</f>
        <v>0</v>
      </c>
      <c r="BF165" s="145">
        <f t="shared" si="53"/>
        <v>0</v>
      </c>
      <c r="BG16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Row],[Tipo]]="DROP"),BG164+TbTradesBinance[[#This Row],[Qtt]],BG164-TbTradesBinance[[#This Row],[Qtt]]),IF(TbTradesBinance[[#This Row],[Tipo]]="BUY",BG164-TbTradesBinance[[#This Row],[Qtt]]*TbTradesBinance[[#This Row],[Preço]],BG164+TbTradesBinance[[#This Row],[Qtt]]*TbTradesBinance[[#This Row],[Preço]])),BG164)-IF(TbTradesBinance[[#This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Row],[Tipo]]="DROP"),BG164+TbTradesBinance[[#This Row],[Qtt]],BG164-TbTradesBinance[[#This Row],[Qtt]]),IF(TbTradesBinance[[#This Row],[Tipo]]="BUY",BG164-TbTradesBinance[[#This Row],[Qtt]]*TbTradesBinance[[#This Row],[Preço]],BG164+TbTradesBinance[[#This Row],[Qtt]]*TbTradesBinance[[#This Row],[Preço]])),BG164)-IF(TbTradesBinance[[#This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Row],[Tipo]]="DROP"),BG164+TbTradesBinance[[#This Row],[Qtt]],BG164-TbTradesBinance[[#This Row],[Qtt]]),IF(TbTradesBinance[[#This Row],[Tipo]]="BUY",BG164-TbTradesBinance[[#This Row],[Qtt]]*TbTradesBinance[[#This Row],[Preço]],BG164+TbTradesBinance[[#This Row],[Qtt]]*TbTradesBinance[[#This Row],[Preço]])),BG164)-IF(TbTradesBinance[[#This Row],[Moeda da Taxa]]=MID(BG$1,9,5),TbTradesBinance[[#This Row],[Taxa]],0),8)))</f>
        <v>0</v>
      </c>
      <c r="BH165" s="145" cm="1">
        <f t="array" ref="BH165">IF(TbTradesBinance[[#This Row],[Tipo]]="EMPTY",0,BH164+IF(TbTradesBinance[[#This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Row],[Par]]))),$1:$1,0)),-(BG164-BG165)/BG164*BH164),0),0)+IF(TbTradesBinance[[#This Row],[Tipo]]="SELL",IF(ISNUMBER(FIND(MID(BH$1,10,5),TbTradesBinance[[#This Row],[Par]])),IF(FIND(MID(BH$1,10,5),TbTradesBinance[[#This Row],[Par]])=1, -(BG164-BG165)/BG164*BH164,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Row],[Par]])),(-(BG164-BG165)/BG164*BH164)+IF(TbTradesBinance[[#This Row],[Resultado]]&gt;0,0,TbTradesBinance[[#This Row],[Taxa]]),0),0))</f>
        <v>0</v>
      </c>
      <c r="BI165" s="145">
        <f t="shared" si="54"/>
        <v>0</v>
      </c>
      <c r="BJ16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Row],[Tipo]]="DROP"),BJ164+TbTradesBinance[[#This Row],[Qtt]],BJ164-TbTradesBinance[[#This Row],[Qtt]]),IF(TbTradesBinance[[#This Row],[Tipo]]="BUY",BJ164-TbTradesBinance[[#This Row],[Qtt]]*TbTradesBinance[[#This Row],[Preço]],BJ164+TbTradesBinance[[#This Row],[Qtt]]*TbTradesBinance[[#This Row],[Preço]])),BJ164)-IF(TbTradesBinance[[#This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Row],[Tipo]]="DROP"),BJ164+TbTradesBinance[[#This Row],[Qtt]],BJ164-TbTradesBinance[[#This Row],[Qtt]]),IF(TbTradesBinance[[#This Row],[Tipo]]="BUY",BJ164-TbTradesBinance[[#This Row],[Qtt]]*TbTradesBinance[[#This Row],[Preço]],BJ164+TbTradesBinance[[#This Row],[Qtt]]*TbTradesBinance[[#This Row],[Preço]])),BJ164)-IF(TbTradesBinance[[#This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Row],[Tipo]]="DROP"),BJ164+TbTradesBinance[[#This Row],[Qtt]],BJ164-TbTradesBinance[[#This Row],[Qtt]]),IF(TbTradesBinance[[#This Row],[Tipo]]="BUY",BJ164-TbTradesBinance[[#This Row],[Qtt]]*TbTradesBinance[[#This Row],[Preço]],BJ164+TbTradesBinance[[#This Row],[Qtt]]*TbTradesBinance[[#This Row],[Preço]])),BJ164)-IF(TbTradesBinance[[#This Row],[Moeda da Taxa]]=MID(BJ$1,9,5),TbTradesBinance[[#This Row],[Taxa]],0),8)))</f>
        <v>0</v>
      </c>
      <c r="BK165" s="145" cm="1">
        <f t="array" ref="BK165">IF(TbTradesBinance[[#This Row],[Tipo]]="EMPTY",0,BK164+IF(TbTradesBinance[[#This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Row],[Par]]))),$1:$1,0)),-(BJ164-BJ165)/BJ164*BK164),0),0)+IF(TbTradesBinance[[#This Row],[Tipo]]="SELL",IF(ISNUMBER(FIND(MID(BK$1,10,5),TbTradesBinance[[#This Row],[Par]])),IF(FIND(MID(BK$1,10,5),TbTradesBinance[[#This Row],[Par]])=1, -(BJ164-BJ165)/BJ164*BK164,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Row],[Par]])),(-(BJ164-BJ165)/BJ164*BK164)+IF(TbTradesBinance[[#This Row],[Resultado]]&gt;0,0,TbTradesBinance[[#This Row],[Taxa]]),0),0))</f>
        <v>0</v>
      </c>
      <c r="BL165" s="145">
        <f t="shared" si="55"/>
        <v>0</v>
      </c>
      <c r="BM16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Row],[Tipo]]="DROP"),BM164+TbTradesBinance[[#This Row],[Qtt]],BM164-TbTradesBinance[[#This Row],[Qtt]]),IF(TbTradesBinance[[#This Row],[Tipo]]="BUY",BM164-TbTradesBinance[[#This Row],[Qtt]]*TbTradesBinance[[#This Row],[Preço]],BM164+TbTradesBinance[[#This Row],[Qtt]]*TbTradesBinance[[#This Row],[Preço]])),BM164)-IF(TbTradesBinance[[#This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Row],[Tipo]]="DROP"),BM164+TbTradesBinance[[#This Row],[Qtt]],BM164-TbTradesBinance[[#This Row],[Qtt]]),IF(TbTradesBinance[[#This Row],[Tipo]]="BUY",BM164-TbTradesBinance[[#This Row],[Qtt]]*TbTradesBinance[[#This Row],[Preço]],BM164+TbTradesBinance[[#This Row],[Qtt]]*TbTradesBinance[[#This Row],[Preço]])),BM164)-IF(TbTradesBinance[[#This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Row],[Tipo]]="DROP"),BM164+TbTradesBinance[[#This Row],[Qtt]],BM164-TbTradesBinance[[#This Row],[Qtt]]),IF(TbTradesBinance[[#This Row],[Tipo]]="BUY",BM164-TbTradesBinance[[#This Row],[Qtt]]*TbTradesBinance[[#This Row],[Preço]],BM164+TbTradesBinance[[#This Row],[Qtt]]*TbTradesBinance[[#This Row],[Preço]])),BM164)-IF(TbTradesBinance[[#This Row],[Moeda da Taxa]]=MID(BM$1,9,5),TbTradesBinance[[#This Row],[Taxa]],0),8)))</f>
        <v>8.213289E-2</v>
      </c>
      <c r="BN165" s="145" cm="1">
        <f t="array" ref="BN165">IF(TbTradesBinance[[#This Row],[Tipo]]="EMPTY",0,BN164+IF(TbTradesBinance[[#This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Row],[Par]]))),$1:$1,0)),-(BM164-BM165)/BM164*BN164),0),0)+IF(TbTradesBinance[[#This Row],[Tipo]]="SELL",IF(ISNUMBER(FIND(MID(BN$1,10,5),TbTradesBinance[[#This Row],[Par]])),IF(FIND(MID(BN$1,10,5),TbTradesBinance[[#This Row],[Par]])=1, -(BM164-BM165)/BM164*BN164,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Row],[Par]])),(-(BM164-BM165)/BM164*BN164)+IF(TbTradesBinance[[#This Row],[Resultado]]&gt;0,0,TbTradesBinance[[#This Row],[Taxa]]),0),0))</f>
        <v>0</v>
      </c>
      <c r="BO165" s="145">
        <f t="shared" si="56"/>
        <v>0</v>
      </c>
    </row>
    <row r="166" spans="2:67" x14ac:dyDescent="0.3">
      <c r="B166" s="51"/>
      <c r="C166" s="40">
        <f>TRUNC(IF(AND(TbTradesBinance[[#This Row],[Tipo]]="SEND",TbTradesBinance[[#This Row],[Par]]="BRL"),TbTradesBinance[[#This Row],[Qtt]]*(1-P164)-IF(TbTradesBinance[[#This Row],[Moeda da Taxa]]="BRL",TbTradesBinance[[#This Row],[Taxa]],0),0)+IF(AND(TbTradesBinance[[#This Row],[Tipo]]="BURN",TbTradesBinance[[#This Row],[Par]]="BRL"),-TbTradesBinance[[#This Row],[Qtt]]*P164,0),2)</f>
        <v>0</v>
      </c>
      <c r="D166" s="53">
        <v>44320.867152777777</v>
      </c>
      <c r="E166" s="37" t="s">
        <v>138</v>
      </c>
      <c r="F166" s="47" t="s">
        <v>139</v>
      </c>
      <c r="G166" s="38">
        <v>295343</v>
      </c>
      <c r="H166" s="38">
        <v>1.4999999999999999E-4</v>
      </c>
      <c r="I166" s="38">
        <v>9.8400000000000007E-6</v>
      </c>
      <c r="J166" s="37" t="s">
        <v>45</v>
      </c>
      <c r="K166" s="52">
        <v>1</v>
      </c>
      <c r="L166" s="40">
        <f t="shared" si="38"/>
        <v>295343</v>
      </c>
      <c r="M166" s="40">
        <f>IF(OR(TbTradesBinance[[#This Row],[Tipo]]="BUY",TbTradesBinance[[#This Row],[Tipo]]="RECEIVE",TbTradesBinance[[#This Row],[Tipo]]="DROP"),L166*H166,-L166*H166)</f>
        <v>44.301449999999996</v>
      </c>
      <c r="N16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Row],[Tipo]]="DROP"),N165+TbTradesBinance[[#This Row],[Qtt]],N165-TbTradesBinance[[#This Row],[Qtt]]),IF(TbTradesBinance[[#This Row],[Tipo]]="BUY",N165-TbTradesBinance[[#This Row],[Qtt]]*TbTradesBinance[[#This Row],[Preço]],N165+TbTradesBinance[[#This Row],[Qtt]]*TbTradesBinance[[#This Row],[Preço]])),N165)-IF(TbTradesBinance[[#This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Row],[Tipo]]="DROP"),N165+TbTradesBinance[[#This Row],[Qtt]],N165-TbTradesBinance[[#This Row],[Qtt]]),IF(TbTradesBinance[[#This Row],[Tipo]]="BUY",N165-TbTradesBinance[[#This Row],[Qtt]]*TbTradesBinance[[#This Row],[Preço]],N165+TbTradesBinance[[#This Row],[Qtt]]*TbTradesBinance[[#This Row],[Preço]])),N165)-IF(TbTradesBinance[[#This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Row],[Tipo]]="DROP"),N165+TbTradesBinance[[#This Row],[Qtt]],N165-TbTradesBinance[[#This Row],[Qtt]]),IF(TbTradesBinance[[#This Row],[Tipo]]="BUY",N165-TbTradesBinance[[#This Row],[Qtt]]*TbTradesBinance[[#This Row],[Preço]],N165+TbTradesBinance[[#This Row],[Qtt]]*TbTradesBinance[[#This Row],[Preço]])),N165)-IF(TbTradesBinance[[#This Row],[Moeda da Taxa]]=MID(N$1,9,5),TbTradesBinance[[#This Row],[Taxa]],0),8)))</f>
        <v>119745.56319999001</v>
      </c>
      <c r="O166" s="145" cm="1">
        <f t="array" ref="O166">IF(TbTradesBinance[[#This Row],[Tipo]]="EMPTY",0,O165+IF(TbTradesBinance[[#This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Row],[Par]]))),$1:$1,0)),-(N165-N166)/N165*O165),0),0)+IF(TbTradesBinance[[#This Row],[Tipo]]="SELL",IF(ISNUMBER(FIND(MID(O$1,10,5),TbTradesBinance[[#This Row],[Par]])),IF(FIND(MID(O$1,10,5),TbTradesBinance[[#This Row],[Par]])=1, -(N165-N166)/N165*O165,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Row],[Par]])),(-(N165-N166)/N165*O165)+IF(TbTradesBinance[[#This Row],[Resultado]]&gt;0,0,TbTradesBinance[[#This Row],[Taxa]]),0),0))</f>
        <v>119811.90582471275</v>
      </c>
      <c r="P166" s="145">
        <f t="shared" si="39"/>
        <v>1.0005540299193545</v>
      </c>
      <c r="Q16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Row],[Tipo]]="DROP"),Q165+TbTradesBinance[[#This Row],[Qtt]],Q165-TbTradesBinance[[#This Row],[Qtt]]),IF(TbTradesBinance[[#This Row],[Tipo]]="BUY",Q165-TbTradesBinance[[#This Row],[Qtt]]*TbTradesBinance[[#This Row],[Preço]],Q165+TbTradesBinance[[#This Row],[Qtt]]*TbTradesBinance[[#This Row],[Preço]])),Q165)-IF(TbTradesBinance[[#This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Row],[Tipo]]="DROP"),Q165+TbTradesBinance[[#This Row],[Qtt]],Q165-TbTradesBinance[[#This Row],[Qtt]]),IF(TbTradesBinance[[#This Row],[Tipo]]="BUY",Q165-TbTradesBinance[[#This Row],[Qtt]]*TbTradesBinance[[#This Row],[Preço]],Q165+TbTradesBinance[[#This Row],[Qtt]]*TbTradesBinance[[#This Row],[Preço]])),Q165)-IF(TbTradesBinance[[#This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Row],[Tipo]]="DROP"),Q165+TbTradesBinance[[#This Row],[Qtt]],Q165-TbTradesBinance[[#This Row],[Qtt]]),IF(TbTradesBinance[[#This Row],[Tipo]]="BUY",Q165-TbTradesBinance[[#This Row],[Qtt]]*TbTradesBinance[[#This Row],[Preço]],Q165+TbTradesBinance[[#This Row],[Qtt]]*TbTradesBinance[[#This Row],[Preço]])),Q165)-IF(TbTradesBinance[[#This Row],[Moeda da Taxa]]=MID(Q$1,9,5),TbTradesBinance[[#This Row],[Taxa]],0),8)))</f>
        <v>0</v>
      </c>
      <c r="R166" s="145" cm="1">
        <f t="array" ref="R166">IF(TbTradesBinance[[#This Row],[Tipo]]="EMPTY",0,R165+IF(TbTradesBinance[[#This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Row],[Par]]))),$1:$1,0)),-(Q165-Q166)/Q165*R165),0),0)+IF(TbTradesBinance[[#This Row],[Tipo]]="SELL",IF(ISNUMBER(FIND(MID(R$1,10,5),TbTradesBinance[[#This Row],[Par]])),IF(FIND(MID(R$1,10,5),TbTradesBinance[[#This Row],[Par]])=1, -(Q165-Q166)/Q165*R165,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Row],[Par]])),(-(Q165-Q166)/Q165*R165)+IF(TbTradesBinance[[#This Row],[Resultado]]&gt;0,0,TbTradesBinance[[#This Row],[Taxa]]),0),0))</f>
        <v>0</v>
      </c>
      <c r="S166" s="145">
        <f t="shared" si="40"/>
        <v>0</v>
      </c>
      <c r="T16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Row],[Tipo]]="DROP"),T165+TbTradesBinance[[#This Row],[Qtt]],T165-TbTradesBinance[[#This Row],[Qtt]]),IF(TbTradesBinance[[#This Row],[Tipo]]="BUY",T165-TbTradesBinance[[#This Row],[Qtt]]*TbTradesBinance[[#This Row],[Preço]],T165+TbTradesBinance[[#This Row],[Qtt]]*TbTradesBinance[[#This Row],[Preço]])),T165)-IF(TbTradesBinance[[#This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Row],[Tipo]]="DROP"),T165+TbTradesBinance[[#This Row],[Qtt]],T165-TbTradesBinance[[#This Row],[Qtt]]),IF(TbTradesBinance[[#This Row],[Tipo]]="BUY",T165-TbTradesBinance[[#This Row],[Qtt]]*TbTradesBinance[[#This Row],[Preço]],T165+TbTradesBinance[[#This Row],[Qtt]]*TbTradesBinance[[#This Row],[Preço]])),T165)-IF(TbTradesBinance[[#This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Row],[Tipo]]="DROP"),T165+TbTradesBinance[[#This Row],[Qtt]],T165-TbTradesBinance[[#This Row],[Qtt]]),IF(TbTradesBinance[[#This Row],[Tipo]]="BUY",T165-TbTradesBinance[[#This Row],[Qtt]]*TbTradesBinance[[#This Row],[Preço]],T165+TbTradesBinance[[#This Row],[Qtt]]*TbTradesBinance[[#This Row],[Preço]])),T165)-IF(TbTradesBinance[[#This Row],[Moeda da Taxa]]=MID(T$1,9,5),TbTradesBinance[[#This Row],[Taxa]],0),8)))</f>
        <v>219713.72000189999</v>
      </c>
      <c r="U166" s="145" cm="1">
        <f t="array" ref="U166">IF(TbTradesBinance[[#This Row],[Tipo]]="EMPTY",0,U165+IF(TbTradesBinance[[#This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Row],[Par]]))),$1:$1,0)),-(T165-T166)/T165*U165),0),0)+IF(TbTradesBinance[[#This Row],[Tipo]]="SELL",IF(ISNUMBER(FIND(MID(U$1,10,5),TbTradesBinance[[#This Row],[Par]])),IF(FIND(MID(U$1,10,5),TbTradesBinance[[#This Row],[Par]])=1, -(T165-T166)/T165*U165,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Row],[Par]])),(-(T165-T166)/T165*U165)+IF(TbTradesBinance[[#This Row],[Resultado]]&gt;0,0,TbTradesBinance[[#This Row],[Taxa]]),0),0))</f>
        <v>1461096.2409827893</v>
      </c>
      <c r="V166" s="145">
        <f t="shared" si="41"/>
        <v>6.6500000135182926</v>
      </c>
      <c r="W16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Row],[Tipo]]="DROP"),W165+TbTradesBinance[[#This Row],[Qtt]],W165-TbTradesBinance[[#This Row],[Qtt]]),IF(TbTradesBinance[[#This Row],[Tipo]]="BUY",W165-TbTradesBinance[[#This Row],[Qtt]]*TbTradesBinance[[#This Row],[Preço]],W165+TbTradesBinance[[#This Row],[Qtt]]*TbTradesBinance[[#This Row],[Preço]])),W165)-IF(TbTradesBinance[[#This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Row],[Tipo]]="DROP"),W165+TbTradesBinance[[#This Row],[Qtt]],W165-TbTradesBinance[[#This Row],[Qtt]]),IF(TbTradesBinance[[#This Row],[Tipo]]="BUY",W165-TbTradesBinance[[#This Row],[Qtt]]*TbTradesBinance[[#This Row],[Preço]],W165+TbTradesBinance[[#This Row],[Qtt]]*TbTradesBinance[[#This Row],[Preço]])),W165)-IF(TbTradesBinance[[#This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Row],[Tipo]]="DROP"),W165+TbTradesBinance[[#This Row],[Qtt]],W165-TbTradesBinance[[#This Row],[Qtt]]),IF(TbTradesBinance[[#This Row],[Tipo]]="BUY",W165-TbTradesBinance[[#This Row],[Qtt]]*TbTradesBinance[[#This Row],[Preço]],W165+TbTradesBinance[[#This Row],[Qtt]]*TbTradesBinance[[#This Row],[Preço]])),W165)-IF(TbTradesBinance[[#This Row],[Moeda da Taxa]]=MID(W$1,9,5),TbTradesBinance[[#This Row],[Taxa]],0),8)))</f>
        <v>6.0336000000000005E-4</v>
      </c>
      <c r="X166" s="145" cm="1">
        <f t="array" ref="X166">IF(TbTradesBinance[[#This Row],[Tipo]]="EMPTY",0,X165+IF(TbTradesBinance[[#This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Row],[Par]]))),$1:$1,0)),-(W165-W166)/W165*X165),0),0)+IF(TbTradesBinance[[#This Row],[Tipo]]="SELL",IF(ISNUMBER(FIND(MID(X$1,10,5),TbTradesBinance[[#This Row],[Par]])),IF(FIND(MID(X$1,10,5),TbTradesBinance[[#This Row],[Par]])=1, -(W165-W166)/W165*X165,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Row],[Par]])),(-(W165-W166)/W165*X165)+IF(TbTradesBinance[[#This Row],[Resultado]]&gt;0,0,TbTradesBinance[[#This Row],[Taxa]]),0),0))</f>
        <v>195.45138064075348</v>
      </c>
      <c r="Y166" s="145">
        <f t="shared" si="42"/>
        <v>323938.24688536441</v>
      </c>
      <c r="Z16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Row],[Tipo]]="DROP"),Z165+TbTradesBinance[[#This Row],[Qtt]],Z165-TbTradesBinance[[#This Row],[Qtt]]),IF(TbTradesBinance[[#This Row],[Tipo]]="BUY",Z165-TbTradesBinance[[#This Row],[Qtt]]*TbTradesBinance[[#This Row],[Preço]],Z165+TbTradesBinance[[#This Row],[Qtt]]*TbTradesBinance[[#This Row],[Preço]])),Z165)-IF(TbTradesBinance[[#This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Row],[Tipo]]="DROP"),Z165+TbTradesBinance[[#This Row],[Qtt]],Z165-TbTradesBinance[[#This Row],[Qtt]]),IF(TbTradesBinance[[#This Row],[Tipo]]="BUY",Z165-TbTradesBinance[[#This Row],[Qtt]]*TbTradesBinance[[#This Row],[Preço]],Z165+TbTradesBinance[[#This Row],[Qtt]]*TbTradesBinance[[#This Row],[Preço]])),Z165)-IF(TbTradesBinance[[#This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Row],[Tipo]]="DROP"),Z165+TbTradesBinance[[#This Row],[Qtt]],Z165-TbTradesBinance[[#This Row],[Qtt]]),IF(TbTradesBinance[[#This Row],[Tipo]]="BUY",Z165-TbTradesBinance[[#This Row],[Qtt]]*TbTradesBinance[[#This Row],[Preço]],Z165+TbTradesBinance[[#This Row],[Qtt]]*TbTradesBinance[[#This Row],[Preço]])),Z165)-IF(TbTradesBinance[[#This Row],[Moeda da Taxa]]=MID(Z$1,9,5),TbTradesBinance[[#This Row],[Taxa]],0),8)))</f>
        <v>0</v>
      </c>
      <c r="AA166" s="145" cm="1">
        <f t="array" ref="AA166">IF(TbTradesBinance[[#This Row],[Tipo]]="EMPTY",0,AA165+IF(TbTradesBinance[[#This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Row],[Par]]))),$1:$1,0)),-(Z165-Z166)/Z165*AA165),0),0)+IF(TbTradesBinance[[#This Row],[Tipo]]="SELL",IF(ISNUMBER(FIND(MID(AA$1,10,5),TbTradesBinance[[#This Row],[Par]])),IF(FIND(MID(AA$1,10,5),TbTradesBinance[[#This Row],[Par]])=1, -(Z165-Z166)/Z165*AA165,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Row],[Par]])),(-(Z165-Z166)/Z165*AA165)+IF(TbTradesBinance[[#This Row],[Resultado]]&gt;0,0,TbTradesBinance[[#This Row],[Taxa]]),0),0))</f>
        <v>0</v>
      </c>
      <c r="AB166" s="145">
        <f t="shared" si="43"/>
        <v>0</v>
      </c>
      <c r="AC16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Row],[Tipo]]="DROP"),AC165+TbTradesBinance[[#This Row],[Qtt]],AC165-TbTradesBinance[[#This Row],[Qtt]]),IF(TbTradesBinance[[#This Row],[Tipo]]="BUY",AC165-TbTradesBinance[[#This Row],[Qtt]]*TbTradesBinance[[#This Row],[Preço]],AC165+TbTradesBinance[[#This Row],[Qtt]]*TbTradesBinance[[#This Row],[Preço]])),AC165)-IF(TbTradesBinance[[#This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Row],[Tipo]]="DROP"),AC165+TbTradesBinance[[#This Row],[Qtt]],AC165-TbTradesBinance[[#This Row],[Qtt]]),IF(TbTradesBinance[[#This Row],[Tipo]]="BUY",AC165-TbTradesBinance[[#This Row],[Qtt]]*TbTradesBinance[[#This Row],[Preço]],AC165+TbTradesBinance[[#This Row],[Qtt]]*TbTradesBinance[[#This Row],[Preço]])),AC165)-IF(TbTradesBinance[[#This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Row],[Tipo]]="DROP"),AC165+TbTradesBinance[[#This Row],[Qtt]],AC165-TbTradesBinance[[#This Row],[Qtt]]),IF(TbTradesBinance[[#This Row],[Tipo]]="BUY",AC165-TbTradesBinance[[#This Row],[Qtt]]*TbTradesBinance[[#This Row],[Preço]],AC165+TbTradesBinance[[#This Row],[Qtt]]*TbTradesBinance[[#This Row],[Preço]])),AC165)-IF(TbTradesBinance[[#This Row],[Moeda da Taxa]]=MID(AC$1,9,5),TbTradesBinance[[#This Row],[Taxa]],0),8)))</f>
        <v>0</v>
      </c>
      <c r="AD166" s="145" cm="1">
        <f t="array" ref="AD166">IF(TbTradesBinance[[#This Row],[Tipo]]="EMPTY",0,AD165+IF(TbTradesBinance[[#This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Row],[Par]]))),$1:$1,0)),-(AC165-AC166)/AC165*AD165),0),0)+IF(TbTradesBinance[[#This Row],[Tipo]]="SELL",IF(ISNUMBER(FIND(MID(AD$1,10,5),TbTradesBinance[[#This Row],[Par]])),IF(FIND(MID(AD$1,10,5),TbTradesBinance[[#This Row],[Par]])=1, -(AC165-AC166)/AC165*AD165,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Row],[Par]])),(-(AC165-AC166)/AC165*AD165)+IF(TbTradesBinance[[#This Row],[Resultado]]&gt;0,0,TbTradesBinance[[#This Row],[Taxa]]),0),0))</f>
        <v>0</v>
      </c>
      <c r="AE166" s="145">
        <f t="shared" si="44"/>
        <v>0</v>
      </c>
      <c r="AF16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Row],[Tipo]]="DROP"),AF165+TbTradesBinance[[#This Row],[Qtt]],AF165-TbTradesBinance[[#This Row],[Qtt]]),IF(TbTradesBinance[[#This Row],[Tipo]]="BUY",AF165-TbTradesBinance[[#This Row],[Qtt]]*TbTradesBinance[[#This Row],[Preço]],AF165+TbTradesBinance[[#This Row],[Qtt]]*TbTradesBinance[[#This Row],[Preço]])),AF165)-IF(TbTradesBinance[[#This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Row],[Tipo]]="DROP"),AF165+TbTradesBinance[[#This Row],[Qtt]],AF165-TbTradesBinance[[#This Row],[Qtt]]),IF(TbTradesBinance[[#This Row],[Tipo]]="BUY",AF165-TbTradesBinance[[#This Row],[Qtt]]*TbTradesBinance[[#This Row],[Preço]],AF165+TbTradesBinance[[#This Row],[Qtt]]*TbTradesBinance[[#This Row],[Preço]])),AF165)-IF(TbTradesBinance[[#This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Row],[Tipo]]="DROP"),AF165+TbTradesBinance[[#This Row],[Qtt]],AF165-TbTradesBinance[[#This Row],[Qtt]]),IF(TbTradesBinance[[#This Row],[Tipo]]="BUY",AF165-TbTradesBinance[[#This Row],[Qtt]]*TbTradesBinance[[#This Row],[Preço]],AF165+TbTradesBinance[[#This Row],[Qtt]]*TbTradesBinance[[#This Row],[Preço]])),AF165)-IF(TbTradesBinance[[#This Row],[Moeda da Taxa]]=MID(AF$1,9,5),TbTradesBinance[[#This Row],[Taxa]],0),8)))</f>
        <v>0</v>
      </c>
      <c r="AG166" s="145" cm="1">
        <f t="array" ref="AG166">IF(TbTradesBinance[[#This Row],[Tipo]]="EMPTY",0,AG165+IF(TbTradesBinance[[#This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Row],[Par]]))),$1:$1,0)),-(AF165-AF166)/AF165*AG165),0),0)+IF(TbTradesBinance[[#This Row],[Tipo]]="SELL",IF(ISNUMBER(FIND(MID(AG$1,10,5),TbTradesBinance[[#This Row],[Par]])),IF(FIND(MID(AG$1,10,5),TbTradesBinance[[#This Row],[Par]])=1, -(AF165-AF166)/AF165*AG165,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Row],[Par]])),(-(AF165-AF166)/AF165*AG165)+IF(TbTradesBinance[[#This Row],[Resultado]]&gt;0,0,TbTradesBinance[[#This Row],[Taxa]]),0),0))</f>
        <v>0</v>
      </c>
      <c r="AH166" s="145">
        <f t="shared" si="45"/>
        <v>0</v>
      </c>
      <c r="AI16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Row],[Tipo]]="DROP"),AI165+TbTradesBinance[[#This Row],[Qtt]],AI165-TbTradesBinance[[#This Row],[Qtt]]),IF(TbTradesBinance[[#This Row],[Tipo]]="BUY",AI165-TbTradesBinance[[#This Row],[Qtt]]*TbTradesBinance[[#This Row],[Preço]],AI165+TbTradesBinance[[#This Row],[Qtt]]*TbTradesBinance[[#This Row],[Preço]])),AI165)-IF(TbTradesBinance[[#This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Row],[Tipo]]="DROP"),AI165+TbTradesBinance[[#This Row],[Qtt]],AI165-TbTradesBinance[[#This Row],[Qtt]]),IF(TbTradesBinance[[#This Row],[Tipo]]="BUY",AI165-TbTradesBinance[[#This Row],[Qtt]]*TbTradesBinance[[#This Row],[Preço]],AI165+TbTradesBinance[[#This Row],[Qtt]]*TbTradesBinance[[#This Row],[Preço]])),AI165)-IF(TbTradesBinance[[#This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Row],[Tipo]]="DROP"),AI165+TbTradesBinance[[#This Row],[Qtt]],AI165-TbTradesBinance[[#This Row],[Qtt]]),IF(TbTradesBinance[[#This Row],[Tipo]]="BUY",AI165-TbTradesBinance[[#This Row],[Qtt]]*TbTradesBinance[[#This Row],[Preço]],AI165+TbTradesBinance[[#This Row],[Qtt]]*TbTradesBinance[[#This Row],[Preço]])),AI165)-IF(TbTradesBinance[[#This Row],[Moeda da Taxa]]=MID(AI$1,9,5),TbTradesBinance[[#This Row],[Taxa]],0),8)))</f>
        <v>0</v>
      </c>
      <c r="AJ166" s="145" cm="1">
        <f t="array" ref="AJ166">IF(TbTradesBinance[[#This Row],[Tipo]]="EMPTY",0,AJ165+IF(TbTradesBinance[[#This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Row],[Par]]))),$1:$1,0)),-(AI165-AI166)/AI165*AJ165),0),0)+IF(TbTradesBinance[[#This Row],[Tipo]]="SELL",IF(ISNUMBER(FIND(MID(AJ$1,10,5),TbTradesBinance[[#This Row],[Par]])),IF(FIND(MID(AJ$1,10,5),TbTradesBinance[[#This Row],[Par]])=1, -(AI165-AI166)/AI165*AJ165,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Row],[Par]])),(-(AI165-AI166)/AI165*AJ165)+IF(TbTradesBinance[[#This Row],[Resultado]]&gt;0,0,TbTradesBinance[[#This Row],[Taxa]]),0),0))</f>
        <v>0</v>
      </c>
      <c r="AK166" s="145">
        <f t="shared" si="46"/>
        <v>0</v>
      </c>
      <c r="AL16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Row],[Tipo]]="DROP"),AL165+TbTradesBinance[[#This Row],[Qtt]],AL165-TbTradesBinance[[#This Row],[Qtt]]),IF(TbTradesBinance[[#This Row],[Tipo]]="BUY",AL165-TbTradesBinance[[#This Row],[Qtt]]*TbTradesBinance[[#This Row],[Preço]],AL165+TbTradesBinance[[#This Row],[Qtt]]*TbTradesBinance[[#This Row],[Preço]])),AL165)-IF(TbTradesBinance[[#This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Row],[Tipo]]="DROP"),AL165+TbTradesBinance[[#This Row],[Qtt]],AL165-TbTradesBinance[[#This Row],[Qtt]]),IF(TbTradesBinance[[#This Row],[Tipo]]="BUY",AL165-TbTradesBinance[[#This Row],[Qtt]]*TbTradesBinance[[#This Row],[Preço]],AL165+TbTradesBinance[[#This Row],[Qtt]]*TbTradesBinance[[#This Row],[Preço]])),AL165)-IF(TbTradesBinance[[#This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Row],[Tipo]]="DROP"),AL165+TbTradesBinance[[#This Row],[Qtt]],AL165-TbTradesBinance[[#This Row],[Qtt]]),IF(TbTradesBinance[[#This Row],[Tipo]]="BUY",AL165-TbTradesBinance[[#This Row],[Qtt]]*TbTradesBinance[[#This Row],[Preço]],AL165+TbTradesBinance[[#This Row],[Qtt]]*TbTradesBinance[[#This Row],[Preço]])),AL165)-IF(TbTradesBinance[[#This Row],[Moeda da Taxa]]=MID(AL$1,9,5),TbTradesBinance[[#This Row],[Taxa]],0),8)))</f>
        <v>0</v>
      </c>
      <c r="AM166" s="145" cm="1">
        <f t="array" ref="AM166">IF(TbTradesBinance[[#This Row],[Tipo]]="EMPTY",0,AM165+IF(TbTradesBinance[[#This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Row],[Par]]))),$1:$1,0)),-(AL165-AL166)/AL165*AM165),0),0)+IF(TbTradesBinance[[#This Row],[Tipo]]="SELL",IF(ISNUMBER(FIND(MID(AM$1,10,5),TbTradesBinance[[#This Row],[Par]])),IF(FIND(MID(AM$1,10,5),TbTradesBinance[[#This Row],[Par]])=1, -(AL165-AL166)/AL165*AM165,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Row],[Par]])),(-(AL165-AL166)/AL165*AM165)+IF(TbTradesBinance[[#This Row],[Resultado]]&gt;0,0,TbTradesBinance[[#This Row],[Taxa]]),0),0))</f>
        <v>0</v>
      </c>
      <c r="AN166" s="145">
        <f t="shared" si="47"/>
        <v>0</v>
      </c>
      <c r="AO16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Row],[Tipo]]="DROP"),AO165+TbTradesBinance[[#This Row],[Qtt]],AO165-TbTradesBinance[[#This Row],[Qtt]]),IF(TbTradesBinance[[#This Row],[Tipo]]="BUY",AO165-TbTradesBinance[[#This Row],[Qtt]]*TbTradesBinance[[#This Row],[Preço]],AO165+TbTradesBinance[[#This Row],[Qtt]]*TbTradesBinance[[#This Row],[Preço]])),AO165)-IF(TbTradesBinance[[#This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Row],[Tipo]]="DROP"),AO165+TbTradesBinance[[#This Row],[Qtt]],AO165-TbTradesBinance[[#This Row],[Qtt]]),IF(TbTradesBinance[[#This Row],[Tipo]]="BUY",AO165-TbTradesBinance[[#This Row],[Qtt]]*TbTradesBinance[[#This Row],[Preço]],AO165+TbTradesBinance[[#This Row],[Qtt]]*TbTradesBinance[[#This Row],[Preço]])),AO165)-IF(TbTradesBinance[[#This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Row],[Tipo]]="DROP"),AO165+TbTradesBinance[[#This Row],[Qtt]],AO165-TbTradesBinance[[#This Row],[Qtt]]),IF(TbTradesBinance[[#This Row],[Tipo]]="BUY",AO165-TbTradesBinance[[#This Row],[Qtt]]*TbTradesBinance[[#This Row],[Preço]],AO165+TbTradesBinance[[#This Row],[Qtt]]*TbTradesBinance[[#This Row],[Preço]])),AO165)-IF(TbTradesBinance[[#This Row],[Moeda da Taxa]]=MID(AO$1,9,5),TbTradesBinance[[#This Row],[Taxa]],0),8)))</f>
        <v>3.835968E-2</v>
      </c>
      <c r="AP166" s="145" cm="1">
        <f t="array" ref="AP166">IF(TbTradesBinance[[#This Row],[Tipo]]="EMPTY",0,AP165+IF(TbTradesBinance[[#This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Row],[Par]]))),$1:$1,0)),-(AO165-AO166)/AO165*AP165),0),0)+IF(TbTradesBinance[[#This Row],[Tipo]]="SELL",IF(ISNUMBER(FIND(MID(AP$1,10,5),TbTradesBinance[[#This Row],[Par]])),IF(FIND(MID(AP$1,10,5),TbTradesBinance[[#This Row],[Par]])=1, -(AO165-AO166)/AO165*AP165,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Row],[Par]])),(-(AO165-AO166)/AO165*AP165)+IF(TbTradesBinance[[#This Row],[Resultado]]&gt;0,0,TbTradesBinance[[#This Row],[Taxa]]),0),0))</f>
        <v>60.206578718772462</v>
      </c>
      <c r="AQ166" s="145">
        <f t="shared" si="48"/>
        <v>1569.5276581757842</v>
      </c>
      <c r="AR16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Row],[Tipo]]="DROP"),AR165+TbTradesBinance[[#This Row],[Qtt]],AR165-TbTradesBinance[[#This Row],[Qtt]]),IF(TbTradesBinance[[#This Row],[Tipo]]="BUY",AR165-TbTradesBinance[[#This Row],[Qtt]]*TbTradesBinance[[#This Row],[Preço]],AR165+TbTradesBinance[[#This Row],[Qtt]]*TbTradesBinance[[#This Row],[Preço]])),AR165)-IF(TbTradesBinance[[#This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Row],[Tipo]]="DROP"),AR165+TbTradesBinance[[#This Row],[Qtt]],AR165-TbTradesBinance[[#This Row],[Qtt]]),IF(TbTradesBinance[[#This Row],[Tipo]]="BUY",AR165-TbTradesBinance[[#This Row],[Qtt]]*TbTradesBinance[[#This Row],[Preço]],AR165+TbTradesBinance[[#This Row],[Qtt]]*TbTradesBinance[[#This Row],[Preço]])),AR165)-IF(TbTradesBinance[[#This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Row],[Tipo]]="DROP"),AR165+TbTradesBinance[[#This Row],[Qtt]],AR165-TbTradesBinance[[#This Row],[Qtt]]),IF(TbTradesBinance[[#This Row],[Tipo]]="BUY",AR165-TbTradesBinance[[#This Row],[Qtt]]*TbTradesBinance[[#This Row],[Preço]],AR165+TbTradesBinance[[#This Row],[Qtt]]*TbTradesBinance[[#This Row],[Preço]])),AR165)-IF(TbTradesBinance[[#This Row],[Moeda da Taxa]]=MID(AR$1,9,5),TbTradesBinance[[#This Row],[Taxa]],0),8)))</f>
        <v>0</v>
      </c>
      <c r="AS166" s="145" cm="1">
        <f t="array" ref="AS166">IF(TbTradesBinance[[#This Row],[Tipo]]="EMPTY",0,AS165+IF(TbTradesBinance[[#This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Row],[Par]]))),$1:$1,0)),-(AR165-AR166)/AR165*AS165),0),0)+IF(TbTradesBinance[[#This Row],[Tipo]]="SELL",IF(ISNUMBER(FIND(MID(AS$1,10,5),TbTradesBinance[[#This Row],[Par]])),IF(FIND(MID(AS$1,10,5),TbTradesBinance[[#This Row],[Par]])=1, -(AR165-AR166)/AR165*AS165,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Row],[Par]])),(-(AR165-AR166)/AR165*AS165)+IF(TbTradesBinance[[#This Row],[Resultado]]&gt;0,0,TbTradesBinance[[#This Row],[Taxa]]),0),0))</f>
        <v>0</v>
      </c>
      <c r="AT166" s="145">
        <f t="shared" si="49"/>
        <v>0</v>
      </c>
      <c r="AU16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Row],[Tipo]]="DROP"),AU165+TbTradesBinance[[#This Row],[Qtt]],AU165-TbTradesBinance[[#This Row],[Qtt]]),IF(TbTradesBinance[[#This Row],[Tipo]]="BUY",AU165-TbTradesBinance[[#This Row],[Qtt]]*TbTradesBinance[[#This Row],[Preço]],AU165+TbTradesBinance[[#This Row],[Qtt]]*TbTradesBinance[[#This Row],[Preço]])),AU165)-IF(TbTradesBinance[[#This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Row],[Tipo]]="DROP"),AU165+TbTradesBinance[[#This Row],[Qtt]],AU165-TbTradesBinance[[#This Row],[Qtt]]),IF(TbTradesBinance[[#This Row],[Tipo]]="BUY",AU165-TbTradesBinance[[#This Row],[Qtt]]*TbTradesBinance[[#This Row],[Preço]],AU165+TbTradesBinance[[#This Row],[Qtt]]*TbTradesBinance[[#This Row],[Preço]])),AU165)-IF(TbTradesBinance[[#This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Row],[Tipo]]="DROP"),AU165+TbTradesBinance[[#This Row],[Qtt]],AU165-TbTradesBinance[[#This Row],[Qtt]]),IF(TbTradesBinance[[#This Row],[Tipo]]="BUY",AU165-TbTradesBinance[[#This Row],[Qtt]]*TbTradesBinance[[#This Row],[Preço]],AU165+TbTradesBinance[[#This Row],[Qtt]]*TbTradesBinance[[#This Row],[Preço]])),AU165)-IF(TbTradesBinance[[#This Row],[Moeda da Taxa]]=MID(AU$1,9,5),TbTradesBinance[[#This Row],[Taxa]],0),8)))</f>
        <v>0.51</v>
      </c>
      <c r="AV166" s="145" cm="1">
        <f t="array" ref="AV166">IF(TbTradesBinance[[#This Row],[Tipo]]="EMPTY",0,AV165+IF(TbTradesBinance[[#This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Row],[Par]]))),$1:$1,0)),-(AU165-AU166)/AU165*AV165),0),0)+IF(TbTradesBinance[[#This Row],[Tipo]]="SELL",IF(ISNUMBER(FIND(MID(AV$1,10,5),TbTradesBinance[[#This Row],[Par]])),IF(FIND(MID(AV$1,10,5),TbTradesBinance[[#This Row],[Par]])=1, -(AU165-AU166)/AU165*AV165,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Row],[Par]])),(-(AU165-AU166)/AU165*AV165)+IF(TbTradesBinance[[#This Row],[Resultado]]&gt;0,0,TbTradesBinance[[#This Row],[Taxa]]),0),0))</f>
        <v>95.466693037374753</v>
      </c>
      <c r="AW166" s="145">
        <f t="shared" si="50"/>
        <v>187.18959419093088</v>
      </c>
      <c r="AX16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Row],[Tipo]]="DROP"),AX165+TbTradesBinance[[#This Row],[Qtt]],AX165-TbTradesBinance[[#This Row],[Qtt]]),IF(TbTradesBinance[[#This Row],[Tipo]]="BUY",AX165-TbTradesBinance[[#This Row],[Qtt]]*TbTradesBinance[[#This Row],[Preço]],AX165+TbTradesBinance[[#This Row],[Qtt]]*TbTradesBinance[[#This Row],[Preço]])),AX165)-IF(TbTradesBinance[[#This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Row],[Tipo]]="DROP"),AX165+TbTradesBinance[[#This Row],[Qtt]],AX165-TbTradesBinance[[#This Row],[Qtt]]),IF(TbTradesBinance[[#This Row],[Tipo]]="BUY",AX165-TbTradesBinance[[#This Row],[Qtt]]*TbTradesBinance[[#This Row],[Preço]],AX165+TbTradesBinance[[#This Row],[Qtt]]*TbTradesBinance[[#This Row],[Preço]])),AX165)-IF(TbTradesBinance[[#This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Row],[Tipo]]="DROP"),AX165+TbTradesBinance[[#This Row],[Qtt]],AX165-TbTradesBinance[[#This Row],[Qtt]]),IF(TbTradesBinance[[#This Row],[Tipo]]="BUY",AX165-TbTradesBinance[[#This Row],[Qtt]]*TbTradesBinance[[#This Row],[Preço]],AX165+TbTradesBinance[[#This Row],[Qtt]]*TbTradesBinance[[#This Row],[Preço]])),AX165)-IF(TbTradesBinance[[#This Row],[Moeda da Taxa]]=MID(AX$1,9,5),TbTradesBinance[[#This Row],[Taxa]],0),8)))</f>
        <v>0.53737999999999997</v>
      </c>
      <c r="AY166" s="145" cm="1">
        <f t="array" ref="AY166">IF(TbTradesBinance[[#This Row],[Tipo]]="EMPTY",0,AY165+IF(TbTradesBinance[[#This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Row],[Par]]))),$1:$1,0)),-(AX165-AX166)/AX165*AY165),0),0)+IF(TbTradesBinance[[#This Row],[Tipo]]="SELL",IF(ISNUMBER(FIND(MID(AY$1,10,5),TbTradesBinance[[#This Row],[Par]])),IF(FIND(MID(AY$1,10,5),TbTradesBinance[[#This Row],[Par]])=1, -(AX165-AX166)/AX165*AY165,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Row],[Par]])),(-(AX165-AX166)/AX165*AY165)+IF(TbTradesBinance[[#This Row],[Resultado]]&gt;0,0,TbTradesBinance[[#This Row],[Taxa]]),0),0))</f>
        <v>100.4197840540867</v>
      </c>
      <c r="AZ166" s="145">
        <f t="shared" si="51"/>
        <v>186.869224857804</v>
      </c>
      <c r="BA16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Row],[Tipo]]="DROP"),BA165+TbTradesBinance[[#This Row],[Qtt]],BA165-TbTradesBinance[[#This Row],[Qtt]]),IF(TbTradesBinance[[#This Row],[Tipo]]="BUY",BA165-TbTradesBinance[[#This Row],[Qtt]]*TbTradesBinance[[#This Row],[Preço]],BA165+TbTradesBinance[[#This Row],[Qtt]]*TbTradesBinance[[#This Row],[Preço]])),BA165)-IF(TbTradesBinance[[#This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Row],[Tipo]]="DROP"),BA165+TbTradesBinance[[#This Row],[Qtt]],BA165-TbTradesBinance[[#This Row],[Qtt]]),IF(TbTradesBinance[[#This Row],[Tipo]]="BUY",BA165-TbTradesBinance[[#This Row],[Qtt]]*TbTradesBinance[[#This Row],[Preço]],BA165+TbTradesBinance[[#This Row],[Qtt]]*TbTradesBinance[[#This Row],[Preço]])),BA165)-IF(TbTradesBinance[[#This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Row],[Tipo]]="DROP"),BA165+TbTradesBinance[[#This Row],[Qtt]],BA165-TbTradesBinance[[#This Row],[Qtt]]),IF(TbTradesBinance[[#This Row],[Tipo]]="BUY",BA165-TbTradesBinance[[#This Row],[Qtt]]*TbTradesBinance[[#This Row],[Preço]],BA165+TbTradesBinance[[#This Row],[Qtt]]*TbTradesBinance[[#This Row],[Preço]])),BA165)-IF(TbTradesBinance[[#This Row],[Moeda da Taxa]]=MID(BA$1,9,5),TbTradesBinance[[#This Row],[Taxa]],0),8)))</f>
        <v>0</v>
      </c>
      <c r="BB166" s="145" cm="1">
        <f t="array" ref="BB166">IF(TbTradesBinance[[#This Row],[Tipo]]="EMPTY",0,BB165+IF(TbTradesBinance[[#This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Row],[Par]]))),$1:$1,0)),-(BA165-BA166)/BA165*BB165),0),0)+IF(TbTradesBinance[[#This Row],[Tipo]]="SELL",IF(ISNUMBER(FIND(MID(BB$1,10,5),TbTradesBinance[[#This Row],[Par]])),IF(FIND(MID(BB$1,10,5),TbTradesBinance[[#This Row],[Par]])=1, -(BA165-BA166)/BA165*BB165,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Row],[Par]])),(-(BA165-BA166)/BA165*BB165)+IF(TbTradesBinance[[#This Row],[Resultado]]&gt;0,0,TbTradesBinance[[#This Row],[Taxa]]),0),0))</f>
        <v>0</v>
      </c>
      <c r="BC166" s="145">
        <f t="shared" si="52"/>
        <v>0</v>
      </c>
      <c r="BD16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Row],[Tipo]]="DROP"),BD165+TbTradesBinance[[#This Row],[Qtt]],BD165-TbTradesBinance[[#This Row],[Qtt]]),IF(TbTradesBinance[[#This Row],[Tipo]]="BUY",BD165-TbTradesBinance[[#This Row],[Qtt]]*TbTradesBinance[[#This Row],[Preço]],BD165+TbTradesBinance[[#This Row],[Qtt]]*TbTradesBinance[[#This Row],[Preço]])),BD165)-IF(TbTradesBinance[[#This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Row],[Tipo]]="DROP"),BD165+TbTradesBinance[[#This Row],[Qtt]],BD165-TbTradesBinance[[#This Row],[Qtt]]),IF(TbTradesBinance[[#This Row],[Tipo]]="BUY",BD165-TbTradesBinance[[#This Row],[Qtt]]*TbTradesBinance[[#This Row],[Preço]],BD165+TbTradesBinance[[#This Row],[Qtt]]*TbTradesBinance[[#This Row],[Preço]])),BD165)-IF(TbTradesBinance[[#This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Row],[Tipo]]="DROP"),BD165+TbTradesBinance[[#This Row],[Qtt]],BD165-TbTradesBinance[[#This Row],[Qtt]]),IF(TbTradesBinance[[#This Row],[Tipo]]="BUY",BD165-TbTradesBinance[[#This Row],[Qtt]]*TbTradesBinance[[#This Row],[Preço]],BD165+TbTradesBinance[[#This Row],[Qtt]]*TbTradesBinance[[#This Row],[Preço]])),BD165)-IF(TbTradesBinance[[#This Row],[Moeda da Taxa]]=MID(BD$1,9,5),TbTradesBinance[[#This Row],[Taxa]],0),8)))</f>
        <v>0</v>
      </c>
      <c r="BE166" s="145" cm="1">
        <f t="array" ref="BE166">IF(TbTradesBinance[[#This Row],[Tipo]]="EMPTY",0,BE165+IF(TbTradesBinance[[#This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Row],[Par]]))),$1:$1,0)),-(BD165-BD166)/BD165*BE165),0),0)+IF(TbTradesBinance[[#This Row],[Tipo]]="SELL",IF(ISNUMBER(FIND(MID(BE$1,10,5),TbTradesBinance[[#This Row],[Par]])),IF(FIND(MID(BE$1,10,5),TbTradesBinance[[#This Row],[Par]])=1, -(BD165-BD166)/BD165*BE165,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Row],[Par]])),(-(BD165-BD166)/BD165*BE165)+IF(TbTradesBinance[[#This Row],[Resultado]]&gt;0,0,TbTradesBinance[[#This Row],[Taxa]]),0),0))</f>
        <v>0</v>
      </c>
      <c r="BF166" s="145">
        <f t="shared" si="53"/>
        <v>0</v>
      </c>
      <c r="BG16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Row],[Tipo]]="DROP"),BG165+TbTradesBinance[[#This Row],[Qtt]],BG165-TbTradesBinance[[#This Row],[Qtt]]),IF(TbTradesBinance[[#This Row],[Tipo]]="BUY",BG165-TbTradesBinance[[#This Row],[Qtt]]*TbTradesBinance[[#This Row],[Preço]],BG165+TbTradesBinance[[#This Row],[Qtt]]*TbTradesBinance[[#This Row],[Preço]])),BG165)-IF(TbTradesBinance[[#This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Row],[Tipo]]="DROP"),BG165+TbTradesBinance[[#This Row],[Qtt]],BG165-TbTradesBinance[[#This Row],[Qtt]]),IF(TbTradesBinance[[#This Row],[Tipo]]="BUY",BG165-TbTradesBinance[[#This Row],[Qtt]]*TbTradesBinance[[#This Row],[Preço]],BG165+TbTradesBinance[[#This Row],[Qtt]]*TbTradesBinance[[#This Row],[Preço]])),BG165)-IF(TbTradesBinance[[#This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Row],[Tipo]]="DROP"),BG165+TbTradesBinance[[#This Row],[Qtt]],BG165-TbTradesBinance[[#This Row],[Qtt]]),IF(TbTradesBinance[[#This Row],[Tipo]]="BUY",BG165-TbTradesBinance[[#This Row],[Qtt]]*TbTradesBinance[[#This Row],[Preço]],BG165+TbTradesBinance[[#This Row],[Qtt]]*TbTradesBinance[[#This Row],[Preço]])),BG165)-IF(TbTradesBinance[[#This Row],[Moeda da Taxa]]=MID(BG$1,9,5),TbTradesBinance[[#This Row],[Taxa]],0),8)))</f>
        <v>0</v>
      </c>
      <c r="BH166" s="145" cm="1">
        <f t="array" ref="BH166">IF(TbTradesBinance[[#This Row],[Tipo]]="EMPTY",0,BH165+IF(TbTradesBinance[[#This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Row],[Par]]))),$1:$1,0)),-(BG165-BG166)/BG165*BH165),0),0)+IF(TbTradesBinance[[#This Row],[Tipo]]="SELL",IF(ISNUMBER(FIND(MID(BH$1,10,5),TbTradesBinance[[#This Row],[Par]])),IF(FIND(MID(BH$1,10,5),TbTradesBinance[[#This Row],[Par]])=1, -(BG165-BG166)/BG165*BH165,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Row],[Par]])),(-(BG165-BG166)/BG165*BH165)+IF(TbTradesBinance[[#This Row],[Resultado]]&gt;0,0,TbTradesBinance[[#This Row],[Taxa]]),0),0))</f>
        <v>0</v>
      </c>
      <c r="BI166" s="145">
        <f t="shared" si="54"/>
        <v>0</v>
      </c>
      <c r="BJ16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Row],[Tipo]]="DROP"),BJ165+TbTradesBinance[[#This Row],[Qtt]],BJ165-TbTradesBinance[[#This Row],[Qtt]]),IF(TbTradesBinance[[#This Row],[Tipo]]="BUY",BJ165-TbTradesBinance[[#This Row],[Qtt]]*TbTradesBinance[[#This Row],[Preço]],BJ165+TbTradesBinance[[#This Row],[Qtt]]*TbTradesBinance[[#This Row],[Preço]])),BJ165)-IF(TbTradesBinance[[#This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Row],[Tipo]]="DROP"),BJ165+TbTradesBinance[[#This Row],[Qtt]],BJ165-TbTradesBinance[[#This Row],[Qtt]]),IF(TbTradesBinance[[#This Row],[Tipo]]="BUY",BJ165-TbTradesBinance[[#This Row],[Qtt]]*TbTradesBinance[[#This Row],[Preço]],BJ165+TbTradesBinance[[#This Row],[Qtt]]*TbTradesBinance[[#This Row],[Preço]])),BJ165)-IF(TbTradesBinance[[#This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Row],[Tipo]]="DROP"),BJ165+TbTradesBinance[[#This Row],[Qtt]],BJ165-TbTradesBinance[[#This Row],[Qtt]]),IF(TbTradesBinance[[#This Row],[Tipo]]="BUY",BJ165-TbTradesBinance[[#This Row],[Qtt]]*TbTradesBinance[[#This Row],[Preço]],BJ165+TbTradesBinance[[#This Row],[Qtt]]*TbTradesBinance[[#This Row],[Preço]])),BJ165)-IF(TbTradesBinance[[#This Row],[Moeda da Taxa]]=MID(BJ$1,9,5),TbTradesBinance[[#This Row],[Taxa]],0),8)))</f>
        <v>0</v>
      </c>
      <c r="BK166" s="145" cm="1">
        <f t="array" ref="BK166">IF(TbTradesBinance[[#This Row],[Tipo]]="EMPTY",0,BK165+IF(TbTradesBinance[[#This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Row],[Par]]))),$1:$1,0)),-(BJ165-BJ166)/BJ165*BK165),0),0)+IF(TbTradesBinance[[#This Row],[Tipo]]="SELL",IF(ISNUMBER(FIND(MID(BK$1,10,5),TbTradesBinance[[#This Row],[Par]])),IF(FIND(MID(BK$1,10,5),TbTradesBinance[[#This Row],[Par]])=1, -(BJ165-BJ166)/BJ165*BK165,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Row],[Par]])),(-(BJ165-BJ166)/BJ165*BK165)+IF(TbTradesBinance[[#This Row],[Resultado]]&gt;0,0,TbTradesBinance[[#This Row],[Taxa]]),0),0))</f>
        <v>0</v>
      </c>
      <c r="BL166" s="145">
        <f t="shared" si="55"/>
        <v>0</v>
      </c>
      <c r="BM16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Row],[Tipo]]="DROP"),BM165+TbTradesBinance[[#This Row],[Qtt]],BM165-TbTradesBinance[[#This Row],[Qtt]]),IF(TbTradesBinance[[#This Row],[Tipo]]="BUY",BM165-TbTradesBinance[[#This Row],[Qtt]]*TbTradesBinance[[#This Row],[Preço]],BM165+TbTradesBinance[[#This Row],[Qtt]]*TbTradesBinance[[#This Row],[Preço]])),BM165)-IF(TbTradesBinance[[#This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Row],[Tipo]]="DROP"),BM165+TbTradesBinance[[#This Row],[Qtt]],BM165-TbTradesBinance[[#This Row],[Qtt]]),IF(TbTradesBinance[[#This Row],[Tipo]]="BUY",BM165-TbTradesBinance[[#This Row],[Qtt]]*TbTradesBinance[[#This Row],[Preço]],BM165+TbTradesBinance[[#This Row],[Qtt]]*TbTradesBinance[[#This Row],[Preço]])),BM165)-IF(TbTradesBinance[[#This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Row],[Tipo]]="DROP"),BM165+TbTradesBinance[[#This Row],[Qtt]],BM165-TbTradesBinance[[#This Row],[Qtt]]),IF(TbTradesBinance[[#This Row],[Tipo]]="BUY",BM165-TbTradesBinance[[#This Row],[Qtt]]*TbTradesBinance[[#This Row],[Preço]],BM165+TbTradesBinance[[#This Row],[Qtt]]*TbTradesBinance[[#This Row],[Preço]])),BM165)-IF(TbTradesBinance[[#This Row],[Moeda da Taxa]]=MID(BM$1,9,5),TbTradesBinance[[#This Row],[Taxa]],0),8)))</f>
        <v>8.213289E-2</v>
      </c>
      <c r="BN166" s="145" cm="1">
        <f t="array" ref="BN166">IF(TbTradesBinance[[#This Row],[Tipo]]="EMPTY",0,BN165+IF(TbTradesBinance[[#This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Row],[Par]]))),$1:$1,0)),-(BM165-BM166)/BM165*BN165),0),0)+IF(TbTradesBinance[[#This Row],[Tipo]]="SELL",IF(ISNUMBER(FIND(MID(BN$1,10,5),TbTradesBinance[[#This Row],[Par]])),IF(FIND(MID(BN$1,10,5),TbTradesBinance[[#This Row],[Par]])=1, -(BM165-BM166)/BM165*BN165,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Row],[Par]])),(-(BM165-BM166)/BM165*BN165)+IF(TbTradesBinance[[#This Row],[Resultado]]&gt;0,0,TbTradesBinance[[#This Row],[Taxa]]),0),0))</f>
        <v>0</v>
      </c>
      <c r="BO166" s="145">
        <f t="shared" si="56"/>
        <v>0</v>
      </c>
    </row>
    <row r="167" spans="2:67" x14ac:dyDescent="0.3">
      <c r="B167" s="51"/>
      <c r="C167" s="40">
        <f>TRUNC(IF(AND(TbTradesBinance[[#This Row],[Tipo]]="SEND",TbTradesBinance[[#This Row],[Par]]="BRL"),TbTradesBinance[[#This Row],[Qtt]]*(1-P165)-IF(TbTradesBinance[[#This Row],[Moeda da Taxa]]="BRL",TbTradesBinance[[#This Row],[Taxa]],0),0)+IF(AND(TbTradesBinance[[#This Row],[Tipo]]="BURN",TbTradesBinance[[#This Row],[Par]]="BRL"),-TbTradesBinance[[#This Row],[Qtt]]*P165,0),2)</f>
        <v>0</v>
      </c>
      <c r="D167" s="53">
        <v>44321.180856481478</v>
      </c>
      <c r="E167" s="37" t="s">
        <v>146</v>
      </c>
      <c r="F167" s="47" t="s">
        <v>140</v>
      </c>
      <c r="G167" s="38">
        <v>51</v>
      </c>
      <c r="H167" s="38">
        <v>0.20899999999999999</v>
      </c>
      <c r="I167" s="38">
        <v>1.0659E-2</v>
      </c>
      <c r="J167" s="37" t="s">
        <v>42</v>
      </c>
      <c r="K167" s="52">
        <v>5.3650000000000002</v>
      </c>
      <c r="L167" s="40">
        <f t="shared" si="38"/>
        <v>273.61</v>
      </c>
      <c r="M167" s="40">
        <f>IF(OR(TbTradesBinance[[#This Row],[Tipo]]="BUY",TbTradesBinance[[#This Row],[Tipo]]="RECEIVE",TbTradesBinance[[#This Row],[Tipo]]="DROP"),L167*H167,-L167*H167)</f>
        <v>-57.184490000000004</v>
      </c>
      <c r="N16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Row],[Tipo]]="DROP"),N166+TbTradesBinance[[#This Row],[Qtt]],N166-TbTradesBinance[[#This Row],[Qtt]]),IF(TbTradesBinance[[#This Row],[Tipo]]="BUY",N166-TbTradesBinance[[#This Row],[Qtt]]*TbTradesBinance[[#This Row],[Preço]],N166+TbTradesBinance[[#This Row],[Qtt]]*TbTradesBinance[[#This Row],[Preço]])),N166)-IF(TbTradesBinance[[#This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Row],[Tipo]]="DROP"),N166+TbTradesBinance[[#This Row],[Qtt]],N166-TbTradesBinance[[#This Row],[Qtt]]),IF(TbTradesBinance[[#This Row],[Tipo]]="BUY",N166-TbTradesBinance[[#This Row],[Qtt]]*TbTradesBinance[[#This Row],[Preço]],N166+TbTradesBinance[[#This Row],[Qtt]]*TbTradesBinance[[#This Row],[Preço]])),N166)-IF(TbTradesBinance[[#This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Row],[Tipo]]="DROP"),N166+TbTradesBinance[[#This Row],[Qtt]],N166-TbTradesBinance[[#This Row],[Qtt]]),IF(TbTradesBinance[[#This Row],[Tipo]]="BUY",N166-TbTradesBinance[[#This Row],[Qtt]]*TbTradesBinance[[#This Row],[Preço]],N166+TbTradesBinance[[#This Row],[Qtt]]*TbTradesBinance[[#This Row],[Preço]])),N166)-IF(TbTradesBinance[[#This Row],[Moeda da Taxa]]=MID(N$1,9,5),TbTradesBinance[[#This Row],[Taxa]],0),8)))</f>
        <v>119745.56319999001</v>
      </c>
      <c r="O167" s="145" cm="1">
        <f t="array" ref="O167">IF(TbTradesBinance[[#This Row],[Tipo]]="EMPTY",0,O166+IF(TbTradesBinance[[#This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Row],[Par]]))),$1:$1,0)),-(N166-N167)/N166*O166),0),0)+IF(TbTradesBinance[[#This Row],[Tipo]]="SELL",IF(ISNUMBER(FIND(MID(O$1,10,5),TbTradesBinance[[#This Row],[Par]])),IF(FIND(MID(O$1,10,5),TbTradesBinance[[#This Row],[Par]])=1, -(N166-N167)/N166*O166,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Row],[Par]])),(-(N166-N167)/N166*O166)+IF(TbTradesBinance[[#This Row],[Resultado]]&gt;0,0,TbTradesBinance[[#This Row],[Taxa]]),0),0))</f>
        <v>119811.90582471275</v>
      </c>
      <c r="P167" s="145">
        <f t="shared" si="39"/>
        <v>1.0005540299193545</v>
      </c>
      <c r="Q16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Row],[Tipo]]="DROP"),Q166+TbTradesBinance[[#This Row],[Qtt]],Q166-TbTradesBinance[[#This Row],[Qtt]]),IF(TbTradesBinance[[#This Row],[Tipo]]="BUY",Q166-TbTradesBinance[[#This Row],[Qtt]]*TbTradesBinance[[#This Row],[Preço]],Q166+TbTradesBinance[[#This Row],[Qtt]]*TbTradesBinance[[#This Row],[Preço]])),Q166)-IF(TbTradesBinance[[#This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Row],[Tipo]]="DROP"),Q166+TbTradesBinance[[#This Row],[Qtt]],Q166-TbTradesBinance[[#This Row],[Qtt]]),IF(TbTradesBinance[[#This Row],[Tipo]]="BUY",Q166-TbTradesBinance[[#This Row],[Qtt]]*TbTradesBinance[[#This Row],[Preço]],Q166+TbTradesBinance[[#This Row],[Qtt]]*TbTradesBinance[[#This Row],[Preço]])),Q166)-IF(TbTradesBinance[[#This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Row],[Tipo]]="DROP"),Q166+TbTradesBinance[[#This Row],[Qtt]],Q166-TbTradesBinance[[#This Row],[Qtt]]),IF(TbTradesBinance[[#This Row],[Tipo]]="BUY",Q166-TbTradesBinance[[#This Row],[Qtt]]*TbTradesBinance[[#This Row],[Preço]],Q166+TbTradesBinance[[#This Row],[Qtt]]*TbTradesBinance[[#This Row],[Preço]])),Q166)-IF(TbTradesBinance[[#This Row],[Moeda da Taxa]]=MID(Q$1,9,5),TbTradesBinance[[#This Row],[Taxa]],0),8)))</f>
        <v>10.648341</v>
      </c>
      <c r="R167" s="145" cm="1">
        <f t="array" ref="R167">IF(TbTradesBinance[[#This Row],[Tipo]]="EMPTY",0,R166+IF(TbTradesBinance[[#This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Row],[Par]]))),$1:$1,0)),-(Q166-Q167)/Q166*R166),0),0)+IF(TbTradesBinance[[#This Row],[Tipo]]="SELL",IF(ISNUMBER(FIND(MID(R$1,10,5),TbTradesBinance[[#This Row],[Par]])),IF(FIND(MID(R$1,10,5),TbTradesBinance[[#This Row],[Par]])=1, -(Q166-Q167)/Q166*R166,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Row],[Par]])),(-(Q166-Q167)/Q166*R166)+IF(TbTradesBinance[[#This Row],[Resultado]]&gt;0,0,TbTradesBinance[[#This Row],[Taxa]]),0),0))</f>
        <v>39.055667995281027</v>
      </c>
      <c r="S167" s="145">
        <f t="shared" si="40"/>
        <v>3.6677702184106451</v>
      </c>
      <c r="T16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Row],[Tipo]]="DROP"),T166+TbTradesBinance[[#This Row],[Qtt]],T166-TbTradesBinance[[#This Row],[Qtt]]),IF(TbTradesBinance[[#This Row],[Tipo]]="BUY",T166-TbTradesBinance[[#This Row],[Qtt]]*TbTradesBinance[[#This Row],[Preço]],T166+TbTradesBinance[[#This Row],[Qtt]]*TbTradesBinance[[#This Row],[Preço]])),T166)-IF(TbTradesBinance[[#This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Row],[Tipo]]="DROP"),T166+TbTradesBinance[[#This Row],[Qtt]],T166-TbTradesBinance[[#This Row],[Qtt]]),IF(TbTradesBinance[[#This Row],[Tipo]]="BUY",T166-TbTradesBinance[[#This Row],[Qtt]]*TbTradesBinance[[#This Row],[Preço]],T166+TbTradesBinance[[#This Row],[Qtt]]*TbTradesBinance[[#This Row],[Preço]])),T166)-IF(TbTradesBinance[[#This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Row],[Tipo]]="DROP"),T166+TbTradesBinance[[#This Row],[Qtt]],T166-TbTradesBinance[[#This Row],[Qtt]]),IF(TbTradesBinance[[#This Row],[Tipo]]="BUY",T166-TbTradesBinance[[#This Row],[Qtt]]*TbTradesBinance[[#This Row],[Preço]],T166+TbTradesBinance[[#This Row],[Qtt]]*TbTradesBinance[[#This Row],[Preço]])),T166)-IF(TbTradesBinance[[#This Row],[Moeda da Taxa]]=MID(T$1,9,5),TbTradesBinance[[#This Row],[Taxa]],0),8)))</f>
        <v>219713.72000189999</v>
      </c>
      <c r="U167" s="145" cm="1">
        <f t="array" ref="U167">IF(TbTradesBinance[[#This Row],[Tipo]]="EMPTY",0,U166+IF(TbTradesBinance[[#This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Row],[Par]]))),$1:$1,0)),-(T166-T167)/T166*U166),0),0)+IF(TbTradesBinance[[#This Row],[Tipo]]="SELL",IF(ISNUMBER(FIND(MID(U$1,10,5),TbTradesBinance[[#This Row],[Par]])),IF(FIND(MID(U$1,10,5),TbTradesBinance[[#This Row],[Par]])=1, -(T166-T167)/T166*U166,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Row],[Par]])),(-(T166-T167)/T166*U166)+IF(TbTradesBinance[[#This Row],[Resultado]]&gt;0,0,TbTradesBinance[[#This Row],[Taxa]]),0),0))</f>
        <v>1461096.2409827893</v>
      </c>
      <c r="V167" s="145">
        <f t="shared" si="41"/>
        <v>6.6500000135182926</v>
      </c>
      <c r="W16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Row],[Tipo]]="DROP"),W166+TbTradesBinance[[#This Row],[Qtt]],W166-TbTradesBinance[[#This Row],[Qtt]]),IF(TbTradesBinance[[#This Row],[Tipo]]="BUY",W166-TbTradesBinance[[#This Row],[Qtt]]*TbTradesBinance[[#This Row],[Preço]],W166+TbTradesBinance[[#This Row],[Qtt]]*TbTradesBinance[[#This Row],[Preço]])),W166)-IF(TbTradesBinance[[#This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Row],[Tipo]]="DROP"),W166+TbTradesBinance[[#This Row],[Qtt]],W166-TbTradesBinance[[#This Row],[Qtt]]),IF(TbTradesBinance[[#This Row],[Tipo]]="BUY",W166-TbTradesBinance[[#This Row],[Qtt]]*TbTradesBinance[[#This Row],[Preço]],W166+TbTradesBinance[[#This Row],[Qtt]]*TbTradesBinance[[#This Row],[Preço]])),W166)-IF(TbTradesBinance[[#This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Row],[Tipo]]="DROP"),W166+TbTradesBinance[[#This Row],[Qtt]],W166-TbTradesBinance[[#This Row],[Qtt]]),IF(TbTradesBinance[[#This Row],[Tipo]]="BUY",W166-TbTradesBinance[[#This Row],[Qtt]]*TbTradesBinance[[#This Row],[Preço]],W166+TbTradesBinance[[#This Row],[Qtt]]*TbTradesBinance[[#This Row],[Preço]])),W166)-IF(TbTradesBinance[[#This Row],[Moeda da Taxa]]=MID(W$1,9,5),TbTradesBinance[[#This Row],[Taxa]],0),8)))</f>
        <v>6.0336000000000005E-4</v>
      </c>
      <c r="X167" s="145" cm="1">
        <f t="array" ref="X167">IF(TbTradesBinance[[#This Row],[Tipo]]="EMPTY",0,X166+IF(TbTradesBinance[[#This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Row],[Par]]))),$1:$1,0)),-(W166-W167)/W166*X166),0),0)+IF(TbTradesBinance[[#This Row],[Tipo]]="SELL",IF(ISNUMBER(FIND(MID(X$1,10,5),TbTradesBinance[[#This Row],[Par]])),IF(FIND(MID(X$1,10,5),TbTradesBinance[[#This Row],[Par]])=1, -(W166-W167)/W166*X166,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Row],[Par]])),(-(W166-W167)/W166*X166)+IF(TbTradesBinance[[#This Row],[Resultado]]&gt;0,0,TbTradesBinance[[#This Row],[Taxa]]),0),0))</f>
        <v>195.45138064075348</v>
      </c>
      <c r="Y167" s="145">
        <f t="shared" si="42"/>
        <v>323938.24688536441</v>
      </c>
      <c r="Z16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Row],[Tipo]]="DROP"),Z166+TbTradesBinance[[#This Row],[Qtt]],Z166-TbTradesBinance[[#This Row],[Qtt]]),IF(TbTradesBinance[[#This Row],[Tipo]]="BUY",Z166-TbTradesBinance[[#This Row],[Qtt]]*TbTradesBinance[[#This Row],[Preço]],Z166+TbTradesBinance[[#This Row],[Qtt]]*TbTradesBinance[[#This Row],[Preço]])),Z166)-IF(TbTradesBinance[[#This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Row],[Tipo]]="DROP"),Z166+TbTradesBinance[[#This Row],[Qtt]],Z166-TbTradesBinance[[#This Row],[Qtt]]),IF(TbTradesBinance[[#This Row],[Tipo]]="BUY",Z166-TbTradesBinance[[#This Row],[Qtt]]*TbTradesBinance[[#This Row],[Preço]],Z166+TbTradesBinance[[#This Row],[Qtt]]*TbTradesBinance[[#This Row],[Preço]])),Z166)-IF(TbTradesBinance[[#This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Row],[Tipo]]="DROP"),Z166+TbTradesBinance[[#This Row],[Qtt]],Z166-TbTradesBinance[[#This Row],[Qtt]]),IF(TbTradesBinance[[#This Row],[Tipo]]="BUY",Z166-TbTradesBinance[[#This Row],[Qtt]]*TbTradesBinance[[#This Row],[Preço]],Z166+TbTradesBinance[[#This Row],[Qtt]]*TbTradesBinance[[#This Row],[Preço]])),Z166)-IF(TbTradesBinance[[#This Row],[Moeda da Taxa]]=MID(Z$1,9,5),TbTradesBinance[[#This Row],[Taxa]],0),8)))</f>
        <v>0</v>
      </c>
      <c r="AA167" s="145" cm="1">
        <f t="array" ref="AA167">IF(TbTradesBinance[[#This Row],[Tipo]]="EMPTY",0,AA166+IF(TbTradesBinance[[#This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Row],[Par]]))),$1:$1,0)),-(Z166-Z167)/Z166*AA166),0),0)+IF(TbTradesBinance[[#This Row],[Tipo]]="SELL",IF(ISNUMBER(FIND(MID(AA$1,10,5),TbTradesBinance[[#This Row],[Par]])),IF(FIND(MID(AA$1,10,5),TbTradesBinance[[#This Row],[Par]])=1, -(Z166-Z167)/Z166*AA166,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Row],[Par]])),(-(Z166-Z167)/Z166*AA166)+IF(TbTradesBinance[[#This Row],[Resultado]]&gt;0,0,TbTradesBinance[[#This Row],[Taxa]]),0),0))</f>
        <v>0</v>
      </c>
      <c r="AB167" s="145">
        <f t="shared" si="43"/>
        <v>0</v>
      </c>
      <c r="AC16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Row],[Tipo]]="DROP"),AC166+TbTradesBinance[[#This Row],[Qtt]],AC166-TbTradesBinance[[#This Row],[Qtt]]),IF(TbTradesBinance[[#This Row],[Tipo]]="BUY",AC166-TbTradesBinance[[#This Row],[Qtt]]*TbTradesBinance[[#This Row],[Preço]],AC166+TbTradesBinance[[#This Row],[Qtt]]*TbTradesBinance[[#This Row],[Preço]])),AC166)-IF(TbTradesBinance[[#This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Row],[Tipo]]="DROP"),AC166+TbTradesBinance[[#This Row],[Qtt]],AC166-TbTradesBinance[[#This Row],[Qtt]]),IF(TbTradesBinance[[#This Row],[Tipo]]="BUY",AC166-TbTradesBinance[[#This Row],[Qtt]]*TbTradesBinance[[#This Row],[Preço]],AC166+TbTradesBinance[[#This Row],[Qtt]]*TbTradesBinance[[#This Row],[Preço]])),AC166)-IF(TbTradesBinance[[#This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Row],[Tipo]]="DROP"),AC166+TbTradesBinance[[#This Row],[Qtt]],AC166-TbTradesBinance[[#This Row],[Qtt]]),IF(TbTradesBinance[[#This Row],[Tipo]]="BUY",AC166-TbTradesBinance[[#This Row],[Qtt]]*TbTradesBinance[[#This Row],[Preço]],AC166+TbTradesBinance[[#This Row],[Qtt]]*TbTradesBinance[[#This Row],[Preço]])),AC166)-IF(TbTradesBinance[[#This Row],[Moeda da Taxa]]=MID(AC$1,9,5),TbTradesBinance[[#This Row],[Taxa]],0),8)))</f>
        <v>0</v>
      </c>
      <c r="AD167" s="145" cm="1">
        <f t="array" ref="AD167">IF(TbTradesBinance[[#This Row],[Tipo]]="EMPTY",0,AD166+IF(TbTradesBinance[[#This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Row],[Par]]))),$1:$1,0)),-(AC166-AC167)/AC166*AD166),0),0)+IF(TbTradesBinance[[#This Row],[Tipo]]="SELL",IF(ISNUMBER(FIND(MID(AD$1,10,5),TbTradesBinance[[#This Row],[Par]])),IF(FIND(MID(AD$1,10,5),TbTradesBinance[[#This Row],[Par]])=1, -(AC166-AC167)/AC166*AD166,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Row],[Par]])),(-(AC166-AC167)/AC166*AD166)+IF(TbTradesBinance[[#This Row],[Resultado]]&gt;0,0,TbTradesBinance[[#This Row],[Taxa]]),0),0))</f>
        <v>0</v>
      </c>
      <c r="AE167" s="145">
        <f t="shared" si="44"/>
        <v>0</v>
      </c>
      <c r="AF16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Row],[Tipo]]="DROP"),AF166+TbTradesBinance[[#This Row],[Qtt]],AF166-TbTradesBinance[[#This Row],[Qtt]]),IF(TbTradesBinance[[#This Row],[Tipo]]="BUY",AF166-TbTradesBinance[[#This Row],[Qtt]]*TbTradesBinance[[#This Row],[Preço]],AF166+TbTradesBinance[[#This Row],[Qtt]]*TbTradesBinance[[#This Row],[Preço]])),AF166)-IF(TbTradesBinance[[#This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Row],[Tipo]]="DROP"),AF166+TbTradesBinance[[#This Row],[Qtt]],AF166-TbTradesBinance[[#This Row],[Qtt]]),IF(TbTradesBinance[[#This Row],[Tipo]]="BUY",AF166-TbTradesBinance[[#This Row],[Qtt]]*TbTradesBinance[[#This Row],[Preço]],AF166+TbTradesBinance[[#This Row],[Qtt]]*TbTradesBinance[[#This Row],[Preço]])),AF166)-IF(TbTradesBinance[[#This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Row],[Tipo]]="DROP"),AF166+TbTradesBinance[[#This Row],[Qtt]],AF166-TbTradesBinance[[#This Row],[Qtt]]),IF(TbTradesBinance[[#This Row],[Tipo]]="BUY",AF166-TbTradesBinance[[#This Row],[Qtt]]*TbTradesBinance[[#This Row],[Preço]],AF166+TbTradesBinance[[#This Row],[Qtt]]*TbTradesBinance[[#This Row],[Preço]])),AF166)-IF(TbTradesBinance[[#This Row],[Moeda da Taxa]]=MID(AF$1,9,5),TbTradesBinance[[#This Row],[Taxa]],0),8)))</f>
        <v>0</v>
      </c>
      <c r="AG167" s="145" cm="1">
        <f t="array" ref="AG167">IF(TbTradesBinance[[#This Row],[Tipo]]="EMPTY",0,AG166+IF(TbTradesBinance[[#This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Row],[Par]]))),$1:$1,0)),-(AF166-AF167)/AF166*AG166),0),0)+IF(TbTradesBinance[[#This Row],[Tipo]]="SELL",IF(ISNUMBER(FIND(MID(AG$1,10,5),TbTradesBinance[[#This Row],[Par]])),IF(FIND(MID(AG$1,10,5),TbTradesBinance[[#This Row],[Par]])=1, -(AF166-AF167)/AF166*AG166,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Row],[Par]])),(-(AF166-AF167)/AF166*AG166)+IF(TbTradesBinance[[#This Row],[Resultado]]&gt;0,0,TbTradesBinance[[#This Row],[Taxa]]),0),0))</f>
        <v>0</v>
      </c>
      <c r="AH167" s="145">
        <f t="shared" si="45"/>
        <v>0</v>
      </c>
      <c r="AI16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Row],[Tipo]]="DROP"),AI166+TbTradesBinance[[#This Row],[Qtt]],AI166-TbTradesBinance[[#This Row],[Qtt]]),IF(TbTradesBinance[[#This Row],[Tipo]]="BUY",AI166-TbTradesBinance[[#This Row],[Qtt]]*TbTradesBinance[[#This Row],[Preço]],AI166+TbTradesBinance[[#This Row],[Qtt]]*TbTradesBinance[[#This Row],[Preço]])),AI166)-IF(TbTradesBinance[[#This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Row],[Tipo]]="DROP"),AI166+TbTradesBinance[[#This Row],[Qtt]],AI166-TbTradesBinance[[#This Row],[Qtt]]),IF(TbTradesBinance[[#This Row],[Tipo]]="BUY",AI166-TbTradesBinance[[#This Row],[Qtt]]*TbTradesBinance[[#This Row],[Preço]],AI166+TbTradesBinance[[#This Row],[Qtt]]*TbTradesBinance[[#This Row],[Preço]])),AI166)-IF(TbTradesBinance[[#This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Row],[Tipo]]="DROP"),AI166+TbTradesBinance[[#This Row],[Qtt]],AI166-TbTradesBinance[[#This Row],[Qtt]]),IF(TbTradesBinance[[#This Row],[Tipo]]="BUY",AI166-TbTradesBinance[[#This Row],[Qtt]]*TbTradesBinance[[#This Row],[Preço]],AI166+TbTradesBinance[[#This Row],[Qtt]]*TbTradesBinance[[#This Row],[Preço]])),AI166)-IF(TbTradesBinance[[#This Row],[Moeda da Taxa]]=MID(AI$1,9,5),TbTradesBinance[[#This Row],[Taxa]],0),8)))</f>
        <v>0</v>
      </c>
      <c r="AJ167" s="145" cm="1">
        <f t="array" ref="AJ167">IF(TbTradesBinance[[#This Row],[Tipo]]="EMPTY",0,AJ166+IF(TbTradesBinance[[#This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Row],[Par]]))),$1:$1,0)),-(AI166-AI167)/AI166*AJ166),0),0)+IF(TbTradesBinance[[#This Row],[Tipo]]="SELL",IF(ISNUMBER(FIND(MID(AJ$1,10,5),TbTradesBinance[[#This Row],[Par]])),IF(FIND(MID(AJ$1,10,5),TbTradesBinance[[#This Row],[Par]])=1, -(AI166-AI167)/AI166*AJ166,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Row],[Par]])),(-(AI166-AI167)/AI166*AJ166)+IF(TbTradesBinance[[#This Row],[Resultado]]&gt;0,0,TbTradesBinance[[#This Row],[Taxa]]),0),0))</f>
        <v>0</v>
      </c>
      <c r="AK167" s="145">
        <f t="shared" si="46"/>
        <v>0</v>
      </c>
      <c r="AL16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Row],[Tipo]]="DROP"),AL166+TbTradesBinance[[#This Row],[Qtt]],AL166-TbTradesBinance[[#This Row],[Qtt]]),IF(TbTradesBinance[[#This Row],[Tipo]]="BUY",AL166-TbTradesBinance[[#This Row],[Qtt]]*TbTradesBinance[[#This Row],[Preço]],AL166+TbTradesBinance[[#This Row],[Qtt]]*TbTradesBinance[[#This Row],[Preço]])),AL166)-IF(TbTradesBinance[[#This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Row],[Tipo]]="DROP"),AL166+TbTradesBinance[[#This Row],[Qtt]],AL166-TbTradesBinance[[#This Row],[Qtt]]),IF(TbTradesBinance[[#This Row],[Tipo]]="BUY",AL166-TbTradesBinance[[#This Row],[Qtt]]*TbTradesBinance[[#This Row],[Preço]],AL166+TbTradesBinance[[#This Row],[Qtt]]*TbTradesBinance[[#This Row],[Preço]])),AL166)-IF(TbTradesBinance[[#This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Row],[Tipo]]="DROP"),AL166+TbTradesBinance[[#This Row],[Qtt]],AL166-TbTradesBinance[[#This Row],[Qtt]]),IF(TbTradesBinance[[#This Row],[Tipo]]="BUY",AL166-TbTradesBinance[[#This Row],[Qtt]]*TbTradesBinance[[#This Row],[Preço]],AL166+TbTradesBinance[[#This Row],[Qtt]]*TbTradesBinance[[#This Row],[Preço]])),AL166)-IF(TbTradesBinance[[#This Row],[Moeda da Taxa]]=MID(AL$1,9,5),TbTradesBinance[[#This Row],[Taxa]],0),8)))</f>
        <v>0</v>
      </c>
      <c r="AM167" s="145" cm="1">
        <f t="array" ref="AM167">IF(TbTradesBinance[[#This Row],[Tipo]]="EMPTY",0,AM166+IF(TbTradesBinance[[#This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Row],[Par]]))),$1:$1,0)),-(AL166-AL167)/AL166*AM166),0),0)+IF(TbTradesBinance[[#This Row],[Tipo]]="SELL",IF(ISNUMBER(FIND(MID(AM$1,10,5),TbTradesBinance[[#This Row],[Par]])),IF(FIND(MID(AM$1,10,5),TbTradesBinance[[#This Row],[Par]])=1, -(AL166-AL167)/AL166*AM166,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Row],[Par]])),(-(AL166-AL167)/AL166*AM166)+IF(TbTradesBinance[[#This Row],[Resultado]]&gt;0,0,TbTradesBinance[[#This Row],[Taxa]]),0),0))</f>
        <v>0</v>
      </c>
      <c r="AN167" s="145">
        <f t="shared" si="47"/>
        <v>0</v>
      </c>
      <c r="AO16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Row],[Tipo]]="DROP"),AO166+TbTradesBinance[[#This Row],[Qtt]],AO166-TbTradesBinance[[#This Row],[Qtt]]),IF(TbTradesBinance[[#This Row],[Tipo]]="BUY",AO166-TbTradesBinance[[#This Row],[Qtt]]*TbTradesBinance[[#This Row],[Preço]],AO166+TbTradesBinance[[#This Row],[Qtt]]*TbTradesBinance[[#This Row],[Preço]])),AO166)-IF(TbTradesBinance[[#This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Row],[Tipo]]="DROP"),AO166+TbTradesBinance[[#This Row],[Qtt]],AO166-TbTradesBinance[[#This Row],[Qtt]]),IF(TbTradesBinance[[#This Row],[Tipo]]="BUY",AO166-TbTradesBinance[[#This Row],[Qtt]]*TbTradesBinance[[#This Row],[Preço]],AO166+TbTradesBinance[[#This Row],[Qtt]]*TbTradesBinance[[#This Row],[Preço]])),AO166)-IF(TbTradesBinance[[#This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Row],[Tipo]]="DROP"),AO166+TbTradesBinance[[#This Row],[Qtt]],AO166-TbTradesBinance[[#This Row],[Qtt]]),IF(TbTradesBinance[[#This Row],[Tipo]]="BUY",AO166-TbTradesBinance[[#This Row],[Qtt]]*TbTradesBinance[[#This Row],[Preço]],AO166+TbTradesBinance[[#This Row],[Qtt]]*TbTradesBinance[[#This Row],[Preço]])),AO166)-IF(TbTradesBinance[[#This Row],[Moeda da Taxa]]=MID(AO$1,9,5),TbTradesBinance[[#This Row],[Taxa]],0),8)))</f>
        <v>3.835968E-2</v>
      </c>
      <c r="AP167" s="145" cm="1">
        <f t="array" ref="AP167">IF(TbTradesBinance[[#This Row],[Tipo]]="EMPTY",0,AP166+IF(TbTradesBinance[[#This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Row],[Par]]))),$1:$1,0)),-(AO166-AO167)/AO166*AP166),0),0)+IF(TbTradesBinance[[#This Row],[Tipo]]="SELL",IF(ISNUMBER(FIND(MID(AP$1,10,5),TbTradesBinance[[#This Row],[Par]])),IF(FIND(MID(AP$1,10,5),TbTradesBinance[[#This Row],[Par]])=1, -(AO166-AO167)/AO166*AP166,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Row],[Par]])),(-(AO166-AO167)/AO166*AP166)+IF(TbTradesBinance[[#This Row],[Resultado]]&gt;0,0,TbTradesBinance[[#This Row],[Taxa]]),0),0))</f>
        <v>60.206578718772462</v>
      </c>
      <c r="AQ167" s="145">
        <f t="shared" si="48"/>
        <v>1569.5276581757842</v>
      </c>
      <c r="AR16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Row],[Tipo]]="DROP"),AR166+TbTradesBinance[[#This Row],[Qtt]],AR166-TbTradesBinance[[#This Row],[Qtt]]),IF(TbTradesBinance[[#This Row],[Tipo]]="BUY",AR166-TbTradesBinance[[#This Row],[Qtt]]*TbTradesBinance[[#This Row],[Preço]],AR166+TbTradesBinance[[#This Row],[Qtt]]*TbTradesBinance[[#This Row],[Preço]])),AR166)-IF(TbTradesBinance[[#This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Row],[Tipo]]="DROP"),AR166+TbTradesBinance[[#This Row],[Qtt]],AR166-TbTradesBinance[[#This Row],[Qtt]]),IF(TbTradesBinance[[#This Row],[Tipo]]="BUY",AR166-TbTradesBinance[[#This Row],[Qtt]]*TbTradesBinance[[#This Row],[Preço]],AR166+TbTradesBinance[[#This Row],[Qtt]]*TbTradesBinance[[#This Row],[Preço]])),AR166)-IF(TbTradesBinance[[#This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Row],[Tipo]]="DROP"),AR166+TbTradesBinance[[#This Row],[Qtt]],AR166-TbTradesBinance[[#This Row],[Qtt]]),IF(TbTradesBinance[[#This Row],[Tipo]]="BUY",AR166-TbTradesBinance[[#This Row],[Qtt]]*TbTradesBinance[[#This Row],[Preço]],AR166+TbTradesBinance[[#This Row],[Qtt]]*TbTradesBinance[[#This Row],[Preço]])),AR166)-IF(TbTradesBinance[[#This Row],[Moeda da Taxa]]=MID(AR$1,9,5),TbTradesBinance[[#This Row],[Taxa]],0),8)))</f>
        <v>0</v>
      </c>
      <c r="AS167" s="145" cm="1">
        <f t="array" ref="AS167">IF(TbTradesBinance[[#This Row],[Tipo]]="EMPTY",0,AS166+IF(TbTradesBinance[[#This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Row],[Par]]))),$1:$1,0)),-(AR166-AR167)/AR166*AS166),0),0)+IF(TbTradesBinance[[#This Row],[Tipo]]="SELL",IF(ISNUMBER(FIND(MID(AS$1,10,5),TbTradesBinance[[#This Row],[Par]])),IF(FIND(MID(AS$1,10,5),TbTradesBinance[[#This Row],[Par]])=1, -(AR166-AR167)/AR166*AS166,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Row],[Par]])),(-(AR166-AR167)/AR166*AS166)+IF(TbTradesBinance[[#This Row],[Resultado]]&gt;0,0,TbTradesBinance[[#This Row],[Taxa]]),0),0))</f>
        <v>0</v>
      </c>
      <c r="AT167" s="145">
        <f t="shared" si="49"/>
        <v>0</v>
      </c>
      <c r="AU16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Row],[Tipo]]="DROP"),AU166+TbTradesBinance[[#This Row],[Qtt]],AU166-TbTradesBinance[[#This Row],[Qtt]]),IF(TbTradesBinance[[#This Row],[Tipo]]="BUY",AU166-TbTradesBinance[[#This Row],[Qtt]]*TbTradesBinance[[#This Row],[Preço]],AU166+TbTradesBinance[[#This Row],[Qtt]]*TbTradesBinance[[#This Row],[Preço]])),AU166)-IF(TbTradesBinance[[#This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Row],[Tipo]]="DROP"),AU166+TbTradesBinance[[#This Row],[Qtt]],AU166-TbTradesBinance[[#This Row],[Qtt]]),IF(TbTradesBinance[[#This Row],[Tipo]]="BUY",AU166-TbTradesBinance[[#This Row],[Qtt]]*TbTradesBinance[[#This Row],[Preço]],AU166+TbTradesBinance[[#This Row],[Qtt]]*TbTradesBinance[[#This Row],[Preço]])),AU166)-IF(TbTradesBinance[[#This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Row],[Tipo]]="DROP"),AU166+TbTradesBinance[[#This Row],[Qtt]],AU166-TbTradesBinance[[#This Row],[Qtt]]),IF(TbTradesBinance[[#This Row],[Tipo]]="BUY",AU166-TbTradesBinance[[#This Row],[Qtt]]*TbTradesBinance[[#This Row],[Preço]],AU166+TbTradesBinance[[#This Row],[Qtt]]*TbTradesBinance[[#This Row],[Preço]])),AU166)-IF(TbTradesBinance[[#This Row],[Moeda da Taxa]]=MID(AU$1,9,5),TbTradesBinance[[#This Row],[Taxa]],0),8)))</f>
        <v>0.51</v>
      </c>
      <c r="AV167" s="145" cm="1">
        <f t="array" ref="AV167">IF(TbTradesBinance[[#This Row],[Tipo]]="EMPTY",0,AV166+IF(TbTradesBinance[[#This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Row],[Par]]))),$1:$1,0)),-(AU166-AU167)/AU166*AV166),0),0)+IF(TbTradesBinance[[#This Row],[Tipo]]="SELL",IF(ISNUMBER(FIND(MID(AV$1,10,5),TbTradesBinance[[#This Row],[Par]])),IF(FIND(MID(AV$1,10,5),TbTradesBinance[[#This Row],[Par]])=1, -(AU166-AU167)/AU166*AV166,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Row],[Par]])),(-(AU166-AU167)/AU166*AV166)+IF(TbTradesBinance[[#This Row],[Resultado]]&gt;0,0,TbTradesBinance[[#This Row],[Taxa]]),0),0))</f>
        <v>95.466693037374753</v>
      </c>
      <c r="AW167" s="145">
        <f t="shared" si="50"/>
        <v>187.18959419093088</v>
      </c>
      <c r="AX16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Row],[Tipo]]="DROP"),AX166+TbTradesBinance[[#This Row],[Qtt]],AX166-TbTradesBinance[[#This Row],[Qtt]]),IF(TbTradesBinance[[#This Row],[Tipo]]="BUY",AX166-TbTradesBinance[[#This Row],[Qtt]]*TbTradesBinance[[#This Row],[Preço]],AX166+TbTradesBinance[[#This Row],[Qtt]]*TbTradesBinance[[#This Row],[Preço]])),AX166)-IF(TbTradesBinance[[#This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Row],[Tipo]]="DROP"),AX166+TbTradesBinance[[#This Row],[Qtt]],AX166-TbTradesBinance[[#This Row],[Qtt]]),IF(TbTradesBinance[[#This Row],[Tipo]]="BUY",AX166-TbTradesBinance[[#This Row],[Qtt]]*TbTradesBinance[[#This Row],[Preço]],AX166+TbTradesBinance[[#This Row],[Qtt]]*TbTradesBinance[[#This Row],[Preço]])),AX166)-IF(TbTradesBinance[[#This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Row],[Tipo]]="DROP"),AX166+TbTradesBinance[[#This Row],[Qtt]],AX166-TbTradesBinance[[#This Row],[Qtt]]),IF(TbTradesBinance[[#This Row],[Tipo]]="BUY",AX166-TbTradesBinance[[#This Row],[Qtt]]*TbTradesBinance[[#This Row],[Preço]],AX166+TbTradesBinance[[#This Row],[Qtt]]*TbTradesBinance[[#This Row],[Preço]])),AX166)-IF(TbTradesBinance[[#This Row],[Moeda da Taxa]]=MID(AX$1,9,5),TbTradesBinance[[#This Row],[Taxa]],0),8)))</f>
        <v>0.32838000000000001</v>
      </c>
      <c r="AY167" s="145" cm="1">
        <f t="array" ref="AY167">IF(TbTradesBinance[[#This Row],[Tipo]]="EMPTY",0,AY166+IF(TbTradesBinance[[#This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Row],[Par]]))),$1:$1,0)),-(AX166-AX167)/AX166*AY166),0),0)+IF(TbTradesBinance[[#This Row],[Tipo]]="SELL",IF(ISNUMBER(FIND(MID(AY$1,10,5),TbTradesBinance[[#This Row],[Par]])),IF(FIND(MID(AY$1,10,5),TbTradesBinance[[#This Row],[Par]])=1, -(AX166-AX167)/AX166*AY166,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Row],[Par]])),(-(AX166-AX167)/AX166*AY166)+IF(TbTradesBinance[[#This Row],[Resultado]]&gt;0,0,TbTradesBinance[[#This Row],[Taxa]]),0),0))</f>
        <v>61.364116058805678</v>
      </c>
      <c r="AZ167" s="145">
        <f t="shared" si="51"/>
        <v>186.869224857804</v>
      </c>
      <c r="BA16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Row],[Tipo]]="DROP"),BA166+TbTradesBinance[[#This Row],[Qtt]],BA166-TbTradesBinance[[#This Row],[Qtt]]),IF(TbTradesBinance[[#This Row],[Tipo]]="BUY",BA166-TbTradesBinance[[#This Row],[Qtt]]*TbTradesBinance[[#This Row],[Preço]],BA166+TbTradesBinance[[#This Row],[Qtt]]*TbTradesBinance[[#This Row],[Preço]])),BA166)-IF(TbTradesBinance[[#This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Row],[Tipo]]="DROP"),BA166+TbTradesBinance[[#This Row],[Qtt]],BA166-TbTradesBinance[[#This Row],[Qtt]]),IF(TbTradesBinance[[#This Row],[Tipo]]="BUY",BA166-TbTradesBinance[[#This Row],[Qtt]]*TbTradesBinance[[#This Row],[Preço]],BA166+TbTradesBinance[[#This Row],[Qtt]]*TbTradesBinance[[#This Row],[Preço]])),BA166)-IF(TbTradesBinance[[#This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Row],[Tipo]]="DROP"),BA166+TbTradesBinance[[#This Row],[Qtt]],BA166-TbTradesBinance[[#This Row],[Qtt]]),IF(TbTradesBinance[[#This Row],[Tipo]]="BUY",BA166-TbTradesBinance[[#This Row],[Qtt]]*TbTradesBinance[[#This Row],[Preço]],BA166+TbTradesBinance[[#This Row],[Qtt]]*TbTradesBinance[[#This Row],[Preço]])),BA166)-IF(TbTradesBinance[[#This Row],[Moeda da Taxa]]=MID(BA$1,9,5),TbTradesBinance[[#This Row],[Taxa]],0),8)))</f>
        <v>0</v>
      </c>
      <c r="BB167" s="145" cm="1">
        <f t="array" ref="BB167">IF(TbTradesBinance[[#This Row],[Tipo]]="EMPTY",0,BB166+IF(TbTradesBinance[[#This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Row],[Par]]))),$1:$1,0)),-(BA166-BA167)/BA166*BB166),0),0)+IF(TbTradesBinance[[#This Row],[Tipo]]="SELL",IF(ISNUMBER(FIND(MID(BB$1,10,5),TbTradesBinance[[#This Row],[Par]])),IF(FIND(MID(BB$1,10,5),TbTradesBinance[[#This Row],[Par]])=1, -(BA166-BA167)/BA166*BB166,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Row],[Par]])),(-(BA166-BA167)/BA166*BB166)+IF(TbTradesBinance[[#This Row],[Resultado]]&gt;0,0,TbTradesBinance[[#This Row],[Taxa]]),0),0))</f>
        <v>0</v>
      </c>
      <c r="BC167" s="145">
        <f t="shared" si="52"/>
        <v>0</v>
      </c>
      <c r="BD16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Row],[Tipo]]="DROP"),BD166+TbTradesBinance[[#This Row],[Qtt]],BD166-TbTradesBinance[[#This Row],[Qtt]]),IF(TbTradesBinance[[#This Row],[Tipo]]="BUY",BD166-TbTradesBinance[[#This Row],[Qtt]]*TbTradesBinance[[#This Row],[Preço]],BD166+TbTradesBinance[[#This Row],[Qtt]]*TbTradesBinance[[#This Row],[Preço]])),BD166)-IF(TbTradesBinance[[#This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Row],[Tipo]]="DROP"),BD166+TbTradesBinance[[#This Row],[Qtt]],BD166-TbTradesBinance[[#This Row],[Qtt]]),IF(TbTradesBinance[[#This Row],[Tipo]]="BUY",BD166-TbTradesBinance[[#This Row],[Qtt]]*TbTradesBinance[[#This Row],[Preço]],BD166+TbTradesBinance[[#This Row],[Qtt]]*TbTradesBinance[[#This Row],[Preço]])),BD166)-IF(TbTradesBinance[[#This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Row],[Tipo]]="DROP"),BD166+TbTradesBinance[[#This Row],[Qtt]],BD166-TbTradesBinance[[#This Row],[Qtt]]),IF(TbTradesBinance[[#This Row],[Tipo]]="BUY",BD166-TbTradesBinance[[#This Row],[Qtt]]*TbTradesBinance[[#This Row],[Preço]],BD166+TbTradesBinance[[#This Row],[Qtt]]*TbTradesBinance[[#This Row],[Preço]])),BD166)-IF(TbTradesBinance[[#This Row],[Moeda da Taxa]]=MID(BD$1,9,5),TbTradesBinance[[#This Row],[Taxa]],0),8)))</f>
        <v>0</v>
      </c>
      <c r="BE167" s="145" cm="1">
        <f t="array" ref="BE167">IF(TbTradesBinance[[#This Row],[Tipo]]="EMPTY",0,BE166+IF(TbTradesBinance[[#This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Row],[Par]]))),$1:$1,0)),-(BD166-BD167)/BD166*BE166),0),0)+IF(TbTradesBinance[[#This Row],[Tipo]]="SELL",IF(ISNUMBER(FIND(MID(BE$1,10,5),TbTradesBinance[[#This Row],[Par]])),IF(FIND(MID(BE$1,10,5),TbTradesBinance[[#This Row],[Par]])=1, -(BD166-BD167)/BD166*BE166,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Row],[Par]])),(-(BD166-BD167)/BD166*BE166)+IF(TbTradesBinance[[#This Row],[Resultado]]&gt;0,0,TbTradesBinance[[#This Row],[Taxa]]),0),0))</f>
        <v>0</v>
      </c>
      <c r="BF167" s="145">
        <f t="shared" si="53"/>
        <v>0</v>
      </c>
      <c r="BG16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Row],[Tipo]]="DROP"),BG166+TbTradesBinance[[#This Row],[Qtt]],BG166-TbTradesBinance[[#This Row],[Qtt]]),IF(TbTradesBinance[[#This Row],[Tipo]]="BUY",BG166-TbTradesBinance[[#This Row],[Qtt]]*TbTradesBinance[[#This Row],[Preço]],BG166+TbTradesBinance[[#This Row],[Qtt]]*TbTradesBinance[[#This Row],[Preço]])),BG166)-IF(TbTradesBinance[[#This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Row],[Tipo]]="DROP"),BG166+TbTradesBinance[[#This Row],[Qtt]],BG166-TbTradesBinance[[#This Row],[Qtt]]),IF(TbTradesBinance[[#This Row],[Tipo]]="BUY",BG166-TbTradesBinance[[#This Row],[Qtt]]*TbTradesBinance[[#This Row],[Preço]],BG166+TbTradesBinance[[#This Row],[Qtt]]*TbTradesBinance[[#This Row],[Preço]])),BG166)-IF(TbTradesBinance[[#This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Row],[Tipo]]="DROP"),BG166+TbTradesBinance[[#This Row],[Qtt]],BG166-TbTradesBinance[[#This Row],[Qtt]]),IF(TbTradesBinance[[#This Row],[Tipo]]="BUY",BG166-TbTradesBinance[[#This Row],[Qtt]]*TbTradesBinance[[#This Row],[Preço]],BG166+TbTradesBinance[[#This Row],[Qtt]]*TbTradesBinance[[#This Row],[Preço]])),BG166)-IF(TbTradesBinance[[#This Row],[Moeda da Taxa]]=MID(BG$1,9,5),TbTradesBinance[[#This Row],[Taxa]],0),8)))</f>
        <v>0</v>
      </c>
      <c r="BH167" s="145" cm="1">
        <f t="array" ref="BH167">IF(TbTradesBinance[[#This Row],[Tipo]]="EMPTY",0,BH166+IF(TbTradesBinance[[#This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Row],[Par]]))),$1:$1,0)),-(BG166-BG167)/BG166*BH166),0),0)+IF(TbTradesBinance[[#This Row],[Tipo]]="SELL",IF(ISNUMBER(FIND(MID(BH$1,10,5),TbTradesBinance[[#This Row],[Par]])),IF(FIND(MID(BH$1,10,5),TbTradesBinance[[#This Row],[Par]])=1, -(BG166-BG167)/BG166*BH166,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Row],[Par]])),(-(BG166-BG167)/BG166*BH166)+IF(TbTradesBinance[[#This Row],[Resultado]]&gt;0,0,TbTradesBinance[[#This Row],[Taxa]]),0),0))</f>
        <v>0</v>
      </c>
      <c r="BI167" s="145">
        <f t="shared" si="54"/>
        <v>0</v>
      </c>
      <c r="BJ16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Row],[Tipo]]="DROP"),BJ166+TbTradesBinance[[#This Row],[Qtt]],BJ166-TbTradesBinance[[#This Row],[Qtt]]),IF(TbTradesBinance[[#This Row],[Tipo]]="BUY",BJ166-TbTradesBinance[[#This Row],[Qtt]]*TbTradesBinance[[#This Row],[Preço]],BJ166+TbTradesBinance[[#This Row],[Qtt]]*TbTradesBinance[[#This Row],[Preço]])),BJ166)-IF(TbTradesBinance[[#This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Row],[Tipo]]="DROP"),BJ166+TbTradesBinance[[#This Row],[Qtt]],BJ166-TbTradesBinance[[#This Row],[Qtt]]),IF(TbTradesBinance[[#This Row],[Tipo]]="BUY",BJ166-TbTradesBinance[[#This Row],[Qtt]]*TbTradesBinance[[#This Row],[Preço]],BJ166+TbTradesBinance[[#This Row],[Qtt]]*TbTradesBinance[[#This Row],[Preço]])),BJ166)-IF(TbTradesBinance[[#This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Row],[Tipo]]="DROP"),BJ166+TbTradesBinance[[#This Row],[Qtt]],BJ166-TbTradesBinance[[#This Row],[Qtt]]),IF(TbTradesBinance[[#This Row],[Tipo]]="BUY",BJ166-TbTradesBinance[[#This Row],[Qtt]]*TbTradesBinance[[#This Row],[Preço]],BJ166+TbTradesBinance[[#This Row],[Qtt]]*TbTradesBinance[[#This Row],[Preço]])),BJ166)-IF(TbTradesBinance[[#This Row],[Moeda da Taxa]]=MID(BJ$1,9,5),TbTradesBinance[[#This Row],[Taxa]],0),8)))</f>
        <v>0</v>
      </c>
      <c r="BK167" s="145" cm="1">
        <f t="array" ref="BK167">IF(TbTradesBinance[[#This Row],[Tipo]]="EMPTY",0,BK166+IF(TbTradesBinance[[#This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Row],[Par]]))),$1:$1,0)),-(BJ166-BJ167)/BJ166*BK166),0),0)+IF(TbTradesBinance[[#This Row],[Tipo]]="SELL",IF(ISNUMBER(FIND(MID(BK$1,10,5),TbTradesBinance[[#This Row],[Par]])),IF(FIND(MID(BK$1,10,5),TbTradesBinance[[#This Row],[Par]])=1, -(BJ166-BJ167)/BJ166*BK166,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Row],[Par]])),(-(BJ166-BJ167)/BJ166*BK166)+IF(TbTradesBinance[[#This Row],[Resultado]]&gt;0,0,TbTradesBinance[[#This Row],[Taxa]]),0),0))</f>
        <v>0</v>
      </c>
      <c r="BL167" s="145">
        <f t="shared" si="55"/>
        <v>0</v>
      </c>
      <c r="BM16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Row],[Tipo]]="DROP"),BM166+TbTradesBinance[[#This Row],[Qtt]],BM166-TbTradesBinance[[#This Row],[Qtt]]),IF(TbTradesBinance[[#This Row],[Tipo]]="BUY",BM166-TbTradesBinance[[#This Row],[Qtt]]*TbTradesBinance[[#This Row],[Preço]],BM166+TbTradesBinance[[#This Row],[Qtt]]*TbTradesBinance[[#This Row],[Preço]])),BM166)-IF(TbTradesBinance[[#This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Row],[Tipo]]="DROP"),BM166+TbTradesBinance[[#This Row],[Qtt]],BM166-TbTradesBinance[[#This Row],[Qtt]]),IF(TbTradesBinance[[#This Row],[Tipo]]="BUY",BM166-TbTradesBinance[[#This Row],[Qtt]]*TbTradesBinance[[#This Row],[Preço]],BM166+TbTradesBinance[[#This Row],[Qtt]]*TbTradesBinance[[#This Row],[Preço]])),BM166)-IF(TbTradesBinance[[#This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Row],[Tipo]]="DROP"),BM166+TbTradesBinance[[#This Row],[Qtt]],BM166-TbTradesBinance[[#This Row],[Qtt]]),IF(TbTradesBinance[[#This Row],[Tipo]]="BUY",BM166-TbTradesBinance[[#This Row],[Qtt]]*TbTradesBinance[[#This Row],[Preço]],BM166+TbTradesBinance[[#This Row],[Qtt]]*TbTradesBinance[[#This Row],[Preço]])),BM166)-IF(TbTradesBinance[[#This Row],[Moeda da Taxa]]=MID(BM$1,9,5),TbTradesBinance[[#This Row],[Taxa]],0),8)))</f>
        <v>8.213289E-2</v>
      </c>
      <c r="BN167" s="145" cm="1">
        <f t="array" ref="BN167">IF(TbTradesBinance[[#This Row],[Tipo]]="EMPTY",0,BN166+IF(TbTradesBinance[[#This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Row],[Par]]))),$1:$1,0)),-(BM166-BM167)/BM166*BN166),0),0)+IF(TbTradesBinance[[#This Row],[Tipo]]="SELL",IF(ISNUMBER(FIND(MID(BN$1,10,5),TbTradesBinance[[#This Row],[Par]])),IF(FIND(MID(BN$1,10,5),TbTradesBinance[[#This Row],[Par]])=1, -(BM166-BM167)/BM166*BN166,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Row],[Par]])),(-(BM166-BM167)/BM166*BN166)+IF(TbTradesBinance[[#This Row],[Resultado]]&gt;0,0,TbTradesBinance[[#This Row],[Taxa]]),0),0))</f>
        <v>0</v>
      </c>
      <c r="BO167" s="145">
        <f t="shared" si="56"/>
        <v>0</v>
      </c>
    </row>
    <row r="168" spans="2:67" x14ac:dyDescent="0.3">
      <c r="B168" s="51" t="s">
        <v>107</v>
      </c>
      <c r="C168" s="40">
        <f>TRUNC(IF(AND(TbTradesBinance[[#This Row],[Tipo]]="SEND",TbTradesBinance[[#This Row],[Par]]="BRL"),TbTradesBinance[[#This Row],[Qtt]]*(1-P166)-IF(TbTradesBinance[[#This Row],[Moeda da Taxa]]="BRL",TbTradesBinance[[#This Row],[Taxa]],0),0)+IF(AND(TbTradesBinance[[#This Row],[Tipo]]="BURN",TbTradesBinance[[#This Row],[Par]]="BRL"),-TbTradesBinance[[#This Row],[Qtt]]*P166,0),2)</f>
        <v>0</v>
      </c>
      <c r="D168" s="53">
        <v>44327.74863425926</v>
      </c>
      <c r="E168" s="37" t="s">
        <v>269</v>
      </c>
      <c r="F168" s="47" t="s">
        <v>140</v>
      </c>
      <c r="G168" s="38">
        <v>7.5316000000000001E-4</v>
      </c>
      <c r="H168" s="38">
        <v>8.213289E-2</v>
      </c>
      <c r="I168" s="38">
        <v>1.24E-6</v>
      </c>
      <c r="J168" s="37" t="s">
        <v>45</v>
      </c>
      <c r="K168" s="52">
        <v>3521</v>
      </c>
      <c r="L168" s="40">
        <f t="shared" si="38"/>
        <v>2.65</v>
      </c>
      <c r="M168" s="40">
        <f>IF(OR(TbTradesBinance[[#This Row],[Tipo]]="BUY",TbTradesBinance[[#This Row],[Tipo]]="RECEIVE",TbTradesBinance[[#This Row],[Tipo]]="DROP"),L168*H168,-L168*H168)</f>
        <v>-0.2176521585</v>
      </c>
      <c r="N16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Row],[Tipo]]="DROP"),N167+TbTradesBinance[[#This Row],[Qtt]],N167-TbTradesBinance[[#This Row],[Qtt]]),IF(TbTradesBinance[[#This Row],[Tipo]]="BUY",N167-TbTradesBinance[[#This Row],[Qtt]]*TbTradesBinance[[#This Row],[Preço]],N167+TbTradesBinance[[#This Row],[Qtt]]*TbTradesBinance[[#This Row],[Preço]])),N167)-IF(TbTradesBinance[[#This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Row],[Tipo]]="DROP"),N167+TbTradesBinance[[#This Row],[Qtt]],N167-TbTradesBinance[[#This Row],[Qtt]]),IF(TbTradesBinance[[#This Row],[Tipo]]="BUY",N167-TbTradesBinance[[#This Row],[Qtt]]*TbTradesBinance[[#This Row],[Preço]],N167+TbTradesBinance[[#This Row],[Qtt]]*TbTradesBinance[[#This Row],[Preço]])),N167)-IF(TbTradesBinance[[#This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Row],[Tipo]]="DROP"),N167+TbTradesBinance[[#This Row],[Qtt]],N167-TbTradesBinance[[#This Row],[Qtt]]),IF(TbTradesBinance[[#This Row],[Tipo]]="BUY",N167-TbTradesBinance[[#This Row],[Qtt]]*TbTradesBinance[[#This Row],[Preço]],N167+TbTradesBinance[[#This Row],[Qtt]]*TbTradesBinance[[#This Row],[Preço]])),N167)-IF(TbTradesBinance[[#This Row],[Moeda da Taxa]]=MID(N$1,9,5),TbTradesBinance[[#This Row],[Taxa]],0),8)))</f>
        <v>119745.56319999001</v>
      </c>
      <c r="O168" s="145" cm="1">
        <f t="array" ref="O168">IF(TbTradesBinance[[#This Row],[Tipo]]="EMPTY",0,O167+IF(TbTradesBinance[[#This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Row],[Par]]))),$1:$1,0)),-(N167-N168)/N167*O167),0),0)+IF(TbTradesBinance[[#This Row],[Tipo]]="SELL",IF(ISNUMBER(FIND(MID(O$1,10,5),TbTradesBinance[[#This Row],[Par]])),IF(FIND(MID(O$1,10,5),TbTradesBinance[[#This Row],[Par]])=1, -(N167-N168)/N167*O167,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Row],[Par]])),(-(N167-N168)/N167*O167)+IF(TbTradesBinance[[#This Row],[Resultado]]&gt;0,0,TbTradesBinance[[#This Row],[Taxa]]),0),0))</f>
        <v>119811.90582471275</v>
      </c>
      <c r="P168" s="145">
        <f t="shared" si="39"/>
        <v>1.0005540299193545</v>
      </c>
      <c r="Q16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Row],[Tipo]]="DROP"),Q167+TbTradesBinance[[#This Row],[Qtt]],Q167-TbTradesBinance[[#This Row],[Qtt]]),IF(TbTradesBinance[[#This Row],[Tipo]]="BUY",Q167-TbTradesBinance[[#This Row],[Qtt]]*TbTradesBinance[[#This Row],[Preço]],Q167+TbTradesBinance[[#This Row],[Qtt]]*TbTradesBinance[[#This Row],[Preço]])),Q167)-IF(TbTradesBinance[[#This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Row],[Tipo]]="DROP"),Q167+TbTradesBinance[[#This Row],[Qtt]],Q167-TbTradesBinance[[#This Row],[Qtt]]),IF(TbTradesBinance[[#This Row],[Tipo]]="BUY",Q167-TbTradesBinance[[#This Row],[Qtt]]*TbTradesBinance[[#This Row],[Preço]],Q167+TbTradesBinance[[#This Row],[Qtt]]*TbTradesBinance[[#This Row],[Preço]])),Q167)-IF(TbTradesBinance[[#This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Row],[Tipo]]="DROP"),Q167+TbTradesBinance[[#This Row],[Qtt]],Q167-TbTradesBinance[[#This Row],[Qtt]]),IF(TbTradesBinance[[#This Row],[Tipo]]="BUY",Q167-TbTradesBinance[[#This Row],[Qtt]]*TbTradesBinance[[#This Row],[Preço]],Q167+TbTradesBinance[[#This Row],[Qtt]]*TbTradesBinance[[#This Row],[Preço]])),Q167)-IF(TbTradesBinance[[#This Row],[Moeda da Taxa]]=MID(Q$1,9,5),TbTradesBinance[[#This Row],[Taxa]],0),8)))</f>
        <v>10.648341</v>
      </c>
      <c r="R168" s="145" cm="1">
        <f t="array" ref="R168">IF(TbTradesBinance[[#This Row],[Tipo]]="EMPTY",0,R167+IF(TbTradesBinance[[#This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Row],[Par]]))),$1:$1,0)),-(Q167-Q168)/Q167*R167),0),0)+IF(TbTradesBinance[[#This Row],[Tipo]]="SELL",IF(ISNUMBER(FIND(MID(R$1,10,5),TbTradesBinance[[#This Row],[Par]])),IF(FIND(MID(R$1,10,5),TbTradesBinance[[#This Row],[Par]])=1, -(Q167-Q168)/Q167*R167,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Row],[Par]])),(-(Q167-Q168)/Q167*R167)+IF(TbTradesBinance[[#This Row],[Resultado]]&gt;0,0,TbTradesBinance[[#This Row],[Taxa]]),0),0))</f>
        <v>39.055667995281027</v>
      </c>
      <c r="S168" s="145">
        <f t="shared" si="40"/>
        <v>3.6677702184106451</v>
      </c>
      <c r="T16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Row],[Tipo]]="DROP"),T167+TbTradesBinance[[#This Row],[Qtt]],T167-TbTradesBinance[[#This Row],[Qtt]]),IF(TbTradesBinance[[#This Row],[Tipo]]="BUY",T167-TbTradesBinance[[#This Row],[Qtt]]*TbTradesBinance[[#This Row],[Preço]],T167+TbTradesBinance[[#This Row],[Qtt]]*TbTradesBinance[[#This Row],[Preço]])),T167)-IF(TbTradesBinance[[#This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Row],[Tipo]]="DROP"),T167+TbTradesBinance[[#This Row],[Qtt]],T167-TbTradesBinance[[#This Row],[Qtt]]),IF(TbTradesBinance[[#This Row],[Tipo]]="BUY",T167-TbTradesBinance[[#This Row],[Qtt]]*TbTradesBinance[[#This Row],[Preço]],T167+TbTradesBinance[[#This Row],[Qtt]]*TbTradesBinance[[#This Row],[Preço]])),T167)-IF(TbTradesBinance[[#This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Row],[Tipo]]="DROP"),T167+TbTradesBinance[[#This Row],[Qtt]],T167-TbTradesBinance[[#This Row],[Qtt]]),IF(TbTradesBinance[[#This Row],[Tipo]]="BUY",T167-TbTradesBinance[[#This Row],[Qtt]]*TbTradesBinance[[#This Row],[Preço]],T167+TbTradesBinance[[#This Row],[Qtt]]*TbTradesBinance[[#This Row],[Preço]])),T167)-IF(TbTradesBinance[[#This Row],[Moeda da Taxa]]=MID(T$1,9,5),TbTradesBinance[[#This Row],[Taxa]],0),8)))</f>
        <v>219713.72000189999</v>
      </c>
      <c r="U168" s="145" cm="1">
        <f t="array" ref="U168">IF(TbTradesBinance[[#This Row],[Tipo]]="EMPTY",0,U167+IF(TbTradesBinance[[#This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Row],[Par]]))),$1:$1,0)),-(T167-T168)/T167*U167),0),0)+IF(TbTradesBinance[[#This Row],[Tipo]]="SELL",IF(ISNUMBER(FIND(MID(U$1,10,5),TbTradesBinance[[#This Row],[Par]])),IF(FIND(MID(U$1,10,5),TbTradesBinance[[#This Row],[Par]])=1, -(T167-T168)/T167*U167,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Row],[Par]])),(-(T167-T168)/T167*U167)+IF(TbTradesBinance[[#This Row],[Resultado]]&gt;0,0,TbTradesBinance[[#This Row],[Taxa]]),0),0))</f>
        <v>1461096.2409827893</v>
      </c>
      <c r="V168" s="145">
        <f t="shared" si="41"/>
        <v>6.6500000135182926</v>
      </c>
      <c r="W16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Row],[Tipo]]="DROP"),W167+TbTradesBinance[[#This Row],[Qtt]],W167-TbTradesBinance[[#This Row],[Qtt]]),IF(TbTradesBinance[[#This Row],[Tipo]]="BUY",W167-TbTradesBinance[[#This Row],[Qtt]]*TbTradesBinance[[#This Row],[Preço]],W167+TbTradesBinance[[#This Row],[Qtt]]*TbTradesBinance[[#This Row],[Preço]])),W167)-IF(TbTradesBinance[[#This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Row],[Tipo]]="DROP"),W167+TbTradesBinance[[#This Row],[Qtt]],W167-TbTradesBinance[[#This Row],[Qtt]]),IF(TbTradesBinance[[#This Row],[Tipo]]="BUY",W167-TbTradesBinance[[#This Row],[Qtt]]*TbTradesBinance[[#This Row],[Preço]],W167+TbTradesBinance[[#This Row],[Qtt]]*TbTradesBinance[[#This Row],[Preço]])),W167)-IF(TbTradesBinance[[#This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Row],[Tipo]]="DROP"),W167+TbTradesBinance[[#This Row],[Qtt]],W167-TbTradesBinance[[#This Row],[Qtt]]),IF(TbTradesBinance[[#This Row],[Tipo]]="BUY",W167-TbTradesBinance[[#This Row],[Qtt]]*TbTradesBinance[[#This Row],[Preço]],W167+TbTradesBinance[[#This Row],[Qtt]]*TbTradesBinance[[#This Row],[Preço]])),W167)-IF(TbTradesBinance[[#This Row],[Moeda da Taxa]]=MID(W$1,9,5),TbTradesBinance[[#This Row],[Taxa]],0),8)))</f>
        <v>6.0336000000000005E-4</v>
      </c>
      <c r="X168" s="145" cm="1">
        <f t="array" ref="X168">IF(TbTradesBinance[[#This Row],[Tipo]]="EMPTY",0,X167+IF(TbTradesBinance[[#This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Row],[Par]]))),$1:$1,0)),-(W167-W168)/W167*X167),0),0)+IF(TbTradesBinance[[#This Row],[Tipo]]="SELL",IF(ISNUMBER(FIND(MID(X$1,10,5),TbTradesBinance[[#This Row],[Par]])),IF(FIND(MID(X$1,10,5),TbTradesBinance[[#This Row],[Par]])=1, -(W167-W168)/W167*X167,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Row],[Par]])),(-(W167-W168)/W167*X167)+IF(TbTradesBinance[[#This Row],[Resultado]]&gt;0,0,TbTradesBinance[[#This Row],[Taxa]]),0),0))</f>
        <v>195.45138064075348</v>
      </c>
      <c r="Y168" s="145">
        <f t="shared" si="42"/>
        <v>323938.24688536441</v>
      </c>
      <c r="Z16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Row],[Tipo]]="DROP"),Z167+TbTradesBinance[[#This Row],[Qtt]],Z167-TbTradesBinance[[#This Row],[Qtt]]),IF(TbTradesBinance[[#This Row],[Tipo]]="BUY",Z167-TbTradesBinance[[#This Row],[Qtt]]*TbTradesBinance[[#This Row],[Preço]],Z167+TbTradesBinance[[#This Row],[Qtt]]*TbTradesBinance[[#This Row],[Preço]])),Z167)-IF(TbTradesBinance[[#This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Row],[Tipo]]="DROP"),Z167+TbTradesBinance[[#This Row],[Qtt]],Z167-TbTradesBinance[[#This Row],[Qtt]]),IF(TbTradesBinance[[#This Row],[Tipo]]="BUY",Z167-TbTradesBinance[[#This Row],[Qtt]]*TbTradesBinance[[#This Row],[Preço]],Z167+TbTradesBinance[[#This Row],[Qtt]]*TbTradesBinance[[#This Row],[Preço]])),Z167)-IF(TbTradesBinance[[#This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Row],[Tipo]]="DROP"),Z167+TbTradesBinance[[#This Row],[Qtt]],Z167-TbTradesBinance[[#This Row],[Qtt]]),IF(TbTradesBinance[[#This Row],[Tipo]]="BUY",Z167-TbTradesBinance[[#This Row],[Qtt]]*TbTradesBinance[[#This Row],[Preço]],Z167+TbTradesBinance[[#This Row],[Qtt]]*TbTradesBinance[[#This Row],[Preço]])),Z167)-IF(TbTradesBinance[[#This Row],[Moeda da Taxa]]=MID(Z$1,9,5),TbTradesBinance[[#This Row],[Taxa]],0),8)))</f>
        <v>0</v>
      </c>
      <c r="AA168" s="145" cm="1">
        <f t="array" ref="AA168">IF(TbTradesBinance[[#This Row],[Tipo]]="EMPTY",0,AA167+IF(TbTradesBinance[[#This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Row],[Par]]))),$1:$1,0)),-(Z167-Z168)/Z167*AA167),0),0)+IF(TbTradesBinance[[#This Row],[Tipo]]="SELL",IF(ISNUMBER(FIND(MID(AA$1,10,5),TbTradesBinance[[#This Row],[Par]])),IF(FIND(MID(AA$1,10,5),TbTradesBinance[[#This Row],[Par]])=1, -(Z167-Z168)/Z167*AA167,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Row],[Par]])),(-(Z167-Z168)/Z167*AA167)+IF(TbTradesBinance[[#This Row],[Resultado]]&gt;0,0,TbTradesBinance[[#This Row],[Taxa]]),0),0))</f>
        <v>0</v>
      </c>
      <c r="AB168" s="145">
        <f t="shared" si="43"/>
        <v>0</v>
      </c>
      <c r="AC16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Row],[Tipo]]="DROP"),AC167+TbTradesBinance[[#This Row],[Qtt]],AC167-TbTradesBinance[[#This Row],[Qtt]]),IF(TbTradesBinance[[#This Row],[Tipo]]="BUY",AC167-TbTradesBinance[[#This Row],[Qtt]]*TbTradesBinance[[#This Row],[Preço]],AC167+TbTradesBinance[[#This Row],[Qtt]]*TbTradesBinance[[#This Row],[Preço]])),AC167)-IF(TbTradesBinance[[#This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Row],[Tipo]]="DROP"),AC167+TbTradesBinance[[#This Row],[Qtt]],AC167-TbTradesBinance[[#This Row],[Qtt]]),IF(TbTradesBinance[[#This Row],[Tipo]]="BUY",AC167-TbTradesBinance[[#This Row],[Qtt]]*TbTradesBinance[[#This Row],[Preço]],AC167+TbTradesBinance[[#This Row],[Qtt]]*TbTradesBinance[[#This Row],[Preço]])),AC167)-IF(TbTradesBinance[[#This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Row],[Tipo]]="DROP"),AC167+TbTradesBinance[[#This Row],[Qtt]],AC167-TbTradesBinance[[#This Row],[Qtt]]),IF(TbTradesBinance[[#This Row],[Tipo]]="BUY",AC167-TbTradesBinance[[#This Row],[Qtt]]*TbTradesBinance[[#This Row],[Preço]],AC167+TbTradesBinance[[#This Row],[Qtt]]*TbTradesBinance[[#This Row],[Preço]])),AC167)-IF(TbTradesBinance[[#This Row],[Moeda da Taxa]]=MID(AC$1,9,5),TbTradesBinance[[#This Row],[Taxa]],0),8)))</f>
        <v>0</v>
      </c>
      <c r="AD168" s="145" cm="1">
        <f t="array" ref="AD168">IF(TbTradesBinance[[#This Row],[Tipo]]="EMPTY",0,AD167+IF(TbTradesBinance[[#This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Row],[Par]]))),$1:$1,0)),-(AC167-AC168)/AC167*AD167),0),0)+IF(TbTradesBinance[[#This Row],[Tipo]]="SELL",IF(ISNUMBER(FIND(MID(AD$1,10,5),TbTradesBinance[[#This Row],[Par]])),IF(FIND(MID(AD$1,10,5),TbTradesBinance[[#This Row],[Par]])=1, -(AC167-AC168)/AC167*AD167,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Row],[Par]])),(-(AC167-AC168)/AC167*AD167)+IF(TbTradesBinance[[#This Row],[Resultado]]&gt;0,0,TbTradesBinance[[#This Row],[Taxa]]),0),0))</f>
        <v>0</v>
      </c>
      <c r="AE168" s="145">
        <f t="shared" si="44"/>
        <v>0</v>
      </c>
      <c r="AF16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Row],[Tipo]]="DROP"),AF167+TbTradesBinance[[#This Row],[Qtt]],AF167-TbTradesBinance[[#This Row],[Qtt]]),IF(TbTradesBinance[[#This Row],[Tipo]]="BUY",AF167-TbTradesBinance[[#This Row],[Qtt]]*TbTradesBinance[[#This Row],[Preço]],AF167+TbTradesBinance[[#This Row],[Qtt]]*TbTradesBinance[[#This Row],[Preço]])),AF167)-IF(TbTradesBinance[[#This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Row],[Tipo]]="DROP"),AF167+TbTradesBinance[[#This Row],[Qtt]],AF167-TbTradesBinance[[#This Row],[Qtt]]),IF(TbTradesBinance[[#This Row],[Tipo]]="BUY",AF167-TbTradesBinance[[#This Row],[Qtt]]*TbTradesBinance[[#This Row],[Preço]],AF167+TbTradesBinance[[#This Row],[Qtt]]*TbTradesBinance[[#This Row],[Preço]])),AF167)-IF(TbTradesBinance[[#This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Row],[Tipo]]="DROP"),AF167+TbTradesBinance[[#This Row],[Qtt]],AF167-TbTradesBinance[[#This Row],[Qtt]]),IF(TbTradesBinance[[#This Row],[Tipo]]="BUY",AF167-TbTradesBinance[[#This Row],[Qtt]]*TbTradesBinance[[#This Row],[Preço]],AF167+TbTradesBinance[[#This Row],[Qtt]]*TbTradesBinance[[#This Row],[Preço]])),AF167)-IF(TbTradesBinance[[#This Row],[Moeda da Taxa]]=MID(AF$1,9,5),TbTradesBinance[[#This Row],[Taxa]],0),8)))</f>
        <v>0</v>
      </c>
      <c r="AG168" s="145" cm="1">
        <f t="array" ref="AG168">IF(TbTradesBinance[[#This Row],[Tipo]]="EMPTY",0,AG167+IF(TbTradesBinance[[#This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Row],[Par]]))),$1:$1,0)),-(AF167-AF168)/AF167*AG167),0),0)+IF(TbTradesBinance[[#This Row],[Tipo]]="SELL",IF(ISNUMBER(FIND(MID(AG$1,10,5),TbTradesBinance[[#This Row],[Par]])),IF(FIND(MID(AG$1,10,5),TbTradesBinance[[#This Row],[Par]])=1, -(AF167-AF168)/AF167*AG167,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Row],[Par]])),(-(AF167-AF168)/AF167*AG167)+IF(TbTradesBinance[[#This Row],[Resultado]]&gt;0,0,TbTradesBinance[[#This Row],[Taxa]]),0),0))</f>
        <v>0</v>
      </c>
      <c r="AH168" s="145">
        <f t="shared" si="45"/>
        <v>0</v>
      </c>
      <c r="AI16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Row],[Tipo]]="DROP"),AI167+TbTradesBinance[[#This Row],[Qtt]],AI167-TbTradesBinance[[#This Row],[Qtt]]),IF(TbTradesBinance[[#This Row],[Tipo]]="BUY",AI167-TbTradesBinance[[#This Row],[Qtt]]*TbTradesBinance[[#This Row],[Preço]],AI167+TbTradesBinance[[#This Row],[Qtt]]*TbTradesBinance[[#This Row],[Preço]])),AI167)-IF(TbTradesBinance[[#This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Row],[Tipo]]="DROP"),AI167+TbTradesBinance[[#This Row],[Qtt]],AI167-TbTradesBinance[[#This Row],[Qtt]]),IF(TbTradesBinance[[#This Row],[Tipo]]="BUY",AI167-TbTradesBinance[[#This Row],[Qtt]]*TbTradesBinance[[#This Row],[Preço]],AI167+TbTradesBinance[[#This Row],[Qtt]]*TbTradesBinance[[#This Row],[Preço]])),AI167)-IF(TbTradesBinance[[#This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Row],[Tipo]]="DROP"),AI167+TbTradesBinance[[#This Row],[Qtt]],AI167-TbTradesBinance[[#This Row],[Qtt]]),IF(TbTradesBinance[[#This Row],[Tipo]]="BUY",AI167-TbTradesBinance[[#This Row],[Qtt]]*TbTradesBinance[[#This Row],[Preço]],AI167+TbTradesBinance[[#This Row],[Qtt]]*TbTradesBinance[[#This Row],[Preço]])),AI167)-IF(TbTradesBinance[[#This Row],[Moeda da Taxa]]=MID(AI$1,9,5),TbTradesBinance[[#This Row],[Taxa]],0),8)))</f>
        <v>0</v>
      </c>
      <c r="AJ168" s="145" cm="1">
        <f t="array" ref="AJ168">IF(TbTradesBinance[[#This Row],[Tipo]]="EMPTY",0,AJ167+IF(TbTradesBinance[[#This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Row],[Par]]))),$1:$1,0)),-(AI167-AI168)/AI167*AJ167),0),0)+IF(TbTradesBinance[[#This Row],[Tipo]]="SELL",IF(ISNUMBER(FIND(MID(AJ$1,10,5),TbTradesBinance[[#This Row],[Par]])),IF(FIND(MID(AJ$1,10,5),TbTradesBinance[[#This Row],[Par]])=1, -(AI167-AI168)/AI167*AJ167,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Row],[Par]])),(-(AI167-AI168)/AI167*AJ167)+IF(TbTradesBinance[[#This Row],[Resultado]]&gt;0,0,TbTradesBinance[[#This Row],[Taxa]]),0),0))</f>
        <v>0</v>
      </c>
      <c r="AK168" s="145">
        <f t="shared" si="46"/>
        <v>0</v>
      </c>
      <c r="AL16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Row],[Tipo]]="DROP"),AL167+TbTradesBinance[[#This Row],[Qtt]],AL167-TbTradesBinance[[#This Row],[Qtt]]),IF(TbTradesBinance[[#This Row],[Tipo]]="BUY",AL167-TbTradesBinance[[#This Row],[Qtt]]*TbTradesBinance[[#This Row],[Preço]],AL167+TbTradesBinance[[#This Row],[Qtt]]*TbTradesBinance[[#This Row],[Preço]])),AL167)-IF(TbTradesBinance[[#This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Row],[Tipo]]="DROP"),AL167+TbTradesBinance[[#This Row],[Qtt]],AL167-TbTradesBinance[[#This Row],[Qtt]]),IF(TbTradesBinance[[#This Row],[Tipo]]="BUY",AL167-TbTradesBinance[[#This Row],[Qtt]]*TbTradesBinance[[#This Row],[Preço]],AL167+TbTradesBinance[[#This Row],[Qtt]]*TbTradesBinance[[#This Row],[Preço]])),AL167)-IF(TbTradesBinance[[#This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Row],[Tipo]]="DROP"),AL167+TbTradesBinance[[#This Row],[Qtt]],AL167-TbTradesBinance[[#This Row],[Qtt]]),IF(TbTradesBinance[[#This Row],[Tipo]]="BUY",AL167-TbTradesBinance[[#This Row],[Qtt]]*TbTradesBinance[[#This Row],[Preço]],AL167+TbTradesBinance[[#This Row],[Qtt]]*TbTradesBinance[[#This Row],[Preço]])),AL167)-IF(TbTradesBinance[[#This Row],[Moeda da Taxa]]=MID(AL$1,9,5),TbTradesBinance[[#This Row],[Taxa]],0),8)))</f>
        <v>0</v>
      </c>
      <c r="AM168" s="145" cm="1">
        <f t="array" ref="AM168">IF(TbTradesBinance[[#This Row],[Tipo]]="EMPTY",0,AM167+IF(TbTradesBinance[[#This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Row],[Par]]))),$1:$1,0)),-(AL167-AL168)/AL167*AM167),0),0)+IF(TbTradesBinance[[#This Row],[Tipo]]="SELL",IF(ISNUMBER(FIND(MID(AM$1,10,5),TbTradesBinance[[#This Row],[Par]])),IF(FIND(MID(AM$1,10,5),TbTradesBinance[[#This Row],[Par]])=1, -(AL167-AL168)/AL167*AM167,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Row],[Par]])),(-(AL167-AL168)/AL167*AM167)+IF(TbTradesBinance[[#This Row],[Resultado]]&gt;0,0,TbTradesBinance[[#This Row],[Taxa]]),0),0))</f>
        <v>0</v>
      </c>
      <c r="AN168" s="145">
        <f t="shared" si="47"/>
        <v>0</v>
      </c>
      <c r="AO16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Row],[Tipo]]="DROP"),AO167+TbTradesBinance[[#This Row],[Qtt]],AO167-TbTradesBinance[[#This Row],[Qtt]]),IF(TbTradesBinance[[#This Row],[Tipo]]="BUY",AO167-TbTradesBinance[[#This Row],[Qtt]]*TbTradesBinance[[#This Row],[Preço]],AO167+TbTradesBinance[[#This Row],[Qtt]]*TbTradesBinance[[#This Row],[Preço]])),AO167)-IF(TbTradesBinance[[#This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Row],[Tipo]]="DROP"),AO167+TbTradesBinance[[#This Row],[Qtt]],AO167-TbTradesBinance[[#This Row],[Qtt]]),IF(TbTradesBinance[[#This Row],[Tipo]]="BUY",AO167-TbTradesBinance[[#This Row],[Qtt]]*TbTradesBinance[[#This Row],[Preço]],AO167+TbTradesBinance[[#This Row],[Qtt]]*TbTradesBinance[[#This Row],[Preço]])),AO167)-IF(TbTradesBinance[[#This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Row],[Tipo]]="DROP"),AO167+TbTradesBinance[[#This Row],[Qtt]],AO167-TbTradesBinance[[#This Row],[Qtt]]),IF(TbTradesBinance[[#This Row],[Tipo]]="BUY",AO167-TbTradesBinance[[#This Row],[Qtt]]*TbTradesBinance[[#This Row],[Preço]],AO167+TbTradesBinance[[#This Row],[Qtt]]*TbTradesBinance[[#This Row],[Preço]])),AO167)-IF(TbTradesBinance[[#This Row],[Moeda da Taxa]]=MID(AO$1,9,5),TbTradesBinance[[#This Row],[Taxa]],0),8)))</f>
        <v>3.8420290000000003E-2</v>
      </c>
      <c r="AP168" s="145" cm="1">
        <f t="array" ref="AP168">IF(TbTradesBinance[[#This Row],[Tipo]]="EMPTY",0,AP167+IF(TbTradesBinance[[#This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Row],[Par]]))),$1:$1,0)),-(AO167-AO168)/AO167*AP167),0),0)+IF(TbTradesBinance[[#This Row],[Tipo]]="SELL",IF(ISNUMBER(FIND(MID(AP$1,10,5),TbTradesBinance[[#This Row],[Par]])),IF(FIND(MID(AP$1,10,5),TbTradesBinance[[#This Row],[Par]])=1, -(AO167-AO168)/AO167*AP167,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Row],[Par]])),(-(AO167-AO168)/AO167*AP167)+IF(TbTradesBinance[[#This Row],[Resultado]]&gt;0,0,TbTradesBinance[[#This Row],[Taxa]]),0),0))</f>
        <v>60.206578718772462</v>
      </c>
      <c r="AQ168" s="145">
        <f t="shared" si="48"/>
        <v>1567.0516468973153</v>
      </c>
      <c r="AR16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Row],[Tipo]]="DROP"),AR167+TbTradesBinance[[#This Row],[Qtt]],AR167-TbTradesBinance[[#This Row],[Qtt]]),IF(TbTradesBinance[[#This Row],[Tipo]]="BUY",AR167-TbTradesBinance[[#This Row],[Qtt]]*TbTradesBinance[[#This Row],[Preço]],AR167+TbTradesBinance[[#This Row],[Qtt]]*TbTradesBinance[[#This Row],[Preço]])),AR167)-IF(TbTradesBinance[[#This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Row],[Tipo]]="DROP"),AR167+TbTradesBinance[[#This Row],[Qtt]],AR167-TbTradesBinance[[#This Row],[Qtt]]),IF(TbTradesBinance[[#This Row],[Tipo]]="BUY",AR167-TbTradesBinance[[#This Row],[Qtt]]*TbTradesBinance[[#This Row],[Preço]],AR167+TbTradesBinance[[#This Row],[Qtt]]*TbTradesBinance[[#This Row],[Preço]])),AR167)-IF(TbTradesBinance[[#This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Row],[Tipo]]="DROP"),AR167+TbTradesBinance[[#This Row],[Qtt]],AR167-TbTradesBinance[[#This Row],[Qtt]]),IF(TbTradesBinance[[#This Row],[Tipo]]="BUY",AR167-TbTradesBinance[[#This Row],[Qtt]]*TbTradesBinance[[#This Row],[Preço]],AR167+TbTradesBinance[[#This Row],[Qtt]]*TbTradesBinance[[#This Row],[Preço]])),AR167)-IF(TbTradesBinance[[#This Row],[Moeda da Taxa]]=MID(AR$1,9,5),TbTradesBinance[[#This Row],[Taxa]],0),8)))</f>
        <v>0</v>
      </c>
      <c r="AS168" s="145" cm="1">
        <f t="array" ref="AS168">IF(TbTradesBinance[[#This Row],[Tipo]]="EMPTY",0,AS167+IF(TbTradesBinance[[#This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Row],[Par]]))),$1:$1,0)),-(AR167-AR168)/AR167*AS167),0),0)+IF(TbTradesBinance[[#This Row],[Tipo]]="SELL",IF(ISNUMBER(FIND(MID(AS$1,10,5),TbTradesBinance[[#This Row],[Par]])),IF(FIND(MID(AS$1,10,5),TbTradesBinance[[#This Row],[Par]])=1, -(AR167-AR168)/AR167*AS167,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Row],[Par]])),(-(AR167-AR168)/AR167*AS167)+IF(TbTradesBinance[[#This Row],[Resultado]]&gt;0,0,TbTradesBinance[[#This Row],[Taxa]]),0),0))</f>
        <v>0</v>
      </c>
      <c r="AT168" s="145">
        <f t="shared" si="49"/>
        <v>0</v>
      </c>
      <c r="AU16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Row],[Tipo]]="DROP"),AU167+TbTradesBinance[[#This Row],[Qtt]],AU167-TbTradesBinance[[#This Row],[Qtt]]),IF(TbTradesBinance[[#This Row],[Tipo]]="BUY",AU167-TbTradesBinance[[#This Row],[Qtt]]*TbTradesBinance[[#This Row],[Preço]],AU167+TbTradesBinance[[#This Row],[Qtt]]*TbTradesBinance[[#This Row],[Preço]])),AU167)-IF(TbTradesBinance[[#This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Row],[Tipo]]="DROP"),AU167+TbTradesBinance[[#This Row],[Qtt]],AU167-TbTradesBinance[[#This Row],[Qtt]]),IF(TbTradesBinance[[#This Row],[Tipo]]="BUY",AU167-TbTradesBinance[[#This Row],[Qtt]]*TbTradesBinance[[#This Row],[Preço]],AU167+TbTradesBinance[[#This Row],[Qtt]]*TbTradesBinance[[#This Row],[Preço]])),AU167)-IF(TbTradesBinance[[#This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Row],[Tipo]]="DROP"),AU167+TbTradesBinance[[#This Row],[Qtt]],AU167-TbTradesBinance[[#This Row],[Qtt]]),IF(TbTradesBinance[[#This Row],[Tipo]]="BUY",AU167-TbTradesBinance[[#This Row],[Qtt]]*TbTradesBinance[[#This Row],[Preço]],AU167+TbTradesBinance[[#This Row],[Qtt]]*TbTradesBinance[[#This Row],[Preço]])),AU167)-IF(TbTradesBinance[[#This Row],[Moeda da Taxa]]=MID(AU$1,9,5),TbTradesBinance[[#This Row],[Taxa]],0),8)))</f>
        <v>0.51</v>
      </c>
      <c r="AV168" s="145" cm="1">
        <f t="array" ref="AV168">IF(TbTradesBinance[[#This Row],[Tipo]]="EMPTY",0,AV167+IF(TbTradesBinance[[#This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Row],[Par]]))),$1:$1,0)),-(AU167-AU168)/AU167*AV167),0),0)+IF(TbTradesBinance[[#This Row],[Tipo]]="SELL",IF(ISNUMBER(FIND(MID(AV$1,10,5),TbTradesBinance[[#This Row],[Par]])),IF(FIND(MID(AV$1,10,5),TbTradesBinance[[#This Row],[Par]])=1, -(AU167-AU168)/AU167*AV167,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Row],[Par]])),(-(AU167-AU168)/AU167*AV167)+IF(TbTradesBinance[[#This Row],[Resultado]]&gt;0,0,TbTradesBinance[[#This Row],[Taxa]]),0),0))</f>
        <v>95.466693037374753</v>
      </c>
      <c r="AW168" s="145">
        <f t="shared" si="50"/>
        <v>187.18959419093088</v>
      </c>
      <c r="AX16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Row],[Tipo]]="DROP"),AX167+TbTradesBinance[[#This Row],[Qtt]],AX167-TbTradesBinance[[#This Row],[Qtt]]),IF(TbTradesBinance[[#This Row],[Tipo]]="BUY",AX167-TbTradesBinance[[#This Row],[Qtt]]*TbTradesBinance[[#This Row],[Preço]],AX167+TbTradesBinance[[#This Row],[Qtt]]*TbTradesBinance[[#This Row],[Preço]])),AX167)-IF(TbTradesBinance[[#This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Row],[Tipo]]="DROP"),AX167+TbTradesBinance[[#This Row],[Qtt]],AX167-TbTradesBinance[[#This Row],[Qtt]]),IF(TbTradesBinance[[#This Row],[Tipo]]="BUY",AX167-TbTradesBinance[[#This Row],[Qtt]]*TbTradesBinance[[#This Row],[Preço]],AX167+TbTradesBinance[[#This Row],[Qtt]]*TbTradesBinance[[#This Row],[Preço]])),AX167)-IF(TbTradesBinance[[#This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Row],[Tipo]]="DROP"),AX167+TbTradesBinance[[#This Row],[Qtt]],AX167-TbTradesBinance[[#This Row],[Qtt]]),IF(TbTradesBinance[[#This Row],[Tipo]]="BUY",AX167-TbTradesBinance[[#This Row],[Qtt]]*TbTradesBinance[[#This Row],[Preço]],AX167+TbTradesBinance[[#This Row],[Qtt]]*TbTradesBinance[[#This Row],[Preço]])),AX167)-IF(TbTradesBinance[[#This Row],[Moeda da Taxa]]=MID(AX$1,9,5),TbTradesBinance[[#This Row],[Taxa]],0),8)))</f>
        <v>0.32838000000000001</v>
      </c>
      <c r="AY168" s="145" cm="1">
        <f t="array" ref="AY168">IF(TbTradesBinance[[#This Row],[Tipo]]="EMPTY",0,AY167+IF(TbTradesBinance[[#This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Row],[Par]]))),$1:$1,0)),-(AX167-AX168)/AX167*AY167),0),0)+IF(TbTradesBinance[[#This Row],[Tipo]]="SELL",IF(ISNUMBER(FIND(MID(AY$1,10,5),TbTradesBinance[[#This Row],[Par]])),IF(FIND(MID(AY$1,10,5),TbTradesBinance[[#This Row],[Par]])=1, -(AX167-AX168)/AX167*AY167,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Row],[Par]])),(-(AX167-AX168)/AX167*AY167)+IF(TbTradesBinance[[#This Row],[Resultado]]&gt;0,0,TbTradesBinance[[#This Row],[Taxa]]),0),0))</f>
        <v>61.364116058805678</v>
      </c>
      <c r="AZ168" s="145">
        <f t="shared" si="51"/>
        <v>186.869224857804</v>
      </c>
      <c r="BA16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Row],[Tipo]]="DROP"),BA167+TbTradesBinance[[#This Row],[Qtt]],BA167-TbTradesBinance[[#This Row],[Qtt]]),IF(TbTradesBinance[[#This Row],[Tipo]]="BUY",BA167-TbTradesBinance[[#This Row],[Qtt]]*TbTradesBinance[[#This Row],[Preço]],BA167+TbTradesBinance[[#This Row],[Qtt]]*TbTradesBinance[[#This Row],[Preço]])),BA167)-IF(TbTradesBinance[[#This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Row],[Tipo]]="DROP"),BA167+TbTradesBinance[[#This Row],[Qtt]],BA167-TbTradesBinance[[#This Row],[Qtt]]),IF(TbTradesBinance[[#This Row],[Tipo]]="BUY",BA167-TbTradesBinance[[#This Row],[Qtt]]*TbTradesBinance[[#This Row],[Preço]],BA167+TbTradesBinance[[#This Row],[Qtt]]*TbTradesBinance[[#This Row],[Preço]])),BA167)-IF(TbTradesBinance[[#This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Row],[Tipo]]="DROP"),BA167+TbTradesBinance[[#This Row],[Qtt]],BA167-TbTradesBinance[[#This Row],[Qtt]]),IF(TbTradesBinance[[#This Row],[Tipo]]="BUY",BA167-TbTradesBinance[[#This Row],[Qtt]]*TbTradesBinance[[#This Row],[Preço]],BA167+TbTradesBinance[[#This Row],[Qtt]]*TbTradesBinance[[#This Row],[Preço]])),BA167)-IF(TbTradesBinance[[#This Row],[Moeda da Taxa]]=MID(BA$1,9,5),TbTradesBinance[[#This Row],[Taxa]],0),8)))</f>
        <v>0</v>
      </c>
      <c r="BB168" s="145" cm="1">
        <f t="array" ref="BB168">IF(TbTradesBinance[[#This Row],[Tipo]]="EMPTY",0,BB167+IF(TbTradesBinance[[#This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Row],[Par]]))),$1:$1,0)),-(BA167-BA168)/BA167*BB167),0),0)+IF(TbTradesBinance[[#This Row],[Tipo]]="SELL",IF(ISNUMBER(FIND(MID(BB$1,10,5),TbTradesBinance[[#This Row],[Par]])),IF(FIND(MID(BB$1,10,5),TbTradesBinance[[#This Row],[Par]])=1, -(BA167-BA168)/BA167*BB167,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Row],[Par]])),(-(BA167-BA168)/BA167*BB167)+IF(TbTradesBinance[[#This Row],[Resultado]]&gt;0,0,TbTradesBinance[[#This Row],[Taxa]]),0),0))</f>
        <v>0</v>
      </c>
      <c r="BC168" s="145">
        <f t="shared" si="52"/>
        <v>0</v>
      </c>
      <c r="BD16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Row],[Tipo]]="DROP"),BD167+TbTradesBinance[[#This Row],[Qtt]],BD167-TbTradesBinance[[#This Row],[Qtt]]),IF(TbTradesBinance[[#This Row],[Tipo]]="BUY",BD167-TbTradesBinance[[#This Row],[Qtt]]*TbTradesBinance[[#This Row],[Preço]],BD167+TbTradesBinance[[#This Row],[Qtt]]*TbTradesBinance[[#This Row],[Preço]])),BD167)-IF(TbTradesBinance[[#This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Row],[Tipo]]="DROP"),BD167+TbTradesBinance[[#This Row],[Qtt]],BD167-TbTradesBinance[[#This Row],[Qtt]]),IF(TbTradesBinance[[#This Row],[Tipo]]="BUY",BD167-TbTradesBinance[[#This Row],[Qtt]]*TbTradesBinance[[#This Row],[Preço]],BD167+TbTradesBinance[[#This Row],[Qtt]]*TbTradesBinance[[#This Row],[Preço]])),BD167)-IF(TbTradesBinance[[#This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Row],[Tipo]]="DROP"),BD167+TbTradesBinance[[#This Row],[Qtt]],BD167-TbTradesBinance[[#This Row],[Qtt]]),IF(TbTradesBinance[[#This Row],[Tipo]]="BUY",BD167-TbTradesBinance[[#This Row],[Qtt]]*TbTradesBinance[[#This Row],[Preço]],BD167+TbTradesBinance[[#This Row],[Qtt]]*TbTradesBinance[[#This Row],[Preço]])),BD167)-IF(TbTradesBinance[[#This Row],[Moeda da Taxa]]=MID(BD$1,9,5),TbTradesBinance[[#This Row],[Taxa]],0),8)))</f>
        <v>0</v>
      </c>
      <c r="BE168" s="145" cm="1">
        <f t="array" ref="BE168">IF(TbTradesBinance[[#This Row],[Tipo]]="EMPTY",0,BE167+IF(TbTradesBinance[[#This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Row],[Par]]))),$1:$1,0)),-(BD167-BD168)/BD167*BE167),0),0)+IF(TbTradesBinance[[#This Row],[Tipo]]="SELL",IF(ISNUMBER(FIND(MID(BE$1,10,5),TbTradesBinance[[#This Row],[Par]])),IF(FIND(MID(BE$1,10,5),TbTradesBinance[[#This Row],[Par]])=1, -(BD167-BD168)/BD167*BE167,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Row],[Par]])),(-(BD167-BD168)/BD167*BE167)+IF(TbTradesBinance[[#This Row],[Resultado]]&gt;0,0,TbTradesBinance[[#This Row],[Taxa]]),0),0))</f>
        <v>0</v>
      </c>
      <c r="BF168" s="145">
        <f t="shared" si="53"/>
        <v>0</v>
      </c>
      <c r="BG16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Row],[Tipo]]="DROP"),BG167+TbTradesBinance[[#This Row],[Qtt]],BG167-TbTradesBinance[[#This Row],[Qtt]]),IF(TbTradesBinance[[#This Row],[Tipo]]="BUY",BG167-TbTradesBinance[[#This Row],[Qtt]]*TbTradesBinance[[#This Row],[Preço]],BG167+TbTradesBinance[[#This Row],[Qtt]]*TbTradesBinance[[#This Row],[Preço]])),BG167)-IF(TbTradesBinance[[#This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Row],[Tipo]]="DROP"),BG167+TbTradesBinance[[#This Row],[Qtt]],BG167-TbTradesBinance[[#This Row],[Qtt]]),IF(TbTradesBinance[[#This Row],[Tipo]]="BUY",BG167-TbTradesBinance[[#This Row],[Qtt]]*TbTradesBinance[[#This Row],[Preço]],BG167+TbTradesBinance[[#This Row],[Qtt]]*TbTradesBinance[[#This Row],[Preço]])),BG167)-IF(TbTradesBinance[[#This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Row],[Tipo]]="DROP"),BG167+TbTradesBinance[[#This Row],[Qtt]],BG167-TbTradesBinance[[#This Row],[Qtt]]),IF(TbTradesBinance[[#This Row],[Tipo]]="BUY",BG167-TbTradesBinance[[#This Row],[Qtt]]*TbTradesBinance[[#This Row],[Preço]],BG167+TbTradesBinance[[#This Row],[Qtt]]*TbTradesBinance[[#This Row],[Preço]])),BG167)-IF(TbTradesBinance[[#This Row],[Moeda da Taxa]]=MID(BG$1,9,5),TbTradesBinance[[#This Row],[Taxa]],0),8)))</f>
        <v>0</v>
      </c>
      <c r="BH168" s="145" cm="1">
        <f t="array" ref="BH168">IF(TbTradesBinance[[#This Row],[Tipo]]="EMPTY",0,BH167+IF(TbTradesBinance[[#This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Row],[Par]]))),$1:$1,0)),-(BG167-BG168)/BG167*BH167),0),0)+IF(TbTradesBinance[[#This Row],[Tipo]]="SELL",IF(ISNUMBER(FIND(MID(BH$1,10,5),TbTradesBinance[[#This Row],[Par]])),IF(FIND(MID(BH$1,10,5),TbTradesBinance[[#This Row],[Par]])=1, -(BG167-BG168)/BG167*BH167,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Row],[Par]])),(-(BG167-BG168)/BG167*BH167)+IF(TbTradesBinance[[#This Row],[Resultado]]&gt;0,0,TbTradesBinance[[#This Row],[Taxa]]),0),0))</f>
        <v>0</v>
      </c>
      <c r="BI168" s="145">
        <f t="shared" si="54"/>
        <v>0</v>
      </c>
      <c r="BJ16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Row],[Tipo]]="DROP"),BJ167+TbTradesBinance[[#This Row],[Qtt]],BJ167-TbTradesBinance[[#This Row],[Qtt]]),IF(TbTradesBinance[[#This Row],[Tipo]]="BUY",BJ167-TbTradesBinance[[#This Row],[Qtt]]*TbTradesBinance[[#This Row],[Preço]],BJ167+TbTradesBinance[[#This Row],[Qtt]]*TbTradesBinance[[#This Row],[Preço]])),BJ167)-IF(TbTradesBinance[[#This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Row],[Tipo]]="DROP"),BJ167+TbTradesBinance[[#This Row],[Qtt]],BJ167-TbTradesBinance[[#This Row],[Qtt]]),IF(TbTradesBinance[[#This Row],[Tipo]]="BUY",BJ167-TbTradesBinance[[#This Row],[Qtt]]*TbTradesBinance[[#This Row],[Preço]],BJ167+TbTradesBinance[[#This Row],[Qtt]]*TbTradesBinance[[#This Row],[Preço]])),BJ167)-IF(TbTradesBinance[[#This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Row],[Tipo]]="DROP"),BJ167+TbTradesBinance[[#This Row],[Qtt]],BJ167-TbTradesBinance[[#This Row],[Qtt]]),IF(TbTradesBinance[[#This Row],[Tipo]]="BUY",BJ167-TbTradesBinance[[#This Row],[Qtt]]*TbTradesBinance[[#This Row],[Preço]],BJ167+TbTradesBinance[[#This Row],[Qtt]]*TbTradesBinance[[#This Row],[Preço]])),BJ167)-IF(TbTradesBinance[[#This Row],[Moeda da Taxa]]=MID(BJ$1,9,5),TbTradesBinance[[#This Row],[Taxa]],0),8)))</f>
        <v>0</v>
      </c>
      <c r="BK168" s="145" cm="1">
        <f t="array" ref="BK168">IF(TbTradesBinance[[#This Row],[Tipo]]="EMPTY",0,BK167+IF(TbTradesBinance[[#This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Row],[Par]]))),$1:$1,0)),-(BJ167-BJ168)/BJ167*BK167),0),0)+IF(TbTradesBinance[[#This Row],[Tipo]]="SELL",IF(ISNUMBER(FIND(MID(BK$1,10,5),TbTradesBinance[[#This Row],[Par]])),IF(FIND(MID(BK$1,10,5),TbTradesBinance[[#This Row],[Par]])=1, -(BJ167-BJ168)/BJ167*BK167,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Row],[Par]])),(-(BJ167-BJ168)/BJ167*BK167)+IF(TbTradesBinance[[#This Row],[Resultado]]&gt;0,0,TbTradesBinance[[#This Row],[Taxa]]),0),0))</f>
        <v>0</v>
      </c>
      <c r="BL168" s="145">
        <f t="shared" si="55"/>
        <v>0</v>
      </c>
      <c r="BM16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Row],[Tipo]]="DROP"),BM167+TbTradesBinance[[#This Row],[Qtt]],BM167-TbTradesBinance[[#This Row],[Qtt]]),IF(TbTradesBinance[[#This Row],[Tipo]]="BUY",BM167-TbTradesBinance[[#This Row],[Qtt]]*TbTradesBinance[[#This Row],[Preço]],BM167+TbTradesBinance[[#This Row],[Qtt]]*TbTradesBinance[[#This Row],[Preço]])),BM167)-IF(TbTradesBinance[[#This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Row],[Tipo]]="DROP"),BM167+TbTradesBinance[[#This Row],[Qtt]],BM167-TbTradesBinance[[#This Row],[Qtt]]),IF(TbTradesBinance[[#This Row],[Tipo]]="BUY",BM167-TbTradesBinance[[#This Row],[Qtt]]*TbTradesBinance[[#This Row],[Preço]],BM167+TbTradesBinance[[#This Row],[Qtt]]*TbTradesBinance[[#This Row],[Preço]])),BM167)-IF(TbTradesBinance[[#This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Row],[Tipo]]="DROP"),BM167+TbTradesBinance[[#This Row],[Qtt]],BM167-TbTradesBinance[[#This Row],[Qtt]]),IF(TbTradesBinance[[#This Row],[Tipo]]="BUY",BM167-TbTradesBinance[[#This Row],[Qtt]]*TbTradesBinance[[#This Row],[Preço]],BM167+TbTradesBinance[[#This Row],[Qtt]]*TbTradesBinance[[#This Row],[Preço]])),BM167)-IF(TbTradesBinance[[#This Row],[Moeda da Taxa]]=MID(BM$1,9,5),TbTradesBinance[[#This Row],[Taxa]],0),8)))</f>
        <v>0</v>
      </c>
      <c r="BN168" s="145" cm="1">
        <f t="array" ref="BN168">IF(TbTradesBinance[[#This Row],[Tipo]]="EMPTY",0,BN167+IF(TbTradesBinance[[#This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Row],[Par]]))),$1:$1,0)),-(BM167-BM168)/BM167*BN167),0),0)+IF(TbTradesBinance[[#This Row],[Tipo]]="SELL",IF(ISNUMBER(FIND(MID(BN$1,10,5),TbTradesBinance[[#This Row],[Par]])),IF(FIND(MID(BN$1,10,5),TbTradesBinance[[#This Row],[Par]])=1, -(BM167-BM168)/BM167*BN167,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Row],[Par]])),(-(BM167-BM168)/BM167*BN167)+IF(TbTradesBinance[[#This Row],[Resultado]]&gt;0,0,TbTradesBinance[[#This Row],[Taxa]]),0),0))</f>
        <v>0</v>
      </c>
      <c r="BO168" s="145">
        <f t="shared" si="56"/>
        <v>0</v>
      </c>
    </row>
    <row r="169" spans="2:67" x14ac:dyDescent="0.3">
      <c r="B169" s="51" t="s">
        <v>107</v>
      </c>
      <c r="C169" s="40">
        <f>TRUNC(IF(AND(TbTradesBinance[[#This Row],[Tipo]]="SEND",TbTradesBinance[[#This Row],[Par]]="BRL"),TbTradesBinance[[#This Row],[Qtt]]*(1-P167)-IF(TbTradesBinance[[#This Row],[Moeda da Taxa]]="BRL",TbTradesBinance[[#This Row],[Taxa]],0),0)+IF(AND(TbTradesBinance[[#This Row],[Tipo]]="BURN",TbTradesBinance[[#This Row],[Par]]="BRL"),-TbTradesBinance[[#This Row],[Qtt]]*P167,0),2)</f>
        <v>0</v>
      </c>
      <c r="D169" s="53">
        <v>44327.74863425926</v>
      </c>
      <c r="E169" s="37" t="s">
        <v>248</v>
      </c>
      <c r="F169" s="47" t="s">
        <v>139</v>
      </c>
      <c r="G169" s="38">
        <v>3528.83193691</v>
      </c>
      <c r="H169" s="38">
        <v>4.0580000000000001E-5</v>
      </c>
      <c r="I169" s="38">
        <v>8.0999999999999997E-7</v>
      </c>
      <c r="J169" s="37" t="s">
        <v>45</v>
      </c>
      <c r="K169" s="52">
        <v>1</v>
      </c>
      <c r="L169" s="40">
        <f t="shared" si="38"/>
        <v>3528.83</v>
      </c>
      <c r="M169" s="40">
        <f>IF(OR(TbTradesBinance[[#This Row],[Tipo]]="BUY",TbTradesBinance[[#This Row],[Tipo]]="RECEIVE",TbTradesBinance[[#This Row],[Tipo]]="DROP"),L169*H169,-L169*H169)</f>
        <v>0.14319992140000001</v>
      </c>
      <c r="N16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Row],[Tipo]]="DROP"),N168+TbTradesBinance[[#This Row],[Qtt]],N168-TbTradesBinance[[#This Row],[Qtt]]),IF(TbTradesBinance[[#This Row],[Tipo]]="BUY",N168-TbTradesBinance[[#This Row],[Qtt]]*TbTradesBinance[[#This Row],[Preço]],N168+TbTradesBinance[[#This Row],[Qtt]]*TbTradesBinance[[#This Row],[Preço]])),N168)-IF(TbTradesBinance[[#This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Row],[Tipo]]="DROP"),N168+TbTradesBinance[[#This Row],[Qtt]],N168-TbTradesBinance[[#This Row],[Qtt]]),IF(TbTradesBinance[[#This Row],[Tipo]]="BUY",N168-TbTradesBinance[[#This Row],[Qtt]]*TbTradesBinance[[#This Row],[Preço]],N168+TbTradesBinance[[#This Row],[Qtt]]*TbTradesBinance[[#This Row],[Preço]])),N168)-IF(TbTradesBinance[[#This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Row],[Tipo]]="DROP"),N168+TbTradesBinance[[#This Row],[Qtt]],N168-TbTradesBinance[[#This Row],[Qtt]]),IF(TbTradesBinance[[#This Row],[Tipo]]="BUY",N168-TbTradesBinance[[#This Row],[Qtt]]*TbTradesBinance[[#This Row],[Preço]],N168+TbTradesBinance[[#This Row],[Qtt]]*TbTradesBinance[[#This Row],[Preço]])),N168)-IF(TbTradesBinance[[#This Row],[Moeda da Taxa]]=MID(N$1,9,5),TbTradesBinance[[#This Row],[Taxa]],0),8)))</f>
        <v>119745.41999999</v>
      </c>
      <c r="O169" s="145" cm="1">
        <f t="array" ref="O169">IF(TbTradesBinance[[#This Row],[Tipo]]="EMPTY",0,O168+IF(TbTradesBinance[[#This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Row],[Par]]))),$1:$1,0)),-(N168-N169)/N168*O168),0),0)+IF(TbTradesBinance[[#This Row],[Tipo]]="SELL",IF(ISNUMBER(FIND(MID(O$1,10,5),TbTradesBinance[[#This Row],[Par]])),IF(FIND(MID(O$1,10,5),TbTradesBinance[[#This Row],[Par]])=1, -(N168-N169)/N168*O168,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Row],[Par]])),(-(N168-N169)/N168*O168)+IF(TbTradesBinance[[#This Row],[Resultado]]&gt;0,0,TbTradesBinance[[#This Row],[Taxa]]),0),0))</f>
        <v>119811.76254537566</v>
      </c>
      <c r="P169" s="145">
        <f t="shared" si="39"/>
        <v>1.0005540299193545</v>
      </c>
      <c r="Q16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Row],[Tipo]]="DROP"),Q168+TbTradesBinance[[#This Row],[Qtt]],Q168-TbTradesBinance[[#This Row],[Qtt]]),IF(TbTradesBinance[[#This Row],[Tipo]]="BUY",Q168-TbTradesBinance[[#This Row],[Qtt]]*TbTradesBinance[[#This Row],[Preço]],Q168+TbTradesBinance[[#This Row],[Qtt]]*TbTradesBinance[[#This Row],[Preço]])),Q168)-IF(TbTradesBinance[[#This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Row],[Tipo]]="DROP"),Q168+TbTradesBinance[[#This Row],[Qtt]],Q168-TbTradesBinance[[#This Row],[Qtt]]),IF(TbTradesBinance[[#This Row],[Tipo]]="BUY",Q168-TbTradesBinance[[#This Row],[Qtt]]*TbTradesBinance[[#This Row],[Preço]],Q168+TbTradesBinance[[#This Row],[Qtt]]*TbTradesBinance[[#This Row],[Preço]])),Q168)-IF(TbTradesBinance[[#This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Row],[Tipo]]="DROP"),Q168+TbTradesBinance[[#This Row],[Qtt]],Q168-TbTradesBinance[[#This Row],[Qtt]]),IF(TbTradesBinance[[#This Row],[Tipo]]="BUY",Q168-TbTradesBinance[[#This Row],[Qtt]]*TbTradesBinance[[#This Row],[Preço]],Q168+TbTradesBinance[[#This Row],[Qtt]]*TbTradesBinance[[#This Row],[Preço]])),Q168)-IF(TbTradesBinance[[#This Row],[Moeda da Taxa]]=MID(Q$1,9,5),TbTradesBinance[[#This Row],[Taxa]],0),8)))</f>
        <v>10.648341</v>
      </c>
      <c r="R169" s="145" cm="1">
        <f t="array" ref="R169">IF(TbTradesBinance[[#This Row],[Tipo]]="EMPTY",0,R168+IF(TbTradesBinance[[#This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Row],[Par]]))),$1:$1,0)),-(Q168-Q169)/Q168*R168),0),0)+IF(TbTradesBinance[[#This Row],[Tipo]]="SELL",IF(ISNUMBER(FIND(MID(R$1,10,5),TbTradesBinance[[#This Row],[Par]])),IF(FIND(MID(R$1,10,5),TbTradesBinance[[#This Row],[Par]])=1, -(Q168-Q169)/Q168*R168,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Row],[Par]])),(-(Q168-Q169)/Q168*R168)+IF(TbTradesBinance[[#This Row],[Resultado]]&gt;0,0,TbTradesBinance[[#This Row],[Taxa]]),0),0))</f>
        <v>39.055667995281027</v>
      </c>
      <c r="S169" s="145">
        <f t="shared" si="40"/>
        <v>3.6677702184106451</v>
      </c>
      <c r="T16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Row],[Tipo]]="DROP"),T168+TbTradesBinance[[#This Row],[Qtt]],T168-TbTradesBinance[[#This Row],[Qtt]]),IF(TbTradesBinance[[#This Row],[Tipo]]="BUY",T168-TbTradesBinance[[#This Row],[Qtt]]*TbTradesBinance[[#This Row],[Preço]],T168+TbTradesBinance[[#This Row],[Qtt]]*TbTradesBinance[[#This Row],[Preço]])),T168)-IF(TbTradesBinance[[#This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Row],[Tipo]]="DROP"),T168+TbTradesBinance[[#This Row],[Qtt]],T168-TbTradesBinance[[#This Row],[Qtt]]),IF(TbTradesBinance[[#This Row],[Tipo]]="BUY",T168-TbTradesBinance[[#This Row],[Qtt]]*TbTradesBinance[[#This Row],[Preço]],T168+TbTradesBinance[[#This Row],[Qtt]]*TbTradesBinance[[#This Row],[Preço]])),T168)-IF(TbTradesBinance[[#This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Row],[Tipo]]="DROP"),T168+TbTradesBinance[[#This Row],[Qtt]],T168-TbTradesBinance[[#This Row],[Qtt]]),IF(TbTradesBinance[[#This Row],[Tipo]]="BUY",T168-TbTradesBinance[[#This Row],[Qtt]]*TbTradesBinance[[#This Row],[Preço]],T168+TbTradesBinance[[#This Row],[Qtt]]*TbTradesBinance[[#This Row],[Preço]])),T168)-IF(TbTradesBinance[[#This Row],[Moeda da Taxa]]=MID(T$1,9,5),TbTradesBinance[[#This Row],[Taxa]],0),8)))</f>
        <v>219713.72000189999</v>
      </c>
      <c r="U169" s="145" cm="1">
        <f t="array" ref="U169">IF(TbTradesBinance[[#This Row],[Tipo]]="EMPTY",0,U168+IF(TbTradesBinance[[#This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Row],[Par]]))),$1:$1,0)),-(T168-T169)/T168*U168),0),0)+IF(TbTradesBinance[[#This Row],[Tipo]]="SELL",IF(ISNUMBER(FIND(MID(U$1,10,5),TbTradesBinance[[#This Row],[Par]])),IF(FIND(MID(U$1,10,5),TbTradesBinance[[#This Row],[Par]])=1, -(T168-T169)/T168*U168,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Row],[Par]])),(-(T168-T169)/T168*U168)+IF(TbTradesBinance[[#This Row],[Resultado]]&gt;0,0,TbTradesBinance[[#This Row],[Taxa]]),0),0))</f>
        <v>1461096.2409827893</v>
      </c>
      <c r="V169" s="145">
        <f t="shared" si="41"/>
        <v>6.6500000135182926</v>
      </c>
      <c r="W16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Row],[Tipo]]="DROP"),W168+TbTradesBinance[[#This Row],[Qtt]],W168-TbTradesBinance[[#This Row],[Qtt]]),IF(TbTradesBinance[[#This Row],[Tipo]]="BUY",W168-TbTradesBinance[[#This Row],[Qtt]]*TbTradesBinance[[#This Row],[Preço]],W168+TbTradesBinance[[#This Row],[Qtt]]*TbTradesBinance[[#This Row],[Preço]])),W168)-IF(TbTradesBinance[[#This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Row],[Tipo]]="DROP"),W168+TbTradesBinance[[#This Row],[Qtt]],W168-TbTradesBinance[[#This Row],[Qtt]]),IF(TbTradesBinance[[#This Row],[Tipo]]="BUY",W168-TbTradesBinance[[#This Row],[Qtt]]*TbTradesBinance[[#This Row],[Preço]],W168+TbTradesBinance[[#This Row],[Qtt]]*TbTradesBinance[[#This Row],[Preço]])),W168)-IF(TbTradesBinance[[#This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Row],[Tipo]]="DROP"),W168+TbTradesBinance[[#This Row],[Qtt]],W168-TbTradesBinance[[#This Row],[Qtt]]),IF(TbTradesBinance[[#This Row],[Tipo]]="BUY",W168-TbTradesBinance[[#This Row],[Qtt]]*TbTradesBinance[[#This Row],[Preço]],W168+TbTradesBinance[[#This Row],[Qtt]]*TbTradesBinance[[#This Row],[Preço]])),W168)-IF(TbTradesBinance[[#This Row],[Moeda da Taxa]]=MID(W$1,9,5),TbTradesBinance[[#This Row],[Taxa]],0),8)))</f>
        <v>6.0336000000000005E-4</v>
      </c>
      <c r="X169" s="145" cm="1">
        <f t="array" ref="X169">IF(TbTradesBinance[[#This Row],[Tipo]]="EMPTY",0,X168+IF(TbTradesBinance[[#This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Row],[Par]]))),$1:$1,0)),-(W168-W169)/W168*X168),0),0)+IF(TbTradesBinance[[#This Row],[Tipo]]="SELL",IF(ISNUMBER(FIND(MID(X$1,10,5),TbTradesBinance[[#This Row],[Par]])),IF(FIND(MID(X$1,10,5),TbTradesBinance[[#This Row],[Par]])=1, -(W168-W169)/W168*X168,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Row],[Par]])),(-(W168-W169)/W168*X168)+IF(TbTradesBinance[[#This Row],[Resultado]]&gt;0,0,TbTradesBinance[[#This Row],[Taxa]]),0),0))</f>
        <v>195.45138064075348</v>
      </c>
      <c r="Y169" s="145">
        <f t="shared" si="42"/>
        <v>323938.24688536441</v>
      </c>
      <c r="Z16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Row],[Tipo]]="DROP"),Z168+TbTradesBinance[[#This Row],[Qtt]],Z168-TbTradesBinance[[#This Row],[Qtt]]),IF(TbTradesBinance[[#This Row],[Tipo]]="BUY",Z168-TbTradesBinance[[#This Row],[Qtt]]*TbTradesBinance[[#This Row],[Preço]],Z168+TbTradesBinance[[#This Row],[Qtt]]*TbTradesBinance[[#This Row],[Preço]])),Z168)-IF(TbTradesBinance[[#This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Row],[Tipo]]="DROP"),Z168+TbTradesBinance[[#This Row],[Qtt]],Z168-TbTradesBinance[[#This Row],[Qtt]]),IF(TbTradesBinance[[#This Row],[Tipo]]="BUY",Z168-TbTradesBinance[[#This Row],[Qtt]]*TbTradesBinance[[#This Row],[Preço]],Z168+TbTradesBinance[[#This Row],[Qtt]]*TbTradesBinance[[#This Row],[Preço]])),Z168)-IF(TbTradesBinance[[#This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Row],[Tipo]]="DROP"),Z168+TbTradesBinance[[#This Row],[Qtt]],Z168-TbTradesBinance[[#This Row],[Qtt]]),IF(TbTradesBinance[[#This Row],[Tipo]]="BUY",Z168-TbTradesBinance[[#This Row],[Qtt]]*TbTradesBinance[[#This Row],[Preço]],Z168+TbTradesBinance[[#This Row],[Qtt]]*TbTradesBinance[[#This Row],[Preço]])),Z168)-IF(TbTradesBinance[[#This Row],[Moeda da Taxa]]=MID(Z$1,9,5),TbTradesBinance[[#This Row],[Taxa]],0),8)))</f>
        <v>0</v>
      </c>
      <c r="AA169" s="145" cm="1">
        <f t="array" ref="AA169">IF(TbTradesBinance[[#This Row],[Tipo]]="EMPTY",0,AA168+IF(TbTradesBinance[[#This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Row],[Par]]))),$1:$1,0)),-(Z168-Z169)/Z168*AA168),0),0)+IF(TbTradesBinance[[#This Row],[Tipo]]="SELL",IF(ISNUMBER(FIND(MID(AA$1,10,5),TbTradesBinance[[#This Row],[Par]])),IF(FIND(MID(AA$1,10,5),TbTradesBinance[[#This Row],[Par]])=1, -(Z168-Z169)/Z168*AA168,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Row],[Par]])),(-(Z168-Z169)/Z168*AA168)+IF(TbTradesBinance[[#This Row],[Resultado]]&gt;0,0,TbTradesBinance[[#This Row],[Taxa]]),0),0))</f>
        <v>0</v>
      </c>
      <c r="AB169" s="145">
        <f t="shared" si="43"/>
        <v>0</v>
      </c>
      <c r="AC16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Row],[Tipo]]="DROP"),AC168+TbTradesBinance[[#This Row],[Qtt]],AC168-TbTradesBinance[[#This Row],[Qtt]]),IF(TbTradesBinance[[#This Row],[Tipo]]="BUY",AC168-TbTradesBinance[[#This Row],[Qtt]]*TbTradesBinance[[#This Row],[Preço]],AC168+TbTradesBinance[[#This Row],[Qtt]]*TbTradesBinance[[#This Row],[Preço]])),AC168)-IF(TbTradesBinance[[#This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Row],[Tipo]]="DROP"),AC168+TbTradesBinance[[#This Row],[Qtt]],AC168-TbTradesBinance[[#This Row],[Qtt]]),IF(TbTradesBinance[[#This Row],[Tipo]]="BUY",AC168-TbTradesBinance[[#This Row],[Qtt]]*TbTradesBinance[[#This Row],[Preço]],AC168+TbTradesBinance[[#This Row],[Qtt]]*TbTradesBinance[[#This Row],[Preço]])),AC168)-IF(TbTradesBinance[[#This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Row],[Tipo]]="DROP"),AC168+TbTradesBinance[[#This Row],[Qtt]],AC168-TbTradesBinance[[#This Row],[Qtt]]),IF(TbTradesBinance[[#This Row],[Tipo]]="BUY",AC168-TbTradesBinance[[#This Row],[Qtt]]*TbTradesBinance[[#This Row],[Preço]],AC168+TbTradesBinance[[#This Row],[Qtt]]*TbTradesBinance[[#This Row],[Preço]])),AC168)-IF(TbTradesBinance[[#This Row],[Moeda da Taxa]]=MID(AC$1,9,5),TbTradesBinance[[#This Row],[Taxa]],0),8)))</f>
        <v>0</v>
      </c>
      <c r="AD169" s="145" cm="1">
        <f t="array" ref="AD169">IF(TbTradesBinance[[#This Row],[Tipo]]="EMPTY",0,AD168+IF(TbTradesBinance[[#This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Row],[Par]]))),$1:$1,0)),-(AC168-AC169)/AC168*AD168),0),0)+IF(TbTradesBinance[[#This Row],[Tipo]]="SELL",IF(ISNUMBER(FIND(MID(AD$1,10,5),TbTradesBinance[[#This Row],[Par]])),IF(FIND(MID(AD$1,10,5),TbTradesBinance[[#This Row],[Par]])=1, -(AC168-AC169)/AC168*AD168,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Row],[Par]])),(-(AC168-AC169)/AC168*AD168)+IF(TbTradesBinance[[#This Row],[Resultado]]&gt;0,0,TbTradesBinance[[#This Row],[Taxa]]),0),0))</f>
        <v>0</v>
      </c>
      <c r="AE169" s="145">
        <f t="shared" si="44"/>
        <v>0</v>
      </c>
      <c r="AF16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Row],[Tipo]]="DROP"),AF168+TbTradesBinance[[#This Row],[Qtt]],AF168-TbTradesBinance[[#This Row],[Qtt]]),IF(TbTradesBinance[[#This Row],[Tipo]]="BUY",AF168-TbTradesBinance[[#This Row],[Qtt]]*TbTradesBinance[[#This Row],[Preço]],AF168+TbTradesBinance[[#This Row],[Qtt]]*TbTradesBinance[[#This Row],[Preço]])),AF168)-IF(TbTradesBinance[[#This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Row],[Tipo]]="DROP"),AF168+TbTradesBinance[[#This Row],[Qtt]],AF168-TbTradesBinance[[#This Row],[Qtt]]),IF(TbTradesBinance[[#This Row],[Tipo]]="BUY",AF168-TbTradesBinance[[#This Row],[Qtt]]*TbTradesBinance[[#This Row],[Preço]],AF168+TbTradesBinance[[#This Row],[Qtt]]*TbTradesBinance[[#This Row],[Preço]])),AF168)-IF(TbTradesBinance[[#This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Row],[Tipo]]="DROP"),AF168+TbTradesBinance[[#This Row],[Qtt]],AF168-TbTradesBinance[[#This Row],[Qtt]]),IF(TbTradesBinance[[#This Row],[Tipo]]="BUY",AF168-TbTradesBinance[[#This Row],[Qtt]]*TbTradesBinance[[#This Row],[Preço]],AF168+TbTradesBinance[[#This Row],[Qtt]]*TbTradesBinance[[#This Row],[Preço]])),AF168)-IF(TbTradesBinance[[#This Row],[Moeda da Taxa]]=MID(AF$1,9,5),TbTradesBinance[[#This Row],[Taxa]],0),8)))</f>
        <v>0</v>
      </c>
      <c r="AG169" s="145" cm="1">
        <f t="array" ref="AG169">IF(TbTradesBinance[[#This Row],[Tipo]]="EMPTY",0,AG168+IF(TbTradesBinance[[#This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Row],[Par]]))),$1:$1,0)),-(AF168-AF169)/AF168*AG168),0),0)+IF(TbTradesBinance[[#This Row],[Tipo]]="SELL",IF(ISNUMBER(FIND(MID(AG$1,10,5),TbTradesBinance[[#This Row],[Par]])),IF(FIND(MID(AG$1,10,5),TbTradesBinance[[#This Row],[Par]])=1, -(AF168-AF169)/AF168*AG168,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Row],[Par]])),(-(AF168-AF169)/AF168*AG168)+IF(TbTradesBinance[[#This Row],[Resultado]]&gt;0,0,TbTradesBinance[[#This Row],[Taxa]]),0),0))</f>
        <v>0</v>
      </c>
      <c r="AH169" s="145">
        <f t="shared" si="45"/>
        <v>0</v>
      </c>
      <c r="AI16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Row],[Tipo]]="DROP"),AI168+TbTradesBinance[[#This Row],[Qtt]],AI168-TbTradesBinance[[#This Row],[Qtt]]),IF(TbTradesBinance[[#This Row],[Tipo]]="BUY",AI168-TbTradesBinance[[#This Row],[Qtt]]*TbTradesBinance[[#This Row],[Preço]],AI168+TbTradesBinance[[#This Row],[Qtt]]*TbTradesBinance[[#This Row],[Preço]])),AI168)-IF(TbTradesBinance[[#This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Row],[Tipo]]="DROP"),AI168+TbTradesBinance[[#This Row],[Qtt]],AI168-TbTradesBinance[[#This Row],[Qtt]]),IF(TbTradesBinance[[#This Row],[Tipo]]="BUY",AI168-TbTradesBinance[[#This Row],[Qtt]]*TbTradesBinance[[#This Row],[Preço]],AI168+TbTradesBinance[[#This Row],[Qtt]]*TbTradesBinance[[#This Row],[Preço]])),AI168)-IF(TbTradesBinance[[#This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Row],[Tipo]]="DROP"),AI168+TbTradesBinance[[#This Row],[Qtt]],AI168-TbTradesBinance[[#This Row],[Qtt]]),IF(TbTradesBinance[[#This Row],[Tipo]]="BUY",AI168-TbTradesBinance[[#This Row],[Qtt]]*TbTradesBinance[[#This Row],[Preço]],AI168+TbTradesBinance[[#This Row],[Qtt]]*TbTradesBinance[[#This Row],[Preço]])),AI168)-IF(TbTradesBinance[[#This Row],[Moeda da Taxa]]=MID(AI$1,9,5),TbTradesBinance[[#This Row],[Taxa]],0),8)))</f>
        <v>0</v>
      </c>
      <c r="AJ169" s="145" cm="1">
        <f t="array" ref="AJ169">IF(TbTradesBinance[[#This Row],[Tipo]]="EMPTY",0,AJ168+IF(TbTradesBinance[[#This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Row],[Par]]))),$1:$1,0)),-(AI168-AI169)/AI168*AJ168),0),0)+IF(TbTradesBinance[[#This Row],[Tipo]]="SELL",IF(ISNUMBER(FIND(MID(AJ$1,10,5),TbTradesBinance[[#This Row],[Par]])),IF(FIND(MID(AJ$1,10,5),TbTradesBinance[[#This Row],[Par]])=1, -(AI168-AI169)/AI168*AJ168,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Row],[Par]])),(-(AI168-AI169)/AI168*AJ168)+IF(TbTradesBinance[[#This Row],[Resultado]]&gt;0,0,TbTradesBinance[[#This Row],[Taxa]]),0),0))</f>
        <v>0</v>
      </c>
      <c r="AK169" s="145">
        <f t="shared" si="46"/>
        <v>0</v>
      </c>
      <c r="AL16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Row],[Tipo]]="DROP"),AL168+TbTradesBinance[[#This Row],[Qtt]],AL168-TbTradesBinance[[#This Row],[Qtt]]),IF(TbTradesBinance[[#This Row],[Tipo]]="BUY",AL168-TbTradesBinance[[#This Row],[Qtt]]*TbTradesBinance[[#This Row],[Preço]],AL168+TbTradesBinance[[#This Row],[Qtt]]*TbTradesBinance[[#This Row],[Preço]])),AL168)-IF(TbTradesBinance[[#This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Row],[Tipo]]="DROP"),AL168+TbTradesBinance[[#This Row],[Qtt]],AL168-TbTradesBinance[[#This Row],[Qtt]]),IF(TbTradesBinance[[#This Row],[Tipo]]="BUY",AL168-TbTradesBinance[[#This Row],[Qtt]]*TbTradesBinance[[#This Row],[Preço]],AL168+TbTradesBinance[[#This Row],[Qtt]]*TbTradesBinance[[#This Row],[Preço]])),AL168)-IF(TbTradesBinance[[#This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Row],[Tipo]]="DROP"),AL168+TbTradesBinance[[#This Row],[Qtt]],AL168-TbTradesBinance[[#This Row],[Qtt]]),IF(TbTradesBinance[[#This Row],[Tipo]]="BUY",AL168-TbTradesBinance[[#This Row],[Qtt]]*TbTradesBinance[[#This Row],[Preço]],AL168+TbTradesBinance[[#This Row],[Qtt]]*TbTradesBinance[[#This Row],[Preço]])),AL168)-IF(TbTradesBinance[[#This Row],[Moeda da Taxa]]=MID(AL$1,9,5),TbTradesBinance[[#This Row],[Taxa]],0),8)))</f>
        <v>0</v>
      </c>
      <c r="AM169" s="145" cm="1">
        <f t="array" ref="AM169">IF(TbTradesBinance[[#This Row],[Tipo]]="EMPTY",0,AM168+IF(TbTradesBinance[[#This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Row],[Par]]))),$1:$1,0)),-(AL168-AL169)/AL168*AM168),0),0)+IF(TbTradesBinance[[#This Row],[Tipo]]="SELL",IF(ISNUMBER(FIND(MID(AM$1,10,5),TbTradesBinance[[#This Row],[Par]])),IF(FIND(MID(AM$1,10,5),TbTradesBinance[[#This Row],[Par]])=1, -(AL168-AL169)/AL168*AM168,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Row],[Par]])),(-(AL168-AL169)/AL168*AM168)+IF(TbTradesBinance[[#This Row],[Resultado]]&gt;0,0,TbTradesBinance[[#This Row],[Taxa]]),0),0))</f>
        <v>0</v>
      </c>
      <c r="AN169" s="145">
        <f t="shared" si="47"/>
        <v>0</v>
      </c>
      <c r="AO16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Row],[Tipo]]="DROP"),AO168+TbTradesBinance[[#This Row],[Qtt]],AO168-TbTradesBinance[[#This Row],[Qtt]]),IF(TbTradesBinance[[#This Row],[Tipo]]="BUY",AO168-TbTradesBinance[[#This Row],[Qtt]]*TbTradesBinance[[#This Row],[Preço]],AO168+TbTradesBinance[[#This Row],[Qtt]]*TbTradesBinance[[#This Row],[Preço]])),AO168)-IF(TbTradesBinance[[#This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Row],[Tipo]]="DROP"),AO168+TbTradesBinance[[#This Row],[Qtt]],AO168-TbTradesBinance[[#This Row],[Qtt]]),IF(TbTradesBinance[[#This Row],[Tipo]]="BUY",AO168-TbTradesBinance[[#This Row],[Qtt]]*TbTradesBinance[[#This Row],[Preço]],AO168+TbTradesBinance[[#This Row],[Qtt]]*TbTradesBinance[[#This Row],[Preço]])),AO168)-IF(TbTradesBinance[[#This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Row],[Tipo]]="DROP"),AO168+TbTradesBinance[[#This Row],[Qtt]],AO168-TbTradesBinance[[#This Row],[Qtt]]),IF(TbTradesBinance[[#This Row],[Tipo]]="BUY",AO168-TbTradesBinance[[#This Row],[Qtt]]*TbTradesBinance[[#This Row],[Preço]],AO168+TbTradesBinance[[#This Row],[Qtt]]*TbTradesBinance[[#This Row],[Preço]])),AO168)-IF(TbTradesBinance[[#This Row],[Moeda da Taxa]]=MID(AO$1,9,5),TbTradesBinance[[#This Row],[Taxa]],0),8)))</f>
        <v>3.8460059999999997E-2</v>
      </c>
      <c r="AP169" s="145" cm="1">
        <f t="array" ref="AP169">IF(TbTradesBinance[[#This Row],[Tipo]]="EMPTY",0,AP168+IF(TbTradesBinance[[#This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Row],[Par]]))),$1:$1,0)),-(AO168-AO169)/AO168*AP168),0),0)+IF(TbTradesBinance[[#This Row],[Tipo]]="SELL",IF(ISNUMBER(FIND(MID(AP$1,10,5),TbTradesBinance[[#This Row],[Par]])),IF(FIND(MID(AP$1,10,5),TbTradesBinance[[#This Row],[Par]])=1, -(AO168-AO169)/AO168*AP168,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Row],[Par]])),(-(AO168-AO169)/AO168*AP168)+IF(TbTradesBinance[[#This Row],[Resultado]]&gt;0,0,TbTradesBinance[[#This Row],[Taxa]]),0),0))</f>
        <v>60.349858055862811</v>
      </c>
      <c r="AQ169" s="145">
        <f t="shared" si="48"/>
        <v>1569.156627833207</v>
      </c>
      <c r="AR16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Row],[Tipo]]="DROP"),AR168+TbTradesBinance[[#This Row],[Qtt]],AR168-TbTradesBinance[[#This Row],[Qtt]]),IF(TbTradesBinance[[#This Row],[Tipo]]="BUY",AR168-TbTradesBinance[[#This Row],[Qtt]]*TbTradesBinance[[#This Row],[Preço]],AR168+TbTradesBinance[[#This Row],[Qtt]]*TbTradesBinance[[#This Row],[Preço]])),AR168)-IF(TbTradesBinance[[#This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Row],[Tipo]]="DROP"),AR168+TbTradesBinance[[#This Row],[Qtt]],AR168-TbTradesBinance[[#This Row],[Qtt]]),IF(TbTradesBinance[[#This Row],[Tipo]]="BUY",AR168-TbTradesBinance[[#This Row],[Qtt]]*TbTradesBinance[[#This Row],[Preço]],AR168+TbTradesBinance[[#This Row],[Qtt]]*TbTradesBinance[[#This Row],[Preço]])),AR168)-IF(TbTradesBinance[[#This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Row],[Tipo]]="DROP"),AR168+TbTradesBinance[[#This Row],[Qtt]],AR168-TbTradesBinance[[#This Row],[Qtt]]),IF(TbTradesBinance[[#This Row],[Tipo]]="BUY",AR168-TbTradesBinance[[#This Row],[Qtt]]*TbTradesBinance[[#This Row],[Preço]],AR168+TbTradesBinance[[#This Row],[Qtt]]*TbTradesBinance[[#This Row],[Preço]])),AR168)-IF(TbTradesBinance[[#This Row],[Moeda da Taxa]]=MID(AR$1,9,5),TbTradesBinance[[#This Row],[Taxa]],0),8)))</f>
        <v>0</v>
      </c>
      <c r="AS169" s="145" cm="1">
        <f t="array" ref="AS169">IF(TbTradesBinance[[#This Row],[Tipo]]="EMPTY",0,AS168+IF(TbTradesBinance[[#This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Row],[Par]]))),$1:$1,0)),-(AR168-AR169)/AR168*AS168),0),0)+IF(TbTradesBinance[[#This Row],[Tipo]]="SELL",IF(ISNUMBER(FIND(MID(AS$1,10,5),TbTradesBinance[[#This Row],[Par]])),IF(FIND(MID(AS$1,10,5),TbTradesBinance[[#This Row],[Par]])=1, -(AR168-AR169)/AR168*AS168,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Row],[Par]])),(-(AR168-AR169)/AR168*AS168)+IF(TbTradesBinance[[#This Row],[Resultado]]&gt;0,0,TbTradesBinance[[#This Row],[Taxa]]),0),0))</f>
        <v>0</v>
      </c>
      <c r="AT169" s="145">
        <f t="shared" si="49"/>
        <v>0</v>
      </c>
      <c r="AU16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Row],[Tipo]]="DROP"),AU168+TbTradesBinance[[#This Row],[Qtt]],AU168-TbTradesBinance[[#This Row],[Qtt]]),IF(TbTradesBinance[[#This Row],[Tipo]]="BUY",AU168-TbTradesBinance[[#This Row],[Qtt]]*TbTradesBinance[[#This Row],[Preço]],AU168+TbTradesBinance[[#This Row],[Qtt]]*TbTradesBinance[[#This Row],[Preço]])),AU168)-IF(TbTradesBinance[[#This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Row],[Tipo]]="DROP"),AU168+TbTradesBinance[[#This Row],[Qtt]],AU168-TbTradesBinance[[#This Row],[Qtt]]),IF(TbTradesBinance[[#This Row],[Tipo]]="BUY",AU168-TbTradesBinance[[#This Row],[Qtt]]*TbTradesBinance[[#This Row],[Preço]],AU168+TbTradesBinance[[#This Row],[Qtt]]*TbTradesBinance[[#This Row],[Preço]])),AU168)-IF(TbTradesBinance[[#This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Row],[Tipo]]="DROP"),AU168+TbTradesBinance[[#This Row],[Qtt]],AU168-TbTradesBinance[[#This Row],[Qtt]]),IF(TbTradesBinance[[#This Row],[Tipo]]="BUY",AU168-TbTradesBinance[[#This Row],[Qtt]]*TbTradesBinance[[#This Row],[Preço]],AU168+TbTradesBinance[[#This Row],[Qtt]]*TbTradesBinance[[#This Row],[Preço]])),AU168)-IF(TbTradesBinance[[#This Row],[Moeda da Taxa]]=MID(AU$1,9,5),TbTradesBinance[[#This Row],[Taxa]],0),8)))</f>
        <v>0.51</v>
      </c>
      <c r="AV169" s="145" cm="1">
        <f t="array" ref="AV169">IF(TbTradesBinance[[#This Row],[Tipo]]="EMPTY",0,AV168+IF(TbTradesBinance[[#This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Row],[Par]]))),$1:$1,0)),-(AU168-AU169)/AU168*AV168),0),0)+IF(TbTradesBinance[[#This Row],[Tipo]]="SELL",IF(ISNUMBER(FIND(MID(AV$1,10,5),TbTradesBinance[[#This Row],[Par]])),IF(FIND(MID(AV$1,10,5),TbTradesBinance[[#This Row],[Par]])=1, -(AU168-AU169)/AU168*AV168,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Row],[Par]])),(-(AU168-AU169)/AU168*AV168)+IF(TbTradesBinance[[#This Row],[Resultado]]&gt;0,0,TbTradesBinance[[#This Row],[Taxa]]),0),0))</f>
        <v>95.466693037374753</v>
      </c>
      <c r="AW169" s="145">
        <f t="shared" si="50"/>
        <v>187.18959419093088</v>
      </c>
      <c r="AX16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Row],[Tipo]]="DROP"),AX168+TbTradesBinance[[#This Row],[Qtt]],AX168-TbTradesBinance[[#This Row],[Qtt]]),IF(TbTradesBinance[[#This Row],[Tipo]]="BUY",AX168-TbTradesBinance[[#This Row],[Qtt]]*TbTradesBinance[[#This Row],[Preço]],AX168+TbTradesBinance[[#This Row],[Qtt]]*TbTradesBinance[[#This Row],[Preço]])),AX168)-IF(TbTradesBinance[[#This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Row],[Tipo]]="DROP"),AX168+TbTradesBinance[[#This Row],[Qtt]],AX168-TbTradesBinance[[#This Row],[Qtt]]),IF(TbTradesBinance[[#This Row],[Tipo]]="BUY",AX168-TbTradesBinance[[#This Row],[Qtt]]*TbTradesBinance[[#This Row],[Preço]],AX168+TbTradesBinance[[#This Row],[Qtt]]*TbTradesBinance[[#This Row],[Preço]])),AX168)-IF(TbTradesBinance[[#This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Row],[Tipo]]="DROP"),AX168+TbTradesBinance[[#This Row],[Qtt]],AX168-TbTradesBinance[[#This Row],[Qtt]]),IF(TbTradesBinance[[#This Row],[Tipo]]="BUY",AX168-TbTradesBinance[[#This Row],[Qtt]]*TbTradesBinance[[#This Row],[Preço]],AX168+TbTradesBinance[[#This Row],[Qtt]]*TbTradesBinance[[#This Row],[Preço]])),AX168)-IF(TbTradesBinance[[#This Row],[Moeda da Taxa]]=MID(AX$1,9,5),TbTradesBinance[[#This Row],[Taxa]],0),8)))</f>
        <v>0.32838000000000001</v>
      </c>
      <c r="AY169" s="145" cm="1">
        <f t="array" ref="AY169">IF(TbTradesBinance[[#This Row],[Tipo]]="EMPTY",0,AY168+IF(TbTradesBinance[[#This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Row],[Par]]))),$1:$1,0)),-(AX168-AX169)/AX168*AY168),0),0)+IF(TbTradesBinance[[#This Row],[Tipo]]="SELL",IF(ISNUMBER(FIND(MID(AY$1,10,5),TbTradesBinance[[#This Row],[Par]])),IF(FIND(MID(AY$1,10,5),TbTradesBinance[[#This Row],[Par]])=1, -(AX168-AX169)/AX168*AY168,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Row],[Par]])),(-(AX168-AX169)/AX168*AY168)+IF(TbTradesBinance[[#This Row],[Resultado]]&gt;0,0,TbTradesBinance[[#This Row],[Taxa]]),0),0))</f>
        <v>61.364116058805678</v>
      </c>
      <c r="AZ169" s="145">
        <f t="shared" si="51"/>
        <v>186.869224857804</v>
      </c>
      <c r="BA16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Row],[Tipo]]="DROP"),BA168+TbTradesBinance[[#This Row],[Qtt]],BA168-TbTradesBinance[[#This Row],[Qtt]]),IF(TbTradesBinance[[#This Row],[Tipo]]="BUY",BA168-TbTradesBinance[[#This Row],[Qtt]]*TbTradesBinance[[#This Row],[Preço]],BA168+TbTradesBinance[[#This Row],[Qtt]]*TbTradesBinance[[#This Row],[Preço]])),BA168)-IF(TbTradesBinance[[#This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Row],[Tipo]]="DROP"),BA168+TbTradesBinance[[#This Row],[Qtt]],BA168-TbTradesBinance[[#This Row],[Qtt]]),IF(TbTradesBinance[[#This Row],[Tipo]]="BUY",BA168-TbTradesBinance[[#This Row],[Qtt]]*TbTradesBinance[[#This Row],[Preço]],BA168+TbTradesBinance[[#This Row],[Qtt]]*TbTradesBinance[[#This Row],[Preço]])),BA168)-IF(TbTradesBinance[[#This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Row],[Tipo]]="DROP"),BA168+TbTradesBinance[[#This Row],[Qtt]],BA168-TbTradesBinance[[#This Row],[Qtt]]),IF(TbTradesBinance[[#This Row],[Tipo]]="BUY",BA168-TbTradesBinance[[#This Row],[Qtt]]*TbTradesBinance[[#This Row],[Preço]],BA168+TbTradesBinance[[#This Row],[Qtt]]*TbTradesBinance[[#This Row],[Preço]])),BA168)-IF(TbTradesBinance[[#This Row],[Moeda da Taxa]]=MID(BA$1,9,5),TbTradesBinance[[#This Row],[Taxa]],0),8)))</f>
        <v>0</v>
      </c>
      <c r="BB169" s="145" cm="1">
        <f t="array" ref="BB169">IF(TbTradesBinance[[#This Row],[Tipo]]="EMPTY",0,BB168+IF(TbTradesBinance[[#This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Row],[Par]]))),$1:$1,0)),-(BA168-BA169)/BA168*BB168),0),0)+IF(TbTradesBinance[[#This Row],[Tipo]]="SELL",IF(ISNUMBER(FIND(MID(BB$1,10,5),TbTradesBinance[[#This Row],[Par]])),IF(FIND(MID(BB$1,10,5),TbTradesBinance[[#This Row],[Par]])=1, -(BA168-BA169)/BA168*BB168,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Row],[Par]])),(-(BA168-BA169)/BA168*BB168)+IF(TbTradesBinance[[#This Row],[Resultado]]&gt;0,0,TbTradesBinance[[#This Row],[Taxa]]),0),0))</f>
        <v>0</v>
      </c>
      <c r="BC169" s="145">
        <f t="shared" si="52"/>
        <v>0</v>
      </c>
      <c r="BD16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Row],[Tipo]]="DROP"),BD168+TbTradesBinance[[#This Row],[Qtt]],BD168-TbTradesBinance[[#This Row],[Qtt]]),IF(TbTradesBinance[[#This Row],[Tipo]]="BUY",BD168-TbTradesBinance[[#This Row],[Qtt]]*TbTradesBinance[[#This Row],[Preço]],BD168+TbTradesBinance[[#This Row],[Qtt]]*TbTradesBinance[[#This Row],[Preço]])),BD168)-IF(TbTradesBinance[[#This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Row],[Tipo]]="DROP"),BD168+TbTradesBinance[[#This Row],[Qtt]],BD168-TbTradesBinance[[#This Row],[Qtt]]),IF(TbTradesBinance[[#This Row],[Tipo]]="BUY",BD168-TbTradesBinance[[#This Row],[Qtt]]*TbTradesBinance[[#This Row],[Preço]],BD168+TbTradesBinance[[#This Row],[Qtt]]*TbTradesBinance[[#This Row],[Preço]])),BD168)-IF(TbTradesBinance[[#This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Row],[Tipo]]="DROP"),BD168+TbTradesBinance[[#This Row],[Qtt]],BD168-TbTradesBinance[[#This Row],[Qtt]]),IF(TbTradesBinance[[#This Row],[Tipo]]="BUY",BD168-TbTradesBinance[[#This Row],[Qtt]]*TbTradesBinance[[#This Row],[Preço]],BD168+TbTradesBinance[[#This Row],[Qtt]]*TbTradesBinance[[#This Row],[Preço]])),BD168)-IF(TbTradesBinance[[#This Row],[Moeda da Taxa]]=MID(BD$1,9,5),TbTradesBinance[[#This Row],[Taxa]],0),8)))</f>
        <v>0</v>
      </c>
      <c r="BE169" s="145" cm="1">
        <f t="array" ref="BE169">IF(TbTradesBinance[[#This Row],[Tipo]]="EMPTY",0,BE168+IF(TbTradesBinance[[#This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Row],[Par]]))),$1:$1,0)),-(BD168-BD169)/BD168*BE168),0),0)+IF(TbTradesBinance[[#This Row],[Tipo]]="SELL",IF(ISNUMBER(FIND(MID(BE$1,10,5),TbTradesBinance[[#This Row],[Par]])),IF(FIND(MID(BE$1,10,5),TbTradesBinance[[#This Row],[Par]])=1, -(BD168-BD169)/BD168*BE168,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Row],[Par]])),(-(BD168-BD169)/BD168*BE168)+IF(TbTradesBinance[[#This Row],[Resultado]]&gt;0,0,TbTradesBinance[[#This Row],[Taxa]]),0),0))</f>
        <v>0</v>
      </c>
      <c r="BF169" s="145">
        <f t="shared" si="53"/>
        <v>0</v>
      </c>
      <c r="BG16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Row],[Tipo]]="DROP"),BG168+TbTradesBinance[[#This Row],[Qtt]],BG168-TbTradesBinance[[#This Row],[Qtt]]),IF(TbTradesBinance[[#This Row],[Tipo]]="BUY",BG168-TbTradesBinance[[#This Row],[Qtt]]*TbTradesBinance[[#This Row],[Preço]],BG168+TbTradesBinance[[#This Row],[Qtt]]*TbTradesBinance[[#This Row],[Preço]])),BG168)-IF(TbTradesBinance[[#This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Row],[Tipo]]="DROP"),BG168+TbTradesBinance[[#This Row],[Qtt]],BG168-TbTradesBinance[[#This Row],[Qtt]]),IF(TbTradesBinance[[#This Row],[Tipo]]="BUY",BG168-TbTradesBinance[[#This Row],[Qtt]]*TbTradesBinance[[#This Row],[Preço]],BG168+TbTradesBinance[[#This Row],[Qtt]]*TbTradesBinance[[#This Row],[Preço]])),BG168)-IF(TbTradesBinance[[#This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Row],[Tipo]]="DROP"),BG168+TbTradesBinance[[#This Row],[Qtt]],BG168-TbTradesBinance[[#This Row],[Qtt]]),IF(TbTradesBinance[[#This Row],[Tipo]]="BUY",BG168-TbTradesBinance[[#This Row],[Qtt]]*TbTradesBinance[[#This Row],[Preço]],BG168+TbTradesBinance[[#This Row],[Qtt]]*TbTradesBinance[[#This Row],[Preço]])),BG168)-IF(TbTradesBinance[[#This Row],[Moeda da Taxa]]=MID(BG$1,9,5),TbTradesBinance[[#This Row],[Taxa]],0),8)))</f>
        <v>0</v>
      </c>
      <c r="BH169" s="145" cm="1">
        <f t="array" ref="BH169">IF(TbTradesBinance[[#This Row],[Tipo]]="EMPTY",0,BH168+IF(TbTradesBinance[[#This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Row],[Par]]))),$1:$1,0)),-(BG168-BG169)/BG168*BH168),0),0)+IF(TbTradesBinance[[#This Row],[Tipo]]="SELL",IF(ISNUMBER(FIND(MID(BH$1,10,5),TbTradesBinance[[#This Row],[Par]])),IF(FIND(MID(BH$1,10,5),TbTradesBinance[[#This Row],[Par]])=1, -(BG168-BG169)/BG168*BH168,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Row],[Par]])),(-(BG168-BG169)/BG168*BH168)+IF(TbTradesBinance[[#This Row],[Resultado]]&gt;0,0,TbTradesBinance[[#This Row],[Taxa]]),0),0))</f>
        <v>0</v>
      </c>
      <c r="BI169" s="145">
        <f t="shared" si="54"/>
        <v>0</v>
      </c>
      <c r="BJ16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Row],[Tipo]]="DROP"),BJ168+TbTradesBinance[[#This Row],[Qtt]],BJ168-TbTradesBinance[[#This Row],[Qtt]]),IF(TbTradesBinance[[#This Row],[Tipo]]="BUY",BJ168-TbTradesBinance[[#This Row],[Qtt]]*TbTradesBinance[[#This Row],[Preço]],BJ168+TbTradesBinance[[#This Row],[Qtt]]*TbTradesBinance[[#This Row],[Preço]])),BJ168)-IF(TbTradesBinance[[#This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Row],[Tipo]]="DROP"),BJ168+TbTradesBinance[[#This Row],[Qtt]],BJ168-TbTradesBinance[[#This Row],[Qtt]]),IF(TbTradesBinance[[#This Row],[Tipo]]="BUY",BJ168-TbTradesBinance[[#This Row],[Qtt]]*TbTradesBinance[[#This Row],[Preço]],BJ168+TbTradesBinance[[#This Row],[Qtt]]*TbTradesBinance[[#This Row],[Preço]])),BJ168)-IF(TbTradesBinance[[#This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Row],[Tipo]]="DROP"),BJ168+TbTradesBinance[[#This Row],[Qtt]],BJ168-TbTradesBinance[[#This Row],[Qtt]]),IF(TbTradesBinance[[#This Row],[Tipo]]="BUY",BJ168-TbTradesBinance[[#This Row],[Qtt]]*TbTradesBinance[[#This Row],[Preço]],BJ168+TbTradesBinance[[#This Row],[Qtt]]*TbTradesBinance[[#This Row],[Preço]])),BJ168)-IF(TbTradesBinance[[#This Row],[Moeda da Taxa]]=MID(BJ$1,9,5),TbTradesBinance[[#This Row],[Taxa]],0),8)))</f>
        <v>0</v>
      </c>
      <c r="BK169" s="145" cm="1">
        <f t="array" ref="BK169">IF(TbTradesBinance[[#This Row],[Tipo]]="EMPTY",0,BK168+IF(TbTradesBinance[[#This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Row],[Par]]))),$1:$1,0)),-(BJ168-BJ169)/BJ168*BK168),0),0)+IF(TbTradesBinance[[#This Row],[Tipo]]="SELL",IF(ISNUMBER(FIND(MID(BK$1,10,5),TbTradesBinance[[#This Row],[Par]])),IF(FIND(MID(BK$1,10,5),TbTradesBinance[[#This Row],[Par]])=1, -(BJ168-BJ169)/BJ168*BK168,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Row],[Par]])),(-(BJ168-BJ169)/BJ168*BK168)+IF(TbTradesBinance[[#This Row],[Resultado]]&gt;0,0,TbTradesBinance[[#This Row],[Taxa]]),0),0))</f>
        <v>0</v>
      </c>
      <c r="BL169" s="145">
        <f t="shared" si="55"/>
        <v>0</v>
      </c>
      <c r="BM16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Row],[Tipo]]="DROP"),BM168+TbTradesBinance[[#This Row],[Qtt]],BM168-TbTradesBinance[[#This Row],[Qtt]]),IF(TbTradesBinance[[#This Row],[Tipo]]="BUY",BM168-TbTradesBinance[[#This Row],[Qtt]]*TbTradesBinance[[#This Row],[Preço]],BM168+TbTradesBinance[[#This Row],[Qtt]]*TbTradesBinance[[#This Row],[Preço]])),BM168)-IF(TbTradesBinance[[#This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Row],[Tipo]]="DROP"),BM168+TbTradesBinance[[#This Row],[Qtt]],BM168-TbTradesBinance[[#This Row],[Qtt]]),IF(TbTradesBinance[[#This Row],[Tipo]]="BUY",BM168-TbTradesBinance[[#This Row],[Qtt]]*TbTradesBinance[[#This Row],[Preço]],BM168+TbTradesBinance[[#This Row],[Qtt]]*TbTradesBinance[[#This Row],[Preço]])),BM168)-IF(TbTradesBinance[[#This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Row],[Tipo]]="DROP"),BM168+TbTradesBinance[[#This Row],[Qtt]],BM168-TbTradesBinance[[#This Row],[Qtt]]),IF(TbTradesBinance[[#This Row],[Tipo]]="BUY",BM168-TbTradesBinance[[#This Row],[Qtt]]*TbTradesBinance[[#This Row],[Preço]],BM168+TbTradesBinance[[#This Row],[Qtt]]*TbTradesBinance[[#This Row],[Preço]])),BM168)-IF(TbTradesBinance[[#This Row],[Moeda da Taxa]]=MID(BM$1,9,5),TbTradesBinance[[#This Row],[Taxa]],0),8)))</f>
        <v>0</v>
      </c>
      <c r="BN169" s="145" cm="1">
        <f t="array" ref="BN169">IF(TbTradesBinance[[#This Row],[Tipo]]="EMPTY",0,BN168+IF(TbTradesBinance[[#This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Row],[Par]]))),$1:$1,0)),-(BM168-BM169)/BM168*BN168),0),0)+IF(TbTradesBinance[[#This Row],[Tipo]]="SELL",IF(ISNUMBER(FIND(MID(BN$1,10,5),TbTradesBinance[[#This Row],[Par]])),IF(FIND(MID(BN$1,10,5),TbTradesBinance[[#This Row],[Par]])=1, -(BM168-BM169)/BM168*BN168,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Row],[Par]])),(-(BM168-BM169)/BM168*BN168)+IF(TbTradesBinance[[#This Row],[Resultado]]&gt;0,0,TbTradesBinance[[#This Row],[Taxa]]),0),0))</f>
        <v>0</v>
      </c>
      <c r="BO169" s="145">
        <f t="shared" si="56"/>
        <v>0</v>
      </c>
    </row>
    <row r="170" spans="2:67" x14ac:dyDescent="0.3">
      <c r="B170" s="51"/>
      <c r="C170" s="40">
        <f>TRUNC(IF(AND(TbTradesBinance[[#This Row],[Tipo]]="SEND",TbTradesBinance[[#This Row],[Par]]="BRL"),TbTradesBinance[[#This Row],[Qtt]]*(1-P168)-IF(TbTradesBinance[[#This Row],[Moeda da Taxa]]="BRL",TbTradesBinance[[#This Row],[Taxa]],0),0)+IF(AND(TbTradesBinance[[#This Row],[Tipo]]="BURN",TbTradesBinance[[#This Row],[Par]]="BRL"),-TbTradesBinance[[#This Row],[Qtt]]*P168,0),2)</f>
        <v>0</v>
      </c>
      <c r="D170" s="53">
        <v>44328.910520833335</v>
      </c>
      <c r="E170" s="37" t="s">
        <v>138</v>
      </c>
      <c r="F170" s="47" t="s">
        <v>140</v>
      </c>
      <c r="G170" s="38">
        <v>270428</v>
      </c>
      <c r="H170" s="38">
        <v>1.75E-4</v>
      </c>
      <c r="I170" s="38">
        <v>1.08E-5</v>
      </c>
      <c r="J170" s="37" t="s">
        <v>45</v>
      </c>
      <c r="K170" s="52">
        <v>1</v>
      </c>
      <c r="L170" s="40">
        <f t="shared" si="38"/>
        <v>270428</v>
      </c>
      <c r="M170" s="40">
        <f>IF(OR(TbTradesBinance[[#This Row],[Tipo]]="BUY",TbTradesBinance[[#This Row],[Tipo]]="RECEIVE",TbTradesBinance[[#This Row],[Tipo]]="DROP"),L170*H170,-L170*H170)</f>
        <v>-47.3249</v>
      </c>
      <c r="N17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Row],[Tipo]]="DROP"),N169+TbTradesBinance[[#This Row],[Qtt]],N169-TbTradesBinance[[#This Row],[Qtt]]),IF(TbTradesBinance[[#This Row],[Tipo]]="BUY",N169-TbTradesBinance[[#This Row],[Qtt]]*TbTradesBinance[[#This Row],[Preço]],N169+TbTradesBinance[[#This Row],[Qtt]]*TbTradesBinance[[#This Row],[Preço]])),N169)-IF(TbTradesBinance[[#This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Row],[Tipo]]="DROP"),N169+TbTradesBinance[[#This Row],[Qtt]],N169-TbTradesBinance[[#This Row],[Qtt]]),IF(TbTradesBinance[[#This Row],[Tipo]]="BUY",N169-TbTradesBinance[[#This Row],[Qtt]]*TbTradesBinance[[#This Row],[Preço]],N169+TbTradesBinance[[#This Row],[Qtt]]*TbTradesBinance[[#This Row],[Preço]])),N169)-IF(TbTradesBinance[[#This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Row],[Tipo]]="DROP"),N169+TbTradesBinance[[#This Row],[Qtt]],N169-TbTradesBinance[[#This Row],[Qtt]]),IF(TbTradesBinance[[#This Row],[Tipo]]="BUY",N169-TbTradesBinance[[#This Row],[Qtt]]*TbTradesBinance[[#This Row],[Preço]],N169+TbTradesBinance[[#This Row],[Qtt]]*TbTradesBinance[[#This Row],[Preço]])),N169)-IF(TbTradesBinance[[#This Row],[Moeda da Taxa]]=MID(N$1,9,5),TbTradesBinance[[#This Row],[Taxa]],0),8)))</f>
        <v>119792.74489998999</v>
      </c>
      <c r="O170" s="145" cm="1">
        <f t="array" ref="O170">IF(TbTradesBinance[[#This Row],[Tipo]]="EMPTY",0,O169+IF(TbTradesBinance[[#This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Row],[Par]]))),$1:$1,0)),-(N169-N170)/N169*O169),0),0)+IF(TbTradesBinance[[#This Row],[Tipo]]="SELL",IF(ISNUMBER(FIND(MID(O$1,10,5),TbTradesBinance[[#This Row],[Par]])),IF(FIND(MID(O$1,10,5),TbTradesBinance[[#This Row],[Par]])=1, -(N169-N170)/N169*O169,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Row],[Par]])),(-(N169-N170)/N169*O169)+IF(TbTradesBinance[[#This Row],[Resultado]]&gt;0,0,TbTradesBinance[[#This Row],[Taxa]]),0),0))</f>
        <v>119868.4517385806</v>
      </c>
      <c r="P170" s="145">
        <f t="shared" si="39"/>
        <v>1.0006319818337397</v>
      </c>
      <c r="Q17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Row],[Tipo]]="DROP"),Q169+TbTradesBinance[[#This Row],[Qtt]],Q169-TbTradesBinance[[#This Row],[Qtt]]),IF(TbTradesBinance[[#This Row],[Tipo]]="BUY",Q169-TbTradesBinance[[#This Row],[Qtt]]*TbTradesBinance[[#This Row],[Preço]],Q169+TbTradesBinance[[#This Row],[Qtt]]*TbTradesBinance[[#This Row],[Preço]])),Q169)-IF(TbTradesBinance[[#This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Row],[Tipo]]="DROP"),Q169+TbTradesBinance[[#This Row],[Qtt]],Q169-TbTradesBinance[[#This Row],[Qtt]]),IF(TbTradesBinance[[#This Row],[Tipo]]="BUY",Q169-TbTradesBinance[[#This Row],[Qtt]]*TbTradesBinance[[#This Row],[Preço]],Q169+TbTradesBinance[[#This Row],[Qtt]]*TbTradesBinance[[#This Row],[Preço]])),Q169)-IF(TbTradesBinance[[#This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Row],[Tipo]]="DROP"),Q169+TbTradesBinance[[#This Row],[Qtt]],Q169-TbTradesBinance[[#This Row],[Qtt]]),IF(TbTradesBinance[[#This Row],[Tipo]]="BUY",Q169-TbTradesBinance[[#This Row],[Qtt]]*TbTradesBinance[[#This Row],[Preço]],Q169+TbTradesBinance[[#This Row],[Qtt]]*TbTradesBinance[[#This Row],[Preço]])),Q169)-IF(TbTradesBinance[[#This Row],[Moeda da Taxa]]=MID(Q$1,9,5),TbTradesBinance[[#This Row],[Taxa]],0),8)))</f>
        <v>10.648341</v>
      </c>
      <c r="R170" s="145" cm="1">
        <f t="array" ref="R170">IF(TbTradesBinance[[#This Row],[Tipo]]="EMPTY",0,R169+IF(TbTradesBinance[[#This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Row],[Par]]))),$1:$1,0)),-(Q169-Q170)/Q169*R169),0),0)+IF(TbTradesBinance[[#This Row],[Tipo]]="SELL",IF(ISNUMBER(FIND(MID(R$1,10,5),TbTradesBinance[[#This Row],[Par]])),IF(FIND(MID(R$1,10,5),TbTradesBinance[[#This Row],[Par]])=1, -(Q169-Q170)/Q169*R169,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Row],[Par]])),(-(Q169-Q170)/Q169*R169)+IF(TbTradesBinance[[#This Row],[Resultado]]&gt;0,0,TbTradesBinance[[#This Row],[Taxa]]),0),0))</f>
        <v>39.055667995281027</v>
      </c>
      <c r="S170" s="145">
        <f t="shared" si="40"/>
        <v>3.6677702184106451</v>
      </c>
      <c r="T17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Row],[Tipo]]="DROP"),T169+TbTradesBinance[[#This Row],[Qtt]],T169-TbTradesBinance[[#This Row],[Qtt]]),IF(TbTradesBinance[[#This Row],[Tipo]]="BUY",T169-TbTradesBinance[[#This Row],[Qtt]]*TbTradesBinance[[#This Row],[Preço]],T169+TbTradesBinance[[#This Row],[Qtt]]*TbTradesBinance[[#This Row],[Preço]])),T169)-IF(TbTradesBinance[[#This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Row],[Tipo]]="DROP"),T169+TbTradesBinance[[#This Row],[Qtt]],T169-TbTradesBinance[[#This Row],[Qtt]]),IF(TbTradesBinance[[#This Row],[Tipo]]="BUY",T169-TbTradesBinance[[#This Row],[Qtt]]*TbTradesBinance[[#This Row],[Preço]],T169+TbTradesBinance[[#This Row],[Qtt]]*TbTradesBinance[[#This Row],[Preço]])),T169)-IF(TbTradesBinance[[#This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Row],[Tipo]]="DROP"),T169+TbTradesBinance[[#This Row],[Qtt]],T169-TbTradesBinance[[#This Row],[Qtt]]),IF(TbTradesBinance[[#This Row],[Tipo]]="BUY",T169-TbTradesBinance[[#This Row],[Qtt]]*TbTradesBinance[[#This Row],[Preço]],T169+TbTradesBinance[[#This Row],[Qtt]]*TbTradesBinance[[#This Row],[Preço]])),T169)-IF(TbTradesBinance[[#This Row],[Moeda da Taxa]]=MID(T$1,9,5),TbTradesBinance[[#This Row],[Taxa]],0),8)))</f>
        <v>219713.72000189999</v>
      </c>
      <c r="U170" s="145" cm="1">
        <f t="array" ref="U170">IF(TbTradesBinance[[#This Row],[Tipo]]="EMPTY",0,U169+IF(TbTradesBinance[[#This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Row],[Par]]))),$1:$1,0)),-(T169-T170)/T169*U169),0),0)+IF(TbTradesBinance[[#This Row],[Tipo]]="SELL",IF(ISNUMBER(FIND(MID(U$1,10,5),TbTradesBinance[[#This Row],[Par]])),IF(FIND(MID(U$1,10,5),TbTradesBinance[[#This Row],[Par]])=1, -(T169-T170)/T169*U169,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Row],[Par]])),(-(T169-T170)/T169*U169)+IF(TbTradesBinance[[#This Row],[Resultado]]&gt;0,0,TbTradesBinance[[#This Row],[Taxa]]),0),0))</f>
        <v>1461096.2409827893</v>
      </c>
      <c r="V170" s="145">
        <f t="shared" si="41"/>
        <v>6.6500000135182926</v>
      </c>
      <c r="W17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Row],[Tipo]]="DROP"),W169+TbTradesBinance[[#This Row],[Qtt]],W169-TbTradesBinance[[#This Row],[Qtt]]),IF(TbTradesBinance[[#This Row],[Tipo]]="BUY",W169-TbTradesBinance[[#This Row],[Qtt]]*TbTradesBinance[[#This Row],[Preço]],W169+TbTradesBinance[[#This Row],[Qtt]]*TbTradesBinance[[#This Row],[Preço]])),W169)-IF(TbTradesBinance[[#This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Row],[Tipo]]="DROP"),W169+TbTradesBinance[[#This Row],[Qtt]],W169-TbTradesBinance[[#This Row],[Qtt]]),IF(TbTradesBinance[[#This Row],[Tipo]]="BUY",W169-TbTradesBinance[[#This Row],[Qtt]]*TbTradesBinance[[#This Row],[Preço]],W169+TbTradesBinance[[#This Row],[Qtt]]*TbTradesBinance[[#This Row],[Preço]])),W169)-IF(TbTradesBinance[[#This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Row],[Tipo]]="DROP"),W169+TbTradesBinance[[#This Row],[Qtt]],W169-TbTradesBinance[[#This Row],[Qtt]]),IF(TbTradesBinance[[#This Row],[Tipo]]="BUY",W169-TbTradesBinance[[#This Row],[Qtt]]*TbTradesBinance[[#This Row],[Preço]],W169+TbTradesBinance[[#This Row],[Qtt]]*TbTradesBinance[[#This Row],[Preço]])),W169)-IF(TbTradesBinance[[#This Row],[Moeda da Taxa]]=MID(W$1,9,5),TbTradesBinance[[#This Row],[Taxa]],0),8)))</f>
        <v>4.2836000000000003E-4</v>
      </c>
      <c r="X170" s="145" cm="1">
        <f t="array" ref="X170">IF(TbTradesBinance[[#This Row],[Tipo]]="EMPTY",0,X169+IF(TbTradesBinance[[#This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Row],[Par]]))),$1:$1,0)),-(W169-W170)/W169*X169),0),0)+IF(TbTradesBinance[[#This Row],[Tipo]]="SELL",IF(ISNUMBER(FIND(MID(X$1,10,5),TbTradesBinance[[#This Row],[Par]])),IF(FIND(MID(X$1,10,5),TbTradesBinance[[#This Row],[Par]])=1, -(W169-W170)/W169*X169,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Row],[Par]])),(-(W169-W170)/W169*X169)+IF(TbTradesBinance[[#This Row],[Resultado]]&gt;0,0,TbTradesBinance[[#This Row],[Taxa]]),0),0))</f>
        <v>138.7621874358147</v>
      </c>
      <c r="Y170" s="145">
        <f t="shared" si="42"/>
        <v>323938.24688536441</v>
      </c>
      <c r="Z17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Row],[Tipo]]="DROP"),Z169+TbTradesBinance[[#This Row],[Qtt]],Z169-TbTradesBinance[[#This Row],[Qtt]]),IF(TbTradesBinance[[#This Row],[Tipo]]="BUY",Z169-TbTradesBinance[[#This Row],[Qtt]]*TbTradesBinance[[#This Row],[Preço]],Z169+TbTradesBinance[[#This Row],[Qtt]]*TbTradesBinance[[#This Row],[Preço]])),Z169)-IF(TbTradesBinance[[#This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Row],[Tipo]]="DROP"),Z169+TbTradesBinance[[#This Row],[Qtt]],Z169-TbTradesBinance[[#This Row],[Qtt]]),IF(TbTradesBinance[[#This Row],[Tipo]]="BUY",Z169-TbTradesBinance[[#This Row],[Qtt]]*TbTradesBinance[[#This Row],[Preço]],Z169+TbTradesBinance[[#This Row],[Qtt]]*TbTradesBinance[[#This Row],[Preço]])),Z169)-IF(TbTradesBinance[[#This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Row],[Tipo]]="DROP"),Z169+TbTradesBinance[[#This Row],[Qtt]],Z169-TbTradesBinance[[#This Row],[Qtt]]),IF(TbTradesBinance[[#This Row],[Tipo]]="BUY",Z169-TbTradesBinance[[#This Row],[Qtt]]*TbTradesBinance[[#This Row],[Preço]],Z169+TbTradesBinance[[#This Row],[Qtt]]*TbTradesBinance[[#This Row],[Preço]])),Z169)-IF(TbTradesBinance[[#This Row],[Moeda da Taxa]]=MID(Z$1,9,5),TbTradesBinance[[#This Row],[Taxa]],0),8)))</f>
        <v>0</v>
      </c>
      <c r="AA170" s="145" cm="1">
        <f t="array" ref="AA170">IF(TbTradesBinance[[#This Row],[Tipo]]="EMPTY",0,AA169+IF(TbTradesBinance[[#This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Row],[Par]]))),$1:$1,0)),-(Z169-Z170)/Z169*AA169),0),0)+IF(TbTradesBinance[[#This Row],[Tipo]]="SELL",IF(ISNUMBER(FIND(MID(AA$1,10,5),TbTradesBinance[[#This Row],[Par]])),IF(FIND(MID(AA$1,10,5),TbTradesBinance[[#This Row],[Par]])=1, -(Z169-Z170)/Z169*AA169,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Row],[Par]])),(-(Z169-Z170)/Z169*AA169)+IF(TbTradesBinance[[#This Row],[Resultado]]&gt;0,0,TbTradesBinance[[#This Row],[Taxa]]),0),0))</f>
        <v>0</v>
      </c>
      <c r="AB170" s="145">
        <f t="shared" si="43"/>
        <v>0</v>
      </c>
      <c r="AC17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Row],[Tipo]]="DROP"),AC169+TbTradesBinance[[#This Row],[Qtt]],AC169-TbTradesBinance[[#This Row],[Qtt]]),IF(TbTradesBinance[[#This Row],[Tipo]]="BUY",AC169-TbTradesBinance[[#This Row],[Qtt]]*TbTradesBinance[[#This Row],[Preço]],AC169+TbTradesBinance[[#This Row],[Qtt]]*TbTradesBinance[[#This Row],[Preço]])),AC169)-IF(TbTradesBinance[[#This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Row],[Tipo]]="DROP"),AC169+TbTradesBinance[[#This Row],[Qtt]],AC169-TbTradesBinance[[#This Row],[Qtt]]),IF(TbTradesBinance[[#This Row],[Tipo]]="BUY",AC169-TbTradesBinance[[#This Row],[Qtt]]*TbTradesBinance[[#This Row],[Preço]],AC169+TbTradesBinance[[#This Row],[Qtt]]*TbTradesBinance[[#This Row],[Preço]])),AC169)-IF(TbTradesBinance[[#This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Row],[Tipo]]="DROP"),AC169+TbTradesBinance[[#This Row],[Qtt]],AC169-TbTradesBinance[[#This Row],[Qtt]]),IF(TbTradesBinance[[#This Row],[Tipo]]="BUY",AC169-TbTradesBinance[[#This Row],[Qtt]]*TbTradesBinance[[#This Row],[Preço]],AC169+TbTradesBinance[[#This Row],[Qtt]]*TbTradesBinance[[#This Row],[Preço]])),AC169)-IF(TbTradesBinance[[#This Row],[Moeda da Taxa]]=MID(AC$1,9,5),TbTradesBinance[[#This Row],[Taxa]],0),8)))</f>
        <v>0</v>
      </c>
      <c r="AD170" s="145" cm="1">
        <f t="array" ref="AD170">IF(TbTradesBinance[[#This Row],[Tipo]]="EMPTY",0,AD169+IF(TbTradesBinance[[#This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Row],[Par]]))),$1:$1,0)),-(AC169-AC170)/AC169*AD169),0),0)+IF(TbTradesBinance[[#This Row],[Tipo]]="SELL",IF(ISNUMBER(FIND(MID(AD$1,10,5),TbTradesBinance[[#This Row],[Par]])),IF(FIND(MID(AD$1,10,5),TbTradesBinance[[#This Row],[Par]])=1, -(AC169-AC170)/AC169*AD169,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Row],[Par]])),(-(AC169-AC170)/AC169*AD169)+IF(TbTradesBinance[[#This Row],[Resultado]]&gt;0,0,TbTradesBinance[[#This Row],[Taxa]]),0),0))</f>
        <v>0</v>
      </c>
      <c r="AE170" s="145">
        <f t="shared" si="44"/>
        <v>0</v>
      </c>
      <c r="AF17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Row],[Tipo]]="DROP"),AF169+TbTradesBinance[[#This Row],[Qtt]],AF169-TbTradesBinance[[#This Row],[Qtt]]),IF(TbTradesBinance[[#This Row],[Tipo]]="BUY",AF169-TbTradesBinance[[#This Row],[Qtt]]*TbTradesBinance[[#This Row],[Preço]],AF169+TbTradesBinance[[#This Row],[Qtt]]*TbTradesBinance[[#This Row],[Preço]])),AF169)-IF(TbTradesBinance[[#This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Row],[Tipo]]="DROP"),AF169+TbTradesBinance[[#This Row],[Qtt]],AF169-TbTradesBinance[[#This Row],[Qtt]]),IF(TbTradesBinance[[#This Row],[Tipo]]="BUY",AF169-TbTradesBinance[[#This Row],[Qtt]]*TbTradesBinance[[#This Row],[Preço]],AF169+TbTradesBinance[[#This Row],[Qtt]]*TbTradesBinance[[#This Row],[Preço]])),AF169)-IF(TbTradesBinance[[#This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Row],[Tipo]]="DROP"),AF169+TbTradesBinance[[#This Row],[Qtt]],AF169-TbTradesBinance[[#This Row],[Qtt]]),IF(TbTradesBinance[[#This Row],[Tipo]]="BUY",AF169-TbTradesBinance[[#This Row],[Qtt]]*TbTradesBinance[[#This Row],[Preço]],AF169+TbTradesBinance[[#This Row],[Qtt]]*TbTradesBinance[[#This Row],[Preço]])),AF169)-IF(TbTradesBinance[[#This Row],[Moeda da Taxa]]=MID(AF$1,9,5),TbTradesBinance[[#This Row],[Taxa]],0),8)))</f>
        <v>0</v>
      </c>
      <c r="AG170" s="145" cm="1">
        <f t="array" ref="AG170">IF(TbTradesBinance[[#This Row],[Tipo]]="EMPTY",0,AG169+IF(TbTradesBinance[[#This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Row],[Par]]))),$1:$1,0)),-(AF169-AF170)/AF169*AG169),0),0)+IF(TbTradesBinance[[#This Row],[Tipo]]="SELL",IF(ISNUMBER(FIND(MID(AG$1,10,5),TbTradesBinance[[#This Row],[Par]])),IF(FIND(MID(AG$1,10,5),TbTradesBinance[[#This Row],[Par]])=1, -(AF169-AF170)/AF169*AG169,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Row],[Par]])),(-(AF169-AF170)/AF169*AG169)+IF(TbTradesBinance[[#This Row],[Resultado]]&gt;0,0,TbTradesBinance[[#This Row],[Taxa]]),0),0))</f>
        <v>0</v>
      </c>
      <c r="AH170" s="145">
        <f t="shared" si="45"/>
        <v>0</v>
      </c>
      <c r="AI17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Row],[Tipo]]="DROP"),AI169+TbTradesBinance[[#This Row],[Qtt]],AI169-TbTradesBinance[[#This Row],[Qtt]]),IF(TbTradesBinance[[#This Row],[Tipo]]="BUY",AI169-TbTradesBinance[[#This Row],[Qtt]]*TbTradesBinance[[#This Row],[Preço]],AI169+TbTradesBinance[[#This Row],[Qtt]]*TbTradesBinance[[#This Row],[Preço]])),AI169)-IF(TbTradesBinance[[#This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Row],[Tipo]]="DROP"),AI169+TbTradesBinance[[#This Row],[Qtt]],AI169-TbTradesBinance[[#This Row],[Qtt]]),IF(TbTradesBinance[[#This Row],[Tipo]]="BUY",AI169-TbTradesBinance[[#This Row],[Qtt]]*TbTradesBinance[[#This Row],[Preço]],AI169+TbTradesBinance[[#This Row],[Qtt]]*TbTradesBinance[[#This Row],[Preço]])),AI169)-IF(TbTradesBinance[[#This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Row],[Tipo]]="DROP"),AI169+TbTradesBinance[[#This Row],[Qtt]],AI169-TbTradesBinance[[#This Row],[Qtt]]),IF(TbTradesBinance[[#This Row],[Tipo]]="BUY",AI169-TbTradesBinance[[#This Row],[Qtt]]*TbTradesBinance[[#This Row],[Preço]],AI169+TbTradesBinance[[#This Row],[Qtt]]*TbTradesBinance[[#This Row],[Preço]])),AI169)-IF(TbTradesBinance[[#This Row],[Moeda da Taxa]]=MID(AI$1,9,5),TbTradesBinance[[#This Row],[Taxa]],0),8)))</f>
        <v>0</v>
      </c>
      <c r="AJ170" s="145" cm="1">
        <f t="array" ref="AJ170">IF(TbTradesBinance[[#This Row],[Tipo]]="EMPTY",0,AJ169+IF(TbTradesBinance[[#This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Row],[Par]]))),$1:$1,0)),-(AI169-AI170)/AI169*AJ169),0),0)+IF(TbTradesBinance[[#This Row],[Tipo]]="SELL",IF(ISNUMBER(FIND(MID(AJ$1,10,5),TbTradesBinance[[#This Row],[Par]])),IF(FIND(MID(AJ$1,10,5),TbTradesBinance[[#This Row],[Par]])=1, -(AI169-AI170)/AI169*AJ169,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Row],[Par]])),(-(AI169-AI170)/AI169*AJ169)+IF(TbTradesBinance[[#This Row],[Resultado]]&gt;0,0,TbTradesBinance[[#This Row],[Taxa]]),0),0))</f>
        <v>0</v>
      </c>
      <c r="AK170" s="145">
        <f t="shared" si="46"/>
        <v>0</v>
      </c>
      <c r="AL17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Row],[Tipo]]="DROP"),AL169+TbTradesBinance[[#This Row],[Qtt]],AL169-TbTradesBinance[[#This Row],[Qtt]]),IF(TbTradesBinance[[#This Row],[Tipo]]="BUY",AL169-TbTradesBinance[[#This Row],[Qtt]]*TbTradesBinance[[#This Row],[Preço]],AL169+TbTradesBinance[[#This Row],[Qtt]]*TbTradesBinance[[#This Row],[Preço]])),AL169)-IF(TbTradesBinance[[#This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Row],[Tipo]]="DROP"),AL169+TbTradesBinance[[#This Row],[Qtt]],AL169-TbTradesBinance[[#This Row],[Qtt]]),IF(TbTradesBinance[[#This Row],[Tipo]]="BUY",AL169-TbTradesBinance[[#This Row],[Qtt]]*TbTradesBinance[[#This Row],[Preço]],AL169+TbTradesBinance[[#This Row],[Qtt]]*TbTradesBinance[[#This Row],[Preço]])),AL169)-IF(TbTradesBinance[[#This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Row],[Tipo]]="DROP"),AL169+TbTradesBinance[[#This Row],[Qtt]],AL169-TbTradesBinance[[#This Row],[Qtt]]),IF(TbTradesBinance[[#This Row],[Tipo]]="BUY",AL169-TbTradesBinance[[#This Row],[Qtt]]*TbTradesBinance[[#This Row],[Preço]],AL169+TbTradesBinance[[#This Row],[Qtt]]*TbTradesBinance[[#This Row],[Preço]])),AL169)-IF(TbTradesBinance[[#This Row],[Moeda da Taxa]]=MID(AL$1,9,5),TbTradesBinance[[#This Row],[Taxa]],0),8)))</f>
        <v>0</v>
      </c>
      <c r="AM170" s="145" cm="1">
        <f t="array" ref="AM170">IF(TbTradesBinance[[#This Row],[Tipo]]="EMPTY",0,AM169+IF(TbTradesBinance[[#This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Row],[Par]]))),$1:$1,0)),-(AL169-AL170)/AL169*AM169),0),0)+IF(TbTradesBinance[[#This Row],[Tipo]]="SELL",IF(ISNUMBER(FIND(MID(AM$1,10,5),TbTradesBinance[[#This Row],[Par]])),IF(FIND(MID(AM$1,10,5),TbTradesBinance[[#This Row],[Par]])=1, -(AL169-AL170)/AL169*AM169,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Row],[Par]])),(-(AL169-AL170)/AL169*AM169)+IF(TbTradesBinance[[#This Row],[Resultado]]&gt;0,0,TbTradesBinance[[#This Row],[Taxa]]),0),0))</f>
        <v>0</v>
      </c>
      <c r="AN170" s="145">
        <f t="shared" si="47"/>
        <v>0</v>
      </c>
      <c r="AO17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Row],[Tipo]]="DROP"),AO169+TbTradesBinance[[#This Row],[Qtt]],AO169-TbTradesBinance[[#This Row],[Qtt]]),IF(TbTradesBinance[[#This Row],[Tipo]]="BUY",AO169-TbTradesBinance[[#This Row],[Qtt]]*TbTradesBinance[[#This Row],[Preço]],AO169+TbTradesBinance[[#This Row],[Qtt]]*TbTradesBinance[[#This Row],[Preço]])),AO169)-IF(TbTradesBinance[[#This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Row],[Tipo]]="DROP"),AO169+TbTradesBinance[[#This Row],[Qtt]],AO169-TbTradesBinance[[#This Row],[Qtt]]),IF(TbTradesBinance[[#This Row],[Tipo]]="BUY",AO169-TbTradesBinance[[#This Row],[Qtt]]*TbTradesBinance[[#This Row],[Preço]],AO169+TbTradesBinance[[#This Row],[Qtt]]*TbTradesBinance[[#This Row],[Preço]])),AO169)-IF(TbTradesBinance[[#This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Row],[Tipo]]="DROP"),AO169+TbTradesBinance[[#This Row],[Qtt]],AO169-TbTradesBinance[[#This Row],[Qtt]]),IF(TbTradesBinance[[#This Row],[Tipo]]="BUY",AO169-TbTradesBinance[[#This Row],[Qtt]]*TbTradesBinance[[#This Row],[Preço]],AO169+TbTradesBinance[[#This Row],[Qtt]]*TbTradesBinance[[#This Row],[Preço]])),AO169)-IF(TbTradesBinance[[#This Row],[Moeda da Taxa]]=MID(AO$1,9,5),TbTradesBinance[[#This Row],[Taxa]],0),8)))</f>
        <v>3.8449259999999999E-2</v>
      </c>
      <c r="AP170" s="145" cm="1">
        <f t="array" ref="AP170">IF(TbTradesBinance[[#This Row],[Tipo]]="EMPTY",0,AP169+IF(TbTradesBinance[[#This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Row],[Par]]))),$1:$1,0)),-(AO169-AO170)/AO169*AP169),0),0)+IF(TbTradesBinance[[#This Row],[Tipo]]="SELL",IF(ISNUMBER(FIND(MID(AP$1,10,5),TbTradesBinance[[#This Row],[Par]])),IF(FIND(MID(AP$1,10,5),TbTradesBinance[[#This Row],[Par]])=1, -(AO169-AO170)/AO169*AP169,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Row],[Par]])),(-(AO169-AO170)/AO169*AP169)+IF(TbTradesBinance[[#This Row],[Resultado]]&gt;0,0,TbTradesBinance[[#This Row],[Taxa]]),0),0))</f>
        <v>60.349858055862811</v>
      </c>
      <c r="AQ170" s="145">
        <f t="shared" si="48"/>
        <v>1569.5973877224897</v>
      </c>
      <c r="AR17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Row],[Tipo]]="DROP"),AR169+TbTradesBinance[[#This Row],[Qtt]],AR169-TbTradesBinance[[#This Row],[Qtt]]),IF(TbTradesBinance[[#This Row],[Tipo]]="BUY",AR169-TbTradesBinance[[#This Row],[Qtt]]*TbTradesBinance[[#This Row],[Preço]],AR169+TbTradesBinance[[#This Row],[Qtt]]*TbTradesBinance[[#This Row],[Preço]])),AR169)-IF(TbTradesBinance[[#This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Row],[Tipo]]="DROP"),AR169+TbTradesBinance[[#This Row],[Qtt]],AR169-TbTradesBinance[[#This Row],[Qtt]]),IF(TbTradesBinance[[#This Row],[Tipo]]="BUY",AR169-TbTradesBinance[[#This Row],[Qtt]]*TbTradesBinance[[#This Row],[Preço]],AR169+TbTradesBinance[[#This Row],[Qtt]]*TbTradesBinance[[#This Row],[Preço]])),AR169)-IF(TbTradesBinance[[#This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Row],[Tipo]]="DROP"),AR169+TbTradesBinance[[#This Row],[Qtt]],AR169-TbTradesBinance[[#This Row],[Qtt]]),IF(TbTradesBinance[[#This Row],[Tipo]]="BUY",AR169-TbTradesBinance[[#This Row],[Qtt]]*TbTradesBinance[[#This Row],[Preço]],AR169+TbTradesBinance[[#This Row],[Qtt]]*TbTradesBinance[[#This Row],[Preço]])),AR169)-IF(TbTradesBinance[[#This Row],[Moeda da Taxa]]=MID(AR$1,9,5),TbTradesBinance[[#This Row],[Taxa]],0),8)))</f>
        <v>0</v>
      </c>
      <c r="AS170" s="145" cm="1">
        <f t="array" ref="AS170">IF(TbTradesBinance[[#This Row],[Tipo]]="EMPTY",0,AS169+IF(TbTradesBinance[[#This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Row],[Par]]))),$1:$1,0)),-(AR169-AR170)/AR169*AS169),0),0)+IF(TbTradesBinance[[#This Row],[Tipo]]="SELL",IF(ISNUMBER(FIND(MID(AS$1,10,5),TbTradesBinance[[#This Row],[Par]])),IF(FIND(MID(AS$1,10,5),TbTradesBinance[[#This Row],[Par]])=1, -(AR169-AR170)/AR169*AS169,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Row],[Par]])),(-(AR169-AR170)/AR169*AS169)+IF(TbTradesBinance[[#This Row],[Resultado]]&gt;0,0,TbTradesBinance[[#This Row],[Taxa]]),0),0))</f>
        <v>0</v>
      </c>
      <c r="AT170" s="145">
        <f t="shared" si="49"/>
        <v>0</v>
      </c>
      <c r="AU17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Row],[Tipo]]="DROP"),AU169+TbTradesBinance[[#This Row],[Qtt]],AU169-TbTradesBinance[[#This Row],[Qtt]]),IF(TbTradesBinance[[#This Row],[Tipo]]="BUY",AU169-TbTradesBinance[[#This Row],[Qtt]]*TbTradesBinance[[#This Row],[Preço]],AU169+TbTradesBinance[[#This Row],[Qtt]]*TbTradesBinance[[#This Row],[Preço]])),AU169)-IF(TbTradesBinance[[#This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Row],[Tipo]]="DROP"),AU169+TbTradesBinance[[#This Row],[Qtt]],AU169-TbTradesBinance[[#This Row],[Qtt]]),IF(TbTradesBinance[[#This Row],[Tipo]]="BUY",AU169-TbTradesBinance[[#This Row],[Qtt]]*TbTradesBinance[[#This Row],[Preço]],AU169+TbTradesBinance[[#This Row],[Qtt]]*TbTradesBinance[[#This Row],[Preço]])),AU169)-IF(TbTradesBinance[[#This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Row],[Tipo]]="DROP"),AU169+TbTradesBinance[[#This Row],[Qtt]],AU169-TbTradesBinance[[#This Row],[Qtt]]),IF(TbTradesBinance[[#This Row],[Tipo]]="BUY",AU169-TbTradesBinance[[#This Row],[Qtt]]*TbTradesBinance[[#This Row],[Preço]],AU169+TbTradesBinance[[#This Row],[Qtt]]*TbTradesBinance[[#This Row],[Preço]])),AU169)-IF(TbTradesBinance[[#This Row],[Moeda da Taxa]]=MID(AU$1,9,5),TbTradesBinance[[#This Row],[Taxa]],0),8)))</f>
        <v>0.51</v>
      </c>
      <c r="AV170" s="145" cm="1">
        <f t="array" ref="AV170">IF(TbTradesBinance[[#This Row],[Tipo]]="EMPTY",0,AV169+IF(TbTradesBinance[[#This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Row],[Par]]))),$1:$1,0)),-(AU169-AU170)/AU169*AV169),0),0)+IF(TbTradesBinance[[#This Row],[Tipo]]="SELL",IF(ISNUMBER(FIND(MID(AV$1,10,5),TbTradesBinance[[#This Row],[Par]])),IF(FIND(MID(AV$1,10,5),TbTradesBinance[[#This Row],[Par]])=1, -(AU169-AU170)/AU169*AV169,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Row],[Par]])),(-(AU169-AU170)/AU169*AV169)+IF(TbTradesBinance[[#This Row],[Resultado]]&gt;0,0,TbTradesBinance[[#This Row],[Taxa]]),0),0))</f>
        <v>95.466693037374753</v>
      </c>
      <c r="AW170" s="145">
        <f t="shared" si="50"/>
        <v>187.18959419093088</v>
      </c>
      <c r="AX17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Row],[Tipo]]="DROP"),AX169+TbTradesBinance[[#This Row],[Qtt]],AX169-TbTradesBinance[[#This Row],[Qtt]]),IF(TbTradesBinance[[#This Row],[Tipo]]="BUY",AX169-TbTradesBinance[[#This Row],[Qtt]]*TbTradesBinance[[#This Row],[Preço]],AX169+TbTradesBinance[[#This Row],[Qtt]]*TbTradesBinance[[#This Row],[Preço]])),AX169)-IF(TbTradesBinance[[#This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Row],[Tipo]]="DROP"),AX169+TbTradesBinance[[#This Row],[Qtt]],AX169-TbTradesBinance[[#This Row],[Qtt]]),IF(TbTradesBinance[[#This Row],[Tipo]]="BUY",AX169-TbTradesBinance[[#This Row],[Qtt]]*TbTradesBinance[[#This Row],[Preço]],AX169+TbTradesBinance[[#This Row],[Qtt]]*TbTradesBinance[[#This Row],[Preço]])),AX169)-IF(TbTradesBinance[[#This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Row],[Tipo]]="DROP"),AX169+TbTradesBinance[[#This Row],[Qtt]],AX169-TbTradesBinance[[#This Row],[Qtt]]),IF(TbTradesBinance[[#This Row],[Tipo]]="BUY",AX169-TbTradesBinance[[#This Row],[Qtt]]*TbTradesBinance[[#This Row],[Preço]],AX169+TbTradesBinance[[#This Row],[Qtt]]*TbTradesBinance[[#This Row],[Preço]])),AX169)-IF(TbTradesBinance[[#This Row],[Moeda da Taxa]]=MID(AX$1,9,5),TbTradesBinance[[#This Row],[Taxa]],0),8)))</f>
        <v>0.32838000000000001</v>
      </c>
      <c r="AY170" s="145" cm="1">
        <f t="array" ref="AY170">IF(TbTradesBinance[[#This Row],[Tipo]]="EMPTY",0,AY169+IF(TbTradesBinance[[#This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Row],[Par]]))),$1:$1,0)),-(AX169-AX170)/AX169*AY169),0),0)+IF(TbTradesBinance[[#This Row],[Tipo]]="SELL",IF(ISNUMBER(FIND(MID(AY$1,10,5),TbTradesBinance[[#This Row],[Par]])),IF(FIND(MID(AY$1,10,5),TbTradesBinance[[#This Row],[Par]])=1, -(AX169-AX170)/AX169*AY169,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Row],[Par]])),(-(AX169-AX170)/AX169*AY169)+IF(TbTradesBinance[[#This Row],[Resultado]]&gt;0,0,TbTradesBinance[[#This Row],[Taxa]]),0),0))</f>
        <v>61.364116058805678</v>
      </c>
      <c r="AZ170" s="145">
        <f t="shared" si="51"/>
        <v>186.869224857804</v>
      </c>
      <c r="BA17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Row],[Tipo]]="DROP"),BA169+TbTradesBinance[[#This Row],[Qtt]],BA169-TbTradesBinance[[#This Row],[Qtt]]),IF(TbTradesBinance[[#This Row],[Tipo]]="BUY",BA169-TbTradesBinance[[#This Row],[Qtt]]*TbTradesBinance[[#This Row],[Preço]],BA169+TbTradesBinance[[#This Row],[Qtt]]*TbTradesBinance[[#This Row],[Preço]])),BA169)-IF(TbTradesBinance[[#This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Row],[Tipo]]="DROP"),BA169+TbTradesBinance[[#This Row],[Qtt]],BA169-TbTradesBinance[[#This Row],[Qtt]]),IF(TbTradesBinance[[#This Row],[Tipo]]="BUY",BA169-TbTradesBinance[[#This Row],[Qtt]]*TbTradesBinance[[#This Row],[Preço]],BA169+TbTradesBinance[[#This Row],[Qtt]]*TbTradesBinance[[#This Row],[Preço]])),BA169)-IF(TbTradesBinance[[#This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Row],[Tipo]]="DROP"),BA169+TbTradesBinance[[#This Row],[Qtt]],BA169-TbTradesBinance[[#This Row],[Qtt]]),IF(TbTradesBinance[[#This Row],[Tipo]]="BUY",BA169-TbTradesBinance[[#This Row],[Qtt]]*TbTradesBinance[[#This Row],[Preço]],BA169+TbTradesBinance[[#This Row],[Qtt]]*TbTradesBinance[[#This Row],[Preço]])),BA169)-IF(TbTradesBinance[[#This Row],[Moeda da Taxa]]=MID(BA$1,9,5),TbTradesBinance[[#This Row],[Taxa]],0),8)))</f>
        <v>0</v>
      </c>
      <c r="BB170" s="145" cm="1">
        <f t="array" ref="BB170">IF(TbTradesBinance[[#This Row],[Tipo]]="EMPTY",0,BB169+IF(TbTradesBinance[[#This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Row],[Par]]))),$1:$1,0)),-(BA169-BA170)/BA169*BB169),0),0)+IF(TbTradesBinance[[#This Row],[Tipo]]="SELL",IF(ISNUMBER(FIND(MID(BB$1,10,5),TbTradesBinance[[#This Row],[Par]])),IF(FIND(MID(BB$1,10,5),TbTradesBinance[[#This Row],[Par]])=1, -(BA169-BA170)/BA169*BB169,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Row],[Par]])),(-(BA169-BA170)/BA169*BB169)+IF(TbTradesBinance[[#This Row],[Resultado]]&gt;0,0,TbTradesBinance[[#This Row],[Taxa]]),0),0))</f>
        <v>0</v>
      </c>
      <c r="BC170" s="145">
        <f t="shared" si="52"/>
        <v>0</v>
      </c>
      <c r="BD17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Row],[Tipo]]="DROP"),BD169+TbTradesBinance[[#This Row],[Qtt]],BD169-TbTradesBinance[[#This Row],[Qtt]]),IF(TbTradesBinance[[#This Row],[Tipo]]="BUY",BD169-TbTradesBinance[[#This Row],[Qtt]]*TbTradesBinance[[#This Row],[Preço]],BD169+TbTradesBinance[[#This Row],[Qtt]]*TbTradesBinance[[#This Row],[Preço]])),BD169)-IF(TbTradesBinance[[#This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Row],[Tipo]]="DROP"),BD169+TbTradesBinance[[#This Row],[Qtt]],BD169-TbTradesBinance[[#This Row],[Qtt]]),IF(TbTradesBinance[[#This Row],[Tipo]]="BUY",BD169-TbTradesBinance[[#This Row],[Qtt]]*TbTradesBinance[[#This Row],[Preço]],BD169+TbTradesBinance[[#This Row],[Qtt]]*TbTradesBinance[[#This Row],[Preço]])),BD169)-IF(TbTradesBinance[[#This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Row],[Tipo]]="DROP"),BD169+TbTradesBinance[[#This Row],[Qtt]],BD169-TbTradesBinance[[#This Row],[Qtt]]),IF(TbTradesBinance[[#This Row],[Tipo]]="BUY",BD169-TbTradesBinance[[#This Row],[Qtt]]*TbTradesBinance[[#This Row],[Preço]],BD169+TbTradesBinance[[#This Row],[Qtt]]*TbTradesBinance[[#This Row],[Preço]])),BD169)-IF(TbTradesBinance[[#This Row],[Moeda da Taxa]]=MID(BD$1,9,5),TbTradesBinance[[#This Row],[Taxa]],0),8)))</f>
        <v>0</v>
      </c>
      <c r="BE170" s="145" cm="1">
        <f t="array" ref="BE170">IF(TbTradesBinance[[#This Row],[Tipo]]="EMPTY",0,BE169+IF(TbTradesBinance[[#This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Row],[Par]]))),$1:$1,0)),-(BD169-BD170)/BD169*BE169),0),0)+IF(TbTradesBinance[[#This Row],[Tipo]]="SELL",IF(ISNUMBER(FIND(MID(BE$1,10,5),TbTradesBinance[[#This Row],[Par]])),IF(FIND(MID(BE$1,10,5),TbTradesBinance[[#This Row],[Par]])=1, -(BD169-BD170)/BD169*BE169,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Row],[Par]])),(-(BD169-BD170)/BD169*BE169)+IF(TbTradesBinance[[#This Row],[Resultado]]&gt;0,0,TbTradesBinance[[#This Row],[Taxa]]),0),0))</f>
        <v>0</v>
      </c>
      <c r="BF170" s="145">
        <f t="shared" si="53"/>
        <v>0</v>
      </c>
      <c r="BG17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Row],[Tipo]]="DROP"),BG169+TbTradesBinance[[#This Row],[Qtt]],BG169-TbTradesBinance[[#This Row],[Qtt]]),IF(TbTradesBinance[[#This Row],[Tipo]]="BUY",BG169-TbTradesBinance[[#This Row],[Qtt]]*TbTradesBinance[[#This Row],[Preço]],BG169+TbTradesBinance[[#This Row],[Qtt]]*TbTradesBinance[[#This Row],[Preço]])),BG169)-IF(TbTradesBinance[[#This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Row],[Tipo]]="DROP"),BG169+TbTradesBinance[[#This Row],[Qtt]],BG169-TbTradesBinance[[#This Row],[Qtt]]),IF(TbTradesBinance[[#This Row],[Tipo]]="BUY",BG169-TbTradesBinance[[#This Row],[Qtt]]*TbTradesBinance[[#This Row],[Preço]],BG169+TbTradesBinance[[#This Row],[Qtt]]*TbTradesBinance[[#This Row],[Preço]])),BG169)-IF(TbTradesBinance[[#This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Row],[Tipo]]="DROP"),BG169+TbTradesBinance[[#This Row],[Qtt]],BG169-TbTradesBinance[[#This Row],[Qtt]]),IF(TbTradesBinance[[#This Row],[Tipo]]="BUY",BG169-TbTradesBinance[[#This Row],[Qtt]]*TbTradesBinance[[#This Row],[Preço]],BG169+TbTradesBinance[[#This Row],[Qtt]]*TbTradesBinance[[#This Row],[Preço]])),BG169)-IF(TbTradesBinance[[#This Row],[Moeda da Taxa]]=MID(BG$1,9,5),TbTradesBinance[[#This Row],[Taxa]],0),8)))</f>
        <v>0</v>
      </c>
      <c r="BH170" s="145" cm="1">
        <f t="array" ref="BH170">IF(TbTradesBinance[[#This Row],[Tipo]]="EMPTY",0,BH169+IF(TbTradesBinance[[#This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Row],[Par]]))),$1:$1,0)),-(BG169-BG170)/BG169*BH169),0),0)+IF(TbTradesBinance[[#This Row],[Tipo]]="SELL",IF(ISNUMBER(FIND(MID(BH$1,10,5),TbTradesBinance[[#This Row],[Par]])),IF(FIND(MID(BH$1,10,5),TbTradesBinance[[#This Row],[Par]])=1, -(BG169-BG170)/BG169*BH169,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Row],[Par]])),(-(BG169-BG170)/BG169*BH169)+IF(TbTradesBinance[[#This Row],[Resultado]]&gt;0,0,TbTradesBinance[[#This Row],[Taxa]]),0),0))</f>
        <v>0</v>
      </c>
      <c r="BI170" s="145">
        <f t="shared" si="54"/>
        <v>0</v>
      </c>
      <c r="BJ17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Row],[Tipo]]="DROP"),BJ169+TbTradesBinance[[#This Row],[Qtt]],BJ169-TbTradesBinance[[#This Row],[Qtt]]),IF(TbTradesBinance[[#This Row],[Tipo]]="BUY",BJ169-TbTradesBinance[[#This Row],[Qtt]]*TbTradesBinance[[#This Row],[Preço]],BJ169+TbTradesBinance[[#This Row],[Qtt]]*TbTradesBinance[[#This Row],[Preço]])),BJ169)-IF(TbTradesBinance[[#This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Row],[Tipo]]="DROP"),BJ169+TbTradesBinance[[#This Row],[Qtt]],BJ169-TbTradesBinance[[#This Row],[Qtt]]),IF(TbTradesBinance[[#This Row],[Tipo]]="BUY",BJ169-TbTradesBinance[[#This Row],[Qtt]]*TbTradesBinance[[#This Row],[Preço]],BJ169+TbTradesBinance[[#This Row],[Qtt]]*TbTradesBinance[[#This Row],[Preço]])),BJ169)-IF(TbTradesBinance[[#This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Row],[Tipo]]="DROP"),BJ169+TbTradesBinance[[#This Row],[Qtt]],BJ169-TbTradesBinance[[#This Row],[Qtt]]),IF(TbTradesBinance[[#This Row],[Tipo]]="BUY",BJ169-TbTradesBinance[[#This Row],[Qtt]]*TbTradesBinance[[#This Row],[Preço]],BJ169+TbTradesBinance[[#This Row],[Qtt]]*TbTradesBinance[[#This Row],[Preço]])),BJ169)-IF(TbTradesBinance[[#This Row],[Moeda da Taxa]]=MID(BJ$1,9,5),TbTradesBinance[[#This Row],[Taxa]],0),8)))</f>
        <v>0</v>
      </c>
      <c r="BK170" s="145" cm="1">
        <f t="array" ref="BK170">IF(TbTradesBinance[[#This Row],[Tipo]]="EMPTY",0,BK169+IF(TbTradesBinance[[#This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Row],[Par]]))),$1:$1,0)),-(BJ169-BJ170)/BJ169*BK169),0),0)+IF(TbTradesBinance[[#This Row],[Tipo]]="SELL",IF(ISNUMBER(FIND(MID(BK$1,10,5),TbTradesBinance[[#This Row],[Par]])),IF(FIND(MID(BK$1,10,5),TbTradesBinance[[#This Row],[Par]])=1, -(BJ169-BJ170)/BJ169*BK169,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Row],[Par]])),(-(BJ169-BJ170)/BJ169*BK169)+IF(TbTradesBinance[[#This Row],[Resultado]]&gt;0,0,TbTradesBinance[[#This Row],[Taxa]]),0),0))</f>
        <v>0</v>
      </c>
      <c r="BL170" s="145">
        <f t="shared" si="55"/>
        <v>0</v>
      </c>
      <c r="BM17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Row],[Tipo]]="DROP"),BM169+TbTradesBinance[[#This Row],[Qtt]],BM169-TbTradesBinance[[#This Row],[Qtt]]),IF(TbTradesBinance[[#This Row],[Tipo]]="BUY",BM169-TbTradesBinance[[#This Row],[Qtt]]*TbTradesBinance[[#This Row],[Preço]],BM169+TbTradesBinance[[#This Row],[Qtt]]*TbTradesBinance[[#This Row],[Preço]])),BM169)-IF(TbTradesBinance[[#This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Row],[Tipo]]="DROP"),BM169+TbTradesBinance[[#This Row],[Qtt]],BM169-TbTradesBinance[[#This Row],[Qtt]]),IF(TbTradesBinance[[#This Row],[Tipo]]="BUY",BM169-TbTradesBinance[[#This Row],[Qtt]]*TbTradesBinance[[#This Row],[Preço]],BM169+TbTradesBinance[[#This Row],[Qtt]]*TbTradesBinance[[#This Row],[Preço]])),BM169)-IF(TbTradesBinance[[#This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Row],[Tipo]]="DROP"),BM169+TbTradesBinance[[#This Row],[Qtt]],BM169-TbTradesBinance[[#This Row],[Qtt]]),IF(TbTradesBinance[[#This Row],[Tipo]]="BUY",BM169-TbTradesBinance[[#This Row],[Qtt]]*TbTradesBinance[[#This Row],[Preço]],BM169+TbTradesBinance[[#This Row],[Qtt]]*TbTradesBinance[[#This Row],[Preço]])),BM169)-IF(TbTradesBinance[[#This Row],[Moeda da Taxa]]=MID(BM$1,9,5),TbTradesBinance[[#This Row],[Taxa]],0),8)))</f>
        <v>0</v>
      </c>
      <c r="BN170" s="145" cm="1">
        <f t="array" ref="BN170">IF(TbTradesBinance[[#This Row],[Tipo]]="EMPTY",0,BN169+IF(TbTradesBinance[[#This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Row],[Par]]))),$1:$1,0)),-(BM169-BM170)/BM169*BN169),0),0)+IF(TbTradesBinance[[#This Row],[Tipo]]="SELL",IF(ISNUMBER(FIND(MID(BN$1,10,5),TbTradesBinance[[#This Row],[Par]])),IF(FIND(MID(BN$1,10,5),TbTradesBinance[[#This Row],[Par]])=1, -(BM169-BM170)/BM169*BN169,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Row],[Par]])),(-(BM169-BM170)/BM169*BN169)+IF(TbTradesBinance[[#This Row],[Resultado]]&gt;0,0,TbTradesBinance[[#This Row],[Taxa]]),0),0))</f>
        <v>0</v>
      </c>
      <c r="BO170" s="145">
        <f t="shared" si="56"/>
        <v>0</v>
      </c>
    </row>
    <row r="171" spans="2:67" x14ac:dyDescent="0.3">
      <c r="B171" s="51"/>
      <c r="C171" s="40">
        <f>TRUNC(IF(AND(TbTradesBinance[[#This Row],[Tipo]]="SEND",TbTradesBinance[[#This Row],[Par]]="BRL"),TbTradesBinance[[#This Row],[Qtt]]*(1-P169)-IF(TbTradesBinance[[#This Row],[Moeda da Taxa]]="BRL",TbTradesBinance[[#This Row],[Taxa]],0),0)+IF(AND(TbTradesBinance[[#This Row],[Tipo]]="BURN",TbTradesBinance[[#This Row],[Par]]="BRL"),-TbTradesBinance[[#This Row],[Qtt]]*P169,0),2)</f>
        <v>0</v>
      </c>
      <c r="D171" s="53">
        <v>44328.910520833335</v>
      </c>
      <c r="E171" s="37" t="s">
        <v>138</v>
      </c>
      <c r="F171" s="47" t="s">
        <v>140</v>
      </c>
      <c r="G171" s="38">
        <v>270434</v>
      </c>
      <c r="H171" s="38">
        <v>5.5000000000000002E-5</v>
      </c>
      <c r="I171" s="38">
        <v>3.3900000000000002E-6</v>
      </c>
      <c r="J171" s="37" t="s">
        <v>45</v>
      </c>
      <c r="K171" s="52">
        <v>1</v>
      </c>
      <c r="L171" s="40">
        <f t="shared" si="38"/>
        <v>270434</v>
      </c>
      <c r="M171" s="40">
        <f>IF(OR(TbTradesBinance[[#This Row],[Tipo]]="BUY",TbTradesBinance[[#This Row],[Tipo]]="RECEIVE",TbTradesBinance[[#This Row],[Tipo]]="DROP"),L171*H171,-L171*H171)</f>
        <v>-14.87387</v>
      </c>
      <c r="N17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Row],[Tipo]]="DROP"),N170+TbTradesBinance[[#This Row],[Qtt]],N170-TbTradesBinance[[#This Row],[Qtt]]),IF(TbTradesBinance[[#This Row],[Tipo]]="BUY",N170-TbTradesBinance[[#This Row],[Qtt]]*TbTradesBinance[[#This Row],[Preço]],N170+TbTradesBinance[[#This Row],[Qtt]]*TbTradesBinance[[#This Row],[Preço]])),N170)-IF(TbTradesBinance[[#This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Row],[Tipo]]="DROP"),N170+TbTradesBinance[[#This Row],[Qtt]],N170-TbTradesBinance[[#This Row],[Qtt]]),IF(TbTradesBinance[[#This Row],[Tipo]]="BUY",N170-TbTradesBinance[[#This Row],[Qtt]]*TbTradesBinance[[#This Row],[Preço]],N170+TbTradesBinance[[#This Row],[Qtt]]*TbTradesBinance[[#This Row],[Preço]])),N170)-IF(TbTradesBinance[[#This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Row],[Tipo]]="DROP"),N170+TbTradesBinance[[#This Row],[Qtt]],N170-TbTradesBinance[[#This Row],[Qtt]]),IF(TbTradesBinance[[#This Row],[Tipo]]="BUY",N170-TbTradesBinance[[#This Row],[Qtt]]*TbTradesBinance[[#This Row],[Preço]],N170+TbTradesBinance[[#This Row],[Qtt]]*TbTradesBinance[[#This Row],[Preço]])),N170)-IF(TbTradesBinance[[#This Row],[Moeda da Taxa]]=MID(N$1,9,5),TbTradesBinance[[#This Row],[Taxa]],0),8)))</f>
        <v>119807.61876999</v>
      </c>
      <c r="O171" s="145" cm="1">
        <f t="array" ref="O171">IF(TbTradesBinance[[#This Row],[Tipo]]="EMPTY",0,O170+IF(TbTradesBinance[[#This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Row],[Par]]))),$1:$1,0)),-(N170-N171)/N170*O170),0),0)+IF(TbTradesBinance[[#This Row],[Tipo]]="SELL",IF(ISNUMBER(FIND(MID(O$1,10,5),TbTradesBinance[[#This Row],[Par]])),IF(FIND(MID(O$1,10,5),TbTradesBinance[[#This Row],[Par]])=1, -(N170-N171)/N170*O170,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Row],[Par]])),(-(N170-N171)/N170*O170)+IF(TbTradesBinance[[#This Row],[Resultado]]&gt;0,0,TbTradesBinance[[#This Row],[Taxa]]),0),0))</f>
        <v>119886.2683421593</v>
      </c>
      <c r="P171" s="145">
        <f t="shared" si="39"/>
        <v>1.000656465531798</v>
      </c>
      <c r="Q17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Row],[Tipo]]="DROP"),Q170+TbTradesBinance[[#This Row],[Qtt]],Q170-TbTradesBinance[[#This Row],[Qtt]]),IF(TbTradesBinance[[#This Row],[Tipo]]="BUY",Q170-TbTradesBinance[[#This Row],[Qtt]]*TbTradesBinance[[#This Row],[Preço]],Q170+TbTradesBinance[[#This Row],[Qtt]]*TbTradesBinance[[#This Row],[Preço]])),Q170)-IF(TbTradesBinance[[#This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Row],[Tipo]]="DROP"),Q170+TbTradesBinance[[#This Row],[Qtt]],Q170-TbTradesBinance[[#This Row],[Qtt]]),IF(TbTradesBinance[[#This Row],[Tipo]]="BUY",Q170-TbTradesBinance[[#This Row],[Qtt]]*TbTradesBinance[[#This Row],[Preço]],Q170+TbTradesBinance[[#This Row],[Qtt]]*TbTradesBinance[[#This Row],[Preço]])),Q170)-IF(TbTradesBinance[[#This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Row],[Tipo]]="DROP"),Q170+TbTradesBinance[[#This Row],[Qtt]],Q170-TbTradesBinance[[#This Row],[Qtt]]),IF(TbTradesBinance[[#This Row],[Tipo]]="BUY",Q170-TbTradesBinance[[#This Row],[Qtt]]*TbTradesBinance[[#This Row],[Preço]],Q170+TbTradesBinance[[#This Row],[Qtt]]*TbTradesBinance[[#This Row],[Preço]])),Q170)-IF(TbTradesBinance[[#This Row],[Moeda da Taxa]]=MID(Q$1,9,5),TbTradesBinance[[#This Row],[Taxa]],0),8)))</f>
        <v>10.648341</v>
      </c>
      <c r="R171" s="145" cm="1">
        <f t="array" ref="R171">IF(TbTradesBinance[[#This Row],[Tipo]]="EMPTY",0,R170+IF(TbTradesBinance[[#This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Row],[Par]]))),$1:$1,0)),-(Q170-Q171)/Q170*R170),0),0)+IF(TbTradesBinance[[#This Row],[Tipo]]="SELL",IF(ISNUMBER(FIND(MID(R$1,10,5),TbTradesBinance[[#This Row],[Par]])),IF(FIND(MID(R$1,10,5),TbTradesBinance[[#This Row],[Par]])=1, -(Q170-Q171)/Q170*R170,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Row],[Par]])),(-(Q170-Q171)/Q170*R170)+IF(TbTradesBinance[[#This Row],[Resultado]]&gt;0,0,TbTradesBinance[[#This Row],[Taxa]]),0),0))</f>
        <v>39.055667995281027</v>
      </c>
      <c r="S171" s="145">
        <f t="shared" si="40"/>
        <v>3.6677702184106451</v>
      </c>
      <c r="T17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Row],[Tipo]]="DROP"),T170+TbTradesBinance[[#This Row],[Qtt]],T170-TbTradesBinance[[#This Row],[Qtt]]),IF(TbTradesBinance[[#This Row],[Tipo]]="BUY",T170-TbTradesBinance[[#This Row],[Qtt]]*TbTradesBinance[[#This Row],[Preço]],T170+TbTradesBinance[[#This Row],[Qtt]]*TbTradesBinance[[#This Row],[Preço]])),T170)-IF(TbTradesBinance[[#This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Row],[Tipo]]="DROP"),T170+TbTradesBinance[[#This Row],[Qtt]],T170-TbTradesBinance[[#This Row],[Qtt]]),IF(TbTradesBinance[[#This Row],[Tipo]]="BUY",T170-TbTradesBinance[[#This Row],[Qtt]]*TbTradesBinance[[#This Row],[Preço]],T170+TbTradesBinance[[#This Row],[Qtt]]*TbTradesBinance[[#This Row],[Preço]])),T170)-IF(TbTradesBinance[[#This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Row],[Tipo]]="DROP"),T170+TbTradesBinance[[#This Row],[Qtt]],T170-TbTradesBinance[[#This Row],[Qtt]]),IF(TbTradesBinance[[#This Row],[Tipo]]="BUY",T170-TbTradesBinance[[#This Row],[Qtt]]*TbTradesBinance[[#This Row],[Preço]],T170+TbTradesBinance[[#This Row],[Qtt]]*TbTradesBinance[[#This Row],[Preço]])),T170)-IF(TbTradesBinance[[#This Row],[Moeda da Taxa]]=MID(T$1,9,5),TbTradesBinance[[#This Row],[Taxa]],0),8)))</f>
        <v>219713.72000189999</v>
      </c>
      <c r="U171" s="145" cm="1">
        <f t="array" ref="U171">IF(TbTradesBinance[[#This Row],[Tipo]]="EMPTY",0,U170+IF(TbTradesBinance[[#This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Row],[Par]]))),$1:$1,0)),-(T170-T171)/T170*U170),0),0)+IF(TbTradesBinance[[#This Row],[Tipo]]="SELL",IF(ISNUMBER(FIND(MID(U$1,10,5),TbTradesBinance[[#This Row],[Par]])),IF(FIND(MID(U$1,10,5),TbTradesBinance[[#This Row],[Par]])=1, -(T170-T171)/T170*U170,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Row],[Par]])),(-(T170-T171)/T170*U170)+IF(TbTradesBinance[[#This Row],[Resultado]]&gt;0,0,TbTradesBinance[[#This Row],[Taxa]]),0),0))</f>
        <v>1461096.2409827893</v>
      </c>
      <c r="V171" s="145">
        <f t="shared" si="41"/>
        <v>6.6500000135182926</v>
      </c>
      <c r="W17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Row],[Tipo]]="DROP"),W170+TbTradesBinance[[#This Row],[Qtt]],W170-TbTradesBinance[[#This Row],[Qtt]]),IF(TbTradesBinance[[#This Row],[Tipo]]="BUY",W170-TbTradesBinance[[#This Row],[Qtt]]*TbTradesBinance[[#This Row],[Preço]],W170+TbTradesBinance[[#This Row],[Qtt]]*TbTradesBinance[[#This Row],[Preço]])),W170)-IF(TbTradesBinance[[#This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Row],[Tipo]]="DROP"),W170+TbTradesBinance[[#This Row],[Qtt]],W170-TbTradesBinance[[#This Row],[Qtt]]),IF(TbTradesBinance[[#This Row],[Tipo]]="BUY",W170-TbTradesBinance[[#This Row],[Qtt]]*TbTradesBinance[[#This Row],[Preço]],W170+TbTradesBinance[[#This Row],[Qtt]]*TbTradesBinance[[#This Row],[Preço]])),W170)-IF(TbTradesBinance[[#This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Row],[Tipo]]="DROP"),W170+TbTradesBinance[[#This Row],[Qtt]],W170-TbTradesBinance[[#This Row],[Qtt]]),IF(TbTradesBinance[[#This Row],[Tipo]]="BUY",W170-TbTradesBinance[[#This Row],[Qtt]]*TbTradesBinance[[#This Row],[Preço]],W170+TbTradesBinance[[#This Row],[Qtt]]*TbTradesBinance[[#This Row],[Preço]])),W170)-IF(TbTradesBinance[[#This Row],[Moeda da Taxa]]=MID(W$1,9,5),TbTradesBinance[[#This Row],[Taxa]],0),8)))</f>
        <v>3.7335999999999999E-4</v>
      </c>
      <c r="X171" s="145" cm="1">
        <f t="array" ref="X171">IF(TbTradesBinance[[#This Row],[Tipo]]="EMPTY",0,X170+IF(TbTradesBinance[[#This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Row],[Par]]))),$1:$1,0)),-(W170-W171)/W170*X170),0),0)+IF(TbTradesBinance[[#This Row],[Tipo]]="SELL",IF(ISNUMBER(FIND(MID(X$1,10,5),TbTradesBinance[[#This Row],[Par]])),IF(FIND(MID(X$1,10,5),TbTradesBinance[[#This Row],[Par]])=1, -(W170-W171)/W170*X170,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Row],[Par]])),(-(W170-W171)/W170*X170)+IF(TbTradesBinance[[#This Row],[Resultado]]&gt;0,0,TbTradesBinance[[#This Row],[Taxa]]),0),0))</f>
        <v>120.94558385711964</v>
      </c>
      <c r="Y171" s="145">
        <f t="shared" si="42"/>
        <v>323938.24688536441</v>
      </c>
      <c r="Z17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Row],[Tipo]]="DROP"),Z170+TbTradesBinance[[#This Row],[Qtt]],Z170-TbTradesBinance[[#This Row],[Qtt]]),IF(TbTradesBinance[[#This Row],[Tipo]]="BUY",Z170-TbTradesBinance[[#This Row],[Qtt]]*TbTradesBinance[[#This Row],[Preço]],Z170+TbTradesBinance[[#This Row],[Qtt]]*TbTradesBinance[[#This Row],[Preço]])),Z170)-IF(TbTradesBinance[[#This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Row],[Tipo]]="DROP"),Z170+TbTradesBinance[[#This Row],[Qtt]],Z170-TbTradesBinance[[#This Row],[Qtt]]),IF(TbTradesBinance[[#This Row],[Tipo]]="BUY",Z170-TbTradesBinance[[#This Row],[Qtt]]*TbTradesBinance[[#This Row],[Preço]],Z170+TbTradesBinance[[#This Row],[Qtt]]*TbTradesBinance[[#This Row],[Preço]])),Z170)-IF(TbTradesBinance[[#This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Row],[Tipo]]="DROP"),Z170+TbTradesBinance[[#This Row],[Qtt]],Z170-TbTradesBinance[[#This Row],[Qtt]]),IF(TbTradesBinance[[#This Row],[Tipo]]="BUY",Z170-TbTradesBinance[[#This Row],[Qtt]]*TbTradesBinance[[#This Row],[Preço]],Z170+TbTradesBinance[[#This Row],[Qtt]]*TbTradesBinance[[#This Row],[Preço]])),Z170)-IF(TbTradesBinance[[#This Row],[Moeda da Taxa]]=MID(Z$1,9,5),TbTradesBinance[[#This Row],[Taxa]],0),8)))</f>
        <v>0</v>
      </c>
      <c r="AA171" s="145" cm="1">
        <f t="array" ref="AA171">IF(TbTradesBinance[[#This Row],[Tipo]]="EMPTY",0,AA170+IF(TbTradesBinance[[#This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Row],[Par]]))),$1:$1,0)),-(Z170-Z171)/Z170*AA170),0),0)+IF(TbTradesBinance[[#This Row],[Tipo]]="SELL",IF(ISNUMBER(FIND(MID(AA$1,10,5),TbTradesBinance[[#This Row],[Par]])),IF(FIND(MID(AA$1,10,5),TbTradesBinance[[#This Row],[Par]])=1, -(Z170-Z171)/Z170*AA170,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Row],[Par]])),(-(Z170-Z171)/Z170*AA170)+IF(TbTradesBinance[[#This Row],[Resultado]]&gt;0,0,TbTradesBinance[[#This Row],[Taxa]]),0),0))</f>
        <v>0</v>
      </c>
      <c r="AB171" s="145">
        <f t="shared" si="43"/>
        <v>0</v>
      </c>
      <c r="AC17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Row],[Tipo]]="DROP"),AC170+TbTradesBinance[[#This Row],[Qtt]],AC170-TbTradesBinance[[#This Row],[Qtt]]),IF(TbTradesBinance[[#This Row],[Tipo]]="BUY",AC170-TbTradesBinance[[#This Row],[Qtt]]*TbTradesBinance[[#This Row],[Preço]],AC170+TbTradesBinance[[#This Row],[Qtt]]*TbTradesBinance[[#This Row],[Preço]])),AC170)-IF(TbTradesBinance[[#This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Row],[Tipo]]="DROP"),AC170+TbTradesBinance[[#This Row],[Qtt]],AC170-TbTradesBinance[[#This Row],[Qtt]]),IF(TbTradesBinance[[#This Row],[Tipo]]="BUY",AC170-TbTradesBinance[[#This Row],[Qtt]]*TbTradesBinance[[#This Row],[Preço]],AC170+TbTradesBinance[[#This Row],[Qtt]]*TbTradesBinance[[#This Row],[Preço]])),AC170)-IF(TbTradesBinance[[#This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Row],[Tipo]]="DROP"),AC170+TbTradesBinance[[#This Row],[Qtt]],AC170-TbTradesBinance[[#This Row],[Qtt]]),IF(TbTradesBinance[[#This Row],[Tipo]]="BUY",AC170-TbTradesBinance[[#This Row],[Qtt]]*TbTradesBinance[[#This Row],[Preço]],AC170+TbTradesBinance[[#This Row],[Qtt]]*TbTradesBinance[[#This Row],[Preço]])),AC170)-IF(TbTradesBinance[[#This Row],[Moeda da Taxa]]=MID(AC$1,9,5),TbTradesBinance[[#This Row],[Taxa]],0),8)))</f>
        <v>0</v>
      </c>
      <c r="AD171" s="145" cm="1">
        <f t="array" ref="AD171">IF(TbTradesBinance[[#This Row],[Tipo]]="EMPTY",0,AD170+IF(TbTradesBinance[[#This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Row],[Par]]))),$1:$1,0)),-(AC170-AC171)/AC170*AD170),0),0)+IF(TbTradesBinance[[#This Row],[Tipo]]="SELL",IF(ISNUMBER(FIND(MID(AD$1,10,5),TbTradesBinance[[#This Row],[Par]])),IF(FIND(MID(AD$1,10,5),TbTradesBinance[[#This Row],[Par]])=1, -(AC170-AC171)/AC170*AD170,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Row],[Par]])),(-(AC170-AC171)/AC170*AD170)+IF(TbTradesBinance[[#This Row],[Resultado]]&gt;0,0,TbTradesBinance[[#This Row],[Taxa]]),0),0))</f>
        <v>0</v>
      </c>
      <c r="AE171" s="145">
        <f t="shared" si="44"/>
        <v>0</v>
      </c>
      <c r="AF17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Row],[Tipo]]="DROP"),AF170+TbTradesBinance[[#This Row],[Qtt]],AF170-TbTradesBinance[[#This Row],[Qtt]]),IF(TbTradesBinance[[#This Row],[Tipo]]="BUY",AF170-TbTradesBinance[[#This Row],[Qtt]]*TbTradesBinance[[#This Row],[Preço]],AF170+TbTradesBinance[[#This Row],[Qtt]]*TbTradesBinance[[#This Row],[Preço]])),AF170)-IF(TbTradesBinance[[#This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Row],[Tipo]]="DROP"),AF170+TbTradesBinance[[#This Row],[Qtt]],AF170-TbTradesBinance[[#This Row],[Qtt]]),IF(TbTradesBinance[[#This Row],[Tipo]]="BUY",AF170-TbTradesBinance[[#This Row],[Qtt]]*TbTradesBinance[[#This Row],[Preço]],AF170+TbTradesBinance[[#This Row],[Qtt]]*TbTradesBinance[[#This Row],[Preço]])),AF170)-IF(TbTradesBinance[[#This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Row],[Tipo]]="DROP"),AF170+TbTradesBinance[[#This Row],[Qtt]],AF170-TbTradesBinance[[#This Row],[Qtt]]),IF(TbTradesBinance[[#This Row],[Tipo]]="BUY",AF170-TbTradesBinance[[#This Row],[Qtt]]*TbTradesBinance[[#This Row],[Preço]],AF170+TbTradesBinance[[#This Row],[Qtt]]*TbTradesBinance[[#This Row],[Preço]])),AF170)-IF(TbTradesBinance[[#This Row],[Moeda da Taxa]]=MID(AF$1,9,5),TbTradesBinance[[#This Row],[Taxa]],0),8)))</f>
        <v>0</v>
      </c>
      <c r="AG171" s="145" cm="1">
        <f t="array" ref="AG171">IF(TbTradesBinance[[#This Row],[Tipo]]="EMPTY",0,AG170+IF(TbTradesBinance[[#This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Row],[Par]]))),$1:$1,0)),-(AF170-AF171)/AF170*AG170),0),0)+IF(TbTradesBinance[[#This Row],[Tipo]]="SELL",IF(ISNUMBER(FIND(MID(AG$1,10,5),TbTradesBinance[[#This Row],[Par]])),IF(FIND(MID(AG$1,10,5),TbTradesBinance[[#This Row],[Par]])=1, -(AF170-AF171)/AF170*AG170,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Row],[Par]])),(-(AF170-AF171)/AF170*AG170)+IF(TbTradesBinance[[#This Row],[Resultado]]&gt;0,0,TbTradesBinance[[#This Row],[Taxa]]),0),0))</f>
        <v>0</v>
      </c>
      <c r="AH171" s="145">
        <f t="shared" si="45"/>
        <v>0</v>
      </c>
      <c r="AI17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Row],[Tipo]]="DROP"),AI170+TbTradesBinance[[#This Row],[Qtt]],AI170-TbTradesBinance[[#This Row],[Qtt]]),IF(TbTradesBinance[[#This Row],[Tipo]]="BUY",AI170-TbTradesBinance[[#This Row],[Qtt]]*TbTradesBinance[[#This Row],[Preço]],AI170+TbTradesBinance[[#This Row],[Qtt]]*TbTradesBinance[[#This Row],[Preço]])),AI170)-IF(TbTradesBinance[[#This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Row],[Tipo]]="DROP"),AI170+TbTradesBinance[[#This Row],[Qtt]],AI170-TbTradesBinance[[#This Row],[Qtt]]),IF(TbTradesBinance[[#This Row],[Tipo]]="BUY",AI170-TbTradesBinance[[#This Row],[Qtt]]*TbTradesBinance[[#This Row],[Preço]],AI170+TbTradesBinance[[#This Row],[Qtt]]*TbTradesBinance[[#This Row],[Preço]])),AI170)-IF(TbTradesBinance[[#This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Row],[Tipo]]="DROP"),AI170+TbTradesBinance[[#This Row],[Qtt]],AI170-TbTradesBinance[[#This Row],[Qtt]]),IF(TbTradesBinance[[#This Row],[Tipo]]="BUY",AI170-TbTradesBinance[[#This Row],[Qtt]]*TbTradesBinance[[#This Row],[Preço]],AI170+TbTradesBinance[[#This Row],[Qtt]]*TbTradesBinance[[#This Row],[Preço]])),AI170)-IF(TbTradesBinance[[#This Row],[Moeda da Taxa]]=MID(AI$1,9,5),TbTradesBinance[[#This Row],[Taxa]],0),8)))</f>
        <v>0</v>
      </c>
      <c r="AJ171" s="145" cm="1">
        <f t="array" ref="AJ171">IF(TbTradesBinance[[#This Row],[Tipo]]="EMPTY",0,AJ170+IF(TbTradesBinance[[#This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Row],[Par]]))),$1:$1,0)),-(AI170-AI171)/AI170*AJ170),0),0)+IF(TbTradesBinance[[#This Row],[Tipo]]="SELL",IF(ISNUMBER(FIND(MID(AJ$1,10,5),TbTradesBinance[[#This Row],[Par]])),IF(FIND(MID(AJ$1,10,5),TbTradesBinance[[#This Row],[Par]])=1, -(AI170-AI171)/AI170*AJ170,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Row],[Par]])),(-(AI170-AI171)/AI170*AJ170)+IF(TbTradesBinance[[#This Row],[Resultado]]&gt;0,0,TbTradesBinance[[#This Row],[Taxa]]),0),0))</f>
        <v>0</v>
      </c>
      <c r="AK171" s="145">
        <f t="shared" si="46"/>
        <v>0</v>
      </c>
      <c r="AL17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Row],[Tipo]]="DROP"),AL170+TbTradesBinance[[#This Row],[Qtt]],AL170-TbTradesBinance[[#This Row],[Qtt]]),IF(TbTradesBinance[[#This Row],[Tipo]]="BUY",AL170-TbTradesBinance[[#This Row],[Qtt]]*TbTradesBinance[[#This Row],[Preço]],AL170+TbTradesBinance[[#This Row],[Qtt]]*TbTradesBinance[[#This Row],[Preço]])),AL170)-IF(TbTradesBinance[[#This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Row],[Tipo]]="DROP"),AL170+TbTradesBinance[[#This Row],[Qtt]],AL170-TbTradesBinance[[#This Row],[Qtt]]),IF(TbTradesBinance[[#This Row],[Tipo]]="BUY",AL170-TbTradesBinance[[#This Row],[Qtt]]*TbTradesBinance[[#This Row],[Preço]],AL170+TbTradesBinance[[#This Row],[Qtt]]*TbTradesBinance[[#This Row],[Preço]])),AL170)-IF(TbTradesBinance[[#This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Row],[Tipo]]="DROP"),AL170+TbTradesBinance[[#This Row],[Qtt]],AL170-TbTradesBinance[[#This Row],[Qtt]]),IF(TbTradesBinance[[#This Row],[Tipo]]="BUY",AL170-TbTradesBinance[[#This Row],[Qtt]]*TbTradesBinance[[#This Row],[Preço]],AL170+TbTradesBinance[[#This Row],[Qtt]]*TbTradesBinance[[#This Row],[Preço]])),AL170)-IF(TbTradesBinance[[#This Row],[Moeda da Taxa]]=MID(AL$1,9,5),TbTradesBinance[[#This Row],[Taxa]],0),8)))</f>
        <v>0</v>
      </c>
      <c r="AM171" s="145" cm="1">
        <f t="array" ref="AM171">IF(TbTradesBinance[[#This Row],[Tipo]]="EMPTY",0,AM170+IF(TbTradesBinance[[#This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Row],[Par]]))),$1:$1,0)),-(AL170-AL171)/AL170*AM170),0),0)+IF(TbTradesBinance[[#This Row],[Tipo]]="SELL",IF(ISNUMBER(FIND(MID(AM$1,10,5),TbTradesBinance[[#This Row],[Par]])),IF(FIND(MID(AM$1,10,5),TbTradesBinance[[#This Row],[Par]])=1, -(AL170-AL171)/AL170*AM170,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Row],[Par]])),(-(AL170-AL171)/AL170*AM170)+IF(TbTradesBinance[[#This Row],[Resultado]]&gt;0,0,TbTradesBinance[[#This Row],[Taxa]]),0),0))</f>
        <v>0</v>
      </c>
      <c r="AN171" s="145">
        <f t="shared" si="47"/>
        <v>0</v>
      </c>
      <c r="AO17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Row],[Tipo]]="DROP"),AO170+TbTradesBinance[[#This Row],[Qtt]],AO170-TbTradesBinance[[#This Row],[Qtt]]),IF(TbTradesBinance[[#This Row],[Tipo]]="BUY",AO170-TbTradesBinance[[#This Row],[Qtt]]*TbTradesBinance[[#This Row],[Preço]],AO170+TbTradesBinance[[#This Row],[Qtt]]*TbTradesBinance[[#This Row],[Preço]])),AO170)-IF(TbTradesBinance[[#This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Row],[Tipo]]="DROP"),AO170+TbTradesBinance[[#This Row],[Qtt]],AO170-TbTradesBinance[[#This Row],[Qtt]]),IF(TbTradesBinance[[#This Row],[Tipo]]="BUY",AO170-TbTradesBinance[[#This Row],[Qtt]]*TbTradesBinance[[#This Row],[Preço]],AO170+TbTradesBinance[[#This Row],[Qtt]]*TbTradesBinance[[#This Row],[Preço]])),AO170)-IF(TbTradesBinance[[#This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Row],[Tipo]]="DROP"),AO170+TbTradesBinance[[#This Row],[Qtt]],AO170-TbTradesBinance[[#This Row],[Qtt]]),IF(TbTradesBinance[[#This Row],[Tipo]]="BUY",AO170-TbTradesBinance[[#This Row],[Qtt]]*TbTradesBinance[[#This Row],[Preço]],AO170+TbTradesBinance[[#This Row],[Qtt]]*TbTradesBinance[[#This Row],[Preço]])),AO170)-IF(TbTradesBinance[[#This Row],[Moeda da Taxa]]=MID(AO$1,9,5),TbTradesBinance[[#This Row],[Taxa]],0),8)))</f>
        <v>3.844587E-2</v>
      </c>
      <c r="AP171" s="145" cm="1">
        <f t="array" ref="AP171">IF(TbTradesBinance[[#This Row],[Tipo]]="EMPTY",0,AP170+IF(TbTradesBinance[[#This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Row],[Par]]))),$1:$1,0)),-(AO170-AO171)/AO170*AP170),0),0)+IF(TbTradesBinance[[#This Row],[Tipo]]="SELL",IF(ISNUMBER(FIND(MID(AP$1,10,5),TbTradesBinance[[#This Row],[Par]])),IF(FIND(MID(AP$1,10,5),TbTradesBinance[[#This Row],[Par]])=1, -(AO170-AO171)/AO170*AP170,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Row],[Par]])),(-(AO170-AO171)/AO170*AP170)+IF(TbTradesBinance[[#This Row],[Resultado]]&gt;0,0,TbTradesBinance[[#This Row],[Taxa]]),0),0))</f>
        <v>60.349858055862811</v>
      </c>
      <c r="AQ171" s="145">
        <f t="shared" si="48"/>
        <v>1569.7357884179187</v>
      </c>
      <c r="AR17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Row],[Tipo]]="DROP"),AR170+TbTradesBinance[[#This Row],[Qtt]],AR170-TbTradesBinance[[#This Row],[Qtt]]),IF(TbTradesBinance[[#This Row],[Tipo]]="BUY",AR170-TbTradesBinance[[#This Row],[Qtt]]*TbTradesBinance[[#This Row],[Preço]],AR170+TbTradesBinance[[#This Row],[Qtt]]*TbTradesBinance[[#This Row],[Preço]])),AR170)-IF(TbTradesBinance[[#This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Row],[Tipo]]="DROP"),AR170+TbTradesBinance[[#This Row],[Qtt]],AR170-TbTradesBinance[[#This Row],[Qtt]]),IF(TbTradesBinance[[#This Row],[Tipo]]="BUY",AR170-TbTradesBinance[[#This Row],[Qtt]]*TbTradesBinance[[#This Row],[Preço]],AR170+TbTradesBinance[[#This Row],[Qtt]]*TbTradesBinance[[#This Row],[Preço]])),AR170)-IF(TbTradesBinance[[#This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Row],[Tipo]]="DROP"),AR170+TbTradesBinance[[#This Row],[Qtt]],AR170-TbTradesBinance[[#This Row],[Qtt]]),IF(TbTradesBinance[[#This Row],[Tipo]]="BUY",AR170-TbTradesBinance[[#This Row],[Qtt]]*TbTradesBinance[[#This Row],[Preço]],AR170+TbTradesBinance[[#This Row],[Qtt]]*TbTradesBinance[[#This Row],[Preço]])),AR170)-IF(TbTradesBinance[[#This Row],[Moeda da Taxa]]=MID(AR$1,9,5),TbTradesBinance[[#This Row],[Taxa]],0),8)))</f>
        <v>0</v>
      </c>
      <c r="AS171" s="145" cm="1">
        <f t="array" ref="AS171">IF(TbTradesBinance[[#This Row],[Tipo]]="EMPTY",0,AS170+IF(TbTradesBinance[[#This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Row],[Par]]))),$1:$1,0)),-(AR170-AR171)/AR170*AS170),0),0)+IF(TbTradesBinance[[#This Row],[Tipo]]="SELL",IF(ISNUMBER(FIND(MID(AS$1,10,5),TbTradesBinance[[#This Row],[Par]])),IF(FIND(MID(AS$1,10,5),TbTradesBinance[[#This Row],[Par]])=1, -(AR170-AR171)/AR170*AS170,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Row],[Par]])),(-(AR170-AR171)/AR170*AS170)+IF(TbTradesBinance[[#This Row],[Resultado]]&gt;0,0,TbTradesBinance[[#This Row],[Taxa]]),0),0))</f>
        <v>0</v>
      </c>
      <c r="AT171" s="145">
        <f t="shared" si="49"/>
        <v>0</v>
      </c>
      <c r="AU17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Row],[Tipo]]="DROP"),AU170+TbTradesBinance[[#This Row],[Qtt]],AU170-TbTradesBinance[[#This Row],[Qtt]]),IF(TbTradesBinance[[#This Row],[Tipo]]="BUY",AU170-TbTradesBinance[[#This Row],[Qtt]]*TbTradesBinance[[#This Row],[Preço]],AU170+TbTradesBinance[[#This Row],[Qtt]]*TbTradesBinance[[#This Row],[Preço]])),AU170)-IF(TbTradesBinance[[#This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Row],[Tipo]]="DROP"),AU170+TbTradesBinance[[#This Row],[Qtt]],AU170-TbTradesBinance[[#This Row],[Qtt]]),IF(TbTradesBinance[[#This Row],[Tipo]]="BUY",AU170-TbTradesBinance[[#This Row],[Qtt]]*TbTradesBinance[[#This Row],[Preço]],AU170+TbTradesBinance[[#This Row],[Qtt]]*TbTradesBinance[[#This Row],[Preço]])),AU170)-IF(TbTradesBinance[[#This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Row],[Tipo]]="DROP"),AU170+TbTradesBinance[[#This Row],[Qtt]],AU170-TbTradesBinance[[#This Row],[Qtt]]),IF(TbTradesBinance[[#This Row],[Tipo]]="BUY",AU170-TbTradesBinance[[#This Row],[Qtt]]*TbTradesBinance[[#This Row],[Preço]],AU170+TbTradesBinance[[#This Row],[Qtt]]*TbTradesBinance[[#This Row],[Preço]])),AU170)-IF(TbTradesBinance[[#This Row],[Moeda da Taxa]]=MID(AU$1,9,5),TbTradesBinance[[#This Row],[Taxa]],0),8)))</f>
        <v>0.51</v>
      </c>
      <c r="AV171" s="145" cm="1">
        <f t="array" ref="AV171">IF(TbTradesBinance[[#This Row],[Tipo]]="EMPTY",0,AV170+IF(TbTradesBinance[[#This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Row],[Par]]))),$1:$1,0)),-(AU170-AU171)/AU170*AV170),0),0)+IF(TbTradesBinance[[#This Row],[Tipo]]="SELL",IF(ISNUMBER(FIND(MID(AV$1,10,5),TbTradesBinance[[#This Row],[Par]])),IF(FIND(MID(AV$1,10,5),TbTradesBinance[[#This Row],[Par]])=1, -(AU170-AU171)/AU170*AV170,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Row],[Par]])),(-(AU170-AU171)/AU170*AV170)+IF(TbTradesBinance[[#This Row],[Resultado]]&gt;0,0,TbTradesBinance[[#This Row],[Taxa]]),0),0))</f>
        <v>95.466693037374753</v>
      </c>
      <c r="AW171" s="145">
        <f t="shared" si="50"/>
        <v>187.18959419093088</v>
      </c>
      <c r="AX17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Row],[Tipo]]="DROP"),AX170+TbTradesBinance[[#This Row],[Qtt]],AX170-TbTradesBinance[[#This Row],[Qtt]]),IF(TbTradesBinance[[#This Row],[Tipo]]="BUY",AX170-TbTradesBinance[[#This Row],[Qtt]]*TbTradesBinance[[#This Row],[Preço]],AX170+TbTradesBinance[[#This Row],[Qtt]]*TbTradesBinance[[#This Row],[Preço]])),AX170)-IF(TbTradesBinance[[#This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Row],[Tipo]]="DROP"),AX170+TbTradesBinance[[#This Row],[Qtt]],AX170-TbTradesBinance[[#This Row],[Qtt]]),IF(TbTradesBinance[[#This Row],[Tipo]]="BUY",AX170-TbTradesBinance[[#This Row],[Qtt]]*TbTradesBinance[[#This Row],[Preço]],AX170+TbTradesBinance[[#This Row],[Qtt]]*TbTradesBinance[[#This Row],[Preço]])),AX170)-IF(TbTradesBinance[[#This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Row],[Tipo]]="DROP"),AX170+TbTradesBinance[[#This Row],[Qtt]],AX170-TbTradesBinance[[#This Row],[Qtt]]),IF(TbTradesBinance[[#This Row],[Tipo]]="BUY",AX170-TbTradesBinance[[#This Row],[Qtt]]*TbTradesBinance[[#This Row],[Preço]],AX170+TbTradesBinance[[#This Row],[Qtt]]*TbTradesBinance[[#This Row],[Preço]])),AX170)-IF(TbTradesBinance[[#This Row],[Moeda da Taxa]]=MID(AX$1,9,5),TbTradesBinance[[#This Row],[Taxa]],0),8)))</f>
        <v>0.32838000000000001</v>
      </c>
      <c r="AY171" s="145" cm="1">
        <f t="array" ref="AY171">IF(TbTradesBinance[[#This Row],[Tipo]]="EMPTY",0,AY170+IF(TbTradesBinance[[#This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Row],[Par]]))),$1:$1,0)),-(AX170-AX171)/AX170*AY170),0),0)+IF(TbTradesBinance[[#This Row],[Tipo]]="SELL",IF(ISNUMBER(FIND(MID(AY$1,10,5),TbTradesBinance[[#This Row],[Par]])),IF(FIND(MID(AY$1,10,5),TbTradesBinance[[#This Row],[Par]])=1, -(AX170-AX171)/AX170*AY170,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Row],[Par]])),(-(AX170-AX171)/AX170*AY170)+IF(TbTradesBinance[[#This Row],[Resultado]]&gt;0,0,TbTradesBinance[[#This Row],[Taxa]]),0),0))</f>
        <v>61.364116058805678</v>
      </c>
      <c r="AZ171" s="145">
        <f t="shared" si="51"/>
        <v>186.869224857804</v>
      </c>
      <c r="BA17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Row],[Tipo]]="DROP"),BA170+TbTradesBinance[[#This Row],[Qtt]],BA170-TbTradesBinance[[#This Row],[Qtt]]),IF(TbTradesBinance[[#This Row],[Tipo]]="BUY",BA170-TbTradesBinance[[#This Row],[Qtt]]*TbTradesBinance[[#This Row],[Preço]],BA170+TbTradesBinance[[#This Row],[Qtt]]*TbTradesBinance[[#This Row],[Preço]])),BA170)-IF(TbTradesBinance[[#This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Row],[Tipo]]="DROP"),BA170+TbTradesBinance[[#This Row],[Qtt]],BA170-TbTradesBinance[[#This Row],[Qtt]]),IF(TbTradesBinance[[#This Row],[Tipo]]="BUY",BA170-TbTradesBinance[[#This Row],[Qtt]]*TbTradesBinance[[#This Row],[Preço]],BA170+TbTradesBinance[[#This Row],[Qtt]]*TbTradesBinance[[#This Row],[Preço]])),BA170)-IF(TbTradesBinance[[#This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Row],[Tipo]]="DROP"),BA170+TbTradesBinance[[#This Row],[Qtt]],BA170-TbTradesBinance[[#This Row],[Qtt]]),IF(TbTradesBinance[[#This Row],[Tipo]]="BUY",BA170-TbTradesBinance[[#This Row],[Qtt]]*TbTradesBinance[[#This Row],[Preço]],BA170+TbTradesBinance[[#This Row],[Qtt]]*TbTradesBinance[[#This Row],[Preço]])),BA170)-IF(TbTradesBinance[[#This Row],[Moeda da Taxa]]=MID(BA$1,9,5),TbTradesBinance[[#This Row],[Taxa]],0),8)))</f>
        <v>0</v>
      </c>
      <c r="BB171" s="145" cm="1">
        <f t="array" ref="BB171">IF(TbTradesBinance[[#This Row],[Tipo]]="EMPTY",0,BB170+IF(TbTradesBinance[[#This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Row],[Par]]))),$1:$1,0)),-(BA170-BA171)/BA170*BB170),0),0)+IF(TbTradesBinance[[#This Row],[Tipo]]="SELL",IF(ISNUMBER(FIND(MID(BB$1,10,5),TbTradesBinance[[#This Row],[Par]])),IF(FIND(MID(BB$1,10,5),TbTradesBinance[[#This Row],[Par]])=1, -(BA170-BA171)/BA170*BB170,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Row],[Par]])),(-(BA170-BA171)/BA170*BB170)+IF(TbTradesBinance[[#This Row],[Resultado]]&gt;0,0,TbTradesBinance[[#This Row],[Taxa]]),0),0))</f>
        <v>0</v>
      </c>
      <c r="BC171" s="145">
        <f t="shared" si="52"/>
        <v>0</v>
      </c>
      <c r="BD17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Row],[Tipo]]="DROP"),BD170+TbTradesBinance[[#This Row],[Qtt]],BD170-TbTradesBinance[[#This Row],[Qtt]]),IF(TbTradesBinance[[#This Row],[Tipo]]="BUY",BD170-TbTradesBinance[[#This Row],[Qtt]]*TbTradesBinance[[#This Row],[Preço]],BD170+TbTradesBinance[[#This Row],[Qtt]]*TbTradesBinance[[#This Row],[Preço]])),BD170)-IF(TbTradesBinance[[#This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Row],[Tipo]]="DROP"),BD170+TbTradesBinance[[#This Row],[Qtt]],BD170-TbTradesBinance[[#This Row],[Qtt]]),IF(TbTradesBinance[[#This Row],[Tipo]]="BUY",BD170-TbTradesBinance[[#This Row],[Qtt]]*TbTradesBinance[[#This Row],[Preço]],BD170+TbTradesBinance[[#This Row],[Qtt]]*TbTradesBinance[[#This Row],[Preço]])),BD170)-IF(TbTradesBinance[[#This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Row],[Tipo]]="DROP"),BD170+TbTradesBinance[[#This Row],[Qtt]],BD170-TbTradesBinance[[#This Row],[Qtt]]),IF(TbTradesBinance[[#This Row],[Tipo]]="BUY",BD170-TbTradesBinance[[#This Row],[Qtt]]*TbTradesBinance[[#This Row],[Preço]],BD170+TbTradesBinance[[#This Row],[Qtt]]*TbTradesBinance[[#This Row],[Preço]])),BD170)-IF(TbTradesBinance[[#This Row],[Moeda da Taxa]]=MID(BD$1,9,5),TbTradesBinance[[#This Row],[Taxa]],0),8)))</f>
        <v>0</v>
      </c>
      <c r="BE171" s="145" cm="1">
        <f t="array" ref="BE171">IF(TbTradesBinance[[#This Row],[Tipo]]="EMPTY",0,BE170+IF(TbTradesBinance[[#This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Row],[Par]]))),$1:$1,0)),-(BD170-BD171)/BD170*BE170),0),0)+IF(TbTradesBinance[[#This Row],[Tipo]]="SELL",IF(ISNUMBER(FIND(MID(BE$1,10,5),TbTradesBinance[[#This Row],[Par]])),IF(FIND(MID(BE$1,10,5),TbTradesBinance[[#This Row],[Par]])=1, -(BD170-BD171)/BD170*BE170,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Row],[Par]])),(-(BD170-BD171)/BD170*BE170)+IF(TbTradesBinance[[#This Row],[Resultado]]&gt;0,0,TbTradesBinance[[#This Row],[Taxa]]),0),0))</f>
        <v>0</v>
      </c>
      <c r="BF171" s="145">
        <f t="shared" si="53"/>
        <v>0</v>
      </c>
      <c r="BG17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Row],[Tipo]]="DROP"),BG170+TbTradesBinance[[#This Row],[Qtt]],BG170-TbTradesBinance[[#This Row],[Qtt]]),IF(TbTradesBinance[[#This Row],[Tipo]]="BUY",BG170-TbTradesBinance[[#This Row],[Qtt]]*TbTradesBinance[[#This Row],[Preço]],BG170+TbTradesBinance[[#This Row],[Qtt]]*TbTradesBinance[[#This Row],[Preço]])),BG170)-IF(TbTradesBinance[[#This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Row],[Tipo]]="DROP"),BG170+TbTradesBinance[[#This Row],[Qtt]],BG170-TbTradesBinance[[#This Row],[Qtt]]),IF(TbTradesBinance[[#This Row],[Tipo]]="BUY",BG170-TbTradesBinance[[#This Row],[Qtt]]*TbTradesBinance[[#This Row],[Preço]],BG170+TbTradesBinance[[#This Row],[Qtt]]*TbTradesBinance[[#This Row],[Preço]])),BG170)-IF(TbTradesBinance[[#This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Row],[Tipo]]="DROP"),BG170+TbTradesBinance[[#This Row],[Qtt]],BG170-TbTradesBinance[[#This Row],[Qtt]]),IF(TbTradesBinance[[#This Row],[Tipo]]="BUY",BG170-TbTradesBinance[[#This Row],[Qtt]]*TbTradesBinance[[#This Row],[Preço]],BG170+TbTradesBinance[[#This Row],[Qtt]]*TbTradesBinance[[#This Row],[Preço]])),BG170)-IF(TbTradesBinance[[#This Row],[Moeda da Taxa]]=MID(BG$1,9,5),TbTradesBinance[[#This Row],[Taxa]],0),8)))</f>
        <v>0</v>
      </c>
      <c r="BH171" s="145" cm="1">
        <f t="array" ref="BH171">IF(TbTradesBinance[[#This Row],[Tipo]]="EMPTY",0,BH170+IF(TbTradesBinance[[#This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Row],[Par]]))),$1:$1,0)),-(BG170-BG171)/BG170*BH170),0),0)+IF(TbTradesBinance[[#This Row],[Tipo]]="SELL",IF(ISNUMBER(FIND(MID(BH$1,10,5),TbTradesBinance[[#This Row],[Par]])),IF(FIND(MID(BH$1,10,5),TbTradesBinance[[#This Row],[Par]])=1, -(BG170-BG171)/BG170*BH170,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Row],[Par]])),(-(BG170-BG171)/BG170*BH170)+IF(TbTradesBinance[[#This Row],[Resultado]]&gt;0,0,TbTradesBinance[[#This Row],[Taxa]]),0),0))</f>
        <v>0</v>
      </c>
      <c r="BI171" s="145">
        <f t="shared" si="54"/>
        <v>0</v>
      </c>
      <c r="BJ17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Row],[Tipo]]="DROP"),BJ170+TbTradesBinance[[#This Row],[Qtt]],BJ170-TbTradesBinance[[#This Row],[Qtt]]),IF(TbTradesBinance[[#This Row],[Tipo]]="BUY",BJ170-TbTradesBinance[[#This Row],[Qtt]]*TbTradesBinance[[#This Row],[Preço]],BJ170+TbTradesBinance[[#This Row],[Qtt]]*TbTradesBinance[[#This Row],[Preço]])),BJ170)-IF(TbTradesBinance[[#This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Row],[Tipo]]="DROP"),BJ170+TbTradesBinance[[#This Row],[Qtt]],BJ170-TbTradesBinance[[#This Row],[Qtt]]),IF(TbTradesBinance[[#This Row],[Tipo]]="BUY",BJ170-TbTradesBinance[[#This Row],[Qtt]]*TbTradesBinance[[#This Row],[Preço]],BJ170+TbTradesBinance[[#This Row],[Qtt]]*TbTradesBinance[[#This Row],[Preço]])),BJ170)-IF(TbTradesBinance[[#This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Row],[Tipo]]="DROP"),BJ170+TbTradesBinance[[#This Row],[Qtt]],BJ170-TbTradesBinance[[#This Row],[Qtt]]),IF(TbTradesBinance[[#This Row],[Tipo]]="BUY",BJ170-TbTradesBinance[[#This Row],[Qtt]]*TbTradesBinance[[#This Row],[Preço]],BJ170+TbTradesBinance[[#This Row],[Qtt]]*TbTradesBinance[[#This Row],[Preço]])),BJ170)-IF(TbTradesBinance[[#This Row],[Moeda da Taxa]]=MID(BJ$1,9,5),TbTradesBinance[[#This Row],[Taxa]],0),8)))</f>
        <v>0</v>
      </c>
      <c r="BK171" s="145" cm="1">
        <f t="array" ref="BK171">IF(TbTradesBinance[[#This Row],[Tipo]]="EMPTY",0,BK170+IF(TbTradesBinance[[#This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Row],[Par]]))),$1:$1,0)),-(BJ170-BJ171)/BJ170*BK170),0),0)+IF(TbTradesBinance[[#This Row],[Tipo]]="SELL",IF(ISNUMBER(FIND(MID(BK$1,10,5),TbTradesBinance[[#This Row],[Par]])),IF(FIND(MID(BK$1,10,5),TbTradesBinance[[#This Row],[Par]])=1, -(BJ170-BJ171)/BJ170*BK170,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Row],[Par]])),(-(BJ170-BJ171)/BJ170*BK170)+IF(TbTradesBinance[[#This Row],[Resultado]]&gt;0,0,TbTradesBinance[[#This Row],[Taxa]]),0),0))</f>
        <v>0</v>
      </c>
      <c r="BL171" s="145">
        <f t="shared" si="55"/>
        <v>0</v>
      </c>
      <c r="BM17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Row],[Tipo]]="DROP"),BM170+TbTradesBinance[[#This Row],[Qtt]],BM170-TbTradesBinance[[#This Row],[Qtt]]),IF(TbTradesBinance[[#This Row],[Tipo]]="BUY",BM170-TbTradesBinance[[#This Row],[Qtt]]*TbTradesBinance[[#This Row],[Preço]],BM170+TbTradesBinance[[#This Row],[Qtt]]*TbTradesBinance[[#This Row],[Preço]])),BM170)-IF(TbTradesBinance[[#This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Row],[Tipo]]="DROP"),BM170+TbTradesBinance[[#This Row],[Qtt]],BM170-TbTradesBinance[[#This Row],[Qtt]]),IF(TbTradesBinance[[#This Row],[Tipo]]="BUY",BM170-TbTradesBinance[[#This Row],[Qtt]]*TbTradesBinance[[#This Row],[Preço]],BM170+TbTradesBinance[[#This Row],[Qtt]]*TbTradesBinance[[#This Row],[Preço]])),BM170)-IF(TbTradesBinance[[#This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Row],[Tipo]]="DROP"),BM170+TbTradesBinance[[#This Row],[Qtt]],BM170-TbTradesBinance[[#This Row],[Qtt]]),IF(TbTradesBinance[[#This Row],[Tipo]]="BUY",BM170-TbTradesBinance[[#This Row],[Qtt]]*TbTradesBinance[[#This Row],[Preço]],BM170+TbTradesBinance[[#This Row],[Qtt]]*TbTradesBinance[[#This Row],[Preço]])),BM170)-IF(TbTradesBinance[[#This Row],[Moeda da Taxa]]=MID(BM$1,9,5),TbTradesBinance[[#This Row],[Taxa]],0),8)))</f>
        <v>0</v>
      </c>
      <c r="BN171" s="145" cm="1">
        <f t="array" ref="BN171">IF(TbTradesBinance[[#This Row],[Tipo]]="EMPTY",0,BN170+IF(TbTradesBinance[[#This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Row],[Par]]))),$1:$1,0)),-(BM170-BM171)/BM170*BN170),0),0)+IF(TbTradesBinance[[#This Row],[Tipo]]="SELL",IF(ISNUMBER(FIND(MID(BN$1,10,5),TbTradesBinance[[#This Row],[Par]])),IF(FIND(MID(BN$1,10,5),TbTradesBinance[[#This Row],[Par]])=1, -(BM170-BM171)/BM170*BN170,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Row],[Par]])),(-(BM170-BM171)/BM170*BN170)+IF(TbTradesBinance[[#This Row],[Resultado]]&gt;0,0,TbTradesBinance[[#This Row],[Taxa]]),0),0))</f>
        <v>0</v>
      </c>
      <c r="BO171" s="145">
        <f t="shared" si="56"/>
        <v>0</v>
      </c>
    </row>
    <row r="172" spans="2:67" x14ac:dyDescent="0.3">
      <c r="B172" s="51"/>
      <c r="C172" s="40">
        <f>TRUNC(IF(AND(TbTradesBinance[[#This Row],[Tipo]]="SEND",TbTradesBinance[[#This Row],[Par]]="BRL"),TbTradesBinance[[#This Row],[Qtt]]*(1-P170)-IF(TbTradesBinance[[#This Row],[Moeda da Taxa]]="BRL",TbTradesBinance[[#This Row],[Taxa]],0),0)+IF(AND(TbTradesBinance[[#This Row],[Tipo]]="BURN",TbTradesBinance[[#This Row],[Par]]="BRL"),-TbTradesBinance[[#This Row],[Qtt]]*P170,0),2)</f>
        <v>0</v>
      </c>
      <c r="D172" s="53">
        <v>44328.91097222222</v>
      </c>
      <c r="E172" s="37" t="s">
        <v>138</v>
      </c>
      <c r="F172" s="47" t="s">
        <v>140</v>
      </c>
      <c r="G172" s="38">
        <v>269624</v>
      </c>
      <c r="H172" s="38">
        <v>3.6900000000000002E-4</v>
      </c>
      <c r="I172" s="38">
        <v>2.2819999999999998E-5</v>
      </c>
      <c r="J172" s="37" t="s">
        <v>45</v>
      </c>
      <c r="K172" s="52">
        <v>1</v>
      </c>
      <c r="L172" s="40">
        <f t="shared" si="38"/>
        <v>269624</v>
      </c>
      <c r="M172" s="40">
        <f>IF(OR(TbTradesBinance[[#This Row],[Tipo]]="BUY",TbTradesBinance[[#This Row],[Tipo]]="RECEIVE",TbTradesBinance[[#This Row],[Tipo]]="DROP"),L172*H172,-L172*H172)</f>
        <v>-99.491256000000007</v>
      </c>
      <c r="N17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Row],[Tipo]]="DROP"),N171+TbTradesBinance[[#This Row],[Qtt]],N171-TbTradesBinance[[#This Row],[Qtt]]),IF(TbTradesBinance[[#This Row],[Tipo]]="BUY",N171-TbTradesBinance[[#This Row],[Qtt]]*TbTradesBinance[[#This Row],[Preço]],N171+TbTradesBinance[[#This Row],[Qtt]]*TbTradesBinance[[#This Row],[Preço]])),N171)-IF(TbTradesBinance[[#This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Row],[Tipo]]="DROP"),N171+TbTradesBinance[[#This Row],[Qtt]],N171-TbTradesBinance[[#This Row],[Qtt]]),IF(TbTradesBinance[[#This Row],[Tipo]]="BUY",N171-TbTradesBinance[[#This Row],[Qtt]]*TbTradesBinance[[#This Row],[Preço]],N171+TbTradesBinance[[#This Row],[Qtt]]*TbTradesBinance[[#This Row],[Preço]])),N171)-IF(TbTradesBinance[[#This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Row],[Tipo]]="DROP"),N171+TbTradesBinance[[#This Row],[Qtt]],N171-TbTradesBinance[[#This Row],[Qtt]]),IF(TbTradesBinance[[#This Row],[Tipo]]="BUY",N171-TbTradesBinance[[#This Row],[Qtt]]*TbTradesBinance[[#This Row],[Preço]],N171+TbTradesBinance[[#This Row],[Qtt]]*TbTradesBinance[[#This Row],[Preço]])),N171)-IF(TbTradesBinance[[#This Row],[Moeda da Taxa]]=MID(N$1,9,5),TbTradesBinance[[#This Row],[Taxa]],0),8)))</f>
        <v>119907.11002599</v>
      </c>
      <c r="O172" s="145" cm="1">
        <f t="array" ref="O172">IF(TbTradesBinance[[#This Row],[Tipo]]="EMPTY",0,O171+IF(TbTradesBinance[[#This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Row],[Par]]))),$1:$1,0)),-(N171-N172)/N171*O171),0),0)+IF(TbTradesBinance[[#This Row],[Tipo]]="SELL",IF(ISNUMBER(FIND(MID(O$1,10,5),TbTradesBinance[[#This Row],[Par]])),IF(FIND(MID(O$1,10,5),TbTradesBinance[[#This Row],[Par]])=1, -(N171-N172)/N171*O171,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Row],[Par]])),(-(N171-N172)/N171*O171)+IF(TbTradesBinance[[#This Row],[Resultado]]&gt;0,0,TbTradesBinance[[#This Row],[Taxa]]),0),0))</f>
        <v>120005.80479464246</v>
      </c>
      <c r="P172" s="145">
        <f t="shared" si="39"/>
        <v>1.0008230935482565</v>
      </c>
      <c r="Q17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Row],[Tipo]]="DROP"),Q171+TbTradesBinance[[#This Row],[Qtt]],Q171-TbTradesBinance[[#This Row],[Qtt]]),IF(TbTradesBinance[[#This Row],[Tipo]]="BUY",Q171-TbTradesBinance[[#This Row],[Qtt]]*TbTradesBinance[[#This Row],[Preço]],Q171+TbTradesBinance[[#This Row],[Qtt]]*TbTradesBinance[[#This Row],[Preço]])),Q171)-IF(TbTradesBinance[[#This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Row],[Tipo]]="DROP"),Q171+TbTradesBinance[[#This Row],[Qtt]],Q171-TbTradesBinance[[#This Row],[Qtt]]),IF(TbTradesBinance[[#This Row],[Tipo]]="BUY",Q171-TbTradesBinance[[#This Row],[Qtt]]*TbTradesBinance[[#This Row],[Preço]],Q171+TbTradesBinance[[#This Row],[Qtt]]*TbTradesBinance[[#This Row],[Preço]])),Q171)-IF(TbTradesBinance[[#This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Row],[Tipo]]="DROP"),Q171+TbTradesBinance[[#This Row],[Qtt]],Q171-TbTradesBinance[[#This Row],[Qtt]]),IF(TbTradesBinance[[#This Row],[Tipo]]="BUY",Q171-TbTradesBinance[[#This Row],[Qtt]]*TbTradesBinance[[#This Row],[Preço]],Q171+TbTradesBinance[[#This Row],[Qtt]]*TbTradesBinance[[#This Row],[Preço]])),Q171)-IF(TbTradesBinance[[#This Row],[Moeda da Taxa]]=MID(Q$1,9,5),TbTradesBinance[[#This Row],[Taxa]],0),8)))</f>
        <v>10.648341</v>
      </c>
      <c r="R172" s="145" cm="1">
        <f t="array" ref="R172">IF(TbTradesBinance[[#This Row],[Tipo]]="EMPTY",0,R171+IF(TbTradesBinance[[#This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Row],[Par]]))),$1:$1,0)),-(Q171-Q172)/Q171*R171),0),0)+IF(TbTradesBinance[[#This Row],[Tipo]]="SELL",IF(ISNUMBER(FIND(MID(R$1,10,5),TbTradesBinance[[#This Row],[Par]])),IF(FIND(MID(R$1,10,5),TbTradesBinance[[#This Row],[Par]])=1, -(Q171-Q172)/Q171*R171,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Row],[Par]])),(-(Q171-Q172)/Q171*R171)+IF(TbTradesBinance[[#This Row],[Resultado]]&gt;0,0,TbTradesBinance[[#This Row],[Taxa]]),0),0))</f>
        <v>39.055667995281027</v>
      </c>
      <c r="S172" s="145">
        <f t="shared" si="40"/>
        <v>3.6677702184106451</v>
      </c>
      <c r="T17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Row],[Tipo]]="DROP"),T171+TbTradesBinance[[#This Row],[Qtt]],T171-TbTradesBinance[[#This Row],[Qtt]]),IF(TbTradesBinance[[#This Row],[Tipo]]="BUY",T171-TbTradesBinance[[#This Row],[Qtt]]*TbTradesBinance[[#This Row],[Preço]],T171+TbTradesBinance[[#This Row],[Qtt]]*TbTradesBinance[[#This Row],[Preço]])),T171)-IF(TbTradesBinance[[#This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Row],[Tipo]]="DROP"),T171+TbTradesBinance[[#This Row],[Qtt]],T171-TbTradesBinance[[#This Row],[Qtt]]),IF(TbTradesBinance[[#This Row],[Tipo]]="BUY",T171-TbTradesBinance[[#This Row],[Qtt]]*TbTradesBinance[[#This Row],[Preço]],T171+TbTradesBinance[[#This Row],[Qtt]]*TbTradesBinance[[#This Row],[Preço]])),T171)-IF(TbTradesBinance[[#This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Row],[Tipo]]="DROP"),T171+TbTradesBinance[[#This Row],[Qtt]],T171-TbTradesBinance[[#This Row],[Qtt]]),IF(TbTradesBinance[[#This Row],[Tipo]]="BUY",T171-TbTradesBinance[[#This Row],[Qtt]]*TbTradesBinance[[#This Row],[Preço]],T171+TbTradesBinance[[#This Row],[Qtt]]*TbTradesBinance[[#This Row],[Preço]])),T171)-IF(TbTradesBinance[[#This Row],[Moeda da Taxa]]=MID(T$1,9,5),TbTradesBinance[[#This Row],[Taxa]],0),8)))</f>
        <v>219713.72000189999</v>
      </c>
      <c r="U172" s="145" cm="1">
        <f t="array" ref="U172">IF(TbTradesBinance[[#This Row],[Tipo]]="EMPTY",0,U171+IF(TbTradesBinance[[#This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Row],[Par]]))),$1:$1,0)),-(T171-T172)/T171*U171),0),0)+IF(TbTradesBinance[[#This Row],[Tipo]]="SELL",IF(ISNUMBER(FIND(MID(U$1,10,5),TbTradesBinance[[#This Row],[Par]])),IF(FIND(MID(U$1,10,5),TbTradesBinance[[#This Row],[Par]])=1, -(T171-T172)/T171*U171,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Row],[Par]])),(-(T171-T172)/T171*U171)+IF(TbTradesBinance[[#This Row],[Resultado]]&gt;0,0,TbTradesBinance[[#This Row],[Taxa]]),0),0))</f>
        <v>1461096.2409827893</v>
      </c>
      <c r="V172" s="145">
        <f t="shared" si="41"/>
        <v>6.6500000135182926</v>
      </c>
      <c r="W17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Row],[Tipo]]="DROP"),W171+TbTradesBinance[[#This Row],[Qtt]],W171-TbTradesBinance[[#This Row],[Qtt]]),IF(TbTradesBinance[[#This Row],[Tipo]]="BUY",W171-TbTradesBinance[[#This Row],[Qtt]]*TbTradesBinance[[#This Row],[Preço]],W171+TbTradesBinance[[#This Row],[Qtt]]*TbTradesBinance[[#This Row],[Preço]])),W171)-IF(TbTradesBinance[[#This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Row],[Tipo]]="DROP"),W171+TbTradesBinance[[#This Row],[Qtt]],W171-TbTradesBinance[[#This Row],[Qtt]]),IF(TbTradesBinance[[#This Row],[Tipo]]="BUY",W171-TbTradesBinance[[#This Row],[Qtt]]*TbTradesBinance[[#This Row],[Preço]],W171+TbTradesBinance[[#This Row],[Qtt]]*TbTradesBinance[[#This Row],[Preço]])),W171)-IF(TbTradesBinance[[#This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Row],[Tipo]]="DROP"),W171+TbTradesBinance[[#This Row],[Qtt]],W171-TbTradesBinance[[#This Row],[Qtt]]),IF(TbTradesBinance[[#This Row],[Tipo]]="BUY",W171-TbTradesBinance[[#This Row],[Qtt]]*TbTradesBinance[[#This Row],[Preço]],W171+TbTradesBinance[[#This Row],[Qtt]]*TbTradesBinance[[#This Row],[Preço]])),W171)-IF(TbTradesBinance[[#This Row],[Moeda da Taxa]]=MID(W$1,9,5),TbTradesBinance[[#This Row],[Taxa]],0),8)))</f>
        <v>4.3499999999999999E-6</v>
      </c>
      <c r="X172" s="145" cm="1">
        <f t="array" ref="X172">IF(TbTradesBinance[[#This Row],[Tipo]]="EMPTY",0,X171+IF(TbTradesBinance[[#This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Row],[Par]]))),$1:$1,0)),-(W171-W172)/W171*X171),0),0)+IF(TbTradesBinance[[#This Row],[Tipo]]="SELL",IF(ISNUMBER(FIND(MID(X$1,10,5),TbTradesBinance[[#This Row],[Par]])),IF(FIND(MID(X$1,10,5),TbTradesBinance[[#This Row],[Par]])=1, -(W171-W172)/W171*X171,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Row],[Par]])),(-(W171-W172)/W171*X171)+IF(TbTradesBinance[[#This Row],[Resultado]]&gt;0,0,TbTradesBinance[[#This Row],[Taxa]]),0),0))</f>
        <v>1.4091313739513396</v>
      </c>
      <c r="Y172" s="145">
        <f t="shared" si="42"/>
        <v>323938.24688536546</v>
      </c>
      <c r="Z17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Row],[Tipo]]="DROP"),Z171+TbTradesBinance[[#This Row],[Qtt]],Z171-TbTradesBinance[[#This Row],[Qtt]]),IF(TbTradesBinance[[#This Row],[Tipo]]="BUY",Z171-TbTradesBinance[[#This Row],[Qtt]]*TbTradesBinance[[#This Row],[Preço]],Z171+TbTradesBinance[[#This Row],[Qtt]]*TbTradesBinance[[#This Row],[Preço]])),Z171)-IF(TbTradesBinance[[#This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Row],[Tipo]]="DROP"),Z171+TbTradesBinance[[#This Row],[Qtt]],Z171-TbTradesBinance[[#This Row],[Qtt]]),IF(TbTradesBinance[[#This Row],[Tipo]]="BUY",Z171-TbTradesBinance[[#This Row],[Qtt]]*TbTradesBinance[[#This Row],[Preço]],Z171+TbTradesBinance[[#This Row],[Qtt]]*TbTradesBinance[[#This Row],[Preço]])),Z171)-IF(TbTradesBinance[[#This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Row],[Tipo]]="DROP"),Z171+TbTradesBinance[[#This Row],[Qtt]],Z171-TbTradesBinance[[#This Row],[Qtt]]),IF(TbTradesBinance[[#This Row],[Tipo]]="BUY",Z171-TbTradesBinance[[#This Row],[Qtt]]*TbTradesBinance[[#This Row],[Preço]],Z171+TbTradesBinance[[#This Row],[Qtt]]*TbTradesBinance[[#This Row],[Preço]])),Z171)-IF(TbTradesBinance[[#This Row],[Moeda da Taxa]]=MID(Z$1,9,5),TbTradesBinance[[#This Row],[Taxa]],0),8)))</f>
        <v>0</v>
      </c>
      <c r="AA172" s="145" cm="1">
        <f t="array" ref="AA172">IF(TbTradesBinance[[#This Row],[Tipo]]="EMPTY",0,AA171+IF(TbTradesBinance[[#This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Row],[Par]]))),$1:$1,0)),-(Z171-Z172)/Z171*AA171),0),0)+IF(TbTradesBinance[[#This Row],[Tipo]]="SELL",IF(ISNUMBER(FIND(MID(AA$1,10,5),TbTradesBinance[[#This Row],[Par]])),IF(FIND(MID(AA$1,10,5),TbTradesBinance[[#This Row],[Par]])=1, -(Z171-Z172)/Z171*AA171,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Row],[Par]])),(-(Z171-Z172)/Z171*AA171)+IF(TbTradesBinance[[#This Row],[Resultado]]&gt;0,0,TbTradesBinance[[#This Row],[Taxa]]),0),0))</f>
        <v>0</v>
      </c>
      <c r="AB172" s="145">
        <f t="shared" si="43"/>
        <v>0</v>
      </c>
      <c r="AC17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Row],[Tipo]]="DROP"),AC171+TbTradesBinance[[#This Row],[Qtt]],AC171-TbTradesBinance[[#This Row],[Qtt]]),IF(TbTradesBinance[[#This Row],[Tipo]]="BUY",AC171-TbTradesBinance[[#This Row],[Qtt]]*TbTradesBinance[[#This Row],[Preço]],AC171+TbTradesBinance[[#This Row],[Qtt]]*TbTradesBinance[[#This Row],[Preço]])),AC171)-IF(TbTradesBinance[[#This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Row],[Tipo]]="DROP"),AC171+TbTradesBinance[[#This Row],[Qtt]],AC171-TbTradesBinance[[#This Row],[Qtt]]),IF(TbTradesBinance[[#This Row],[Tipo]]="BUY",AC171-TbTradesBinance[[#This Row],[Qtt]]*TbTradesBinance[[#This Row],[Preço]],AC171+TbTradesBinance[[#This Row],[Qtt]]*TbTradesBinance[[#This Row],[Preço]])),AC171)-IF(TbTradesBinance[[#This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Row],[Tipo]]="DROP"),AC171+TbTradesBinance[[#This Row],[Qtt]],AC171-TbTradesBinance[[#This Row],[Qtt]]),IF(TbTradesBinance[[#This Row],[Tipo]]="BUY",AC171-TbTradesBinance[[#This Row],[Qtt]]*TbTradesBinance[[#This Row],[Preço]],AC171+TbTradesBinance[[#This Row],[Qtt]]*TbTradesBinance[[#This Row],[Preço]])),AC171)-IF(TbTradesBinance[[#This Row],[Moeda da Taxa]]=MID(AC$1,9,5),TbTradesBinance[[#This Row],[Taxa]],0),8)))</f>
        <v>0</v>
      </c>
      <c r="AD172" s="145" cm="1">
        <f t="array" ref="AD172">IF(TbTradesBinance[[#This Row],[Tipo]]="EMPTY",0,AD171+IF(TbTradesBinance[[#This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Row],[Par]]))),$1:$1,0)),-(AC171-AC172)/AC171*AD171),0),0)+IF(TbTradesBinance[[#This Row],[Tipo]]="SELL",IF(ISNUMBER(FIND(MID(AD$1,10,5),TbTradesBinance[[#This Row],[Par]])),IF(FIND(MID(AD$1,10,5),TbTradesBinance[[#This Row],[Par]])=1, -(AC171-AC172)/AC171*AD171,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Row],[Par]])),(-(AC171-AC172)/AC171*AD171)+IF(TbTradesBinance[[#This Row],[Resultado]]&gt;0,0,TbTradesBinance[[#This Row],[Taxa]]),0),0))</f>
        <v>0</v>
      </c>
      <c r="AE172" s="145">
        <f t="shared" si="44"/>
        <v>0</v>
      </c>
      <c r="AF17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Row],[Tipo]]="DROP"),AF171+TbTradesBinance[[#This Row],[Qtt]],AF171-TbTradesBinance[[#This Row],[Qtt]]),IF(TbTradesBinance[[#This Row],[Tipo]]="BUY",AF171-TbTradesBinance[[#This Row],[Qtt]]*TbTradesBinance[[#This Row],[Preço]],AF171+TbTradesBinance[[#This Row],[Qtt]]*TbTradesBinance[[#This Row],[Preço]])),AF171)-IF(TbTradesBinance[[#This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Row],[Tipo]]="DROP"),AF171+TbTradesBinance[[#This Row],[Qtt]],AF171-TbTradesBinance[[#This Row],[Qtt]]),IF(TbTradesBinance[[#This Row],[Tipo]]="BUY",AF171-TbTradesBinance[[#This Row],[Qtt]]*TbTradesBinance[[#This Row],[Preço]],AF171+TbTradesBinance[[#This Row],[Qtt]]*TbTradesBinance[[#This Row],[Preço]])),AF171)-IF(TbTradesBinance[[#This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Row],[Tipo]]="DROP"),AF171+TbTradesBinance[[#This Row],[Qtt]],AF171-TbTradesBinance[[#This Row],[Qtt]]),IF(TbTradesBinance[[#This Row],[Tipo]]="BUY",AF171-TbTradesBinance[[#This Row],[Qtt]]*TbTradesBinance[[#This Row],[Preço]],AF171+TbTradesBinance[[#This Row],[Qtt]]*TbTradesBinance[[#This Row],[Preço]])),AF171)-IF(TbTradesBinance[[#This Row],[Moeda da Taxa]]=MID(AF$1,9,5),TbTradesBinance[[#This Row],[Taxa]],0),8)))</f>
        <v>0</v>
      </c>
      <c r="AG172" s="145" cm="1">
        <f t="array" ref="AG172">IF(TbTradesBinance[[#This Row],[Tipo]]="EMPTY",0,AG171+IF(TbTradesBinance[[#This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Row],[Par]]))),$1:$1,0)),-(AF171-AF172)/AF171*AG171),0),0)+IF(TbTradesBinance[[#This Row],[Tipo]]="SELL",IF(ISNUMBER(FIND(MID(AG$1,10,5),TbTradesBinance[[#This Row],[Par]])),IF(FIND(MID(AG$1,10,5),TbTradesBinance[[#This Row],[Par]])=1, -(AF171-AF172)/AF171*AG171,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Row],[Par]])),(-(AF171-AF172)/AF171*AG171)+IF(TbTradesBinance[[#This Row],[Resultado]]&gt;0,0,TbTradesBinance[[#This Row],[Taxa]]),0),0))</f>
        <v>0</v>
      </c>
      <c r="AH172" s="145">
        <f t="shared" si="45"/>
        <v>0</v>
      </c>
      <c r="AI17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Row],[Tipo]]="DROP"),AI171+TbTradesBinance[[#This Row],[Qtt]],AI171-TbTradesBinance[[#This Row],[Qtt]]),IF(TbTradesBinance[[#This Row],[Tipo]]="BUY",AI171-TbTradesBinance[[#This Row],[Qtt]]*TbTradesBinance[[#This Row],[Preço]],AI171+TbTradesBinance[[#This Row],[Qtt]]*TbTradesBinance[[#This Row],[Preço]])),AI171)-IF(TbTradesBinance[[#This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Row],[Tipo]]="DROP"),AI171+TbTradesBinance[[#This Row],[Qtt]],AI171-TbTradesBinance[[#This Row],[Qtt]]),IF(TbTradesBinance[[#This Row],[Tipo]]="BUY",AI171-TbTradesBinance[[#This Row],[Qtt]]*TbTradesBinance[[#This Row],[Preço]],AI171+TbTradesBinance[[#This Row],[Qtt]]*TbTradesBinance[[#This Row],[Preço]])),AI171)-IF(TbTradesBinance[[#This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Row],[Tipo]]="DROP"),AI171+TbTradesBinance[[#This Row],[Qtt]],AI171-TbTradesBinance[[#This Row],[Qtt]]),IF(TbTradesBinance[[#This Row],[Tipo]]="BUY",AI171-TbTradesBinance[[#This Row],[Qtt]]*TbTradesBinance[[#This Row],[Preço]],AI171+TbTradesBinance[[#This Row],[Qtt]]*TbTradesBinance[[#This Row],[Preço]])),AI171)-IF(TbTradesBinance[[#This Row],[Moeda da Taxa]]=MID(AI$1,9,5),TbTradesBinance[[#This Row],[Taxa]],0),8)))</f>
        <v>0</v>
      </c>
      <c r="AJ172" s="145" cm="1">
        <f t="array" ref="AJ172">IF(TbTradesBinance[[#This Row],[Tipo]]="EMPTY",0,AJ171+IF(TbTradesBinance[[#This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Row],[Par]]))),$1:$1,0)),-(AI171-AI172)/AI171*AJ171),0),0)+IF(TbTradesBinance[[#This Row],[Tipo]]="SELL",IF(ISNUMBER(FIND(MID(AJ$1,10,5),TbTradesBinance[[#This Row],[Par]])),IF(FIND(MID(AJ$1,10,5),TbTradesBinance[[#This Row],[Par]])=1, -(AI171-AI172)/AI171*AJ171,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Row],[Par]])),(-(AI171-AI172)/AI171*AJ171)+IF(TbTradesBinance[[#This Row],[Resultado]]&gt;0,0,TbTradesBinance[[#This Row],[Taxa]]),0),0))</f>
        <v>0</v>
      </c>
      <c r="AK172" s="145">
        <f t="shared" si="46"/>
        <v>0</v>
      </c>
      <c r="AL17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Row],[Tipo]]="DROP"),AL171+TbTradesBinance[[#This Row],[Qtt]],AL171-TbTradesBinance[[#This Row],[Qtt]]),IF(TbTradesBinance[[#This Row],[Tipo]]="BUY",AL171-TbTradesBinance[[#This Row],[Qtt]]*TbTradesBinance[[#This Row],[Preço]],AL171+TbTradesBinance[[#This Row],[Qtt]]*TbTradesBinance[[#This Row],[Preço]])),AL171)-IF(TbTradesBinance[[#This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Row],[Tipo]]="DROP"),AL171+TbTradesBinance[[#This Row],[Qtt]],AL171-TbTradesBinance[[#This Row],[Qtt]]),IF(TbTradesBinance[[#This Row],[Tipo]]="BUY",AL171-TbTradesBinance[[#This Row],[Qtt]]*TbTradesBinance[[#This Row],[Preço]],AL171+TbTradesBinance[[#This Row],[Qtt]]*TbTradesBinance[[#This Row],[Preço]])),AL171)-IF(TbTradesBinance[[#This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Row],[Tipo]]="DROP"),AL171+TbTradesBinance[[#This Row],[Qtt]],AL171-TbTradesBinance[[#This Row],[Qtt]]),IF(TbTradesBinance[[#This Row],[Tipo]]="BUY",AL171-TbTradesBinance[[#This Row],[Qtt]]*TbTradesBinance[[#This Row],[Preço]],AL171+TbTradesBinance[[#This Row],[Qtt]]*TbTradesBinance[[#This Row],[Preço]])),AL171)-IF(TbTradesBinance[[#This Row],[Moeda da Taxa]]=MID(AL$1,9,5),TbTradesBinance[[#This Row],[Taxa]],0),8)))</f>
        <v>0</v>
      </c>
      <c r="AM172" s="145" cm="1">
        <f t="array" ref="AM172">IF(TbTradesBinance[[#This Row],[Tipo]]="EMPTY",0,AM171+IF(TbTradesBinance[[#This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Row],[Par]]))),$1:$1,0)),-(AL171-AL172)/AL171*AM171),0),0)+IF(TbTradesBinance[[#This Row],[Tipo]]="SELL",IF(ISNUMBER(FIND(MID(AM$1,10,5),TbTradesBinance[[#This Row],[Par]])),IF(FIND(MID(AM$1,10,5),TbTradesBinance[[#This Row],[Par]])=1, -(AL171-AL172)/AL171*AM171,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Row],[Par]])),(-(AL171-AL172)/AL171*AM171)+IF(TbTradesBinance[[#This Row],[Resultado]]&gt;0,0,TbTradesBinance[[#This Row],[Taxa]]),0),0))</f>
        <v>0</v>
      </c>
      <c r="AN172" s="145">
        <f t="shared" si="47"/>
        <v>0</v>
      </c>
      <c r="AO17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Row],[Tipo]]="DROP"),AO171+TbTradesBinance[[#This Row],[Qtt]],AO171-TbTradesBinance[[#This Row],[Qtt]]),IF(TbTradesBinance[[#This Row],[Tipo]]="BUY",AO171-TbTradesBinance[[#This Row],[Qtt]]*TbTradesBinance[[#This Row],[Preço]],AO171+TbTradesBinance[[#This Row],[Qtt]]*TbTradesBinance[[#This Row],[Preço]])),AO171)-IF(TbTradesBinance[[#This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Row],[Tipo]]="DROP"),AO171+TbTradesBinance[[#This Row],[Qtt]],AO171-TbTradesBinance[[#This Row],[Qtt]]),IF(TbTradesBinance[[#This Row],[Tipo]]="BUY",AO171-TbTradesBinance[[#This Row],[Qtt]]*TbTradesBinance[[#This Row],[Preço]],AO171+TbTradesBinance[[#This Row],[Qtt]]*TbTradesBinance[[#This Row],[Preço]])),AO171)-IF(TbTradesBinance[[#This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Row],[Tipo]]="DROP"),AO171+TbTradesBinance[[#This Row],[Qtt]],AO171-TbTradesBinance[[#This Row],[Qtt]]),IF(TbTradesBinance[[#This Row],[Tipo]]="BUY",AO171-TbTradesBinance[[#This Row],[Qtt]]*TbTradesBinance[[#This Row],[Preço]],AO171+TbTradesBinance[[#This Row],[Qtt]]*TbTradesBinance[[#This Row],[Preço]])),AO171)-IF(TbTradesBinance[[#This Row],[Moeda da Taxa]]=MID(AO$1,9,5),TbTradesBinance[[#This Row],[Taxa]],0),8)))</f>
        <v>3.842305E-2</v>
      </c>
      <c r="AP172" s="145" cm="1">
        <f t="array" ref="AP172">IF(TbTradesBinance[[#This Row],[Tipo]]="EMPTY",0,AP171+IF(TbTradesBinance[[#This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Row],[Par]]))),$1:$1,0)),-(AO171-AO172)/AO171*AP171),0),0)+IF(TbTradesBinance[[#This Row],[Tipo]]="SELL",IF(ISNUMBER(FIND(MID(AP$1,10,5),TbTradesBinance[[#This Row],[Par]])),IF(FIND(MID(AP$1,10,5),TbTradesBinance[[#This Row],[Par]])=1, -(AO171-AO172)/AO171*AP171,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Row],[Par]])),(-(AO171-AO172)/AO171*AP171)+IF(TbTradesBinance[[#This Row],[Resultado]]&gt;0,0,TbTradesBinance[[#This Row],[Taxa]]),0),0))</f>
        <v>60.349858055862811</v>
      </c>
      <c r="AQ172" s="145">
        <f t="shared" si="48"/>
        <v>1570.668076997084</v>
      </c>
      <c r="AR17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Row],[Tipo]]="DROP"),AR171+TbTradesBinance[[#This Row],[Qtt]],AR171-TbTradesBinance[[#This Row],[Qtt]]),IF(TbTradesBinance[[#This Row],[Tipo]]="BUY",AR171-TbTradesBinance[[#This Row],[Qtt]]*TbTradesBinance[[#This Row],[Preço]],AR171+TbTradesBinance[[#This Row],[Qtt]]*TbTradesBinance[[#This Row],[Preço]])),AR171)-IF(TbTradesBinance[[#This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Row],[Tipo]]="DROP"),AR171+TbTradesBinance[[#This Row],[Qtt]],AR171-TbTradesBinance[[#This Row],[Qtt]]),IF(TbTradesBinance[[#This Row],[Tipo]]="BUY",AR171-TbTradesBinance[[#This Row],[Qtt]]*TbTradesBinance[[#This Row],[Preço]],AR171+TbTradesBinance[[#This Row],[Qtt]]*TbTradesBinance[[#This Row],[Preço]])),AR171)-IF(TbTradesBinance[[#This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Row],[Tipo]]="DROP"),AR171+TbTradesBinance[[#This Row],[Qtt]],AR171-TbTradesBinance[[#This Row],[Qtt]]),IF(TbTradesBinance[[#This Row],[Tipo]]="BUY",AR171-TbTradesBinance[[#This Row],[Qtt]]*TbTradesBinance[[#This Row],[Preço]],AR171+TbTradesBinance[[#This Row],[Qtt]]*TbTradesBinance[[#This Row],[Preço]])),AR171)-IF(TbTradesBinance[[#This Row],[Moeda da Taxa]]=MID(AR$1,9,5),TbTradesBinance[[#This Row],[Taxa]],0),8)))</f>
        <v>0</v>
      </c>
      <c r="AS172" s="145" cm="1">
        <f t="array" ref="AS172">IF(TbTradesBinance[[#This Row],[Tipo]]="EMPTY",0,AS171+IF(TbTradesBinance[[#This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Row],[Par]]))),$1:$1,0)),-(AR171-AR172)/AR171*AS171),0),0)+IF(TbTradesBinance[[#This Row],[Tipo]]="SELL",IF(ISNUMBER(FIND(MID(AS$1,10,5),TbTradesBinance[[#This Row],[Par]])),IF(FIND(MID(AS$1,10,5),TbTradesBinance[[#This Row],[Par]])=1, -(AR171-AR172)/AR171*AS171,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Row],[Par]])),(-(AR171-AR172)/AR171*AS171)+IF(TbTradesBinance[[#This Row],[Resultado]]&gt;0,0,TbTradesBinance[[#This Row],[Taxa]]),0),0))</f>
        <v>0</v>
      </c>
      <c r="AT172" s="145">
        <f t="shared" si="49"/>
        <v>0</v>
      </c>
      <c r="AU17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Row],[Tipo]]="DROP"),AU171+TbTradesBinance[[#This Row],[Qtt]],AU171-TbTradesBinance[[#This Row],[Qtt]]),IF(TbTradesBinance[[#This Row],[Tipo]]="BUY",AU171-TbTradesBinance[[#This Row],[Qtt]]*TbTradesBinance[[#This Row],[Preço]],AU171+TbTradesBinance[[#This Row],[Qtt]]*TbTradesBinance[[#This Row],[Preço]])),AU171)-IF(TbTradesBinance[[#This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Row],[Tipo]]="DROP"),AU171+TbTradesBinance[[#This Row],[Qtt]],AU171-TbTradesBinance[[#This Row],[Qtt]]),IF(TbTradesBinance[[#This Row],[Tipo]]="BUY",AU171-TbTradesBinance[[#This Row],[Qtt]]*TbTradesBinance[[#This Row],[Preço]],AU171+TbTradesBinance[[#This Row],[Qtt]]*TbTradesBinance[[#This Row],[Preço]])),AU171)-IF(TbTradesBinance[[#This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Row],[Tipo]]="DROP"),AU171+TbTradesBinance[[#This Row],[Qtt]],AU171-TbTradesBinance[[#This Row],[Qtt]]),IF(TbTradesBinance[[#This Row],[Tipo]]="BUY",AU171-TbTradesBinance[[#This Row],[Qtt]]*TbTradesBinance[[#This Row],[Preço]],AU171+TbTradesBinance[[#This Row],[Qtt]]*TbTradesBinance[[#This Row],[Preço]])),AU171)-IF(TbTradesBinance[[#This Row],[Moeda da Taxa]]=MID(AU$1,9,5),TbTradesBinance[[#This Row],[Taxa]],0),8)))</f>
        <v>0.51</v>
      </c>
      <c r="AV172" s="145" cm="1">
        <f t="array" ref="AV172">IF(TbTradesBinance[[#This Row],[Tipo]]="EMPTY",0,AV171+IF(TbTradesBinance[[#This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Row],[Par]]))),$1:$1,0)),-(AU171-AU172)/AU171*AV171),0),0)+IF(TbTradesBinance[[#This Row],[Tipo]]="SELL",IF(ISNUMBER(FIND(MID(AV$1,10,5),TbTradesBinance[[#This Row],[Par]])),IF(FIND(MID(AV$1,10,5),TbTradesBinance[[#This Row],[Par]])=1, -(AU171-AU172)/AU171*AV171,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Row],[Par]])),(-(AU171-AU172)/AU171*AV171)+IF(TbTradesBinance[[#This Row],[Resultado]]&gt;0,0,TbTradesBinance[[#This Row],[Taxa]]),0),0))</f>
        <v>95.466693037374753</v>
      </c>
      <c r="AW172" s="145">
        <f t="shared" si="50"/>
        <v>187.18959419093088</v>
      </c>
      <c r="AX17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Row],[Tipo]]="DROP"),AX171+TbTradesBinance[[#This Row],[Qtt]],AX171-TbTradesBinance[[#This Row],[Qtt]]),IF(TbTradesBinance[[#This Row],[Tipo]]="BUY",AX171-TbTradesBinance[[#This Row],[Qtt]]*TbTradesBinance[[#This Row],[Preço]],AX171+TbTradesBinance[[#This Row],[Qtt]]*TbTradesBinance[[#This Row],[Preço]])),AX171)-IF(TbTradesBinance[[#This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Row],[Tipo]]="DROP"),AX171+TbTradesBinance[[#This Row],[Qtt]],AX171-TbTradesBinance[[#This Row],[Qtt]]),IF(TbTradesBinance[[#This Row],[Tipo]]="BUY",AX171-TbTradesBinance[[#This Row],[Qtt]]*TbTradesBinance[[#This Row],[Preço]],AX171+TbTradesBinance[[#This Row],[Qtt]]*TbTradesBinance[[#This Row],[Preço]])),AX171)-IF(TbTradesBinance[[#This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Row],[Tipo]]="DROP"),AX171+TbTradesBinance[[#This Row],[Qtt]],AX171-TbTradesBinance[[#This Row],[Qtt]]),IF(TbTradesBinance[[#This Row],[Tipo]]="BUY",AX171-TbTradesBinance[[#This Row],[Qtt]]*TbTradesBinance[[#This Row],[Preço]],AX171+TbTradesBinance[[#This Row],[Qtt]]*TbTradesBinance[[#This Row],[Preço]])),AX171)-IF(TbTradesBinance[[#This Row],[Moeda da Taxa]]=MID(AX$1,9,5),TbTradesBinance[[#This Row],[Taxa]],0),8)))</f>
        <v>0.32838000000000001</v>
      </c>
      <c r="AY172" s="145" cm="1">
        <f t="array" ref="AY172">IF(TbTradesBinance[[#This Row],[Tipo]]="EMPTY",0,AY171+IF(TbTradesBinance[[#This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Row],[Par]]))),$1:$1,0)),-(AX171-AX172)/AX171*AY171),0),0)+IF(TbTradesBinance[[#This Row],[Tipo]]="SELL",IF(ISNUMBER(FIND(MID(AY$1,10,5),TbTradesBinance[[#This Row],[Par]])),IF(FIND(MID(AY$1,10,5),TbTradesBinance[[#This Row],[Par]])=1, -(AX171-AX172)/AX171*AY171,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Row],[Par]])),(-(AX171-AX172)/AX171*AY171)+IF(TbTradesBinance[[#This Row],[Resultado]]&gt;0,0,TbTradesBinance[[#This Row],[Taxa]]),0),0))</f>
        <v>61.364116058805678</v>
      </c>
      <c r="AZ172" s="145">
        <f t="shared" si="51"/>
        <v>186.869224857804</v>
      </c>
      <c r="BA17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Row],[Tipo]]="DROP"),BA171+TbTradesBinance[[#This Row],[Qtt]],BA171-TbTradesBinance[[#This Row],[Qtt]]),IF(TbTradesBinance[[#This Row],[Tipo]]="BUY",BA171-TbTradesBinance[[#This Row],[Qtt]]*TbTradesBinance[[#This Row],[Preço]],BA171+TbTradesBinance[[#This Row],[Qtt]]*TbTradesBinance[[#This Row],[Preço]])),BA171)-IF(TbTradesBinance[[#This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Row],[Tipo]]="DROP"),BA171+TbTradesBinance[[#This Row],[Qtt]],BA171-TbTradesBinance[[#This Row],[Qtt]]),IF(TbTradesBinance[[#This Row],[Tipo]]="BUY",BA171-TbTradesBinance[[#This Row],[Qtt]]*TbTradesBinance[[#This Row],[Preço]],BA171+TbTradesBinance[[#This Row],[Qtt]]*TbTradesBinance[[#This Row],[Preço]])),BA171)-IF(TbTradesBinance[[#This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Row],[Tipo]]="DROP"),BA171+TbTradesBinance[[#This Row],[Qtt]],BA171-TbTradesBinance[[#This Row],[Qtt]]),IF(TbTradesBinance[[#This Row],[Tipo]]="BUY",BA171-TbTradesBinance[[#This Row],[Qtt]]*TbTradesBinance[[#This Row],[Preço]],BA171+TbTradesBinance[[#This Row],[Qtt]]*TbTradesBinance[[#This Row],[Preço]])),BA171)-IF(TbTradesBinance[[#This Row],[Moeda da Taxa]]=MID(BA$1,9,5),TbTradesBinance[[#This Row],[Taxa]],0),8)))</f>
        <v>0</v>
      </c>
      <c r="BB172" s="145" cm="1">
        <f t="array" ref="BB172">IF(TbTradesBinance[[#This Row],[Tipo]]="EMPTY",0,BB171+IF(TbTradesBinance[[#This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Row],[Par]]))),$1:$1,0)),-(BA171-BA172)/BA171*BB171),0),0)+IF(TbTradesBinance[[#This Row],[Tipo]]="SELL",IF(ISNUMBER(FIND(MID(BB$1,10,5),TbTradesBinance[[#This Row],[Par]])),IF(FIND(MID(BB$1,10,5),TbTradesBinance[[#This Row],[Par]])=1, -(BA171-BA172)/BA171*BB171,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Row],[Par]])),(-(BA171-BA172)/BA171*BB171)+IF(TbTradesBinance[[#This Row],[Resultado]]&gt;0,0,TbTradesBinance[[#This Row],[Taxa]]),0),0))</f>
        <v>0</v>
      </c>
      <c r="BC172" s="145">
        <f t="shared" si="52"/>
        <v>0</v>
      </c>
      <c r="BD17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Row],[Tipo]]="DROP"),BD171+TbTradesBinance[[#This Row],[Qtt]],BD171-TbTradesBinance[[#This Row],[Qtt]]),IF(TbTradesBinance[[#This Row],[Tipo]]="BUY",BD171-TbTradesBinance[[#This Row],[Qtt]]*TbTradesBinance[[#This Row],[Preço]],BD171+TbTradesBinance[[#This Row],[Qtt]]*TbTradesBinance[[#This Row],[Preço]])),BD171)-IF(TbTradesBinance[[#This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Row],[Tipo]]="DROP"),BD171+TbTradesBinance[[#This Row],[Qtt]],BD171-TbTradesBinance[[#This Row],[Qtt]]),IF(TbTradesBinance[[#This Row],[Tipo]]="BUY",BD171-TbTradesBinance[[#This Row],[Qtt]]*TbTradesBinance[[#This Row],[Preço]],BD171+TbTradesBinance[[#This Row],[Qtt]]*TbTradesBinance[[#This Row],[Preço]])),BD171)-IF(TbTradesBinance[[#This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Row],[Tipo]]="DROP"),BD171+TbTradesBinance[[#This Row],[Qtt]],BD171-TbTradesBinance[[#This Row],[Qtt]]),IF(TbTradesBinance[[#This Row],[Tipo]]="BUY",BD171-TbTradesBinance[[#This Row],[Qtt]]*TbTradesBinance[[#This Row],[Preço]],BD171+TbTradesBinance[[#This Row],[Qtt]]*TbTradesBinance[[#This Row],[Preço]])),BD171)-IF(TbTradesBinance[[#This Row],[Moeda da Taxa]]=MID(BD$1,9,5),TbTradesBinance[[#This Row],[Taxa]],0),8)))</f>
        <v>0</v>
      </c>
      <c r="BE172" s="145" cm="1">
        <f t="array" ref="BE172">IF(TbTradesBinance[[#This Row],[Tipo]]="EMPTY",0,BE171+IF(TbTradesBinance[[#This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Row],[Par]]))),$1:$1,0)),-(BD171-BD172)/BD171*BE171),0),0)+IF(TbTradesBinance[[#This Row],[Tipo]]="SELL",IF(ISNUMBER(FIND(MID(BE$1,10,5),TbTradesBinance[[#This Row],[Par]])),IF(FIND(MID(BE$1,10,5),TbTradesBinance[[#This Row],[Par]])=1, -(BD171-BD172)/BD171*BE171,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Row],[Par]])),(-(BD171-BD172)/BD171*BE171)+IF(TbTradesBinance[[#This Row],[Resultado]]&gt;0,0,TbTradesBinance[[#This Row],[Taxa]]),0),0))</f>
        <v>0</v>
      </c>
      <c r="BF172" s="145">
        <f t="shared" si="53"/>
        <v>0</v>
      </c>
      <c r="BG17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Row],[Tipo]]="DROP"),BG171+TbTradesBinance[[#This Row],[Qtt]],BG171-TbTradesBinance[[#This Row],[Qtt]]),IF(TbTradesBinance[[#This Row],[Tipo]]="BUY",BG171-TbTradesBinance[[#This Row],[Qtt]]*TbTradesBinance[[#This Row],[Preço]],BG171+TbTradesBinance[[#This Row],[Qtt]]*TbTradesBinance[[#This Row],[Preço]])),BG171)-IF(TbTradesBinance[[#This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Row],[Tipo]]="DROP"),BG171+TbTradesBinance[[#This Row],[Qtt]],BG171-TbTradesBinance[[#This Row],[Qtt]]),IF(TbTradesBinance[[#This Row],[Tipo]]="BUY",BG171-TbTradesBinance[[#This Row],[Qtt]]*TbTradesBinance[[#This Row],[Preço]],BG171+TbTradesBinance[[#This Row],[Qtt]]*TbTradesBinance[[#This Row],[Preço]])),BG171)-IF(TbTradesBinance[[#This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Row],[Tipo]]="DROP"),BG171+TbTradesBinance[[#This Row],[Qtt]],BG171-TbTradesBinance[[#This Row],[Qtt]]),IF(TbTradesBinance[[#This Row],[Tipo]]="BUY",BG171-TbTradesBinance[[#This Row],[Qtt]]*TbTradesBinance[[#This Row],[Preço]],BG171+TbTradesBinance[[#This Row],[Qtt]]*TbTradesBinance[[#This Row],[Preço]])),BG171)-IF(TbTradesBinance[[#This Row],[Moeda da Taxa]]=MID(BG$1,9,5),TbTradesBinance[[#This Row],[Taxa]],0),8)))</f>
        <v>0</v>
      </c>
      <c r="BH172" s="145" cm="1">
        <f t="array" ref="BH172">IF(TbTradesBinance[[#This Row],[Tipo]]="EMPTY",0,BH171+IF(TbTradesBinance[[#This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Row],[Par]]))),$1:$1,0)),-(BG171-BG172)/BG171*BH171),0),0)+IF(TbTradesBinance[[#This Row],[Tipo]]="SELL",IF(ISNUMBER(FIND(MID(BH$1,10,5),TbTradesBinance[[#This Row],[Par]])),IF(FIND(MID(BH$1,10,5),TbTradesBinance[[#This Row],[Par]])=1, -(BG171-BG172)/BG171*BH171,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Row],[Par]])),(-(BG171-BG172)/BG171*BH171)+IF(TbTradesBinance[[#This Row],[Resultado]]&gt;0,0,TbTradesBinance[[#This Row],[Taxa]]),0),0))</f>
        <v>0</v>
      </c>
      <c r="BI172" s="145">
        <f t="shared" si="54"/>
        <v>0</v>
      </c>
      <c r="BJ17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Row],[Tipo]]="DROP"),BJ171+TbTradesBinance[[#This Row],[Qtt]],BJ171-TbTradesBinance[[#This Row],[Qtt]]),IF(TbTradesBinance[[#This Row],[Tipo]]="BUY",BJ171-TbTradesBinance[[#This Row],[Qtt]]*TbTradesBinance[[#This Row],[Preço]],BJ171+TbTradesBinance[[#This Row],[Qtt]]*TbTradesBinance[[#This Row],[Preço]])),BJ171)-IF(TbTradesBinance[[#This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Row],[Tipo]]="DROP"),BJ171+TbTradesBinance[[#This Row],[Qtt]],BJ171-TbTradesBinance[[#This Row],[Qtt]]),IF(TbTradesBinance[[#This Row],[Tipo]]="BUY",BJ171-TbTradesBinance[[#This Row],[Qtt]]*TbTradesBinance[[#This Row],[Preço]],BJ171+TbTradesBinance[[#This Row],[Qtt]]*TbTradesBinance[[#This Row],[Preço]])),BJ171)-IF(TbTradesBinance[[#This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Row],[Tipo]]="DROP"),BJ171+TbTradesBinance[[#This Row],[Qtt]],BJ171-TbTradesBinance[[#This Row],[Qtt]]),IF(TbTradesBinance[[#This Row],[Tipo]]="BUY",BJ171-TbTradesBinance[[#This Row],[Qtt]]*TbTradesBinance[[#This Row],[Preço]],BJ171+TbTradesBinance[[#This Row],[Qtt]]*TbTradesBinance[[#This Row],[Preço]])),BJ171)-IF(TbTradesBinance[[#This Row],[Moeda da Taxa]]=MID(BJ$1,9,5),TbTradesBinance[[#This Row],[Taxa]],0),8)))</f>
        <v>0</v>
      </c>
      <c r="BK172" s="145" cm="1">
        <f t="array" ref="BK172">IF(TbTradesBinance[[#This Row],[Tipo]]="EMPTY",0,BK171+IF(TbTradesBinance[[#This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Row],[Par]]))),$1:$1,0)),-(BJ171-BJ172)/BJ171*BK171),0),0)+IF(TbTradesBinance[[#This Row],[Tipo]]="SELL",IF(ISNUMBER(FIND(MID(BK$1,10,5),TbTradesBinance[[#This Row],[Par]])),IF(FIND(MID(BK$1,10,5),TbTradesBinance[[#This Row],[Par]])=1, -(BJ171-BJ172)/BJ171*BK171,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Row],[Par]])),(-(BJ171-BJ172)/BJ171*BK171)+IF(TbTradesBinance[[#This Row],[Resultado]]&gt;0,0,TbTradesBinance[[#This Row],[Taxa]]),0),0))</f>
        <v>0</v>
      </c>
      <c r="BL172" s="145">
        <f t="shared" si="55"/>
        <v>0</v>
      </c>
      <c r="BM17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Row],[Tipo]]="DROP"),BM171+TbTradesBinance[[#This Row],[Qtt]],BM171-TbTradesBinance[[#This Row],[Qtt]]),IF(TbTradesBinance[[#This Row],[Tipo]]="BUY",BM171-TbTradesBinance[[#This Row],[Qtt]]*TbTradesBinance[[#This Row],[Preço]],BM171+TbTradesBinance[[#This Row],[Qtt]]*TbTradesBinance[[#This Row],[Preço]])),BM171)-IF(TbTradesBinance[[#This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Row],[Tipo]]="DROP"),BM171+TbTradesBinance[[#This Row],[Qtt]],BM171-TbTradesBinance[[#This Row],[Qtt]]),IF(TbTradesBinance[[#This Row],[Tipo]]="BUY",BM171-TbTradesBinance[[#This Row],[Qtt]]*TbTradesBinance[[#This Row],[Preço]],BM171+TbTradesBinance[[#This Row],[Qtt]]*TbTradesBinance[[#This Row],[Preço]])),BM171)-IF(TbTradesBinance[[#This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Row],[Tipo]]="DROP"),BM171+TbTradesBinance[[#This Row],[Qtt]],BM171-TbTradesBinance[[#This Row],[Qtt]]),IF(TbTradesBinance[[#This Row],[Tipo]]="BUY",BM171-TbTradesBinance[[#This Row],[Qtt]]*TbTradesBinance[[#This Row],[Preço]],BM171+TbTradesBinance[[#This Row],[Qtt]]*TbTradesBinance[[#This Row],[Preço]])),BM171)-IF(TbTradesBinance[[#This Row],[Moeda da Taxa]]=MID(BM$1,9,5),TbTradesBinance[[#This Row],[Taxa]],0),8)))</f>
        <v>0</v>
      </c>
      <c r="BN172" s="145" cm="1">
        <f t="array" ref="BN172">IF(TbTradesBinance[[#This Row],[Tipo]]="EMPTY",0,BN171+IF(TbTradesBinance[[#This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Row],[Par]]))),$1:$1,0)),-(BM171-BM172)/BM171*BN171),0),0)+IF(TbTradesBinance[[#This Row],[Tipo]]="SELL",IF(ISNUMBER(FIND(MID(BN$1,10,5),TbTradesBinance[[#This Row],[Par]])),IF(FIND(MID(BN$1,10,5),TbTradesBinance[[#This Row],[Par]])=1, -(BM171-BM172)/BM171*BN171,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Row],[Par]])),(-(BM171-BM172)/BM171*BN171)+IF(TbTradesBinance[[#This Row],[Resultado]]&gt;0,0,TbTradesBinance[[#This Row],[Taxa]]),0),0))</f>
        <v>0</v>
      </c>
      <c r="BO172" s="145">
        <f t="shared" si="56"/>
        <v>0</v>
      </c>
    </row>
    <row r="173" spans="2:67" x14ac:dyDescent="0.3">
      <c r="B173" s="51"/>
      <c r="C173" s="40">
        <f>TRUNC(IF(AND(TbTradesBinance[[#This Row],[Tipo]]="SEND",TbTradesBinance[[#This Row],[Par]]="BRL"),TbTradesBinance[[#This Row],[Qtt]]*(1-P171)-IF(TbTradesBinance[[#This Row],[Moeda da Taxa]]="BRL",TbTradesBinance[[#This Row],[Taxa]],0),0)+IF(AND(TbTradesBinance[[#This Row],[Tipo]]="BURN",TbTradesBinance[[#This Row],[Par]]="BRL"),-TbTradesBinance[[#This Row],[Qtt]]*P171,0),2)</f>
        <v>0</v>
      </c>
      <c r="D173" s="53">
        <v>44328.911886574075</v>
      </c>
      <c r="E173" s="37" t="s">
        <v>237</v>
      </c>
      <c r="F173" s="47" t="s">
        <v>139</v>
      </c>
      <c r="G173" s="38">
        <v>5.399</v>
      </c>
      <c r="H173" s="38">
        <v>0.03</v>
      </c>
      <c r="I173" s="38">
        <v>2.9999999999999997E-8</v>
      </c>
      <c r="J173" s="37" t="s">
        <v>45</v>
      </c>
      <c r="K173" s="52">
        <v>1</v>
      </c>
      <c r="L173" s="40">
        <f t="shared" si="38"/>
        <v>5.39</v>
      </c>
      <c r="M173" s="40">
        <f>IF(OR(TbTradesBinance[[#This Row],[Tipo]]="BUY",TbTradesBinance[[#This Row],[Tipo]]="RECEIVE",TbTradesBinance[[#This Row],[Tipo]]="DROP"),L173*H173,-L173*H173)</f>
        <v>0.16169999999999998</v>
      </c>
      <c r="N17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Row],[Tipo]]="DROP"),N172+TbTradesBinance[[#This Row],[Qtt]],N172-TbTradesBinance[[#This Row],[Qtt]]),IF(TbTradesBinance[[#This Row],[Tipo]]="BUY",N172-TbTradesBinance[[#This Row],[Qtt]]*TbTradesBinance[[#This Row],[Preço]],N172+TbTradesBinance[[#This Row],[Qtt]]*TbTradesBinance[[#This Row],[Preço]])),N172)-IF(TbTradesBinance[[#This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Row],[Tipo]]="DROP"),N172+TbTradesBinance[[#This Row],[Qtt]],N172-TbTradesBinance[[#This Row],[Qtt]]),IF(TbTradesBinance[[#This Row],[Tipo]]="BUY",N172-TbTradesBinance[[#This Row],[Qtt]]*TbTradesBinance[[#This Row],[Preço]],N172+TbTradesBinance[[#This Row],[Qtt]]*TbTradesBinance[[#This Row],[Preço]])),N172)-IF(TbTradesBinance[[#This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Row],[Tipo]]="DROP"),N172+TbTradesBinance[[#This Row],[Qtt]],N172-TbTradesBinance[[#This Row],[Qtt]]),IF(TbTradesBinance[[#This Row],[Tipo]]="BUY",N172-TbTradesBinance[[#This Row],[Qtt]]*TbTradesBinance[[#This Row],[Preço]],N172+TbTradesBinance[[#This Row],[Qtt]]*TbTradesBinance[[#This Row],[Preço]])),N172)-IF(TbTradesBinance[[#This Row],[Moeda da Taxa]]=MID(N$1,9,5),TbTradesBinance[[#This Row],[Taxa]],0),8)))</f>
        <v>119906.94805599</v>
      </c>
      <c r="O173" s="145" cm="1">
        <f t="array" ref="O173">IF(TbTradesBinance[[#This Row],[Tipo]]="EMPTY",0,O172+IF(TbTradesBinance[[#This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Row],[Par]]))),$1:$1,0)),-(N172-N173)/N172*O172),0),0)+IF(TbTradesBinance[[#This Row],[Tipo]]="SELL",IF(ISNUMBER(FIND(MID(O$1,10,5),TbTradesBinance[[#This Row],[Par]])),IF(FIND(MID(O$1,10,5),TbTradesBinance[[#This Row],[Par]])=1, -(N172-N173)/N172*O172,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Row],[Par]])),(-(N172-N173)/N172*O172)+IF(TbTradesBinance[[#This Row],[Resultado]]&gt;0,0,TbTradesBinance[[#This Row],[Taxa]]),0),0))</f>
        <v>120005.64269132599</v>
      </c>
      <c r="P173" s="145">
        <f t="shared" si="39"/>
        <v>1.0008230935482563</v>
      </c>
      <c r="Q17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Row],[Tipo]]="DROP"),Q172+TbTradesBinance[[#This Row],[Qtt]],Q172-TbTradesBinance[[#This Row],[Qtt]]),IF(TbTradesBinance[[#This Row],[Tipo]]="BUY",Q172-TbTradesBinance[[#This Row],[Qtt]]*TbTradesBinance[[#This Row],[Preço]],Q172+TbTradesBinance[[#This Row],[Qtt]]*TbTradesBinance[[#This Row],[Preço]])),Q172)-IF(TbTradesBinance[[#This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Row],[Tipo]]="DROP"),Q172+TbTradesBinance[[#This Row],[Qtt]],Q172-TbTradesBinance[[#This Row],[Qtt]]),IF(TbTradesBinance[[#This Row],[Tipo]]="BUY",Q172-TbTradesBinance[[#This Row],[Qtt]]*TbTradesBinance[[#This Row],[Preço]],Q172+TbTradesBinance[[#This Row],[Qtt]]*TbTradesBinance[[#This Row],[Preço]])),Q172)-IF(TbTradesBinance[[#This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Row],[Tipo]]="DROP"),Q172+TbTradesBinance[[#This Row],[Qtt]],Q172-TbTradesBinance[[#This Row],[Qtt]]),IF(TbTradesBinance[[#This Row],[Tipo]]="BUY",Q172-TbTradesBinance[[#This Row],[Qtt]]*TbTradesBinance[[#This Row],[Preço]],Q172+TbTradesBinance[[#This Row],[Qtt]]*TbTradesBinance[[#This Row],[Preço]])),Q172)-IF(TbTradesBinance[[#This Row],[Moeda da Taxa]]=MID(Q$1,9,5),TbTradesBinance[[#This Row],[Taxa]],0),8)))</f>
        <v>10.678341</v>
      </c>
      <c r="R173" s="145" cm="1">
        <f t="array" ref="R173">IF(TbTradesBinance[[#This Row],[Tipo]]="EMPTY",0,R172+IF(TbTradesBinance[[#This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Row],[Par]]))),$1:$1,0)),-(Q172-Q173)/Q172*R172),0),0)+IF(TbTradesBinance[[#This Row],[Tipo]]="SELL",IF(ISNUMBER(FIND(MID(R$1,10,5),TbTradesBinance[[#This Row],[Par]])),IF(FIND(MID(R$1,10,5),TbTradesBinance[[#This Row],[Par]])=1, -(Q172-Q173)/Q172*R172,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Row],[Par]])),(-(Q172-Q173)/Q172*R172)+IF(TbTradesBinance[[#This Row],[Resultado]]&gt;0,0,TbTradesBinance[[#This Row],[Taxa]]),0),0))</f>
        <v>39.217771311744059</v>
      </c>
      <c r="S173" s="145">
        <f t="shared" si="40"/>
        <v>3.6726464636916969</v>
      </c>
      <c r="T17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Row],[Tipo]]="DROP"),T172+TbTradesBinance[[#This Row],[Qtt]],T172-TbTradesBinance[[#This Row],[Qtt]]),IF(TbTradesBinance[[#This Row],[Tipo]]="BUY",T172-TbTradesBinance[[#This Row],[Qtt]]*TbTradesBinance[[#This Row],[Preço]],T172+TbTradesBinance[[#This Row],[Qtt]]*TbTradesBinance[[#This Row],[Preço]])),T172)-IF(TbTradesBinance[[#This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Row],[Tipo]]="DROP"),T172+TbTradesBinance[[#This Row],[Qtt]],T172-TbTradesBinance[[#This Row],[Qtt]]),IF(TbTradesBinance[[#This Row],[Tipo]]="BUY",T172-TbTradesBinance[[#This Row],[Qtt]]*TbTradesBinance[[#This Row],[Preço]],T172+TbTradesBinance[[#This Row],[Qtt]]*TbTradesBinance[[#This Row],[Preço]])),T172)-IF(TbTradesBinance[[#This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Row],[Tipo]]="DROP"),T172+TbTradesBinance[[#This Row],[Qtt]],T172-TbTradesBinance[[#This Row],[Qtt]]),IF(TbTradesBinance[[#This Row],[Tipo]]="BUY",T172-TbTradesBinance[[#This Row],[Qtt]]*TbTradesBinance[[#This Row],[Preço]],T172+TbTradesBinance[[#This Row],[Qtt]]*TbTradesBinance[[#This Row],[Preço]])),T172)-IF(TbTradesBinance[[#This Row],[Moeda da Taxa]]=MID(T$1,9,5),TbTradesBinance[[#This Row],[Taxa]],0),8)))</f>
        <v>219713.72000189999</v>
      </c>
      <c r="U173" s="145" cm="1">
        <f t="array" ref="U173">IF(TbTradesBinance[[#This Row],[Tipo]]="EMPTY",0,U172+IF(TbTradesBinance[[#This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Row],[Par]]))),$1:$1,0)),-(T172-T173)/T172*U172),0),0)+IF(TbTradesBinance[[#This Row],[Tipo]]="SELL",IF(ISNUMBER(FIND(MID(U$1,10,5),TbTradesBinance[[#This Row],[Par]])),IF(FIND(MID(U$1,10,5),TbTradesBinance[[#This Row],[Par]])=1, -(T172-T173)/T172*U172,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Row],[Par]])),(-(T172-T173)/T172*U172)+IF(TbTradesBinance[[#This Row],[Resultado]]&gt;0,0,TbTradesBinance[[#This Row],[Taxa]]),0),0))</f>
        <v>1461096.2409827893</v>
      </c>
      <c r="V173" s="145">
        <f t="shared" si="41"/>
        <v>6.6500000135182926</v>
      </c>
      <c r="W17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Row],[Tipo]]="DROP"),W172+TbTradesBinance[[#This Row],[Qtt]],W172-TbTradesBinance[[#This Row],[Qtt]]),IF(TbTradesBinance[[#This Row],[Tipo]]="BUY",W172-TbTradesBinance[[#This Row],[Qtt]]*TbTradesBinance[[#This Row],[Preço]],W172+TbTradesBinance[[#This Row],[Qtt]]*TbTradesBinance[[#This Row],[Preço]])),W172)-IF(TbTradesBinance[[#This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Row],[Tipo]]="DROP"),W172+TbTradesBinance[[#This Row],[Qtt]],W172-TbTradesBinance[[#This Row],[Qtt]]),IF(TbTradesBinance[[#This Row],[Tipo]]="BUY",W172-TbTradesBinance[[#This Row],[Qtt]]*TbTradesBinance[[#This Row],[Preço]],W172+TbTradesBinance[[#This Row],[Qtt]]*TbTradesBinance[[#This Row],[Preço]])),W172)-IF(TbTradesBinance[[#This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Row],[Tipo]]="DROP"),W172+TbTradesBinance[[#This Row],[Qtt]],W172-TbTradesBinance[[#This Row],[Qtt]]),IF(TbTradesBinance[[#This Row],[Tipo]]="BUY",W172-TbTradesBinance[[#This Row],[Qtt]]*TbTradesBinance[[#This Row],[Preço]],W172+TbTradesBinance[[#This Row],[Qtt]]*TbTradesBinance[[#This Row],[Preço]])),W172)-IF(TbTradesBinance[[#This Row],[Moeda da Taxa]]=MID(W$1,9,5),TbTradesBinance[[#This Row],[Taxa]],0),8)))</f>
        <v>4.3499999999999999E-6</v>
      </c>
      <c r="X173" s="145" cm="1">
        <f t="array" ref="X173">IF(TbTradesBinance[[#This Row],[Tipo]]="EMPTY",0,X172+IF(TbTradesBinance[[#This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Row],[Par]]))),$1:$1,0)),-(W172-W173)/W172*X172),0),0)+IF(TbTradesBinance[[#This Row],[Tipo]]="SELL",IF(ISNUMBER(FIND(MID(X$1,10,5),TbTradesBinance[[#This Row],[Par]])),IF(FIND(MID(X$1,10,5),TbTradesBinance[[#This Row],[Par]])=1, -(W172-W173)/W172*X172,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Row],[Par]])),(-(W172-W173)/W172*X172)+IF(TbTradesBinance[[#This Row],[Resultado]]&gt;0,0,TbTradesBinance[[#This Row],[Taxa]]),0),0))</f>
        <v>1.4091313739513396</v>
      </c>
      <c r="Y173" s="145">
        <f t="shared" si="42"/>
        <v>323938.24688536546</v>
      </c>
      <c r="Z17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Row],[Tipo]]="DROP"),Z172+TbTradesBinance[[#This Row],[Qtt]],Z172-TbTradesBinance[[#This Row],[Qtt]]),IF(TbTradesBinance[[#This Row],[Tipo]]="BUY",Z172-TbTradesBinance[[#This Row],[Qtt]]*TbTradesBinance[[#This Row],[Preço]],Z172+TbTradesBinance[[#This Row],[Qtt]]*TbTradesBinance[[#This Row],[Preço]])),Z172)-IF(TbTradesBinance[[#This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Row],[Tipo]]="DROP"),Z172+TbTradesBinance[[#This Row],[Qtt]],Z172-TbTradesBinance[[#This Row],[Qtt]]),IF(TbTradesBinance[[#This Row],[Tipo]]="BUY",Z172-TbTradesBinance[[#This Row],[Qtt]]*TbTradesBinance[[#This Row],[Preço]],Z172+TbTradesBinance[[#This Row],[Qtt]]*TbTradesBinance[[#This Row],[Preço]])),Z172)-IF(TbTradesBinance[[#This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Row],[Tipo]]="DROP"),Z172+TbTradesBinance[[#This Row],[Qtt]],Z172-TbTradesBinance[[#This Row],[Qtt]]),IF(TbTradesBinance[[#This Row],[Tipo]]="BUY",Z172-TbTradesBinance[[#This Row],[Qtt]]*TbTradesBinance[[#This Row],[Preço]],Z172+TbTradesBinance[[#This Row],[Qtt]]*TbTradesBinance[[#This Row],[Preço]])),Z172)-IF(TbTradesBinance[[#This Row],[Moeda da Taxa]]=MID(Z$1,9,5),TbTradesBinance[[#This Row],[Taxa]],0),8)))</f>
        <v>0</v>
      </c>
      <c r="AA173" s="145" cm="1">
        <f t="array" ref="AA173">IF(TbTradesBinance[[#This Row],[Tipo]]="EMPTY",0,AA172+IF(TbTradesBinance[[#This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Row],[Par]]))),$1:$1,0)),-(Z172-Z173)/Z172*AA172),0),0)+IF(TbTradesBinance[[#This Row],[Tipo]]="SELL",IF(ISNUMBER(FIND(MID(AA$1,10,5),TbTradesBinance[[#This Row],[Par]])),IF(FIND(MID(AA$1,10,5),TbTradesBinance[[#This Row],[Par]])=1, -(Z172-Z173)/Z172*AA172,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Row],[Par]])),(-(Z172-Z173)/Z172*AA172)+IF(TbTradesBinance[[#This Row],[Resultado]]&gt;0,0,TbTradesBinance[[#This Row],[Taxa]]),0),0))</f>
        <v>0</v>
      </c>
      <c r="AB173" s="145">
        <f t="shared" si="43"/>
        <v>0</v>
      </c>
      <c r="AC17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Row],[Tipo]]="DROP"),AC172+TbTradesBinance[[#This Row],[Qtt]],AC172-TbTradesBinance[[#This Row],[Qtt]]),IF(TbTradesBinance[[#This Row],[Tipo]]="BUY",AC172-TbTradesBinance[[#This Row],[Qtt]]*TbTradesBinance[[#This Row],[Preço]],AC172+TbTradesBinance[[#This Row],[Qtt]]*TbTradesBinance[[#This Row],[Preço]])),AC172)-IF(TbTradesBinance[[#This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Row],[Tipo]]="DROP"),AC172+TbTradesBinance[[#This Row],[Qtt]],AC172-TbTradesBinance[[#This Row],[Qtt]]),IF(TbTradesBinance[[#This Row],[Tipo]]="BUY",AC172-TbTradesBinance[[#This Row],[Qtt]]*TbTradesBinance[[#This Row],[Preço]],AC172+TbTradesBinance[[#This Row],[Qtt]]*TbTradesBinance[[#This Row],[Preço]])),AC172)-IF(TbTradesBinance[[#This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Row],[Tipo]]="DROP"),AC172+TbTradesBinance[[#This Row],[Qtt]],AC172-TbTradesBinance[[#This Row],[Qtt]]),IF(TbTradesBinance[[#This Row],[Tipo]]="BUY",AC172-TbTradesBinance[[#This Row],[Qtt]]*TbTradesBinance[[#This Row],[Preço]],AC172+TbTradesBinance[[#This Row],[Qtt]]*TbTradesBinance[[#This Row],[Preço]])),AC172)-IF(TbTradesBinance[[#This Row],[Moeda da Taxa]]=MID(AC$1,9,5),TbTradesBinance[[#This Row],[Taxa]],0),8)))</f>
        <v>0</v>
      </c>
      <c r="AD173" s="145" cm="1">
        <f t="array" ref="AD173">IF(TbTradesBinance[[#This Row],[Tipo]]="EMPTY",0,AD172+IF(TbTradesBinance[[#This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Row],[Par]]))),$1:$1,0)),-(AC172-AC173)/AC172*AD172),0),0)+IF(TbTradesBinance[[#This Row],[Tipo]]="SELL",IF(ISNUMBER(FIND(MID(AD$1,10,5),TbTradesBinance[[#This Row],[Par]])),IF(FIND(MID(AD$1,10,5),TbTradesBinance[[#This Row],[Par]])=1, -(AC172-AC173)/AC172*AD172,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Row],[Par]])),(-(AC172-AC173)/AC172*AD172)+IF(TbTradesBinance[[#This Row],[Resultado]]&gt;0,0,TbTradesBinance[[#This Row],[Taxa]]),0),0))</f>
        <v>0</v>
      </c>
      <c r="AE173" s="145">
        <f t="shared" si="44"/>
        <v>0</v>
      </c>
      <c r="AF17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Row],[Tipo]]="DROP"),AF172+TbTradesBinance[[#This Row],[Qtt]],AF172-TbTradesBinance[[#This Row],[Qtt]]),IF(TbTradesBinance[[#This Row],[Tipo]]="BUY",AF172-TbTradesBinance[[#This Row],[Qtt]]*TbTradesBinance[[#This Row],[Preço]],AF172+TbTradesBinance[[#This Row],[Qtt]]*TbTradesBinance[[#This Row],[Preço]])),AF172)-IF(TbTradesBinance[[#This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Row],[Tipo]]="DROP"),AF172+TbTradesBinance[[#This Row],[Qtt]],AF172-TbTradesBinance[[#This Row],[Qtt]]),IF(TbTradesBinance[[#This Row],[Tipo]]="BUY",AF172-TbTradesBinance[[#This Row],[Qtt]]*TbTradesBinance[[#This Row],[Preço]],AF172+TbTradesBinance[[#This Row],[Qtt]]*TbTradesBinance[[#This Row],[Preço]])),AF172)-IF(TbTradesBinance[[#This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Row],[Tipo]]="DROP"),AF172+TbTradesBinance[[#This Row],[Qtt]],AF172-TbTradesBinance[[#This Row],[Qtt]]),IF(TbTradesBinance[[#This Row],[Tipo]]="BUY",AF172-TbTradesBinance[[#This Row],[Qtt]]*TbTradesBinance[[#This Row],[Preço]],AF172+TbTradesBinance[[#This Row],[Qtt]]*TbTradesBinance[[#This Row],[Preço]])),AF172)-IF(TbTradesBinance[[#This Row],[Moeda da Taxa]]=MID(AF$1,9,5),TbTradesBinance[[#This Row],[Taxa]],0),8)))</f>
        <v>0</v>
      </c>
      <c r="AG173" s="145" cm="1">
        <f t="array" ref="AG173">IF(TbTradesBinance[[#This Row],[Tipo]]="EMPTY",0,AG172+IF(TbTradesBinance[[#This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Row],[Par]]))),$1:$1,0)),-(AF172-AF173)/AF172*AG172),0),0)+IF(TbTradesBinance[[#This Row],[Tipo]]="SELL",IF(ISNUMBER(FIND(MID(AG$1,10,5),TbTradesBinance[[#This Row],[Par]])),IF(FIND(MID(AG$1,10,5),TbTradesBinance[[#This Row],[Par]])=1, -(AF172-AF173)/AF172*AG172,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Row],[Par]])),(-(AF172-AF173)/AF172*AG172)+IF(TbTradesBinance[[#This Row],[Resultado]]&gt;0,0,TbTradesBinance[[#This Row],[Taxa]]),0),0))</f>
        <v>0</v>
      </c>
      <c r="AH173" s="145">
        <f t="shared" si="45"/>
        <v>0</v>
      </c>
      <c r="AI17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Row],[Tipo]]="DROP"),AI172+TbTradesBinance[[#This Row],[Qtt]],AI172-TbTradesBinance[[#This Row],[Qtt]]),IF(TbTradesBinance[[#This Row],[Tipo]]="BUY",AI172-TbTradesBinance[[#This Row],[Qtt]]*TbTradesBinance[[#This Row],[Preço]],AI172+TbTradesBinance[[#This Row],[Qtt]]*TbTradesBinance[[#This Row],[Preço]])),AI172)-IF(TbTradesBinance[[#This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Row],[Tipo]]="DROP"),AI172+TbTradesBinance[[#This Row],[Qtt]],AI172-TbTradesBinance[[#This Row],[Qtt]]),IF(TbTradesBinance[[#This Row],[Tipo]]="BUY",AI172-TbTradesBinance[[#This Row],[Qtt]]*TbTradesBinance[[#This Row],[Preço]],AI172+TbTradesBinance[[#This Row],[Qtt]]*TbTradesBinance[[#This Row],[Preço]])),AI172)-IF(TbTradesBinance[[#This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Row],[Tipo]]="DROP"),AI172+TbTradesBinance[[#This Row],[Qtt]],AI172-TbTradesBinance[[#This Row],[Qtt]]),IF(TbTradesBinance[[#This Row],[Tipo]]="BUY",AI172-TbTradesBinance[[#This Row],[Qtt]]*TbTradesBinance[[#This Row],[Preço]],AI172+TbTradesBinance[[#This Row],[Qtt]]*TbTradesBinance[[#This Row],[Preço]])),AI172)-IF(TbTradesBinance[[#This Row],[Moeda da Taxa]]=MID(AI$1,9,5),TbTradesBinance[[#This Row],[Taxa]],0),8)))</f>
        <v>0</v>
      </c>
      <c r="AJ173" s="145" cm="1">
        <f t="array" ref="AJ173">IF(TbTradesBinance[[#This Row],[Tipo]]="EMPTY",0,AJ172+IF(TbTradesBinance[[#This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Row],[Par]]))),$1:$1,0)),-(AI172-AI173)/AI172*AJ172),0),0)+IF(TbTradesBinance[[#This Row],[Tipo]]="SELL",IF(ISNUMBER(FIND(MID(AJ$1,10,5),TbTradesBinance[[#This Row],[Par]])),IF(FIND(MID(AJ$1,10,5),TbTradesBinance[[#This Row],[Par]])=1, -(AI172-AI173)/AI172*AJ172,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Row],[Par]])),(-(AI172-AI173)/AI172*AJ172)+IF(TbTradesBinance[[#This Row],[Resultado]]&gt;0,0,TbTradesBinance[[#This Row],[Taxa]]),0),0))</f>
        <v>0</v>
      </c>
      <c r="AK173" s="145">
        <f t="shared" si="46"/>
        <v>0</v>
      </c>
      <c r="AL17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Row],[Tipo]]="DROP"),AL172+TbTradesBinance[[#This Row],[Qtt]],AL172-TbTradesBinance[[#This Row],[Qtt]]),IF(TbTradesBinance[[#This Row],[Tipo]]="BUY",AL172-TbTradesBinance[[#This Row],[Qtt]]*TbTradesBinance[[#This Row],[Preço]],AL172+TbTradesBinance[[#This Row],[Qtt]]*TbTradesBinance[[#This Row],[Preço]])),AL172)-IF(TbTradesBinance[[#This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Row],[Tipo]]="DROP"),AL172+TbTradesBinance[[#This Row],[Qtt]],AL172-TbTradesBinance[[#This Row],[Qtt]]),IF(TbTradesBinance[[#This Row],[Tipo]]="BUY",AL172-TbTradesBinance[[#This Row],[Qtt]]*TbTradesBinance[[#This Row],[Preço]],AL172+TbTradesBinance[[#This Row],[Qtt]]*TbTradesBinance[[#This Row],[Preço]])),AL172)-IF(TbTradesBinance[[#This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Row],[Tipo]]="DROP"),AL172+TbTradesBinance[[#This Row],[Qtt]],AL172-TbTradesBinance[[#This Row],[Qtt]]),IF(TbTradesBinance[[#This Row],[Tipo]]="BUY",AL172-TbTradesBinance[[#This Row],[Qtt]]*TbTradesBinance[[#This Row],[Preço]],AL172+TbTradesBinance[[#This Row],[Qtt]]*TbTradesBinance[[#This Row],[Preço]])),AL172)-IF(TbTradesBinance[[#This Row],[Moeda da Taxa]]=MID(AL$1,9,5),TbTradesBinance[[#This Row],[Taxa]],0),8)))</f>
        <v>0</v>
      </c>
      <c r="AM173" s="145" cm="1">
        <f t="array" ref="AM173">IF(TbTradesBinance[[#This Row],[Tipo]]="EMPTY",0,AM172+IF(TbTradesBinance[[#This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Row],[Par]]))),$1:$1,0)),-(AL172-AL173)/AL172*AM172),0),0)+IF(TbTradesBinance[[#This Row],[Tipo]]="SELL",IF(ISNUMBER(FIND(MID(AM$1,10,5),TbTradesBinance[[#This Row],[Par]])),IF(FIND(MID(AM$1,10,5),TbTradesBinance[[#This Row],[Par]])=1, -(AL172-AL173)/AL172*AM172,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Row],[Par]])),(-(AL172-AL173)/AL172*AM172)+IF(TbTradesBinance[[#This Row],[Resultado]]&gt;0,0,TbTradesBinance[[#This Row],[Taxa]]),0),0))</f>
        <v>0</v>
      </c>
      <c r="AN173" s="145">
        <f t="shared" si="47"/>
        <v>0</v>
      </c>
      <c r="AO17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Row],[Tipo]]="DROP"),AO172+TbTradesBinance[[#This Row],[Qtt]],AO172-TbTradesBinance[[#This Row],[Qtt]]),IF(TbTradesBinance[[#This Row],[Tipo]]="BUY",AO172-TbTradesBinance[[#This Row],[Qtt]]*TbTradesBinance[[#This Row],[Preço]],AO172+TbTradesBinance[[#This Row],[Qtt]]*TbTradesBinance[[#This Row],[Preço]])),AO172)-IF(TbTradesBinance[[#This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Row],[Tipo]]="DROP"),AO172+TbTradesBinance[[#This Row],[Qtt]],AO172-TbTradesBinance[[#This Row],[Qtt]]),IF(TbTradesBinance[[#This Row],[Tipo]]="BUY",AO172-TbTradesBinance[[#This Row],[Qtt]]*TbTradesBinance[[#This Row],[Preço]],AO172+TbTradesBinance[[#This Row],[Qtt]]*TbTradesBinance[[#This Row],[Preço]])),AO172)-IF(TbTradesBinance[[#This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Row],[Tipo]]="DROP"),AO172+TbTradesBinance[[#This Row],[Qtt]],AO172-TbTradesBinance[[#This Row],[Qtt]]),IF(TbTradesBinance[[#This Row],[Tipo]]="BUY",AO172-TbTradesBinance[[#This Row],[Qtt]]*TbTradesBinance[[#This Row],[Preço]],AO172+TbTradesBinance[[#This Row],[Qtt]]*TbTradesBinance[[#This Row],[Preço]])),AO172)-IF(TbTradesBinance[[#This Row],[Moeda da Taxa]]=MID(AO$1,9,5),TbTradesBinance[[#This Row],[Taxa]],0),8)))</f>
        <v>3.8423020000000002E-2</v>
      </c>
      <c r="AP173" s="145" cm="1">
        <f t="array" ref="AP173">IF(TbTradesBinance[[#This Row],[Tipo]]="EMPTY",0,AP172+IF(TbTradesBinance[[#This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Row],[Par]]))),$1:$1,0)),-(AO172-AO173)/AO172*AP172),0),0)+IF(TbTradesBinance[[#This Row],[Tipo]]="SELL",IF(ISNUMBER(FIND(MID(AP$1,10,5),TbTradesBinance[[#This Row],[Par]])),IF(FIND(MID(AP$1,10,5),TbTradesBinance[[#This Row],[Par]])=1, -(AO172-AO173)/AO172*AP172,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Row],[Par]])),(-(AO172-AO173)/AO172*AP172)+IF(TbTradesBinance[[#This Row],[Resultado]]&gt;0,0,TbTradesBinance[[#This Row],[Taxa]]),0),0))</f>
        <v>60.349858055862811</v>
      </c>
      <c r="AQ173" s="145">
        <f t="shared" si="48"/>
        <v>1570.6693033463482</v>
      </c>
      <c r="AR17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Row],[Tipo]]="DROP"),AR172+TbTradesBinance[[#This Row],[Qtt]],AR172-TbTradesBinance[[#This Row],[Qtt]]),IF(TbTradesBinance[[#This Row],[Tipo]]="BUY",AR172-TbTradesBinance[[#This Row],[Qtt]]*TbTradesBinance[[#This Row],[Preço]],AR172+TbTradesBinance[[#This Row],[Qtt]]*TbTradesBinance[[#This Row],[Preço]])),AR172)-IF(TbTradesBinance[[#This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Row],[Tipo]]="DROP"),AR172+TbTradesBinance[[#This Row],[Qtt]],AR172-TbTradesBinance[[#This Row],[Qtt]]),IF(TbTradesBinance[[#This Row],[Tipo]]="BUY",AR172-TbTradesBinance[[#This Row],[Qtt]]*TbTradesBinance[[#This Row],[Preço]],AR172+TbTradesBinance[[#This Row],[Qtt]]*TbTradesBinance[[#This Row],[Preço]])),AR172)-IF(TbTradesBinance[[#This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Row],[Tipo]]="DROP"),AR172+TbTradesBinance[[#This Row],[Qtt]],AR172-TbTradesBinance[[#This Row],[Qtt]]),IF(TbTradesBinance[[#This Row],[Tipo]]="BUY",AR172-TbTradesBinance[[#This Row],[Qtt]]*TbTradesBinance[[#This Row],[Preço]],AR172+TbTradesBinance[[#This Row],[Qtt]]*TbTradesBinance[[#This Row],[Preço]])),AR172)-IF(TbTradesBinance[[#This Row],[Moeda da Taxa]]=MID(AR$1,9,5),TbTradesBinance[[#This Row],[Taxa]],0),8)))</f>
        <v>0</v>
      </c>
      <c r="AS173" s="145" cm="1">
        <f t="array" ref="AS173">IF(TbTradesBinance[[#This Row],[Tipo]]="EMPTY",0,AS172+IF(TbTradesBinance[[#This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Row],[Par]]))),$1:$1,0)),-(AR172-AR173)/AR172*AS172),0),0)+IF(TbTradesBinance[[#This Row],[Tipo]]="SELL",IF(ISNUMBER(FIND(MID(AS$1,10,5),TbTradesBinance[[#This Row],[Par]])),IF(FIND(MID(AS$1,10,5),TbTradesBinance[[#This Row],[Par]])=1, -(AR172-AR173)/AR172*AS172,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Row],[Par]])),(-(AR172-AR173)/AR172*AS172)+IF(TbTradesBinance[[#This Row],[Resultado]]&gt;0,0,TbTradesBinance[[#This Row],[Taxa]]),0),0))</f>
        <v>0</v>
      </c>
      <c r="AT173" s="145">
        <f t="shared" si="49"/>
        <v>0</v>
      </c>
      <c r="AU17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Row],[Tipo]]="DROP"),AU172+TbTradesBinance[[#This Row],[Qtt]],AU172-TbTradesBinance[[#This Row],[Qtt]]),IF(TbTradesBinance[[#This Row],[Tipo]]="BUY",AU172-TbTradesBinance[[#This Row],[Qtt]]*TbTradesBinance[[#This Row],[Preço]],AU172+TbTradesBinance[[#This Row],[Qtt]]*TbTradesBinance[[#This Row],[Preço]])),AU172)-IF(TbTradesBinance[[#This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Row],[Tipo]]="DROP"),AU172+TbTradesBinance[[#This Row],[Qtt]],AU172-TbTradesBinance[[#This Row],[Qtt]]),IF(TbTradesBinance[[#This Row],[Tipo]]="BUY",AU172-TbTradesBinance[[#This Row],[Qtt]]*TbTradesBinance[[#This Row],[Preço]],AU172+TbTradesBinance[[#This Row],[Qtt]]*TbTradesBinance[[#This Row],[Preço]])),AU172)-IF(TbTradesBinance[[#This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Row],[Tipo]]="DROP"),AU172+TbTradesBinance[[#This Row],[Qtt]],AU172-TbTradesBinance[[#This Row],[Qtt]]),IF(TbTradesBinance[[#This Row],[Tipo]]="BUY",AU172-TbTradesBinance[[#This Row],[Qtt]]*TbTradesBinance[[#This Row],[Preço]],AU172+TbTradesBinance[[#This Row],[Qtt]]*TbTradesBinance[[#This Row],[Preço]])),AU172)-IF(TbTradesBinance[[#This Row],[Moeda da Taxa]]=MID(AU$1,9,5),TbTradesBinance[[#This Row],[Taxa]],0),8)))</f>
        <v>0.51</v>
      </c>
      <c r="AV173" s="145" cm="1">
        <f t="array" ref="AV173">IF(TbTradesBinance[[#This Row],[Tipo]]="EMPTY",0,AV172+IF(TbTradesBinance[[#This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Row],[Par]]))),$1:$1,0)),-(AU172-AU173)/AU172*AV172),0),0)+IF(TbTradesBinance[[#This Row],[Tipo]]="SELL",IF(ISNUMBER(FIND(MID(AV$1,10,5),TbTradesBinance[[#This Row],[Par]])),IF(FIND(MID(AV$1,10,5),TbTradesBinance[[#This Row],[Par]])=1, -(AU172-AU173)/AU172*AV172,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Row],[Par]])),(-(AU172-AU173)/AU172*AV172)+IF(TbTradesBinance[[#This Row],[Resultado]]&gt;0,0,TbTradesBinance[[#This Row],[Taxa]]),0),0))</f>
        <v>95.466693037374753</v>
      </c>
      <c r="AW173" s="145">
        <f t="shared" si="50"/>
        <v>187.18959419093088</v>
      </c>
      <c r="AX17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Row],[Tipo]]="DROP"),AX172+TbTradesBinance[[#This Row],[Qtt]],AX172-TbTradesBinance[[#This Row],[Qtt]]),IF(TbTradesBinance[[#This Row],[Tipo]]="BUY",AX172-TbTradesBinance[[#This Row],[Qtt]]*TbTradesBinance[[#This Row],[Preço]],AX172+TbTradesBinance[[#This Row],[Qtt]]*TbTradesBinance[[#This Row],[Preço]])),AX172)-IF(TbTradesBinance[[#This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Row],[Tipo]]="DROP"),AX172+TbTradesBinance[[#This Row],[Qtt]],AX172-TbTradesBinance[[#This Row],[Qtt]]),IF(TbTradesBinance[[#This Row],[Tipo]]="BUY",AX172-TbTradesBinance[[#This Row],[Qtt]]*TbTradesBinance[[#This Row],[Preço]],AX172+TbTradesBinance[[#This Row],[Qtt]]*TbTradesBinance[[#This Row],[Preço]])),AX172)-IF(TbTradesBinance[[#This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Row],[Tipo]]="DROP"),AX172+TbTradesBinance[[#This Row],[Qtt]],AX172-TbTradesBinance[[#This Row],[Qtt]]),IF(TbTradesBinance[[#This Row],[Tipo]]="BUY",AX172-TbTradesBinance[[#This Row],[Qtt]]*TbTradesBinance[[#This Row],[Preço]],AX172+TbTradesBinance[[#This Row],[Qtt]]*TbTradesBinance[[#This Row],[Preço]])),AX172)-IF(TbTradesBinance[[#This Row],[Moeda da Taxa]]=MID(AX$1,9,5),TbTradesBinance[[#This Row],[Taxa]],0),8)))</f>
        <v>0.32838000000000001</v>
      </c>
      <c r="AY173" s="145" cm="1">
        <f t="array" ref="AY173">IF(TbTradesBinance[[#This Row],[Tipo]]="EMPTY",0,AY172+IF(TbTradesBinance[[#This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Row],[Par]]))),$1:$1,0)),-(AX172-AX173)/AX172*AY172),0),0)+IF(TbTradesBinance[[#This Row],[Tipo]]="SELL",IF(ISNUMBER(FIND(MID(AY$1,10,5),TbTradesBinance[[#This Row],[Par]])),IF(FIND(MID(AY$1,10,5),TbTradesBinance[[#This Row],[Par]])=1, -(AX172-AX173)/AX172*AY172,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Row],[Par]])),(-(AX172-AX173)/AX172*AY172)+IF(TbTradesBinance[[#This Row],[Resultado]]&gt;0,0,TbTradesBinance[[#This Row],[Taxa]]),0),0))</f>
        <v>61.364116058805678</v>
      </c>
      <c r="AZ173" s="145">
        <f t="shared" si="51"/>
        <v>186.869224857804</v>
      </c>
      <c r="BA17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Row],[Tipo]]="DROP"),BA172+TbTradesBinance[[#This Row],[Qtt]],BA172-TbTradesBinance[[#This Row],[Qtt]]),IF(TbTradesBinance[[#This Row],[Tipo]]="BUY",BA172-TbTradesBinance[[#This Row],[Qtt]]*TbTradesBinance[[#This Row],[Preço]],BA172+TbTradesBinance[[#This Row],[Qtt]]*TbTradesBinance[[#This Row],[Preço]])),BA172)-IF(TbTradesBinance[[#This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Row],[Tipo]]="DROP"),BA172+TbTradesBinance[[#This Row],[Qtt]],BA172-TbTradesBinance[[#This Row],[Qtt]]),IF(TbTradesBinance[[#This Row],[Tipo]]="BUY",BA172-TbTradesBinance[[#This Row],[Qtt]]*TbTradesBinance[[#This Row],[Preço]],BA172+TbTradesBinance[[#This Row],[Qtt]]*TbTradesBinance[[#This Row],[Preço]])),BA172)-IF(TbTradesBinance[[#This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Row],[Tipo]]="DROP"),BA172+TbTradesBinance[[#This Row],[Qtt]],BA172-TbTradesBinance[[#This Row],[Qtt]]),IF(TbTradesBinance[[#This Row],[Tipo]]="BUY",BA172-TbTradesBinance[[#This Row],[Qtt]]*TbTradesBinance[[#This Row],[Preço]],BA172+TbTradesBinance[[#This Row],[Qtt]]*TbTradesBinance[[#This Row],[Preço]])),BA172)-IF(TbTradesBinance[[#This Row],[Moeda da Taxa]]=MID(BA$1,9,5),TbTradesBinance[[#This Row],[Taxa]],0),8)))</f>
        <v>0</v>
      </c>
      <c r="BB173" s="145" cm="1">
        <f t="array" ref="BB173">IF(TbTradesBinance[[#This Row],[Tipo]]="EMPTY",0,BB172+IF(TbTradesBinance[[#This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Row],[Par]]))),$1:$1,0)),-(BA172-BA173)/BA172*BB172),0),0)+IF(TbTradesBinance[[#This Row],[Tipo]]="SELL",IF(ISNUMBER(FIND(MID(BB$1,10,5),TbTradesBinance[[#This Row],[Par]])),IF(FIND(MID(BB$1,10,5),TbTradesBinance[[#This Row],[Par]])=1, -(BA172-BA173)/BA172*BB172,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Row],[Par]])),(-(BA172-BA173)/BA172*BB172)+IF(TbTradesBinance[[#This Row],[Resultado]]&gt;0,0,TbTradesBinance[[#This Row],[Taxa]]),0),0))</f>
        <v>0</v>
      </c>
      <c r="BC173" s="145">
        <f t="shared" si="52"/>
        <v>0</v>
      </c>
      <c r="BD17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Row],[Tipo]]="DROP"),BD172+TbTradesBinance[[#This Row],[Qtt]],BD172-TbTradesBinance[[#This Row],[Qtt]]),IF(TbTradesBinance[[#This Row],[Tipo]]="BUY",BD172-TbTradesBinance[[#This Row],[Qtt]]*TbTradesBinance[[#This Row],[Preço]],BD172+TbTradesBinance[[#This Row],[Qtt]]*TbTradesBinance[[#This Row],[Preço]])),BD172)-IF(TbTradesBinance[[#This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Row],[Tipo]]="DROP"),BD172+TbTradesBinance[[#This Row],[Qtt]],BD172-TbTradesBinance[[#This Row],[Qtt]]),IF(TbTradesBinance[[#This Row],[Tipo]]="BUY",BD172-TbTradesBinance[[#This Row],[Qtt]]*TbTradesBinance[[#This Row],[Preço]],BD172+TbTradesBinance[[#This Row],[Qtt]]*TbTradesBinance[[#This Row],[Preço]])),BD172)-IF(TbTradesBinance[[#This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Row],[Tipo]]="DROP"),BD172+TbTradesBinance[[#This Row],[Qtt]],BD172-TbTradesBinance[[#This Row],[Qtt]]),IF(TbTradesBinance[[#This Row],[Tipo]]="BUY",BD172-TbTradesBinance[[#This Row],[Qtt]]*TbTradesBinance[[#This Row],[Preço]],BD172+TbTradesBinance[[#This Row],[Qtt]]*TbTradesBinance[[#This Row],[Preço]])),BD172)-IF(TbTradesBinance[[#This Row],[Moeda da Taxa]]=MID(BD$1,9,5),TbTradesBinance[[#This Row],[Taxa]],0),8)))</f>
        <v>0</v>
      </c>
      <c r="BE173" s="145" cm="1">
        <f t="array" ref="BE173">IF(TbTradesBinance[[#This Row],[Tipo]]="EMPTY",0,BE172+IF(TbTradesBinance[[#This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Row],[Par]]))),$1:$1,0)),-(BD172-BD173)/BD172*BE172),0),0)+IF(TbTradesBinance[[#This Row],[Tipo]]="SELL",IF(ISNUMBER(FIND(MID(BE$1,10,5),TbTradesBinance[[#This Row],[Par]])),IF(FIND(MID(BE$1,10,5),TbTradesBinance[[#This Row],[Par]])=1, -(BD172-BD173)/BD172*BE172,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Row],[Par]])),(-(BD172-BD173)/BD172*BE172)+IF(TbTradesBinance[[#This Row],[Resultado]]&gt;0,0,TbTradesBinance[[#This Row],[Taxa]]),0),0))</f>
        <v>0</v>
      </c>
      <c r="BF173" s="145">
        <f t="shared" si="53"/>
        <v>0</v>
      </c>
      <c r="BG17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Row],[Tipo]]="DROP"),BG172+TbTradesBinance[[#This Row],[Qtt]],BG172-TbTradesBinance[[#This Row],[Qtt]]),IF(TbTradesBinance[[#This Row],[Tipo]]="BUY",BG172-TbTradesBinance[[#This Row],[Qtt]]*TbTradesBinance[[#This Row],[Preço]],BG172+TbTradesBinance[[#This Row],[Qtt]]*TbTradesBinance[[#This Row],[Preço]])),BG172)-IF(TbTradesBinance[[#This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Row],[Tipo]]="DROP"),BG172+TbTradesBinance[[#This Row],[Qtt]],BG172-TbTradesBinance[[#This Row],[Qtt]]),IF(TbTradesBinance[[#This Row],[Tipo]]="BUY",BG172-TbTradesBinance[[#This Row],[Qtt]]*TbTradesBinance[[#This Row],[Preço]],BG172+TbTradesBinance[[#This Row],[Qtt]]*TbTradesBinance[[#This Row],[Preço]])),BG172)-IF(TbTradesBinance[[#This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Row],[Tipo]]="DROP"),BG172+TbTradesBinance[[#This Row],[Qtt]],BG172-TbTradesBinance[[#This Row],[Qtt]]),IF(TbTradesBinance[[#This Row],[Tipo]]="BUY",BG172-TbTradesBinance[[#This Row],[Qtt]]*TbTradesBinance[[#This Row],[Preço]],BG172+TbTradesBinance[[#This Row],[Qtt]]*TbTradesBinance[[#This Row],[Preço]])),BG172)-IF(TbTradesBinance[[#This Row],[Moeda da Taxa]]=MID(BG$1,9,5),TbTradesBinance[[#This Row],[Taxa]],0),8)))</f>
        <v>0</v>
      </c>
      <c r="BH173" s="145" cm="1">
        <f t="array" ref="BH173">IF(TbTradesBinance[[#This Row],[Tipo]]="EMPTY",0,BH172+IF(TbTradesBinance[[#This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Row],[Par]]))),$1:$1,0)),-(BG172-BG173)/BG172*BH172),0),0)+IF(TbTradesBinance[[#This Row],[Tipo]]="SELL",IF(ISNUMBER(FIND(MID(BH$1,10,5),TbTradesBinance[[#This Row],[Par]])),IF(FIND(MID(BH$1,10,5),TbTradesBinance[[#This Row],[Par]])=1, -(BG172-BG173)/BG172*BH172,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Row],[Par]])),(-(BG172-BG173)/BG172*BH172)+IF(TbTradesBinance[[#This Row],[Resultado]]&gt;0,0,TbTradesBinance[[#This Row],[Taxa]]),0),0))</f>
        <v>0</v>
      </c>
      <c r="BI173" s="145">
        <f t="shared" si="54"/>
        <v>0</v>
      </c>
      <c r="BJ17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Row],[Tipo]]="DROP"),BJ172+TbTradesBinance[[#This Row],[Qtt]],BJ172-TbTradesBinance[[#This Row],[Qtt]]),IF(TbTradesBinance[[#This Row],[Tipo]]="BUY",BJ172-TbTradesBinance[[#This Row],[Qtt]]*TbTradesBinance[[#This Row],[Preço]],BJ172+TbTradesBinance[[#This Row],[Qtt]]*TbTradesBinance[[#This Row],[Preço]])),BJ172)-IF(TbTradesBinance[[#This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Row],[Tipo]]="DROP"),BJ172+TbTradesBinance[[#This Row],[Qtt]],BJ172-TbTradesBinance[[#This Row],[Qtt]]),IF(TbTradesBinance[[#This Row],[Tipo]]="BUY",BJ172-TbTradesBinance[[#This Row],[Qtt]]*TbTradesBinance[[#This Row],[Preço]],BJ172+TbTradesBinance[[#This Row],[Qtt]]*TbTradesBinance[[#This Row],[Preço]])),BJ172)-IF(TbTradesBinance[[#This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Row],[Tipo]]="DROP"),BJ172+TbTradesBinance[[#This Row],[Qtt]],BJ172-TbTradesBinance[[#This Row],[Qtt]]),IF(TbTradesBinance[[#This Row],[Tipo]]="BUY",BJ172-TbTradesBinance[[#This Row],[Qtt]]*TbTradesBinance[[#This Row],[Preço]],BJ172+TbTradesBinance[[#This Row],[Qtt]]*TbTradesBinance[[#This Row],[Preço]])),BJ172)-IF(TbTradesBinance[[#This Row],[Moeda da Taxa]]=MID(BJ$1,9,5),TbTradesBinance[[#This Row],[Taxa]],0),8)))</f>
        <v>0</v>
      </c>
      <c r="BK173" s="145" cm="1">
        <f t="array" ref="BK173">IF(TbTradesBinance[[#This Row],[Tipo]]="EMPTY",0,BK172+IF(TbTradesBinance[[#This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Row],[Par]]))),$1:$1,0)),-(BJ172-BJ173)/BJ172*BK172),0),0)+IF(TbTradesBinance[[#This Row],[Tipo]]="SELL",IF(ISNUMBER(FIND(MID(BK$1,10,5),TbTradesBinance[[#This Row],[Par]])),IF(FIND(MID(BK$1,10,5),TbTradesBinance[[#This Row],[Par]])=1, -(BJ172-BJ173)/BJ172*BK172,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Row],[Par]])),(-(BJ172-BJ173)/BJ172*BK172)+IF(TbTradesBinance[[#This Row],[Resultado]]&gt;0,0,TbTradesBinance[[#This Row],[Taxa]]),0),0))</f>
        <v>0</v>
      </c>
      <c r="BL173" s="145">
        <f t="shared" si="55"/>
        <v>0</v>
      </c>
      <c r="BM17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Row],[Tipo]]="DROP"),BM172+TbTradesBinance[[#This Row],[Qtt]],BM172-TbTradesBinance[[#This Row],[Qtt]]),IF(TbTradesBinance[[#This Row],[Tipo]]="BUY",BM172-TbTradesBinance[[#This Row],[Qtt]]*TbTradesBinance[[#This Row],[Preço]],BM172+TbTradesBinance[[#This Row],[Qtt]]*TbTradesBinance[[#This Row],[Preço]])),BM172)-IF(TbTradesBinance[[#This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Row],[Tipo]]="DROP"),BM172+TbTradesBinance[[#This Row],[Qtt]],BM172-TbTradesBinance[[#This Row],[Qtt]]),IF(TbTradesBinance[[#This Row],[Tipo]]="BUY",BM172-TbTradesBinance[[#This Row],[Qtt]]*TbTradesBinance[[#This Row],[Preço]],BM172+TbTradesBinance[[#This Row],[Qtt]]*TbTradesBinance[[#This Row],[Preço]])),BM172)-IF(TbTradesBinance[[#This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Row],[Tipo]]="DROP"),BM172+TbTradesBinance[[#This Row],[Qtt]],BM172-TbTradesBinance[[#This Row],[Qtt]]),IF(TbTradesBinance[[#This Row],[Tipo]]="BUY",BM172-TbTradesBinance[[#This Row],[Qtt]]*TbTradesBinance[[#This Row],[Preço]],BM172+TbTradesBinance[[#This Row],[Qtt]]*TbTradesBinance[[#This Row],[Preço]])),BM172)-IF(TbTradesBinance[[#This Row],[Moeda da Taxa]]=MID(BM$1,9,5),TbTradesBinance[[#This Row],[Taxa]],0),8)))</f>
        <v>0</v>
      </c>
      <c r="BN173" s="145" cm="1">
        <f t="array" ref="BN173">IF(TbTradesBinance[[#This Row],[Tipo]]="EMPTY",0,BN172+IF(TbTradesBinance[[#This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Row],[Par]]))),$1:$1,0)),-(BM172-BM173)/BM172*BN172),0),0)+IF(TbTradesBinance[[#This Row],[Tipo]]="SELL",IF(ISNUMBER(FIND(MID(BN$1,10,5),TbTradesBinance[[#This Row],[Par]])),IF(FIND(MID(BN$1,10,5),TbTradesBinance[[#This Row],[Par]])=1, -(BM172-BM173)/BM172*BN172,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Row],[Par]])),(-(BM172-BM173)/BM172*BN172)+IF(TbTradesBinance[[#This Row],[Resultado]]&gt;0,0,TbTradesBinance[[#This Row],[Taxa]]),0),0))</f>
        <v>0</v>
      </c>
      <c r="BO173" s="145">
        <f t="shared" si="56"/>
        <v>0</v>
      </c>
    </row>
    <row r="174" spans="2:67" x14ac:dyDescent="0.3">
      <c r="B174" s="51"/>
      <c r="C174" s="40">
        <f>TRUNC(IF(AND(TbTradesBinance[[#This Row],[Tipo]]="SEND",TbTradesBinance[[#This Row],[Par]]="BRL"),TbTradesBinance[[#This Row],[Qtt]]*(1-P172)-IF(TbTradesBinance[[#This Row],[Moeda da Taxa]]="BRL",TbTradesBinance[[#This Row],[Taxa]],0),0)+IF(AND(TbTradesBinance[[#This Row],[Tipo]]="BURN",TbTradesBinance[[#This Row],[Par]]="BRL"),-TbTradesBinance[[#This Row],[Qtt]]*P172,0),2)</f>
        <v>0</v>
      </c>
      <c r="D174" s="53">
        <v>44328.911909722221</v>
      </c>
      <c r="E174" s="37" t="s">
        <v>237</v>
      </c>
      <c r="F174" s="47" t="s">
        <v>139</v>
      </c>
      <c r="G174" s="38">
        <v>5.399</v>
      </c>
      <c r="H174" s="38">
        <v>9.26</v>
      </c>
      <c r="I174" s="38">
        <v>1.1420000000000001E-5</v>
      </c>
      <c r="J174" s="37" t="s">
        <v>45</v>
      </c>
      <c r="K174" s="52">
        <v>1</v>
      </c>
      <c r="L174" s="40">
        <f t="shared" si="38"/>
        <v>5.39</v>
      </c>
      <c r="M174" s="40">
        <f>IF(OR(TbTradesBinance[[#This Row],[Tipo]]="BUY",TbTradesBinance[[#This Row],[Tipo]]="RECEIVE",TbTradesBinance[[#This Row],[Tipo]]="DROP"),L174*H174,-L174*H174)</f>
        <v>49.911399999999993</v>
      </c>
      <c r="N17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Row],[Tipo]]="DROP"),N173+TbTradesBinance[[#This Row],[Qtt]],N173-TbTradesBinance[[#This Row],[Qtt]]),IF(TbTradesBinance[[#This Row],[Tipo]]="BUY",N173-TbTradesBinance[[#This Row],[Qtt]]*TbTradesBinance[[#This Row],[Preço]],N173+TbTradesBinance[[#This Row],[Qtt]]*TbTradesBinance[[#This Row],[Preço]])),N173)-IF(TbTradesBinance[[#This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Row],[Tipo]]="DROP"),N173+TbTradesBinance[[#This Row],[Qtt]],N173-TbTradesBinance[[#This Row],[Qtt]]),IF(TbTradesBinance[[#This Row],[Tipo]]="BUY",N173-TbTradesBinance[[#This Row],[Qtt]]*TbTradesBinance[[#This Row],[Preço]],N173+TbTradesBinance[[#This Row],[Qtt]]*TbTradesBinance[[#This Row],[Preço]])),N173)-IF(TbTradesBinance[[#This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Row],[Tipo]]="DROP"),N173+TbTradesBinance[[#This Row],[Qtt]],N173-TbTradesBinance[[#This Row],[Qtt]]),IF(TbTradesBinance[[#This Row],[Tipo]]="BUY",N173-TbTradesBinance[[#This Row],[Qtt]]*TbTradesBinance[[#This Row],[Preço]],N173+TbTradesBinance[[#This Row],[Qtt]]*TbTradesBinance[[#This Row],[Preço]])),N173)-IF(TbTradesBinance[[#This Row],[Moeda da Taxa]]=MID(N$1,9,5),TbTradesBinance[[#This Row],[Taxa]],0),8)))</f>
        <v>119856.95331599</v>
      </c>
      <c r="O174" s="145" cm="1">
        <f t="array" ref="O174">IF(TbTradesBinance[[#This Row],[Tipo]]="EMPTY",0,O173+IF(TbTradesBinance[[#This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Row],[Par]]))),$1:$1,0)),-(N173-N174)/N173*O173),0),0)+IF(TbTradesBinance[[#This Row],[Tipo]]="SELL",IF(ISNUMBER(FIND(MID(O$1,10,5),TbTradesBinance[[#This Row],[Par]])),IF(FIND(MID(O$1,10,5),TbTradesBinance[[#This Row],[Par]])=1, -(N173-N174)/N173*O173,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Row],[Par]])),(-(N173-N174)/N173*O173)+IF(TbTradesBinance[[#This Row],[Resultado]]&gt;0,0,TbTradesBinance[[#This Row],[Taxa]]),0),0))</f>
        <v>119955.60680097806</v>
      </c>
      <c r="P174" s="145">
        <f t="shared" si="39"/>
        <v>1.0008230935482563</v>
      </c>
      <c r="Q17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Row],[Tipo]]="DROP"),Q173+TbTradesBinance[[#This Row],[Qtt]],Q173-TbTradesBinance[[#This Row],[Qtt]]),IF(TbTradesBinance[[#This Row],[Tipo]]="BUY",Q173-TbTradesBinance[[#This Row],[Qtt]]*TbTradesBinance[[#This Row],[Preço]],Q173+TbTradesBinance[[#This Row],[Qtt]]*TbTradesBinance[[#This Row],[Preço]])),Q173)-IF(TbTradesBinance[[#This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Row],[Tipo]]="DROP"),Q173+TbTradesBinance[[#This Row],[Qtt]],Q173-TbTradesBinance[[#This Row],[Qtt]]),IF(TbTradesBinance[[#This Row],[Tipo]]="BUY",Q173-TbTradesBinance[[#This Row],[Qtt]]*TbTradesBinance[[#This Row],[Preço]],Q173+TbTradesBinance[[#This Row],[Qtt]]*TbTradesBinance[[#This Row],[Preço]])),Q173)-IF(TbTradesBinance[[#This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Row],[Tipo]]="DROP"),Q173+TbTradesBinance[[#This Row],[Qtt]],Q173-TbTradesBinance[[#This Row],[Qtt]]),IF(TbTradesBinance[[#This Row],[Tipo]]="BUY",Q173-TbTradesBinance[[#This Row],[Qtt]]*TbTradesBinance[[#This Row],[Preço]],Q173+TbTradesBinance[[#This Row],[Qtt]]*TbTradesBinance[[#This Row],[Preço]])),Q173)-IF(TbTradesBinance[[#This Row],[Moeda da Taxa]]=MID(Q$1,9,5),TbTradesBinance[[#This Row],[Taxa]],0),8)))</f>
        <v>19.938341000000001</v>
      </c>
      <c r="R174" s="145" cm="1">
        <f t="array" ref="R174">IF(TbTradesBinance[[#This Row],[Tipo]]="EMPTY",0,R173+IF(TbTradesBinance[[#This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Row],[Par]]))),$1:$1,0)),-(Q173-Q174)/Q173*R173),0),0)+IF(TbTradesBinance[[#This Row],[Tipo]]="SELL",IF(ISNUMBER(FIND(MID(R$1,10,5),TbTradesBinance[[#This Row],[Par]])),IF(FIND(MID(R$1,10,5),TbTradesBinance[[#This Row],[Par]])=1, -(Q173-Q174)/Q173*R173,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Row],[Par]])),(-(Q173-Q174)/Q173*R173)+IF(TbTradesBinance[[#This Row],[Resultado]]&gt;0,0,TbTradesBinance[[#This Row],[Taxa]]),0),0))</f>
        <v>89.253661659679437</v>
      </c>
      <c r="S174" s="145">
        <f t="shared" si="40"/>
        <v>4.4764838588967573</v>
      </c>
      <c r="T17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Row],[Tipo]]="DROP"),T173+TbTradesBinance[[#This Row],[Qtt]],T173-TbTradesBinance[[#This Row],[Qtt]]),IF(TbTradesBinance[[#This Row],[Tipo]]="BUY",T173-TbTradesBinance[[#This Row],[Qtt]]*TbTradesBinance[[#This Row],[Preço]],T173+TbTradesBinance[[#This Row],[Qtt]]*TbTradesBinance[[#This Row],[Preço]])),T173)-IF(TbTradesBinance[[#This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Row],[Tipo]]="DROP"),T173+TbTradesBinance[[#This Row],[Qtt]],T173-TbTradesBinance[[#This Row],[Qtt]]),IF(TbTradesBinance[[#This Row],[Tipo]]="BUY",T173-TbTradesBinance[[#This Row],[Qtt]]*TbTradesBinance[[#This Row],[Preço]],T173+TbTradesBinance[[#This Row],[Qtt]]*TbTradesBinance[[#This Row],[Preço]])),T173)-IF(TbTradesBinance[[#This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Row],[Tipo]]="DROP"),T173+TbTradesBinance[[#This Row],[Qtt]],T173-TbTradesBinance[[#This Row],[Qtt]]),IF(TbTradesBinance[[#This Row],[Tipo]]="BUY",T173-TbTradesBinance[[#This Row],[Qtt]]*TbTradesBinance[[#This Row],[Preço]],T173+TbTradesBinance[[#This Row],[Qtt]]*TbTradesBinance[[#This Row],[Preço]])),T173)-IF(TbTradesBinance[[#This Row],[Moeda da Taxa]]=MID(T$1,9,5),TbTradesBinance[[#This Row],[Taxa]],0),8)))</f>
        <v>219713.72000189999</v>
      </c>
      <c r="U174" s="145" cm="1">
        <f t="array" ref="U174">IF(TbTradesBinance[[#This Row],[Tipo]]="EMPTY",0,U173+IF(TbTradesBinance[[#This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Row],[Par]]))),$1:$1,0)),-(T173-T174)/T173*U173),0),0)+IF(TbTradesBinance[[#This Row],[Tipo]]="SELL",IF(ISNUMBER(FIND(MID(U$1,10,5),TbTradesBinance[[#This Row],[Par]])),IF(FIND(MID(U$1,10,5),TbTradesBinance[[#This Row],[Par]])=1, -(T173-T174)/T173*U173,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Row],[Par]])),(-(T173-T174)/T173*U173)+IF(TbTradesBinance[[#This Row],[Resultado]]&gt;0,0,TbTradesBinance[[#This Row],[Taxa]]),0),0))</f>
        <v>1461096.2409827893</v>
      </c>
      <c r="V174" s="145">
        <f t="shared" si="41"/>
        <v>6.6500000135182926</v>
      </c>
      <c r="W17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Row],[Tipo]]="DROP"),W173+TbTradesBinance[[#This Row],[Qtt]],W173-TbTradesBinance[[#This Row],[Qtt]]),IF(TbTradesBinance[[#This Row],[Tipo]]="BUY",W173-TbTradesBinance[[#This Row],[Qtt]]*TbTradesBinance[[#This Row],[Preço]],W173+TbTradesBinance[[#This Row],[Qtt]]*TbTradesBinance[[#This Row],[Preço]])),W173)-IF(TbTradesBinance[[#This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Row],[Tipo]]="DROP"),W173+TbTradesBinance[[#This Row],[Qtt]],W173-TbTradesBinance[[#This Row],[Qtt]]),IF(TbTradesBinance[[#This Row],[Tipo]]="BUY",W173-TbTradesBinance[[#This Row],[Qtt]]*TbTradesBinance[[#This Row],[Preço]],W173+TbTradesBinance[[#This Row],[Qtt]]*TbTradesBinance[[#This Row],[Preço]])),W173)-IF(TbTradesBinance[[#This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Row],[Tipo]]="DROP"),W173+TbTradesBinance[[#This Row],[Qtt]],W173-TbTradesBinance[[#This Row],[Qtt]]),IF(TbTradesBinance[[#This Row],[Tipo]]="BUY",W173-TbTradesBinance[[#This Row],[Qtt]]*TbTradesBinance[[#This Row],[Preço]],W173+TbTradesBinance[[#This Row],[Qtt]]*TbTradesBinance[[#This Row],[Preço]])),W173)-IF(TbTradesBinance[[#This Row],[Moeda da Taxa]]=MID(W$1,9,5),TbTradesBinance[[#This Row],[Taxa]],0),8)))</f>
        <v>4.3499999999999999E-6</v>
      </c>
      <c r="X174" s="145" cm="1">
        <f t="array" ref="X174">IF(TbTradesBinance[[#This Row],[Tipo]]="EMPTY",0,X173+IF(TbTradesBinance[[#This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Row],[Par]]))),$1:$1,0)),-(W173-W174)/W173*X173),0),0)+IF(TbTradesBinance[[#This Row],[Tipo]]="SELL",IF(ISNUMBER(FIND(MID(X$1,10,5),TbTradesBinance[[#This Row],[Par]])),IF(FIND(MID(X$1,10,5),TbTradesBinance[[#This Row],[Par]])=1, -(W173-W174)/W173*X173,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Row],[Par]])),(-(W173-W174)/W173*X173)+IF(TbTradesBinance[[#This Row],[Resultado]]&gt;0,0,TbTradesBinance[[#This Row],[Taxa]]),0),0))</f>
        <v>1.4091313739513396</v>
      </c>
      <c r="Y174" s="145">
        <f t="shared" si="42"/>
        <v>323938.24688536546</v>
      </c>
      <c r="Z17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Row],[Tipo]]="DROP"),Z173+TbTradesBinance[[#This Row],[Qtt]],Z173-TbTradesBinance[[#This Row],[Qtt]]),IF(TbTradesBinance[[#This Row],[Tipo]]="BUY",Z173-TbTradesBinance[[#This Row],[Qtt]]*TbTradesBinance[[#This Row],[Preço]],Z173+TbTradesBinance[[#This Row],[Qtt]]*TbTradesBinance[[#This Row],[Preço]])),Z173)-IF(TbTradesBinance[[#This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Row],[Tipo]]="DROP"),Z173+TbTradesBinance[[#This Row],[Qtt]],Z173-TbTradesBinance[[#This Row],[Qtt]]),IF(TbTradesBinance[[#This Row],[Tipo]]="BUY",Z173-TbTradesBinance[[#This Row],[Qtt]]*TbTradesBinance[[#This Row],[Preço]],Z173+TbTradesBinance[[#This Row],[Qtt]]*TbTradesBinance[[#This Row],[Preço]])),Z173)-IF(TbTradesBinance[[#This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Row],[Tipo]]="DROP"),Z173+TbTradesBinance[[#This Row],[Qtt]],Z173-TbTradesBinance[[#This Row],[Qtt]]),IF(TbTradesBinance[[#This Row],[Tipo]]="BUY",Z173-TbTradesBinance[[#This Row],[Qtt]]*TbTradesBinance[[#This Row],[Preço]],Z173+TbTradesBinance[[#This Row],[Qtt]]*TbTradesBinance[[#This Row],[Preço]])),Z173)-IF(TbTradesBinance[[#This Row],[Moeda da Taxa]]=MID(Z$1,9,5),TbTradesBinance[[#This Row],[Taxa]],0),8)))</f>
        <v>0</v>
      </c>
      <c r="AA174" s="145" cm="1">
        <f t="array" ref="AA174">IF(TbTradesBinance[[#This Row],[Tipo]]="EMPTY",0,AA173+IF(TbTradesBinance[[#This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Row],[Par]]))),$1:$1,0)),-(Z173-Z174)/Z173*AA173),0),0)+IF(TbTradesBinance[[#This Row],[Tipo]]="SELL",IF(ISNUMBER(FIND(MID(AA$1,10,5),TbTradesBinance[[#This Row],[Par]])),IF(FIND(MID(AA$1,10,5),TbTradesBinance[[#This Row],[Par]])=1, -(Z173-Z174)/Z173*AA173,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Row],[Par]])),(-(Z173-Z174)/Z173*AA173)+IF(TbTradesBinance[[#This Row],[Resultado]]&gt;0,0,TbTradesBinance[[#This Row],[Taxa]]),0),0))</f>
        <v>0</v>
      </c>
      <c r="AB174" s="145">
        <f t="shared" si="43"/>
        <v>0</v>
      </c>
      <c r="AC17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Row],[Tipo]]="DROP"),AC173+TbTradesBinance[[#This Row],[Qtt]],AC173-TbTradesBinance[[#This Row],[Qtt]]),IF(TbTradesBinance[[#This Row],[Tipo]]="BUY",AC173-TbTradesBinance[[#This Row],[Qtt]]*TbTradesBinance[[#This Row],[Preço]],AC173+TbTradesBinance[[#This Row],[Qtt]]*TbTradesBinance[[#This Row],[Preço]])),AC173)-IF(TbTradesBinance[[#This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Row],[Tipo]]="DROP"),AC173+TbTradesBinance[[#This Row],[Qtt]],AC173-TbTradesBinance[[#This Row],[Qtt]]),IF(TbTradesBinance[[#This Row],[Tipo]]="BUY",AC173-TbTradesBinance[[#This Row],[Qtt]]*TbTradesBinance[[#This Row],[Preço]],AC173+TbTradesBinance[[#This Row],[Qtt]]*TbTradesBinance[[#This Row],[Preço]])),AC173)-IF(TbTradesBinance[[#This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Row],[Tipo]]="DROP"),AC173+TbTradesBinance[[#This Row],[Qtt]],AC173-TbTradesBinance[[#This Row],[Qtt]]),IF(TbTradesBinance[[#This Row],[Tipo]]="BUY",AC173-TbTradesBinance[[#This Row],[Qtt]]*TbTradesBinance[[#This Row],[Preço]],AC173+TbTradesBinance[[#This Row],[Qtt]]*TbTradesBinance[[#This Row],[Preço]])),AC173)-IF(TbTradesBinance[[#This Row],[Moeda da Taxa]]=MID(AC$1,9,5),TbTradesBinance[[#This Row],[Taxa]],0),8)))</f>
        <v>0</v>
      </c>
      <c r="AD174" s="145" cm="1">
        <f t="array" ref="AD174">IF(TbTradesBinance[[#This Row],[Tipo]]="EMPTY",0,AD173+IF(TbTradesBinance[[#This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Row],[Par]]))),$1:$1,0)),-(AC173-AC174)/AC173*AD173),0),0)+IF(TbTradesBinance[[#This Row],[Tipo]]="SELL",IF(ISNUMBER(FIND(MID(AD$1,10,5),TbTradesBinance[[#This Row],[Par]])),IF(FIND(MID(AD$1,10,5),TbTradesBinance[[#This Row],[Par]])=1, -(AC173-AC174)/AC173*AD173,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Row],[Par]])),(-(AC173-AC174)/AC173*AD173)+IF(TbTradesBinance[[#This Row],[Resultado]]&gt;0,0,TbTradesBinance[[#This Row],[Taxa]]),0),0))</f>
        <v>0</v>
      </c>
      <c r="AE174" s="145">
        <f t="shared" si="44"/>
        <v>0</v>
      </c>
      <c r="AF17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Row],[Tipo]]="DROP"),AF173+TbTradesBinance[[#This Row],[Qtt]],AF173-TbTradesBinance[[#This Row],[Qtt]]),IF(TbTradesBinance[[#This Row],[Tipo]]="BUY",AF173-TbTradesBinance[[#This Row],[Qtt]]*TbTradesBinance[[#This Row],[Preço]],AF173+TbTradesBinance[[#This Row],[Qtt]]*TbTradesBinance[[#This Row],[Preço]])),AF173)-IF(TbTradesBinance[[#This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Row],[Tipo]]="DROP"),AF173+TbTradesBinance[[#This Row],[Qtt]],AF173-TbTradesBinance[[#This Row],[Qtt]]),IF(TbTradesBinance[[#This Row],[Tipo]]="BUY",AF173-TbTradesBinance[[#This Row],[Qtt]]*TbTradesBinance[[#This Row],[Preço]],AF173+TbTradesBinance[[#This Row],[Qtt]]*TbTradesBinance[[#This Row],[Preço]])),AF173)-IF(TbTradesBinance[[#This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Row],[Tipo]]="DROP"),AF173+TbTradesBinance[[#This Row],[Qtt]],AF173-TbTradesBinance[[#This Row],[Qtt]]),IF(TbTradesBinance[[#This Row],[Tipo]]="BUY",AF173-TbTradesBinance[[#This Row],[Qtt]]*TbTradesBinance[[#This Row],[Preço]],AF173+TbTradesBinance[[#This Row],[Qtt]]*TbTradesBinance[[#This Row],[Preço]])),AF173)-IF(TbTradesBinance[[#This Row],[Moeda da Taxa]]=MID(AF$1,9,5),TbTradesBinance[[#This Row],[Taxa]],0),8)))</f>
        <v>0</v>
      </c>
      <c r="AG174" s="145" cm="1">
        <f t="array" ref="AG174">IF(TbTradesBinance[[#This Row],[Tipo]]="EMPTY",0,AG173+IF(TbTradesBinance[[#This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Row],[Par]]))),$1:$1,0)),-(AF173-AF174)/AF173*AG173),0),0)+IF(TbTradesBinance[[#This Row],[Tipo]]="SELL",IF(ISNUMBER(FIND(MID(AG$1,10,5),TbTradesBinance[[#This Row],[Par]])),IF(FIND(MID(AG$1,10,5),TbTradesBinance[[#This Row],[Par]])=1, -(AF173-AF174)/AF173*AG173,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Row],[Par]])),(-(AF173-AF174)/AF173*AG173)+IF(TbTradesBinance[[#This Row],[Resultado]]&gt;0,0,TbTradesBinance[[#This Row],[Taxa]]),0),0))</f>
        <v>0</v>
      </c>
      <c r="AH174" s="145">
        <f t="shared" si="45"/>
        <v>0</v>
      </c>
      <c r="AI17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Row],[Tipo]]="DROP"),AI173+TbTradesBinance[[#This Row],[Qtt]],AI173-TbTradesBinance[[#This Row],[Qtt]]),IF(TbTradesBinance[[#This Row],[Tipo]]="BUY",AI173-TbTradesBinance[[#This Row],[Qtt]]*TbTradesBinance[[#This Row],[Preço]],AI173+TbTradesBinance[[#This Row],[Qtt]]*TbTradesBinance[[#This Row],[Preço]])),AI173)-IF(TbTradesBinance[[#This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Row],[Tipo]]="DROP"),AI173+TbTradesBinance[[#This Row],[Qtt]],AI173-TbTradesBinance[[#This Row],[Qtt]]),IF(TbTradesBinance[[#This Row],[Tipo]]="BUY",AI173-TbTradesBinance[[#This Row],[Qtt]]*TbTradesBinance[[#This Row],[Preço]],AI173+TbTradesBinance[[#This Row],[Qtt]]*TbTradesBinance[[#This Row],[Preço]])),AI173)-IF(TbTradesBinance[[#This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Row],[Tipo]]="DROP"),AI173+TbTradesBinance[[#This Row],[Qtt]],AI173-TbTradesBinance[[#This Row],[Qtt]]),IF(TbTradesBinance[[#This Row],[Tipo]]="BUY",AI173-TbTradesBinance[[#This Row],[Qtt]]*TbTradesBinance[[#This Row],[Preço]],AI173+TbTradesBinance[[#This Row],[Qtt]]*TbTradesBinance[[#This Row],[Preço]])),AI173)-IF(TbTradesBinance[[#This Row],[Moeda da Taxa]]=MID(AI$1,9,5),TbTradesBinance[[#This Row],[Taxa]],0),8)))</f>
        <v>0</v>
      </c>
      <c r="AJ174" s="145" cm="1">
        <f t="array" ref="AJ174">IF(TbTradesBinance[[#This Row],[Tipo]]="EMPTY",0,AJ173+IF(TbTradesBinance[[#This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Row],[Par]]))),$1:$1,0)),-(AI173-AI174)/AI173*AJ173),0),0)+IF(TbTradesBinance[[#This Row],[Tipo]]="SELL",IF(ISNUMBER(FIND(MID(AJ$1,10,5),TbTradesBinance[[#This Row],[Par]])),IF(FIND(MID(AJ$1,10,5),TbTradesBinance[[#This Row],[Par]])=1, -(AI173-AI174)/AI173*AJ173,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Row],[Par]])),(-(AI173-AI174)/AI173*AJ173)+IF(TbTradesBinance[[#This Row],[Resultado]]&gt;0,0,TbTradesBinance[[#This Row],[Taxa]]),0),0))</f>
        <v>0</v>
      </c>
      <c r="AK174" s="145">
        <f t="shared" si="46"/>
        <v>0</v>
      </c>
      <c r="AL17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Row],[Tipo]]="DROP"),AL173+TbTradesBinance[[#This Row],[Qtt]],AL173-TbTradesBinance[[#This Row],[Qtt]]),IF(TbTradesBinance[[#This Row],[Tipo]]="BUY",AL173-TbTradesBinance[[#This Row],[Qtt]]*TbTradesBinance[[#This Row],[Preço]],AL173+TbTradesBinance[[#This Row],[Qtt]]*TbTradesBinance[[#This Row],[Preço]])),AL173)-IF(TbTradesBinance[[#This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Row],[Tipo]]="DROP"),AL173+TbTradesBinance[[#This Row],[Qtt]],AL173-TbTradesBinance[[#This Row],[Qtt]]),IF(TbTradesBinance[[#This Row],[Tipo]]="BUY",AL173-TbTradesBinance[[#This Row],[Qtt]]*TbTradesBinance[[#This Row],[Preço]],AL173+TbTradesBinance[[#This Row],[Qtt]]*TbTradesBinance[[#This Row],[Preço]])),AL173)-IF(TbTradesBinance[[#This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Row],[Tipo]]="DROP"),AL173+TbTradesBinance[[#This Row],[Qtt]],AL173-TbTradesBinance[[#This Row],[Qtt]]),IF(TbTradesBinance[[#This Row],[Tipo]]="BUY",AL173-TbTradesBinance[[#This Row],[Qtt]]*TbTradesBinance[[#This Row],[Preço]],AL173+TbTradesBinance[[#This Row],[Qtt]]*TbTradesBinance[[#This Row],[Preço]])),AL173)-IF(TbTradesBinance[[#This Row],[Moeda da Taxa]]=MID(AL$1,9,5),TbTradesBinance[[#This Row],[Taxa]],0),8)))</f>
        <v>0</v>
      </c>
      <c r="AM174" s="145" cm="1">
        <f t="array" ref="AM174">IF(TbTradesBinance[[#This Row],[Tipo]]="EMPTY",0,AM173+IF(TbTradesBinance[[#This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Row],[Par]]))),$1:$1,0)),-(AL173-AL174)/AL173*AM173),0),0)+IF(TbTradesBinance[[#This Row],[Tipo]]="SELL",IF(ISNUMBER(FIND(MID(AM$1,10,5),TbTradesBinance[[#This Row],[Par]])),IF(FIND(MID(AM$1,10,5),TbTradesBinance[[#This Row],[Par]])=1, -(AL173-AL174)/AL173*AM173,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Row],[Par]])),(-(AL173-AL174)/AL173*AM173)+IF(TbTradesBinance[[#This Row],[Resultado]]&gt;0,0,TbTradesBinance[[#This Row],[Taxa]]),0),0))</f>
        <v>0</v>
      </c>
      <c r="AN174" s="145">
        <f t="shared" si="47"/>
        <v>0</v>
      </c>
      <c r="AO17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Row],[Tipo]]="DROP"),AO173+TbTradesBinance[[#This Row],[Qtt]],AO173-TbTradesBinance[[#This Row],[Qtt]]),IF(TbTradesBinance[[#This Row],[Tipo]]="BUY",AO173-TbTradesBinance[[#This Row],[Qtt]]*TbTradesBinance[[#This Row],[Preço]],AO173+TbTradesBinance[[#This Row],[Qtt]]*TbTradesBinance[[#This Row],[Preço]])),AO173)-IF(TbTradesBinance[[#This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Row],[Tipo]]="DROP"),AO173+TbTradesBinance[[#This Row],[Qtt]],AO173-TbTradesBinance[[#This Row],[Qtt]]),IF(TbTradesBinance[[#This Row],[Tipo]]="BUY",AO173-TbTradesBinance[[#This Row],[Qtt]]*TbTradesBinance[[#This Row],[Preço]],AO173+TbTradesBinance[[#This Row],[Qtt]]*TbTradesBinance[[#This Row],[Preço]])),AO173)-IF(TbTradesBinance[[#This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Row],[Tipo]]="DROP"),AO173+TbTradesBinance[[#This Row],[Qtt]],AO173-TbTradesBinance[[#This Row],[Qtt]]),IF(TbTradesBinance[[#This Row],[Tipo]]="BUY",AO173-TbTradesBinance[[#This Row],[Qtt]]*TbTradesBinance[[#This Row],[Preço]],AO173+TbTradesBinance[[#This Row],[Qtt]]*TbTradesBinance[[#This Row],[Preço]])),AO173)-IF(TbTradesBinance[[#This Row],[Moeda da Taxa]]=MID(AO$1,9,5),TbTradesBinance[[#This Row],[Taxa]],0),8)))</f>
        <v>3.8411599999999997E-2</v>
      </c>
      <c r="AP174" s="145" cm="1">
        <f t="array" ref="AP174">IF(TbTradesBinance[[#This Row],[Tipo]]="EMPTY",0,AP173+IF(TbTradesBinance[[#This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Row],[Par]]))),$1:$1,0)),-(AO173-AO174)/AO173*AP173),0),0)+IF(TbTradesBinance[[#This Row],[Tipo]]="SELL",IF(ISNUMBER(FIND(MID(AP$1,10,5),TbTradesBinance[[#This Row],[Par]])),IF(FIND(MID(AP$1,10,5),TbTradesBinance[[#This Row],[Par]])=1, -(AO173-AO174)/AO173*AP173,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Row],[Par]])),(-(AO173-AO174)/AO173*AP173)+IF(TbTradesBinance[[#This Row],[Resultado]]&gt;0,0,TbTradesBinance[[#This Row],[Taxa]]),0),0))</f>
        <v>60.349858055862811</v>
      </c>
      <c r="AQ174" s="145">
        <f t="shared" si="48"/>
        <v>1571.1362727890225</v>
      </c>
      <c r="AR17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Row],[Tipo]]="DROP"),AR173+TbTradesBinance[[#This Row],[Qtt]],AR173-TbTradesBinance[[#This Row],[Qtt]]),IF(TbTradesBinance[[#This Row],[Tipo]]="BUY",AR173-TbTradesBinance[[#This Row],[Qtt]]*TbTradesBinance[[#This Row],[Preço]],AR173+TbTradesBinance[[#This Row],[Qtt]]*TbTradesBinance[[#This Row],[Preço]])),AR173)-IF(TbTradesBinance[[#This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Row],[Tipo]]="DROP"),AR173+TbTradesBinance[[#This Row],[Qtt]],AR173-TbTradesBinance[[#This Row],[Qtt]]),IF(TbTradesBinance[[#This Row],[Tipo]]="BUY",AR173-TbTradesBinance[[#This Row],[Qtt]]*TbTradesBinance[[#This Row],[Preço]],AR173+TbTradesBinance[[#This Row],[Qtt]]*TbTradesBinance[[#This Row],[Preço]])),AR173)-IF(TbTradesBinance[[#This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Row],[Tipo]]="DROP"),AR173+TbTradesBinance[[#This Row],[Qtt]],AR173-TbTradesBinance[[#This Row],[Qtt]]),IF(TbTradesBinance[[#This Row],[Tipo]]="BUY",AR173-TbTradesBinance[[#This Row],[Qtt]]*TbTradesBinance[[#This Row],[Preço]],AR173+TbTradesBinance[[#This Row],[Qtt]]*TbTradesBinance[[#This Row],[Preço]])),AR173)-IF(TbTradesBinance[[#This Row],[Moeda da Taxa]]=MID(AR$1,9,5),TbTradesBinance[[#This Row],[Taxa]],0),8)))</f>
        <v>0</v>
      </c>
      <c r="AS174" s="145" cm="1">
        <f t="array" ref="AS174">IF(TbTradesBinance[[#This Row],[Tipo]]="EMPTY",0,AS173+IF(TbTradesBinance[[#This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Row],[Par]]))),$1:$1,0)),-(AR173-AR174)/AR173*AS173),0),0)+IF(TbTradesBinance[[#This Row],[Tipo]]="SELL",IF(ISNUMBER(FIND(MID(AS$1,10,5),TbTradesBinance[[#This Row],[Par]])),IF(FIND(MID(AS$1,10,5),TbTradesBinance[[#This Row],[Par]])=1, -(AR173-AR174)/AR173*AS173,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Row],[Par]])),(-(AR173-AR174)/AR173*AS173)+IF(TbTradesBinance[[#This Row],[Resultado]]&gt;0,0,TbTradesBinance[[#This Row],[Taxa]]),0),0))</f>
        <v>0</v>
      </c>
      <c r="AT174" s="145">
        <f t="shared" si="49"/>
        <v>0</v>
      </c>
      <c r="AU17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Row],[Tipo]]="DROP"),AU173+TbTradesBinance[[#This Row],[Qtt]],AU173-TbTradesBinance[[#This Row],[Qtt]]),IF(TbTradesBinance[[#This Row],[Tipo]]="BUY",AU173-TbTradesBinance[[#This Row],[Qtt]]*TbTradesBinance[[#This Row],[Preço]],AU173+TbTradesBinance[[#This Row],[Qtt]]*TbTradesBinance[[#This Row],[Preço]])),AU173)-IF(TbTradesBinance[[#This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Row],[Tipo]]="DROP"),AU173+TbTradesBinance[[#This Row],[Qtt]],AU173-TbTradesBinance[[#This Row],[Qtt]]),IF(TbTradesBinance[[#This Row],[Tipo]]="BUY",AU173-TbTradesBinance[[#This Row],[Qtt]]*TbTradesBinance[[#This Row],[Preço]],AU173+TbTradesBinance[[#This Row],[Qtt]]*TbTradesBinance[[#This Row],[Preço]])),AU173)-IF(TbTradesBinance[[#This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Row],[Tipo]]="DROP"),AU173+TbTradesBinance[[#This Row],[Qtt]],AU173-TbTradesBinance[[#This Row],[Qtt]]),IF(TbTradesBinance[[#This Row],[Tipo]]="BUY",AU173-TbTradesBinance[[#This Row],[Qtt]]*TbTradesBinance[[#This Row],[Preço]],AU173+TbTradesBinance[[#This Row],[Qtt]]*TbTradesBinance[[#This Row],[Preço]])),AU173)-IF(TbTradesBinance[[#This Row],[Moeda da Taxa]]=MID(AU$1,9,5),TbTradesBinance[[#This Row],[Taxa]],0),8)))</f>
        <v>0.51</v>
      </c>
      <c r="AV174" s="145" cm="1">
        <f t="array" ref="AV174">IF(TbTradesBinance[[#This Row],[Tipo]]="EMPTY",0,AV173+IF(TbTradesBinance[[#This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Row],[Par]]))),$1:$1,0)),-(AU173-AU174)/AU173*AV173),0),0)+IF(TbTradesBinance[[#This Row],[Tipo]]="SELL",IF(ISNUMBER(FIND(MID(AV$1,10,5),TbTradesBinance[[#This Row],[Par]])),IF(FIND(MID(AV$1,10,5),TbTradesBinance[[#This Row],[Par]])=1, -(AU173-AU174)/AU173*AV173,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Row],[Par]])),(-(AU173-AU174)/AU173*AV173)+IF(TbTradesBinance[[#This Row],[Resultado]]&gt;0,0,TbTradesBinance[[#This Row],[Taxa]]),0),0))</f>
        <v>95.466693037374753</v>
      </c>
      <c r="AW174" s="145">
        <f t="shared" si="50"/>
        <v>187.18959419093088</v>
      </c>
      <c r="AX17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Row],[Tipo]]="DROP"),AX173+TbTradesBinance[[#This Row],[Qtt]],AX173-TbTradesBinance[[#This Row],[Qtt]]),IF(TbTradesBinance[[#This Row],[Tipo]]="BUY",AX173-TbTradesBinance[[#This Row],[Qtt]]*TbTradesBinance[[#This Row],[Preço]],AX173+TbTradesBinance[[#This Row],[Qtt]]*TbTradesBinance[[#This Row],[Preço]])),AX173)-IF(TbTradesBinance[[#This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Row],[Tipo]]="DROP"),AX173+TbTradesBinance[[#This Row],[Qtt]],AX173-TbTradesBinance[[#This Row],[Qtt]]),IF(TbTradesBinance[[#This Row],[Tipo]]="BUY",AX173-TbTradesBinance[[#This Row],[Qtt]]*TbTradesBinance[[#This Row],[Preço]],AX173+TbTradesBinance[[#This Row],[Qtt]]*TbTradesBinance[[#This Row],[Preço]])),AX173)-IF(TbTradesBinance[[#This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Row],[Tipo]]="DROP"),AX173+TbTradesBinance[[#This Row],[Qtt]],AX173-TbTradesBinance[[#This Row],[Qtt]]),IF(TbTradesBinance[[#This Row],[Tipo]]="BUY",AX173-TbTradesBinance[[#This Row],[Qtt]]*TbTradesBinance[[#This Row],[Preço]],AX173+TbTradesBinance[[#This Row],[Qtt]]*TbTradesBinance[[#This Row],[Preço]])),AX173)-IF(TbTradesBinance[[#This Row],[Moeda da Taxa]]=MID(AX$1,9,5),TbTradesBinance[[#This Row],[Taxa]],0),8)))</f>
        <v>0.32838000000000001</v>
      </c>
      <c r="AY174" s="145" cm="1">
        <f t="array" ref="AY174">IF(TbTradesBinance[[#This Row],[Tipo]]="EMPTY",0,AY173+IF(TbTradesBinance[[#This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Row],[Par]]))),$1:$1,0)),-(AX173-AX174)/AX173*AY173),0),0)+IF(TbTradesBinance[[#This Row],[Tipo]]="SELL",IF(ISNUMBER(FIND(MID(AY$1,10,5),TbTradesBinance[[#This Row],[Par]])),IF(FIND(MID(AY$1,10,5),TbTradesBinance[[#This Row],[Par]])=1, -(AX173-AX174)/AX173*AY173,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Row],[Par]])),(-(AX173-AX174)/AX173*AY173)+IF(TbTradesBinance[[#This Row],[Resultado]]&gt;0,0,TbTradesBinance[[#This Row],[Taxa]]),0),0))</f>
        <v>61.364116058805678</v>
      </c>
      <c r="AZ174" s="145">
        <f t="shared" si="51"/>
        <v>186.869224857804</v>
      </c>
      <c r="BA17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Row],[Tipo]]="DROP"),BA173+TbTradesBinance[[#This Row],[Qtt]],BA173-TbTradesBinance[[#This Row],[Qtt]]),IF(TbTradesBinance[[#This Row],[Tipo]]="BUY",BA173-TbTradesBinance[[#This Row],[Qtt]]*TbTradesBinance[[#This Row],[Preço]],BA173+TbTradesBinance[[#This Row],[Qtt]]*TbTradesBinance[[#This Row],[Preço]])),BA173)-IF(TbTradesBinance[[#This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Row],[Tipo]]="DROP"),BA173+TbTradesBinance[[#This Row],[Qtt]],BA173-TbTradesBinance[[#This Row],[Qtt]]),IF(TbTradesBinance[[#This Row],[Tipo]]="BUY",BA173-TbTradesBinance[[#This Row],[Qtt]]*TbTradesBinance[[#This Row],[Preço]],BA173+TbTradesBinance[[#This Row],[Qtt]]*TbTradesBinance[[#This Row],[Preço]])),BA173)-IF(TbTradesBinance[[#This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Row],[Tipo]]="DROP"),BA173+TbTradesBinance[[#This Row],[Qtt]],BA173-TbTradesBinance[[#This Row],[Qtt]]),IF(TbTradesBinance[[#This Row],[Tipo]]="BUY",BA173-TbTradesBinance[[#This Row],[Qtt]]*TbTradesBinance[[#This Row],[Preço]],BA173+TbTradesBinance[[#This Row],[Qtt]]*TbTradesBinance[[#This Row],[Preço]])),BA173)-IF(TbTradesBinance[[#This Row],[Moeda da Taxa]]=MID(BA$1,9,5),TbTradesBinance[[#This Row],[Taxa]],0),8)))</f>
        <v>0</v>
      </c>
      <c r="BB174" s="145" cm="1">
        <f t="array" ref="BB174">IF(TbTradesBinance[[#This Row],[Tipo]]="EMPTY",0,BB173+IF(TbTradesBinance[[#This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Row],[Par]]))),$1:$1,0)),-(BA173-BA174)/BA173*BB173),0),0)+IF(TbTradesBinance[[#This Row],[Tipo]]="SELL",IF(ISNUMBER(FIND(MID(BB$1,10,5),TbTradesBinance[[#This Row],[Par]])),IF(FIND(MID(BB$1,10,5),TbTradesBinance[[#This Row],[Par]])=1, -(BA173-BA174)/BA173*BB173,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Row],[Par]])),(-(BA173-BA174)/BA173*BB173)+IF(TbTradesBinance[[#This Row],[Resultado]]&gt;0,0,TbTradesBinance[[#This Row],[Taxa]]),0),0))</f>
        <v>0</v>
      </c>
      <c r="BC174" s="145">
        <f t="shared" si="52"/>
        <v>0</v>
      </c>
      <c r="BD17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Row],[Tipo]]="DROP"),BD173+TbTradesBinance[[#This Row],[Qtt]],BD173-TbTradesBinance[[#This Row],[Qtt]]),IF(TbTradesBinance[[#This Row],[Tipo]]="BUY",BD173-TbTradesBinance[[#This Row],[Qtt]]*TbTradesBinance[[#This Row],[Preço]],BD173+TbTradesBinance[[#This Row],[Qtt]]*TbTradesBinance[[#This Row],[Preço]])),BD173)-IF(TbTradesBinance[[#This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Row],[Tipo]]="DROP"),BD173+TbTradesBinance[[#This Row],[Qtt]],BD173-TbTradesBinance[[#This Row],[Qtt]]),IF(TbTradesBinance[[#This Row],[Tipo]]="BUY",BD173-TbTradesBinance[[#This Row],[Qtt]]*TbTradesBinance[[#This Row],[Preço]],BD173+TbTradesBinance[[#This Row],[Qtt]]*TbTradesBinance[[#This Row],[Preço]])),BD173)-IF(TbTradesBinance[[#This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Row],[Tipo]]="DROP"),BD173+TbTradesBinance[[#This Row],[Qtt]],BD173-TbTradesBinance[[#This Row],[Qtt]]),IF(TbTradesBinance[[#This Row],[Tipo]]="BUY",BD173-TbTradesBinance[[#This Row],[Qtt]]*TbTradesBinance[[#This Row],[Preço]],BD173+TbTradesBinance[[#This Row],[Qtt]]*TbTradesBinance[[#This Row],[Preço]])),BD173)-IF(TbTradesBinance[[#This Row],[Moeda da Taxa]]=MID(BD$1,9,5),TbTradesBinance[[#This Row],[Taxa]],0),8)))</f>
        <v>0</v>
      </c>
      <c r="BE174" s="145" cm="1">
        <f t="array" ref="BE174">IF(TbTradesBinance[[#This Row],[Tipo]]="EMPTY",0,BE173+IF(TbTradesBinance[[#This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Row],[Par]]))),$1:$1,0)),-(BD173-BD174)/BD173*BE173),0),0)+IF(TbTradesBinance[[#This Row],[Tipo]]="SELL",IF(ISNUMBER(FIND(MID(BE$1,10,5),TbTradesBinance[[#This Row],[Par]])),IF(FIND(MID(BE$1,10,5),TbTradesBinance[[#This Row],[Par]])=1, -(BD173-BD174)/BD173*BE173,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Row],[Par]])),(-(BD173-BD174)/BD173*BE173)+IF(TbTradesBinance[[#This Row],[Resultado]]&gt;0,0,TbTradesBinance[[#This Row],[Taxa]]),0),0))</f>
        <v>0</v>
      </c>
      <c r="BF174" s="145">
        <f t="shared" si="53"/>
        <v>0</v>
      </c>
      <c r="BG17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Row],[Tipo]]="DROP"),BG173+TbTradesBinance[[#This Row],[Qtt]],BG173-TbTradesBinance[[#This Row],[Qtt]]),IF(TbTradesBinance[[#This Row],[Tipo]]="BUY",BG173-TbTradesBinance[[#This Row],[Qtt]]*TbTradesBinance[[#This Row],[Preço]],BG173+TbTradesBinance[[#This Row],[Qtt]]*TbTradesBinance[[#This Row],[Preço]])),BG173)-IF(TbTradesBinance[[#This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Row],[Tipo]]="DROP"),BG173+TbTradesBinance[[#This Row],[Qtt]],BG173-TbTradesBinance[[#This Row],[Qtt]]),IF(TbTradesBinance[[#This Row],[Tipo]]="BUY",BG173-TbTradesBinance[[#This Row],[Qtt]]*TbTradesBinance[[#This Row],[Preço]],BG173+TbTradesBinance[[#This Row],[Qtt]]*TbTradesBinance[[#This Row],[Preço]])),BG173)-IF(TbTradesBinance[[#This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Row],[Tipo]]="DROP"),BG173+TbTradesBinance[[#This Row],[Qtt]],BG173-TbTradesBinance[[#This Row],[Qtt]]),IF(TbTradesBinance[[#This Row],[Tipo]]="BUY",BG173-TbTradesBinance[[#This Row],[Qtt]]*TbTradesBinance[[#This Row],[Preço]],BG173+TbTradesBinance[[#This Row],[Qtt]]*TbTradesBinance[[#This Row],[Preço]])),BG173)-IF(TbTradesBinance[[#This Row],[Moeda da Taxa]]=MID(BG$1,9,5),TbTradesBinance[[#This Row],[Taxa]],0),8)))</f>
        <v>0</v>
      </c>
      <c r="BH174" s="145" cm="1">
        <f t="array" ref="BH174">IF(TbTradesBinance[[#This Row],[Tipo]]="EMPTY",0,BH173+IF(TbTradesBinance[[#This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Row],[Par]]))),$1:$1,0)),-(BG173-BG174)/BG173*BH173),0),0)+IF(TbTradesBinance[[#This Row],[Tipo]]="SELL",IF(ISNUMBER(FIND(MID(BH$1,10,5),TbTradesBinance[[#This Row],[Par]])),IF(FIND(MID(BH$1,10,5),TbTradesBinance[[#This Row],[Par]])=1, -(BG173-BG174)/BG173*BH173,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Row],[Par]])),(-(BG173-BG174)/BG173*BH173)+IF(TbTradesBinance[[#This Row],[Resultado]]&gt;0,0,TbTradesBinance[[#This Row],[Taxa]]),0),0))</f>
        <v>0</v>
      </c>
      <c r="BI174" s="145">
        <f t="shared" si="54"/>
        <v>0</v>
      </c>
      <c r="BJ17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Row],[Tipo]]="DROP"),BJ173+TbTradesBinance[[#This Row],[Qtt]],BJ173-TbTradesBinance[[#This Row],[Qtt]]),IF(TbTradesBinance[[#This Row],[Tipo]]="BUY",BJ173-TbTradesBinance[[#This Row],[Qtt]]*TbTradesBinance[[#This Row],[Preço]],BJ173+TbTradesBinance[[#This Row],[Qtt]]*TbTradesBinance[[#This Row],[Preço]])),BJ173)-IF(TbTradesBinance[[#This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Row],[Tipo]]="DROP"),BJ173+TbTradesBinance[[#This Row],[Qtt]],BJ173-TbTradesBinance[[#This Row],[Qtt]]),IF(TbTradesBinance[[#This Row],[Tipo]]="BUY",BJ173-TbTradesBinance[[#This Row],[Qtt]]*TbTradesBinance[[#This Row],[Preço]],BJ173+TbTradesBinance[[#This Row],[Qtt]]*TbTradesBinance[[#This Row],[Preço]])),BJ173)-IF(TbTradesBinance[[#This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Row],[Tipo]]="DROP"),BJ173+TbTradesBinance[[#This Row],[Qtt]],BJ173-TbTradesBinance[[#This Row],[Qtt]]),IF(TbTradesBinance[[#This Row],[Tipo]]="BUY",BJ173-TbTradesBinance[[#This Row],[Qtt]]*TbTradesBinance[[#This Row],[Preço]],BJ173+TbTradesBinance[[#This Row],[Qtt]]*TbTradesBinance[[#This Row],[Preço]])),BJ173)-IF(TbTradesBinance[[#This Row],[Moeda da Taxa]]=MID(BJ$1,9,5),TbTradesBinance[[#This Row],[Taxa]],0),8)))</f>
        <v>0</v>
      </c>
      <c r="BK174" s="145" cm="1">
        <f t="array" ref="BK174">IF(TbTradesBinance[[#This Row],[Tipo]]="EMPTY",0,BK173+IF(TbTradesBinance[[#This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Row],[Par]]))),$1:$1,0)),-(BJ173-BJ174)/BJ173*BK173),0),0)+IF(TbTradesBinance[[#This Row],[Tipo]]="SELL",IF(ISNUMBER(FIND(MID(BK$1,10,5),TbTradesBinance[[#This Row],[Par]])),IF(FIND(MID(BK$1,10,5),TbTradesBinance[[#This Row],[Par]])=1, -(BJ173-BJ174)/BJ173*BK173,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Row],[Par]])),(-(BJ173-BJ174)/BJ173*BK173)+IF(TbTradesBinance[[#This Row],[Resultado]]&gt;0,0,TbTradesBinance[[#This Row],[Taxa]]),0),0))</f>
        <v>0</v>
      </c>
      <c r="BL174" s="145">
        <f t="shared" si="55"/>
        <v>0</v>
      </c>
      <c r="BM17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Row],[Tipo]]="DROP"),BM173+TbTradesBinance[[#This Row],[Qtt]],BM173-TbTradesBinance[[#This Row],[Qtt]]),IF(TbTradesBinance[[#This Row],[Tipo]]="BUY",BM173-TbTradesBinance[[#This Row],[Qtt]]*TbTradesBinance[[#This Row],[Preço]],BM173+TbTradesBinance[[#This Row],[Qtt]]*TbTradesBinance[[#This Row],[Preço]])),BM173)-IF(TbTradesBinance[[#This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Row],[Tipo]]="DROP"),BM173+TbTradesBinance[[#This Row],[Qtt]],BM173-TbTradesBinance[[#This Row],[Qtt]]),IF(TbTradesBinance[[#This Row],[Tipo]]="BUY",BM173-TbTradesBinance[[#This Row],[Qtt]]*TbTradesBinance[[#This Row],[Preço]],BM173+TbTradesBinance[[#This Row],[Qtt]]*TbTradesBinance[[#This Row],[Preço]])),BM173)-IF(TbTradesBinance[[#This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Row],[Tipo]]="DROP"),BM173+TbTradesBinance[[#This Row],[Qtt]],BM173-TbTradesBinance[[#This Row],[Qtt]]),IF(TbTradesBinance[[#This Row],[Tipo]]="BUY",BM173-TbTradesBinance[[#This Row],[Qtt]]*TbTradesBinance[[#This Row],[Preço]],BM173+TbTradesBinance[[#This Row],[Qtt]]*TbTradesBinance[[#This Row],[Preço]])),BM173)-IF(TbTradesBinance[[#This Row],[Moeda da Taxa]]=MID(BM$1,9,5),TbTradesBinance[[#This Row],[Taxa]],0),8)))</f>
        <v>0</v>
      </c>
      <c r="BN174" s="145" cm="1">
        <f t="array" ref="BN174">IF(TbTradesBinance[[#This Row],[Tipo]]="EMPTY",0,BN173+IF(TbTradesBinance[[#This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Row],[Par]]))),$1:$1,0)),-(BM173-BM174)/BM173*BN173),0),0)+IF(TbTradesBinance[[#This Row],[Tipo]]="SELL",IF(ISNUMBER(FIND(MID(BN$1,10,5),TbTradesBinance[[#This Row],[Par]])),IF(FIND(MID(BN$1,10,5),TbTradesBinance[[#This Row],[Par]])=1, -(BM173-BM174)/BM173*BN173,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Row],[Par]])),(-(BM173-BM174)/BM173*BN173)+IF(TbTradesBinance[[#This Row],[Resultado]]&gt;0,0,TbTradesBinance[[#This Row],[Taxa]]),0),0))</f>
        <v>0</v>
      </c>
      <c r="BO174" s="145">
        <f t="shared" si="56"/>
        <v>0</v>
      </c>
    </row>
    <row r="175" spans="2:67" x14ac:dyDescent="0.3">
      <c r="B175" s="51"/>
      <c r="C175" s="40">
        <f>TRUNC(IF(AND(TbTradesBinance[[#This Row],[Tipo]]="SEND",TbTradesBinance[[#This Row],[Par]]="BRL"),TbTradesBinance[[#This Row],[Qtt]]*(1-P173)-IF(TbTradesBinance[[#This Row],[Moeda da Taxa]]="BRL",TbTradesBinance[[#This Row],[Taxa]],0),0)+IF(AND(TbTradesBinance[[#This Row],[Tipo]]="BURN",TbTradesBinance[[#This Row],[Par]]="BRL"),-TbTradesBinance[[#This Row],[Qtt]]*P173,0),2)</f>
        <v>0</v>
      </c>
      <c r="D175" s="53">
        <v>44328.91201388889</v>
      </c>
      <c r="E175" s="37" t="s">
        <v>237</v>
      </c>
      <c r="F175" s="47" t="s">
        <v>139</v>
      </c>
      <c r="G175" s="38">
        <v>5.399</v>
      </c>
      <c r="H175" s="38">
        <v>5.68</v>
      </c>
      <c r="I175" s="38">
        <v>6.9999999999999999E-6</v>
      </c>
      <c r="J175" s="37" t="s">
        <v>45</v>
      </c>
      <c r="K175" s="52">
        <v>1</v>
      </c>
      <c r="L175" s="40">
        <f t="shared" si="38"/>
        <v>5.39</v>
      </c>
      <c r="M175" s="40">
        <f>IF(OR(TbTradesBinance[[#This Row],[Tipo]]="BUY",TbTradesBinance[[#This Row],[Tipo]]="RECEIVE",TbTradesBinance[[#This Row],[Tipo]]="DROP"),L175*H175,-L175*H175)</f>
        <v>30.615199999999998</v>
      </c>
      <c r="N17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Row],[Tipo]]="DROP"),N174+TbTradesBinance[[#This Row],[Qtt]],N174-TbTradesBinance[[#This Row],[Qtt]]),IF(TbTradesBinance[[#This Row],[Tipo]]="BUY",N174-TbTradesBinance[[#This Row],[Qtt]]*TbTradesBinance[[#This Row],[Preço]],N174+TbTradesBinance[[#This Row],[Qtt]]*TbTradesBinance[[#This Row],[Preço]])),N174)-IF(TbTradesBinance[[#This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Row],[Tipo]]="DROP"),N174+TbTradesBinance[[#This Row],[Qtt]],N174-TbTradesBinance[[#This Row],[Qtt]]),IF(TbTradesBinance[[#This Row],[Tipo]]="BUY",N174-TbTradesBinance[[#This Row],[Qtt]]*TbTradesBinance[[#This Row],[Preço]],N174+TbTradesBinance[[#This Row],[Qtt]]*TbTradesBinance[[#This Row],[Preço]])),N174)-IF(TbTradesBinance[[#This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Row],[Tipo]]="DROP"),N174+TbTradesBinance[[#This Row],[Qtt]],N174-TbTradesBinance[[#This Row],[Qtt]]),IF(TbTradesBinance[[#This Row],[Tipo]]="BUY",N174-TbTradesBinance[[#This Row],[Qtt]]*TbTradesBinance[[#This Row],[Preço]],N174+TbTradesBinance[[#This Row],[Qtt]]*TbTradesBinance[[#This Row],[Preço]])),N174)-IF(TbTradesBinance[[#This Row],[Moeda da Taxa]]=MID(N$1,9,5),TbTradesBinance[[#This Row],[Taxa]],0),8)))</f>
        <v>119826.28699599</v>
      </c>
      <c r="O175" s="145" cm="1">
        <f t="array" ref="O175">IF(TbTradesBinance[[#This Row],[Tipo]]="EMPTY",0,O174+IF(TbTradesBinance[[#This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Row],[Par]]))),$1:$1,0)),-(N174-N175)/N174*O174),0),0)+IF(TbTradesBinance[[#This Row],[Tipo]]="SELL",IF(ISNUMBER(FIND(MID(O$1,10,5),TbTradesBinance[[#This Row],[Par]])),IF(FIND(MID(O$1,10,5),TbTradesBinance[[#This Row],[Par]])=1, -(N174-N175)/N174*O174,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Row],[Par]])),(-(N174-N175)/N174*O174)+IF(TbTradesBinance[[#This Row],[Resultado]]&gt;0,0,TbTradesBinance[[#This Row],[Taxa]]),0),0))</f>
        <v>119924.91523972791</v>
      </c>
      <c r="P175" s="145">
        <f t="shared" si="39"/>
        <v>1.0008230935482563</v>
      </c>
      <c r="Q17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Row],[Tipo]]="DROP"),Q174+TbTradesBinance[[#This Row],[Qtt]],Q174-TbTradesBinance[[#This Row],[Qtt]]),IF(TbTradesBinance[[#This Row],[Tipo]]="BUY",Q174-TbTradesBinance[[#This Row],[Qtt]]*TbTradesBinance[[#This Row],[Preço]],Q174+TbTradesBinance[[#This Row],[Qtt]]*TbTradesBinance[[#This Row],[Preço]])),Q174)-IF(TbTradesBinance[[#This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Row],[Tipo]]="DROP"),Q174+TbTradesBinance[[#This Row],[Qtt]],Q174-TbTradesBinance[[#This Row],[Qtt]]),IF(TbTradesBinance[[#This Row],[Tipo]]="BUY",Q174-TbTradesBinance[[#This Row],[Qtt]]*TbTradesBinance[[#This Row],[Preço]],Q174+TbTradesBinance[[#This Row],[Qtt]]*TbTradesBinance[[#This Row],[Preço]])),Q174)-IF(TbTradesBinance[[#This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Row],[Tipo]]="DROP"),Q174+TbTradesBinance[[#This Row],[Qtt]],Q174-TbTradesBinance[[#This Row],[Qtt]]),IF(TbTradesBinance[[#This Row],[Tipo]]="BUY",Q174-TbTradesBinance[[#This Row],[Qtt]]*TbTradesBinance[[#This Row],[Preço]],Q174+TbTradesBinance[[#This Row],[Qtt]]*TbTradesBinance[[#This Row],[Preço]])),Q174)-IF(TbTradesBinance[[#This Row],[Moeda da Taxa]]=MID(Q$1,9,5),TbTradesBinance[[#This Row],[Taxa]],0),8)))</f>
        <v>25.618341000000001</v>
      </c>
      <c r="R175" s="145" cm="1">
        <f t="array" ref="R175">IF(TbTradesBinance[[#This Row],[Tipo]]="EMPTY",0,R174+IF(TbTradesBinance[[#This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Row],[Par]]))),$1:$1,0)),-(Q174-Q175)/Q174*R174),0),0)+IF(TbTradesBinance[[#This Row],[Tipo]]="SELL",IF(ISNUMBER(FIND(MID(R$1,10,5),TbTradesBinance[[#This Row],[Par]])),IF(FIND(MID(R$1,10,5),TbTradesBinance[[#This Row],[Par]])=1, -(Q174-Q175)/Q174*R174,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Row],[Par]])),(-(Q174-Q175)/Q174*R174)+IF(TbTradesBinance[[#This Row],[Resultado]]&gt;0,0,TbTradesBinance[[#This Row],[Taxa]]),0),0))</f>
        <v>119.94522290982411</v>
      </c>
      <c r="S175" s="145">
        <f t="shared" si="40"/>
        <v>4.6820058687572352</v>
      </c>
      <c r="T17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Row],[Tipo]]="DROP"),T174+TbTradesBinance[[#This Row],[Qtt]],T174-TbTradesBinance[[#This Row],[Qtt]]),IF(TbTradesBinance[[#This Row],[Tipo]]="BUY",T174-TbTradesBinance[[#This Row],[Qtt]]*TbTradesBinance[[#This Row],[Preço]],T174+TbTradesBinance[[#This Row],[Qtt]]*TbTradesBinance[[#This Row],[Preço]])),T174)-IF(TbTradesBinance[[#This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Row],[Tipo]]="DROP"),T174+TbTradesBinance[[#This Row],[Qtt]],T174-TbTradesBinance[[#This Row],[Qtt]]),IF(TbTradesBinance[[#This Row],[Tipo]]="BUY",T174-TbTradesBinance[[#This Row],[Qtt]]*TbTradesBinance[[#This Row],[Preço]],T174+TbTradesBinance[[#This Row],[Qtt]]*TbTradesBinance[[#This Row],[Preço]])),T174)-IF(TbTradesBinance[[#This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Row],[Tipo]]="DROP"),T174+TbTradesBinance[[#This Row],[Qtt]],T174-TbTradesBinance[[#This Row],[Qtt]]),IF(TbTradesBinance[[#This Row],[Tipo]]="BUY",T174-TbTradesBinance[[#This Row],[Qtt]]*TbTradesBinance[[#This Row],[Preço]],T174+TbTradesBinance[[#This Row],[Qtt]]*TbTradesBinance[[#This Row],[Preço]])),T174)-IF(TbTradesBinance[[#This Row],[Moeda da Taxa]]=MID(T$1,9,5),TbTradesBinance[[#This Row],[Taxa]],0),8)))</f>
        <v>219713.72000189999</v>
      </c>
      <c r="U175" s="145" cm="1">
        <f t="array" ref="U175">IF(TbTradesBinance[[#This Row],[Tipo]]="EMPTY",0,U174+IF(TbTradesBinance[[#This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Row],[Par]]))),$1:$1,0)),-(T174-T175)/T174*U174),0),0)+IF(TbTradesBinance[[#This Row],[Tipo]]="SELL",IF(ISNUMBER(FIND(MID(U$1,10,5),TbTradesBinance[[#This Row],[Par]])),IF(FIND(MID(U$1,10,5),TbTradesBinance[[#This Row],[Par]])=1, -(T174-T175)/T174*U174,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Row],[Par]])),(-(T174-T175)/T174*U174)+IF(TbTradesBinance[[#This Row],[Resultado]]&gt;0,0,TbTradesBinance[[#This Row],[Taxa]]),0),0))</f>
        <v>1461096.2409827893</v>
      </c>
      <c r="V175" s="145">
        <f t="shared" si="41"/>
        <v>6.6500000135182926</v>
      </c>
      <c r="W17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Row],[Tipo]]="DROP"),W174+TbTradesBinance[[#This Row],[Qtt]],W174-TbTradesBinance[[#This Row],[Qtt]]),IF(TbTradesBinance[[#This Row],[Tipo]]="BUY",W174-TbTradesBinance[[#This Row],[Qtt]]*TbTradesBinance[[#This Row],[Preço]],W174+TbTradesBinance[[#This Row],[Qtt]]*TbTradesBinance[[#This Row],[Preço]])),W174)-IF(TbTradesBinance[[#This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Row],[Tipo]]="DROP"),W174+TbTradesBinance[[#This Row],[Qtt]],W174-TbTradesBinance[[#This Row],[Qtt]]),IF(TbTradesBinance[[#This Row],[Tipo]]="BUY",W174-TbTradesBinance[[#This Row],[Qtt]]*TbTradesBinance[[#This Row],[Preço]],W174+TbTradesBinance[[#This Row],[Qtt]]*TbTradesBinance[[#This Row],[Preço]])),W174)-IF(TbTradesBinance[[#This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Row],[Tipo]]="DROP"),W174+TbTradesBinance[[#This Row],[Qtt]],W174-TbTradesBinance[[#This Row],[Qtt]]),IF(TbTradesBinance[[#This Row],[Tipo]]="BUY",W174-TbTradesBinance[[#This Row],[Qtt]]*TbTradesBinance[[#This Row],[Preço]],W174+TbTradesBinance[[#This Row],[Qtt]]*TbTradesBinance[[#This Row],[Preço]])),W174)-IF(TbTradesBinance[[#This Row],[Moeda da Taxa]]=MID(W$1,9,5),TbTradesBinance[[#This Row],[Taxa]],0),8)))</f>
        <v>4.3499999999999999E-6</v>
      </c>
      <c r="X175" s="145" cm="1">
        <f t="array" ref="X175">IF(TbTradesBinance[[#This Row],[Tipo]]="EMPTY",0,X174+IF(TbTradesBinance[[#This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Row],[Par]]))),$1:$1,0)),-(W174-W175)/W174*X174),0),0)+IF(TbTradesBinance[[#This Row],[Tipo]]="SELL",IF(ISNUMBER(FIND(MID(X$1,10,5),TbTradesBinance[[#This Row],[Par]])),IF(FIND(MID(X$1,10,5),TbTradesBinance[[#This Row],[Par]])=1, -(W174-W175)/W174*X174,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Row],[Par]])),(-(W174-W175)/W174*X174)+IF(TbTradesBinance[[#This Row],[Resultado]]&gt;0,0,TbTradesBinance[[#This Row],[Taxa]]),0),0))</f>
        <v>1.4091313739513396</v>
      </c>
      <c r="Y175" s="145">
        <f t="shared" si="42"/>
        <v>323938.24688536546</v>
      </c>
      <c r="Z17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Row],[Tipo]]="DROP"),Z174+TbTradesBinance[[#This Row],[Qtt]],Z174-TbTradesBinance[[#This Row],[Qtt]]),IF(TbTradesBinance[[#This Row],[Tipo]]="BUY",Z174-TbTradesBinance[[#This Row],[Qtt]]*TbTradesBinance[[#This Row],[Preço]],Z174+TbTradesBinance[[#This Row],[Qtt]]*TbTradesBinance[[#This Row],[Preço]])),Z174)-IF(TbTradesBinance[[#This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Row],[Tipo]]="DROP"),Z174+TbTradesBinance[[#This Row],[Qtt]],Z174-TbTradesBinance[[#This Row],[Qtt]]),IF(TbTradesBinance[[#This Row],[Tipo]]="BUY",Z174-TbTradesBinance[[#This Row],[Qtt]]*TbTradesBinance[[#This Row],[Preço]],Z174+TbTradesBinance[[#This Row],[Qtt]]*TbTradesBinance[[#This Row],[Preço]])),Z174)-IF(TbTradesBinance[[#This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Row],[Tipo]]="DROP"),Z174+TbTradesBinance[[#This Row],[Qtt]],Z174-TbTradesBinance[[#This Row],[Qtt]]),IF(TbTradesBinance[[#This Row],[Tipo]]="BUY",Z174-TbTradesBinance[[#This Row],[Qtt]]*TbTradesBinance[[#This Row],[Preço]],Z174+TbTradesBinance[[#This Row],[Qtt]]*TbTradesBinance[[#This Row],[Preço]])),Z174)-IF(TbTradesBinance[[#This Row],[Moeda da Taxa]]=MID(Z$1,9,5),TbTradesBinance[[#This Row],[Taxa]],0),8)))</f>
        <v>0</v>
      </c>
      <c r="AA175" s="145" cm="1">
        <f t="array" ref="AA175">IF(TbTradesBinance[[#This Row],[Tipo]]="EMPTY",0,AA174+IF(TbTradesBinance[[#This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Row],[Par]]))),$1:$1,0)),-(Z174-Z175)/Z174*AA174),0),0)+IF(TbTradesBinance[[#This Row],[Tipo]]="SELL",IF(ISNUMBER(FIND(MID(AA$1,10,5),TbTradesBinance[[#This Row],[Par]])),IF(FIND(MID(AA$1,10,5),TbTradesBinance[[#This Row],[Par]])=1, -(Z174-Z175)/Z174*AA174,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Row],[Par]])),(-(Z174-Z175)/Z174*AA174)+IF(TbTradesBinance[[#This Row],[Resultado]]&gt;0,0,TbTradesBinance[[#This Row],[Taxa]]),0),0))</f>
        <v>0</v>
      </c>
      <c r="AB175" s="145">
        <f t="shared" si="43"/>
        <v>0</v>
      </c>
      <c r="AC17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Row],[Tipo]]="DROP"),AC174+TbTradesBinance[[#This Row],[Qtt]],AC174-TbTradesBinance[[#This Row],[Qtt]]),IF(TbTradesBinance[[#This Row],[Tipo]]="BUY",AC174-TbTradesBinance[[#This Row],[Qtt]]*TbTradesBinance[[#This Row],[Preço]],AC174+TbTradesBinance[[#This Row],[Qtt]]*TbTradesBinance[[#This Row],[Preço]])),AC174)-IF(TbTradesBinance[[#This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Row],[Tipo]]="DROP"),AC174+TbTradesBinance[[#This Row],[Qtt]],AC174-TbTradesBinance[[#This Row],[Qtt]]),IF(TbTradesBinance[[#This Row],[Tipo]]="BUY",AC174-TbTradesBinance[[#This Row],[Qtt]]*TbTradesBinance[[#This Row],[Preço]],AC174+TbTradesBinance[[#This Row],[Qtt]]*TbTradesBinance[[#This Row],[Preço]])),AC174)-IF(TbTradesBinance[[#This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Row],[Tipo]]="DROP"),AC174+TbTradesBinance[[#This Row],[Qtt]],AC174-TbTradesBinance[[#This Row],[Qtt]]),IF(TbTradesBinance[[#This Row],[Tipo]]="BUY",AC174-TbTradesBinance[[#This Row],[Qtt]]*TbTradesBinance[[#This Row],[Preço]],AC174+TbTradesBinance[[#This Row],[Qtt]]*TbTradesBinance[[#This Row],[Preço]])),AC174)-IF(TbTradesBinance[[#This Row],[Moeda da Taxa]]=MID(AC$1,9,5),TbTradesBinance[[#This Row],[Taxa]],0),8)))</f>
        <v>0</v>
      </c>
      <c r="AD175" s="145" cm="1">
        <f t="array" ref="AD175">IF(TbTradesBinance[[#This Row],[Tipo]]="EMPTY",0,AD174+IF(TbTradesBinance[[#This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Row],[Par]]))),$1:$1,0)),-(AC174-AC175)/AC174*AD174),0),0)+IF(TbTradesBinance[[#This Row],[Tipo]]="SELL",IF(ISNUMBER(FIND(MID(AD$1,10,5),TbTradesBinance[[#This Row],[Par]])),IF(FIND(MID(AD$1,10,5),TbTradesBinance[[#This Row],[Par]])=1, -(AC174-AC175)/AC174*AD174,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Row],[Par]])),(-(AC174-AC175)/AC174*AD174)+IF(TbTradesBinance[[#This Row],[Resultado]]&gt;0,0,TbTradesBinance[[#This Row],[Taxa]]),0),0))</f>
        <v>0</v>
      </c>
      <c r="AE175" s="145">
        <f t="shared" si="44"/>
        <v>0</v>
      </c>
      <c r="AF17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Row],[Tipo]]="DROP"),AF174+TbTradesBinance[[#This Row],[Qtt]],AF174-TbTradesBinance[[#This Row],[Qtt]]),IF(TbTradesBinance[[#This Row],[Tipo]]="BUY",AF174-TbTradesBinance[[#This Row],[Qtt]]*TbTradesBinance[[#This Row],[Preço]],AF174+TbTradesBinance[[#This Row],[Qtt]]*TbTradesBinance[[#This Row],[Preço]])),AF174)-IF(TbTradesBinance[[#This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Row],[Tipo]]="DROP"),AF174+TbTradesBinance[[#This Row],[Qtt]],AF174-TbTradesBinance[[#This Row],[Qtt]]),IF(TbTradesBinance[[#This Row],[Tipo]]="BUY",AF174-TbTradesBinance[[#This Row],[Qtt]]*TbTradesBinance[[#This Row],[Preço]],AF174+TbTradesBinance[[#This Row],[Qtt]]*TbTradesBinance[[#This Row],[Preço]])),AF174)-IF(TbTradesBinance[[#This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Row],[Tipo]]="DROP"),AF174+TbTradesBinance[[#This Row],[Qtt]],AF174-TbTradesBinance[[#This Row],[Qtt]]),IF(TbTradesBinance[[#This Row],[Tipo]]="BUY",AF174-TbTradesBinance[[#This Row],[Qtt]]*TbTradesBinance[[#This Row],[Preço]],AF174+TbTradesBinance[[#This Row],[Qtt]]*TbTradesBinance[[#This Row],[Preço]])),AF174)-IF(TbTradesBinance[[#This Row],[Moeda da Taxa]]=MID(AF$1,9,5),TbTradesBinance[[#This Row],[Taxa]],0),8)))</f>
        <v>0</v>
      </c>
      <c r="AG175" s="145" cm="1">
        <f t="array" ref="AG175">IF(TbTradesBinance[[#This Row],[Tipo]]="EMPTY",0,AG174+IF(TbTradesBinance[[#This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Row],[Par]]))),$1:$1,0)),-(AF174-AF175)/AF174*AG174),0),0)+IF(TbTradesBinance[[#This Row],[Tipo]]="SELL",IF(ISNUMBER(FIND(MID(AG$1,10,5),TbTradesBinance[[#This Row],[Par]])),IF(FIND(MID(AG$1,10,5),TbTradesBinance[[#This Row],[Par]])=1, -(AF174-AF175)/AF174*AG174,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Row],[Par]])),(-(AF174-AF175)/AF174*AG174)+IF(TbTradesBinance[[#This Row],[Resultado]]&gt;0,0,TbTradesBinance[[#This Row],[Taxa]]),0),0))</f>
        <v>0</v>
      </c>
      <c r="AH175" s="145">
        <f t="shared" si="45"/>
        <v>0</v>
      </c>
      <c r="AI17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Row],[Tipo]]="DROP"),AI174+TbTradesBinance[[#This Row],[Qtt]],AI174-TbTradesBinance[[#This Row],[Qtt]]),IF(TbTradesBinance[[#This Row],[Tipo]]="BUY",AI174-TbTradesBinance[[#This Row],[Qtt]]*TbTradesBinance[[#This Row],[Preço]],AI174+TbTradesBinance[[#This Row],[Qtt]]*TbTradesBinance[[#This Row],[Preço]])),AI174)-IF(TbTradesBinance[[#This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Row],[Tipo]]="DROP"),AI174+TbTradesBinance[[#This Row],[Qtt]],AI174-TbTradesBinance[[#This Row],[Qtt]]),IF(TbTradesBinance[[#This Row],[Tipo]]="BUY",AI174-TbTradesBinance[[#This Row],[Qtt]]*TbTradesBinance[[#This Row],[Preço]],AI174+TbTradesBinance[[#This Row],[Qtt]]*TbTradesBinance[[#This Row],[Preço]])),AI174)-IF(TbTradesBinance[[#This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Row],[Tipo]]="DROP"),AI174+TbTradesBinance[[#This Row],[Qtt]],AI174-TbTradesBinance[[#This Row],[Qtt]]),IF(TbTradesBinance[[#This Row],[Tipo]]="BUY",AI174-TbTradesBinance[[#This Row],[Qtt]]*TbTradesBinance[[#This Row],[Preço]],AI174+TbTradesBinance[[#This Row],[Qtt]]*TbTradesBinance[[#This Row],[Preço]])),AI174)-IF(TbTradesBinance[[#This Row],[Moeda da Taxa]]=MID(AI$1,9,5),TbTradesBinance[[#This Row],[Taxa]],0),8)))</f>
        <v>0</v>
      </c>
      <c r="AJ175" s="145" cm="1">
        <f t="array" ref="AJ175">IF(TbTradesBinance[[#This Row],[Tipo]]="EMPTY",0,AJ174+IF(TbTradesBinance[[#This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Row],[Par]]))),$1:$1,0)),-(AI174-AI175)/AI174*AJ174),0),0)+IF(TbTradesBinance[[#This Row],[Tipo]]="SELL",IF(ISNUMBER(FIND(MID(AJ$1,10,5),TbTradesBinance[[#This Row],[Par]])),IF(FIND(MID(AJ$1,10,5),TbTradesBinance[[#This Row],[Par]])=1, -(AI174-AI175)/AI174*AJ174,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Row],[Par]])),(-(AI174-AI175)/AI174*AJ174)+IF(TbTradesBinance[[#This Row],[Resultado]]&gt;0,0,TbTradesBinance[[#This Row],[Taxa]]),0),0))</f>
        <v>0</v>
      </c>
      <c r="AK175" s="145">
        <f t="shared" si="46"/>
        <v>0</v>
      </c>
      <c r="AL17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Row],[Tipo]]="DROP"),AL174+TbTradesBinance[[#This Row],[Qtt]],AL174-TbTradesBinance[[#This Row],[Qtt]]),IF(TbTradesBinance[[#This Row],[Tipo]]="BUY",AL174-TbTradesBinance[[#This Row],[Qtt]]*TbTradesBinance[[#This Row],[Preço]],AL174+TbTradesBinance[[#This Row],[Qtt]]*TbTradesBinance[[#This Row],[Preço]])),AL174)-IF(TbTradesBinance[[#This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Row],[Tipo]]="DROP"),AL174+TbTradesBinance[[#This Row],[Qtt]],AL174-TbTradesBinance[[#This Row],[Qtt]]),IF(TbTradesBinance[[#This Row],[Tipo]]="BUY",AL174-TbTradesBinance[[#This Row],[Qtt]]*TbTradesBinance[[#This Row],[Preço]],AL174+TbTradesBinance[[#This Row],[Qtt]]*TbTradesBinance[[#This Row],[Preço]])),AL174)-IF(TbTradesBinance[[#This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Row],[Tipo]]="DROP"),AL174+TbTradesBinance[[#This Row],[Qtt]],AL174-TbTradesBinance[[#This Row],[Qtt]]),IF(TbTradesBinance[[#This Row],[Tipo]]="BUY",AL174-TbTradesBinance[[#This Row],[Qtt]]*TbTradesBinance[[#This Row],[Preço]],AL174+TbTradesBinance[[#This Row],[Qtt]]*TbTradesBinance[[#This Row],[Preço]])),AL174)-IF(TbTradesBinance[[#This Row],[Moeda da Taxa]]=MID(AL$1,9,5),TbTradesBinance[[#This Row],[Taxa]],0),8)))</f>
        <v>0</v>
      </c>
      <c r="AM175" s="145" cm="1">
        <f t="array" ref="AM175">IF(TbTradesBinance[[#This Row],[Tipo]]="EMPTY",0,AM174+IF(TbTradesBinance[[#This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Row],[Par]]))),$1:$1,0)),-(AL174-AL175)/AL174*AM174),0),0)+IF(TbTradesBinance[[#This Row],[Tipo]]="SELL",IF(ISNUMBER(FIND(MID(AM$1,10,5),TbTradesBinance[[#This Row],[Par]])),IF(FIND(MID(AM$1,10,5),TbTradesBinance[[#This Row],[Par]])=1, -(AL174-AL175)/AL174*AM174,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Row],[Par]])),(-(AL174-AL175)/AL174*AM174)+IF(TbTradesBinance[[#This Row],[Resultado]]&gt;0,0,TbTradesBinance[[#This Row],[Taxa]]),0),0))</f>
        <v>0</v>
      </c>
      <c r="AN175" s="145">
        <f t="shared" si="47"/>
        <v>0</v>
      </c>
      <c r="AO17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Row],[Tipo]]="DROP"),AO174+TbTradesBinance[[#This Row],[Qtt]],AO174-TbTradesBinance[[#This Row],[Qtt]]),IF(TbTradesBinance[[#This Row],[Tipo]]="BUY",AO174-TbTradesBinance[[#This Row],[Qtt]]*TbTradesBinance[[#This Row],[Preço]],AO174+TbTradesBinance[[#This Row],[Qtt]]*TbTradesBinance[[#This Row],[Preço]])),AO174)-IF(TbTradesBinance[[#This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Row],[Tipo]]="DROP"),AO174+TbTradesBinance[[#This Row],[Qtt]],AO174-TbTradesBinance[[#This Row],[Qtt]]),IF(TbTradesBinance[[#This Row],[Tipo]]="BUY",AO174-TbTradesBinance[[#This Row],[Qtt]]*TbTradesBinance[[#This Row],[Preço]],AO174+TbTradesBinance[[#This Row],[Qtt]]*TbTradesBinance[[#This Row],[Preço]])),AO174)-IF(TbTradesBinance[[#This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Row],[Tipo]]="DROP"),AO174+TbTradesBinance[[#This Row],[Qtt]],AO174-TbTradesBinance[[#This Row],[Qtt]]),IF(TbTradesBinance[[#This Row],[Tipo]]="BUY",AO174-TbTradesBinance[[#This Row],[Qtt]]*TbTradesBinance[[#This Row],[Preço]],AO174+TbTradesBinance[[#This Row],[Qtt]]*TbTradesBinance[[#This Row],[Preço]])),AO174)-IF(TbTradesBinance[[#This Row],[Moeda da Taxa]]=MID(AO$1,9,5),TbTradesBinance[[#This Row],[Taxa]],0),8)))</f>
        <v>3.8404599999999997E-2</v>
      </c>
      <c r="AP175" s="145" cm="1">
        <f t="array" ref="AP175">IF(TbTradesBinance[[#This Row],[Tipo]]="EMPTY",0,AP174+IF(TbTradesBinance[[#This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Row],[Par]]))),$1:$1,0)),-(AO174-AO175)/AO174*AP174),0),0)+IF(TbTradesBinance[[#This Row],[Tipo]]="SELL",IF(ISNUMBER(FIND(MID(AP$1,10,5),TbTradesBinance[[#This Row],[Par]])),IF(FIND(MID(AP$1,10,5),TbTradesBinance[[#This Row],[Par]])=1, -(AO174-AO175)/AO174*AP174,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Row],[Par]])),(-(AO174-AO175)/AO174*AP174)+IF(TbTradesBinance[[#This Row],[Resultado]]&gt;0,0,TbTradesBinance[[#This Row],[Taxa]]),0),0))</f>
        <v>60.349858055862811</v>
      </c>
      <c r="AQ175" s="145">
        <f t="shared" si="48"/>
        <v>1571.4226435339208</v>
      </c>
      <c r="AR17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Row],[Tipo]]="DROP"),AR174+TbTradesBinance[[#This Row],[Qtt]],AR174-TbTradesBinance[[#This Row],[Qtt]]),IF(TbTradesBinance[[#This Row],[Tipo]]="BUY",AR174-TbTradesBinance[[#This Row],[Qtt]]*TbTradesBinance[[#This Row],[Preço]],AR174+TbTradesBinance[[#This Row],[Qtt]]*TbTradesBinance[[#This Row],[Preço]])),AR174)-IF(TbTradesBinance[[#This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Row],[Tipo]]="DROP"),AR174+TbTradesBinance[[#This Row],[Qtt]],AR174-TbTradesBinance[[#This Row],[Qtt]]),IF(TbTradesBinance[[#This Row],[Tipo]]="BUY",AR174-TbTradesBinance[[#This Row],[Qtt]]*TbTradesBinance[[#This Row],[Preço]],AR174+TbTradesBinance[[#This Row],[Qtt]]*TbTradesBinance[[#This Row],[Preço]])),AR174)-IF(TbTradesBinance[[#This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Row],[Tipo]]="DROP"),AR174+TbTradesBinance[[#This Row],[Qtt]],AR174-TbTradesBinance[[#This Row],[Qtt]]),IF(TbTradesBinance[[#This Row],[Tipo]]="BUY",AR174-TbTradesBinance[[#This Row],[Qtt]]*TbTradesBinance[[#This Row],[Preço]],AR174+TbTradesBinance[[#This Row],[Qtt]]*TbTradesBinance[[#This Row],[Preço]])),AR174)-IF(TbTradesBinance[[#This Row],[Moeda da Taxa]]=MID(AR$1,9,5),TbTradesBinance[[#This Row],[Taxa]],0),8)))</f>
        <v>0</v>
      </c>
      <c r="AS175" s="145" cm="1">
        <f t="array" ref="AS175">IF(TbTradesBinance[[#This Row],[Tipo]]="EMPTY",0,AS174+IF(TbTradesBinance[[#This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Row],[Par]]))),$1:$1,0)),-(AR174-AR175)/AR174*AS174),0),0)+IF(TbTradesBinance[[#This Row],[Tipo]]="SELL",IF(ISNUMBER(FIND(MID(AS$1,10,5),TbTradesBinance[[#This Row],[Par]])),IF(FIND(MID(AS$1,10,5),TbTradesBinance[[#This Row],[Par]])=1, -(AR174-AR175)/AR174*AS174,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Row],[Par]])),(-(AR174-AR175)/AR174*AS174)+IF(TbTradesBinance[[#This Row],[Resultado]]&gt;0,0,TbTradesBinance[[#This Row],[Taxa]]),0),0))</f>
        <v>0</v>
      </c>
      <c r="AT175" s="145">
        <f t="shared" si="49"/>
        <v>0</v>
      </c>
      <c r="AU17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Row],[Tipo]]="DROP"),AU174+TbTradesBinance[[#This Row],[Qtt]],AU174-TbTradesBinance[[#This Row],[Qtt]]),IF(TbTradesBinance[[#This Row],[Tipo]]="BUY",AU174-TbTradesBinance[[#This Row],[Qtt]]*TbTradesBinance[[#This Row],[Preço]],AU174+TbTradesBinance[[#This Row],[Qtt]]*TbTradesBinance[[#This Row],[Preço]])),AU174)-IF(TbTradesBinance[[#This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Row],[Tipo]]="DROP"),AU174+TbTradesBinance[[#This Row],[Qtt]],AU174-TbTradesBinance[[#This Row],[Qtt]]),IF(TbTradesBinance[[#This Row],[Tipo]]="BUY",AU174-TbTradesBinance[[#This Row],[Qtt]]*TbTradesBinance[[#This Row],[Preço]],AU174+TbTradesBinance[[#This Row],[Qtt]]*TbTradesBinance[[#This Row],[Preço]])),AU174)-IF(TbTradesBinance[[#This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Row],[Tipo]]="DROP"),AU174+TbTradesBinance[[#This Row],[Qtt]],AU174-TbTradesBinance[[#This Row],[Qtt]]),IF(TbTradesBinance[[#This Row],[Tipo]]="BUY",AU174-TbTradesBinance[[#This Row],[Qtt]]*TbTradesBinance[[#This Row],[Preço]],AU174+TbTradesBinance[[#This Row],[Qtt]]*TbTradesBinance[[#This Row],[Preço]])),AU174)-IF(TbTradesBinance[[#This Row],[Moeda da Taxa]]=MID(AU$1,9,5),TbTradesBinance[[#This Row],[Taxa]],0),8)))</f>
        <v>0.51</v>
      </c>
      <c r="AV175" s="145" cm="1">
        <f t="array" ref="AV175">IF(TbTradesBinance[[#This Row],[Tipo]]="EMPTY",0,AV174+IF(TbTradesBinance[[#This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Row],[Par]]))),$1:$1,0)),-(AU174-AU175)/AU174*AV174),0),0)+IF(TbTradesBinance[[#This Row],[Tipo]]="SELL",IF(ISNUMBER(FIND(MID(AV$1,10,5),TbTradesBinance[[#This Row],[Par]])),IF(FIND(MID(AV$1,10,5),TbTradesBinance[[#This Row],[Par]])=1, -(AU174-AU175)/AU174*AV174,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Row],[Par]])),(-(AU174-AU175)/AU174*AV174)+IF(TbTradesBinance[[#This Row],[Resultado]]&gt;0,0,TbTradesBinance[[#This Row],[Taxa]]),0),0))</f>
        <v>95.466693037374753</v>
      </c>
      <c r="AW175" s="145">
        <f t="shared" si="50"/>
        <v>187.18959419093088</v>
      </c>
      <c r="AX17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Row],[Tipo]]="DROP"),AX174+TbTradesBinance[[#This Row],[Qtt]],AX174-TbTradesBinance[[#This Row],[Qtt]]),IF(TbTradesBinance[[#This Row],[Tipo]]="BUY",AX174-TbTradesBinance[[#This Row],[Qtt]]*TbTradesBinance[[#This Row],[Preço]],AX174+TbTradesBinance[[#This Row],[Qtt]]*TbTradesBinance[[#This Row],[Preço]])),AX174)-IF(TbTradesBinance[[#This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Row],[Tipo]]="DROP"),AX174+TbTradesBinance[[#This Row],[Qtt]],AX174-TbTradesBinance[[#This Row],[Qtt]]),IF(TbTradesBinance[[#This Row],[Tipo]]="BUY",AX174-TbTradesBinance[[#This Row],[Qtt]]*TbTradesBinance[[#This Row],[Preço]],AX174+TbTradesBinance[[#This Row],[Qtt]]*TbTradesBinance[[#This Row],[Preço]])),AX174)-IF(TbTradesBinance[[#This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Row],[Tipo]]="DROP"),AX174+TbTradesBinance[[#This Row],[Qtt]],AX174-TbTradesBinance[[#This Row],[Qtt]]),IF(TbTradesBinance[[#This Row],[Tipo]]="BUY",AX174-TbTradesBinance[[#This Row],[Qtt]]*TbTradesBinance[[#This Row],[Preço]],AX174+TbTradesBinance[[#This Row],[Qtt]]*TbTradesBinance[[#This Row],[Preço]])),AX174)-IF(TbTradesBinance[[#This Row],[Moeda da Taxa]]=MID(AX$1,9,5),TbTradesBinance[[#This Row],[Taxa]],0),8)))</f>
        <v>0.32838000000000001</v>
      </c>
      <c r="AY175" s="145" cm="1">
        <f t="array" ref="AY175">IF(TbTradesBinance[[#This Row],[Tipo]]="EMPTY",0,AY174+IF(TbTradesBinance[[#This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Row],[Par]]))),$1:$1,0)),-(AX174-AX175)/AX174*AY174),0),0)+IF(TbTradesBinance[[#This Row],[Tipo]]="SELL",IF(ISNUMBER(FIND(MID(AY$1,10,5),TbTradesBinance[[#This Row],[Par]])),IF(FIND(MID(AY$1,10,5),TbTradesBinance[[#This Row],[Par]])=1, -(AX174-AX175)/AX174*AY174,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Row],[Par]])),(-(AX174-AX175)/AX174*AY174)+IF(TbTradesBinance[[#This Row],[Resultado]]&gt;0,0,TbTradesBinance[[#This Row],[Taxa]]),0),0))</f>
        <v>61.364116058805678</v>
      </c>
      <c r="AZ175" s="145">
        <f t="shared" si="51"/>
        <v>186.869224857804</v>
      </c>
      <c r="BA17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Row],[Tipo]]="DROP"),BA174+TbTradesBinance[[#This Row],[Qtt]],BA174-TbTradesBinance[[#This Row],[Qtt]]),IF(TbTradesBinance[[#This Row],[Tipo]]="BUY",BA174-TbTradesBinance[[#This Row],[Qtt]]*TbTradesBinance[[#This Row],[Preço]],BA174+TbTradesBinance[[#This Row],[Qtt]]*TbTradesBinance[[#This Row],[Preço]])),BA174)-IF(TbTradesBinance[[#This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Row],[Tipo]]="DROP"),BA174+TbTradesBinance[[#This Row],[Qtt]],BA174-TbTradesBinance[[#This Row],[Qtt]]),IF(TbTradesBinance[[#This Row],[Tipo]]="BUY",BA174-TbTradesBinance[[#This Row],[Qtt]]*TbTradesBinance[[#This Row],[Preço]],BA174+TbTradesBinance[[#This Row],[Qtt]]*TbTradesBinance[[#This Row],[Preço]])),BA174)-IF(TbTradesBinance[[#This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Row],[Tipo]]="DROP"),BA174+TbTradesBinance[[#This Row],[Qtt]],BA174-TbTradesBinance[[#This Row],[Qtt]]),IF(TbTradesBinance[[#This Row],[Tipo]]="BUY",BA174-TbTradesBinance[[#This Row],[Qtt]]*TbTradesBinance[[#This Row],[Preço]],BA174+TbTradesBinance[[#This Row],[Qtt]]*TbTradesBinance[[#This Row],[Preço]])),BA174)-IF(TbTradesBinance[[#This Row],[Moeda da Taxa]]=MID(BA$1,9,5),TbTradesBinance[[#This Row],[Taxa]],0),8)))</f>
        <v>0</v>
      </c>
      <c r="BB175" s="145" cm="1">
        <f t="array" ref="BB175">IF(TbTradesBinance[[#This Row],[Tipo]]="EMPTY",0,BB174+IF(TbTradesBinance[[#This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Row],[Par]]))),$1:$1,0)),-(BA174-BA175)/BA174*BB174),0),0)+IF(TbTradesBinance[[#This Row],[Tipo]]="SELL",IF(ISNUMBER(FIND(MID(BB$1,10,5),TbTradesBinance[[#This Row],[Par]])),IF(FIND(MID(BB$1,10,5),TbTradesBinance[[#This Row],[Par]])=1, -(BA174-BA175)/BA174*BB174,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Row],[Par]])),(-(BA174-BA175)/BA174*BB174)+IF(TbTradesBinance[[#This Row],[Resultado]]&gt;0,0,TbTradesBinance[[#This Row],[Taxa]]),0),0))</f>
        <v>0</v>
      </c>
      <c r="BC175" s="145">
        <f t="shared" si="52"/>
        <v>0</v>
      </c>
      <c r="BD17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Row],[Tipo]]="DROP"),BD174+TbTradesBinance[[#This Row],[Qtt]],BD174-TbTradesBinance[[#This Row],[Qtt]]),IF(TbTradesBinance[[#This Row],[Tipo]]="BUY",BD174-TbTradesBinance[[#This Row],[Qtt]]*TbTradesBinance[[#This Row],[Preço]],BD174+TbTradesBinance[[#This Row],[Qtt]]*TbTradesBinance[[#This Row],[Preço]])),BD174)-IF(TbTradesBinance[[#This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Row],[Tipo]]="DROP"),BD174+TbTradesBinance[[#This Row],[Qtt]],BD174-TbTradesBinance[[#This Row],[Qtt]]),IF(TbTradesBinance[[#This Row],[Tipo]]="BUY",BD174-TbTradesBinance[[#This Row],[Qtt]]*TbTradesBinance[[#This Row],[Preço]],BD174+TbTradesBinance[[#This Row],[Qtt]]*TbTradesBinance[[#This Row],[Preço]])),BD174)-IF(TbTradesBinance[[#This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Row],[Tipo]]="DROP"),BD174+TbTradesBinance[[#This Row],[Qtt]],BD174-TbTradesBinance[[#This Row],[Qtt]]),IF(TbTradesBinance[[#This Row],[Tipo]]="BUY",BD174-TbTradesBinance[[#This Row],[Qtt]]*TbTradesBinance[[#This Row],[Preço]],BD174+TbTradesBinance[[#This Row],[Qtt]]*TbTradesBinance[[#This Row],[Preço]])),BD174)-IF(TbTradesBinance[[#This Row],[Moeda da Taxa]]=MID(BD$1,9,5),TbTradesBinance[[#This Row],[Taxa]],0),8)))</f>
        <v>0</v>
      </c>
      <c r="BE175" s="145" cm="1">
        <f t="array" ref="BE175">IF(TbTradesBinance[[#This Row],[Tipo]]="EMPTY",0,BE174+IF(TbTradesBinance[[#This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Row],[Par]]))),$1:$1,0)),-(BD174-BD175)/BD174*BE174),0),0)+IF(TbTradesBinance[[#This Row],[Tipo]]="SELL",IF(ISNUMBER(FIND(MID(BE$1,10,5),TbTradesBinance[[#This Row],[Par]])),IF(FIND(MID(BE$1,10,5),TbTradesBinance[[#This Row],[Par]])=1, -(BD174-BD175)/BD174*BE174,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Row],[Par]])),(-(BD174-BD175)/BD174*BE174)+IF(TbTradesBinance[[#This Row],[Resultado]]&gt;0,0,TbTradesBinance[[#This Row],[Taxa]]),0),0))</f>
        <v>0</v>
      </c>
      <c r="BF175" s="145">
        <f t="shared" si="53"/>
        <v>0</v>
      </c>
      <c r="BG17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Row],[Tipo]]="DROP"),BG174+TbTradesBinance[[#This Row],[Qtt]],BG174-TbTradesBinance[[#This Row],[Qtt]]),IF(TbTradesBinance[[#This Row],[Tipo]]="BUY",BG174-TbTradesBinance[[#This Row],[Qtt]]*TbTradesBinance[[#This Row],[Preço]],BG174+TbTradesBinance[[#This Row],[Qtt]]*TbTradesBinance[[#This Row],[Preço]])),BG174)-IF(TbTradesBinance[[#This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Row],[Tipo]]="DROP"),BG174+TbTradesBinance[[#This Row],[Qtt]],BG174-TbTradesBinance[[#This Row],[Qtt]]),IF(TbTradesBinance[[#This Row],[Tipo]]="BUY",BG174-TbTradesBinance[[#This Row],[Qtt]]*TbTradesBinance[[#This Row],[Preço]],BG174+TbTradesBinance[[#This Row],[Qtt]]*TbTradesBinance[[#This Row],[Preço]])),BG174)-IF(TbTradesBinance[[#This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Row],[Tipo]]="DROP"),BG174+TbTradesBinance[[#This Row],[Qtt]],BG174-TbTradesBinance[[#This Row],[Qtt]]),IF(TbTradesBinance[[#This Row],[Tipo]]="BUY",BG174-TbTradesBinance[[#This Row],[Qtt]]*TbTradesBinance[[#This Row],[Preço]],BG174+TbTradesBinance[[#This Row],[Qtt]]*TbTradesBinance[[#This Row],[Preço]])),BG174)-IF(TbTradesBinance[[#This Row],[Moeda da Taxa]]=MID(BG$1,9,5),TbTradesBinance[[#This Row],[Taxa]],0),8)))</f>
        <v>0</v>
      </c>
      <c r="BH175" s="145" cm="1">
        <f t="array" ref="BH175">IF(TbTradesBinance[[#This Row],[Tipo]]="EMPTY",0,BH174+IF(TbTradesBinance[[#This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Row],[Par]]))),$1:$1,0)),-(BG174-BG175)/BG174*BH174),0),0)+IF(TbTradesBinance[[#This Row],[Tipo]]="SELL",IF(ISNUMBER(FIND(MID(BH$1,10,5),TbTradesBinance[[#This Row],[Par]])),IF(FIND(MID(BH$1,10,5),TbTradesBinance[[#This Row],[Par]])=1, -(BG174-BG175)/BG174*BH174,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Row],[Par]])),(-(BG174-BG175)/BG174*BH174)+IF(TbTradesBinance[[#This Row],[Resultado]]&gt;0,0,TbTradesBinance[[#This Row],[Taxa]]),0),0))</f>
        <v>0</v>
      </c>
      <c r="BI175" s="145">
        <f t="shared" si="54"/>
        <v>0</v>
      </c>
      <c r="BJ17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Row],[Tipo]]="DROP"),BJ174+TbTradesBinance[[#This Row],[Qtt]],BJ174-TbTradesBinance[[#This Row],[Qtt]]),IF(TbTradesBinance[[#This Row],[Tipo]]="BUY",BJ174-TbTradesBinance[[#This Row],[Qtt]]*TbTradesBinance[[#This Row],[Preço]],BJ174+TbTradesBinance[[#This Row],[Qtt]]*TbTradesBinance[[#This Row],[Preço]])),BJ174)-IF(TbTradesBinance[[#This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Row],[Tipo]]="DROP"),BJ174+TbTradesBinance[[#This Row],[Qtt]],BJ174-TbTradesBinance[[#This Row],[Qtt]]),IF(TbTradesBinance[[#This Row],[Tipo]]="BUY",BJ174-TbTradesBinance[[#This Row],[Qtt]]*TbTradesBinance[[#This Row],[Preço]],BJ174+TbTradesBinance[[#This Row],[Qtt]]*TbTradesBinance[[#This Row],[Preço]])),BJ174)-IF(TbTradesBinance[[#This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Row],[Tipo]]="DROP"),BJ174+TbTradesBinance[[#This Row],[Qtt]],BJ174-TbTradesBinance[[#This Row],[Qtt]]),IF(TbTradesBinance[[#This Row],[Tipo]]="BUY",BJ174-TbTradesBinance[[#This Row],[Qtt]]*TbTradesBinance[[#This Row],[Preço]],BJ174+TbTradesBinance[[#This Row],[Qtt]]*TbTradesBinance[[#This Row],[Preço]])),BJ174)-IF(TbTradesBinance[[#This Row],[Moeda da Taxa]]=MID(BJ$1,9,5),TbTradesBinance[[#This Row],[Taxa]],0),8)))</f>
        <v>0</v>
      </c>
      <c r="BK175" s="145" cm="1">
        <f t="array" ref="BK175">IF(TbTradesBinance[[#This Row],[Tipo]]="EMPTY",0,BK174+IF(TbTradesBinance[[#This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Row],[Par]]))),$1:$1,0)),-(BJ174-BJ175)/BJ174*BK174),0),0)+IF(TbTradesBinance[[#This Row],[Tipo]]="SELL",IF(ISNUMBER(FIND(MID(BK$1,10,5),TbTradesBinance[[#This Row],[Par]])),IF(FIND(MID(BK$1,10,5),TbTradesBinance[[#This Row],[Par]])=1, -(BJ174-BJ175)/BJ174*BK174,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Row],[Par]])),(-(BJ174-BJ175)/BJ174*BK174)+IF(TbTradesBinance[[#This Row],[Resultado]]&gt;0,0,TbTradesBinance[[#This Row],[Taxa]]),0),0))</f>
        <v>0</v>
      </c>
      <c r="BL175" s="145">
        <f t="shared" si="55"/>
        <v>0</v>
      </c>
      <c r="BM17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Row],[Tipo]]="DROP"),BM174+TbTradesBinance[[#This Row],[Qtt]],BM174-TbTradesBinance[[#This Row],[Qtt]]),IF(TbTradesBinance[[#This Row],[Tipo]]="BUY",BM174-TbTradesBinance[[#This Row],[Qtt]]*TbTradesBinance[[#This Row],[Preço]],BM174+TbTradesBinance[[#This Row],[Qtt]]*TbTradesBinance[[#This Row],[Preço]])),BM174)-IF(TbTradesBinance[[#This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Row],[Tipo]]="DROP"),BM174+TbTradesBinance[[#This Row],[Qtt]],BM174-TbTradesBinance[[#This Row],[Qtt]]),IF(TbTradesBinance[[#This Row],[Tipo]]="BUY",BM174-TbTradesBinance[[#This Row],[Qtt]]*TbTradesBinance[[#This Row],[Preço]],BM174+TbTradesBinance[[#This Row],[Qtt]]*TbTradesBinance[[#This Row],[Preço]])),BM174)-IF(TbTradesBinance[[#This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Row],[Tipo]]="DROP"),BM174+TbTradesBinance[[#This Row],[Qtt]],BM174-TbTradesBinance[[#This Row],[Qtt]]),IF(TbTradesBinance[[#This Row],[Tipo]]="BUY",BM174-TbTradesBinance[[#This Row],[Qtt]]*TbTradesBinance[[#This Row],[Preço]],BM174+TbTradesBinance[[#This Row],[Qtt]]*TbTradesBinance[[#This Row],[Preço]])),BM174)-IF(TbTradesBinance[[#This Row],[Moeda da Taxa]]=MID(BM$1,9,5),TbTradesBinance[[#This Row],[Taxa]],0),8)))</f>
        <v>0</v>
      </c>
      <c r="BN175" s="145" cm="1">
        <f t="array" ref="BN175">IF(TbTradesBinance[[#This Row],[Tipo]]="EMPTY",0,BN174+IF(TbTradesBinance[[#This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Row],[Par]]))),$1:$1,0)),-(BM174-BM175)/BM174*BN174),0),0)+IF(TbTradesBinance[[#This Row],[Tipo]]="SELL",IF(ISNUMBER(FIND(MID(BN$1,10,5),TbTradesBinance[[#This Row],[Par]])),IF(FIND(MID(BN$1,10,5),TbTradesBinance[[#This Row],[Par]])=1, -(BM174-BM175)/BM174*BN174,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Row],[Par]])),(-(BM174-BM175)/BM174*BN174)+IF(TbTradesBinance[[#This Row],[Resultado]]&gt;0,0,TbTradesBinance[[#This Row],[Taxa]]),0),0))</f>
        <v>0</v>
      </c>
      <c r="BO175" s="145">
        <f t="shared" si="56"/>
        <v>0</v>
      </c>
    </row>
    <row r="176" spans="2:67" x14ac:dyDescent="0.3">
      <c r="B176" s="51"/>
      <c r="C176" s="40">
        <f>TRUNC(IF(AND(TbTradesBinance[[#This Row],[Tipo]]="SEND",TbTradesBinance[[#This Row],[Par]]="BRL"),TbTradesBinance[[#This Row],[Qtt]]*(1-P174)-IF(TbTradesBinance[[#This Row],[Moeda da Taxa]]="BRL",TbTradesBinance[[#This Row],[Taxa]],0),0)+IF(AND(TbTradesBinance[[#This Row],[Tipo]]="BURN",TbTradesBinance[[#This Row],[Par]]="BRL"),-TbTradesBinance[[#This Row],[Qtt]]*P174,0),2)</f>
        <v>0</v>
      </c>
      <c r="D176" s="53">
        <v>44331.584074074075</v>
      </c>
      <c r="E176" s="37" t="s">
        <v>138</v>
      </c>
      <c r="F176" s="47" t="s">
        <v>139</v>
      </c>
      <c r="G176" s="38">
        <v>255500</v>
      </c>
      <c r="H176" s="38">
        <v>7.7999999999999999E-5</v>
      </c>
      <c r="I176" s="38">
        <v>4.9799999999999998E-6</v>
      </c>
      <c r="J176" s="37" t="s">
        <v>45</v>
      </c>
      <c r="K176" s="52">
        <v>1</v>
      </c>
      <c r="L176" s="40">
        <f t="shared" si="38"/>
        <v>255500</v>
      </c>
      <c r="M176" s="40">
        <f>IF(OR(TbTradesBinance[[#This Row],[Tipo]]="BUY",TbTradesBinance[[#This Row],[Tipo]]="RECEIVE",TbTradesBinance[[#This Row],[Tipo]]="DROP"),L176*H176,-L176*H176)</f>
        <v>19.928999999999998</v>
      </c>
      <c r="N17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Row],[Tipo]]="DROP"),N175+TbTradesBinance[[#This Row],[Qtt]],N175-TbTradesBinance[[#This Row],[Qtt]]),IF(TbTradesBinance[[#This Row],[Tipo]]="BUY",N175-TbTradesBinance[[#This Row],[Qtt]]*TbTradesBinance[[#This Row],[Preço]],N175+TbTradesBinance[[#This Row],[Qtt]]*TbTradesBinance[[#This Row],[Preço]])),N175)-IF(TbTradesBinance[[#This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Row],[Tipo]]="DROP"),N175+TbTradesBinance[[#This Row],[Qtt]],N175-TbTradesBinance[[#This Row],[Qtt]]),IF(TbTradesBinance[[#This Row],[Tipo]]="BUY",N175-TbTradesBinance[[#This Row],[Qtt]]*TbTradesBinance[[#This Row],[Preço]],N175+TbTradesBinance[[#This Row],[Qtt]]*TbTradesBinance[[#This Row],[Preço]])),N175)-IF(TbTradesBinance[[#This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Row],[Tipo]]="DROP"),N175+TbTradesBinance[[#This Row],[Qtt]],N175-TbTradesBinance[[#This Row],[Qtt]]),IF(TbTradesBinance[[#This Row],[Tipo]]="BUY",N175-TbTradesBinance[[#This Row],[Qtt]]*TbTradesBinance[[#This Row],[Preço]],N175+TbTradesBinance[[#This Row],[Qtt]]*TbTradesBinance[[#This Row],[Preço]])),N175)-IF(TbTradesBinance[[#This Row],[Moeda da Taxa]]=MID(N$1,9,5),TbTradesBinance[[#This Row],[Taxa]],0),8)))</f>
        <v>119806.35799598999</v>
      </c>
      <c r="O176" s="145" cm="1">
        <f t="array" ref="O176">IF(TbTradesBinance[[#This Row],[Tipo]]="EMPTY",0,O175+IF(TbTradesBinance[[#This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Row],[Par]]))),$1:$1,0)),-(N175-N176)/N175*O175),0),0)+IF(TbTradesBinance[[#This Row],[Tipo]]="SELL",IF(ISNUMBER(FIND(MID(O$1,10,5),TbTradesBinance[[#This Row],[Par]])),IF(FIND(MID(O$1,10,5),TbTradesBinance[[#This Row],[Par]])=1, -(N175-N176)/N175*O175,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Row],[Par]])),(-(N175-N176)/N175*O175)+IF(TbTradesBinance[[#This Row],[Resultado]]&gt;0,0,TbTradesBinance[[#This Row],[Taxa]]),0),0))</f>
        <v>119904.96983629659</v>
      </c>
      <c r="P176" s="145">
        <f t="shared" si="39"/>
        <v>1.0008230935482563</v>
      </c>
      <c r="Q17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Row],[Tipo]]="DROP"),Q175+TbTradesBinance[[#This Row],[Qtt]],Q175-TbTradesBinance[[#This Row],[Qtt]]),IF(TbTradesBinance[[#This Row],[Tipo]]="BUY",Q175-TbTradesBinance[[#This Row],[Qtt]]*TbTradesBinance[[#This Row],[Preço]],Q175+TbTradesBinance[[#This Row],[Qtt]]*TbTradesBinance[[#This Row],[Preço]])),Q175)-IF(TbTradesBinance[[#This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Row],[Tipo]]="DROP"),Q175+TbTradesBinance[[#This Row],[Qtt]],Q175-TbTradesBinance[[#This Row],[Qtt]]),IF(TbTradesBinance[[#This Row],[Tipo]]="BUY",Q175-TbTradesBinance[[#This Row],[Qtt]]*TbTradesBinance[[#This Row],[Preço]],Q175+TbTradesBinance[[#This Row],[Qtt]]*TbTradesBinance[[#This Row],[Preço]])),Q175)-IF(TbTradesBinance[[#This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Row],[Tipo]]="DROP"),Q175+TbTradesBinance[[#This Row],[Qtt]],Q175-TbTradesBinance[[#This Row],[Qtt]]),IF(TbTradesBinance[[#This Row],[Tipo]]="BUY",Q175-TbTradesBinance[[#This Row],[Qtt]]*TbTradesBinance[[#This Row],[Preço]],Q175+TbTradesBinance[[#This Row],[Qtt]]*TbTradesBinance[[#This Row],[Preço]])),Q175)-IF(TbTradesBinance[[#This Row],[Moeda da Taxa]]=MID(Q$1,9,5),TbTradesBinance[[#This Row],[Taxa]],0),8)))</f>
        <v>25.618341000000001</v>
      </c>
      <c r="R176" s="145" cm="1">
        <f t="array" ref="R176">IF(TbTradesBinance[[#This Row],[Tipo]]="EMPTY",0,R175+IF(TbTradesBinance[[#This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Row],[Par]]))),$1:$1,0)),-(Q175-Q176)/Q175*R175),0),0)+IF(TbTradesBinance[[#This Row],[Tipo]]="SELL",IF(ISNUMBER(FIND(MID(R$1,10,5),TbTradesBinance[[#This Row],[Par]])),IF(FIND(MID(R$1,10,5),TbTradesBinance[[#This Row],[Par]])=1, -(Q175-Q176)/Q175*R175,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Row],[Par]])),(-(Q175-Q176)/Q175*R175)+IF(TbTradesBinance[[#This Row],[Resultado]]&gt;0,0,TbTradesBinance[[#This Row],[Taxa]]),0),0))</f>
        <v>119.94522290982411</v>
      </c>
      <c r="S176" s="145">
        <f t="shared" si="40"/>
        <v>4.6820058687572352</v>
      </c>
      <c r="T17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Row],[Tipo]]="DROP"),T175+TbTradesBinance[[#This Row],[Qtt]],T175-TbTradesBinance[[#This Row],[Qtt]]),IF(TbTradesBinance[[#This Row],[Tipo]]="BUY",T175-TbTradesBinance[[#This Row],[Qtt]]*TbTradesBinance[[#This Row],[Preço]],T175+TbTradesBinance[[#This Row],[Qtt]]*TbTradesBinance[[#This Row],[Preço]])),T175)-IF(TbTradesBinance[[#This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Row],[Tipo]]="DROP"),T175+TbTradesBinance[[#This Row],[Qtt]],T175-TbTradesBinance[[#This Row],[Qtt]]),IF(TbTradesBinance[[#This Row],[Tipo]]="BUY",T175-TbTradesBinance[[#This Row],[Qtt]]*TbTradesBinance[[#This Row],[Preço]],T175+TbTradesBinance[[#This Row],[Qtt]]*TbTradesBinance[[#This Row],[Preço]])),T175)-IF(TbTradesBinance[[#This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Row],[Tipo]]="DROP"),T175+TbTradesBinance[[#This Row],[Qtt]],T175-TbTradesBinance[[#This Row],[Qtt]]),IF(TbTradesBinance[[#This Row],[Tipo]]="BUY",T175-TbTradesBinance[[#This Row],[Qtt]]*TbTradesBinance[[#This Row],[Preço]],T175+TbTradesBinance[[#This Row],[Qtt]]*TbTradesBinance[[#This Row],[Preço]])),T175)-IF(TbTradesBinance[[#This Row],[Moeda da Taxa]]=MID(T$1,9,5),TbTradesBinance[[#This Row],[Taxa]],0),8)))</f>
        <v>219713.72000189999</v>
      </c>
      <c r="U176" s="145" cm="1">
        <f t="array" ref="U176">IF(TbTradesBinance[[#This Row],[Tipo]]="EMPTY",0,U175+IF(TbTradesBinance[[#This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Row],[Par]]))),$1:$1,0)),-(T175-T176)/T175*U175),0),0)+IF(TbTradesBinance[[#This Row],[Tipo]]="SELL",IF(ISNUMBER(FIND(MID(U$1,10,5),TbTradesBinance[[#This Row],[Par]])),IF(FIND(MID(U$1,10,5),TbTradesBinance[[#This Row],[Par]])=1, -(T175-T176)/T175*U175,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Row],[Par]])),(-(T175-T176)/T175*U175)+IF(TbTradesBinance[[#This Row],[Resultado]]&gt;0,0,TbTradesBinance[[#This Row],[Taxa]]),0),0))</f>
        <v>1461096.2409827893</v>
      </c>
      <c r="V176" s="145">
        <f t="shared" si="41"/>
        <v>6.6500000135182926</v>
      </c>
      <c r="W17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Row],[Tipo]]="DROP"),W175+TbTradesBinance[[#This Row],[Qtt]],W175-TbTradesBinance[[#This Row],[Qtt]]),IF(TbTradesBinance[[#This Row],[Tipo]]="BUY",W175-TbTradesBinance[[#This Row],[Qtt]]*TbTradesBinance[[#This Row],[Preço]],W175+TbTradesBinance[[#This Row],[Qtt]]*TbTradesBinance[[#This Row],[Preço]])),W175)-IF(TbTradesBinance[[#This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Row],[Tipo]]="DROP"),W175+TbTradesBinance[[#This Row],[Qtt]],W175-TbTradesBinance[[#This Row],[Qtt]]),IF(TbTradesBinance[[#This Row],[Tipo]]="BUY",W175-TbTradesBinance[[#This Row],[Qtt]]*TbTradesBinance[[#This Row],[Preço]],W175+TbTradesBinance[[#This Row],[Qtt]]*TbTradesBinance[[#This Row],[Preço]])),W175)-IF(TbTradesBinance[[#This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Row],[Tipo]]="DROP"),W175+TbTradesBinance[[#This Row],[Qtt]],W175-TbTradesBinance[[#This Row],[Qtt]]),IF(TbTradesBinance[[#This Row],[Tipo]]="BUY",W175-TbTradesBinance[[#This Row],[Qtt]]*TbTradesBinance[[#This Row],[Preço]],W175+TbTradesBinance[[#This Row],[Qtt]]*TbTradesBinance[[#This Row],[Preço]])),W175)-IF(TbTradesBinance[[#This Row],[Moeda da Taxa]]=MID(W$1,9,5),TbTradesBinance[[#This Row],[Taxa]],0),8)))</f>
        <v>8.2349999999999996E-5</v>
      </c>
      <c r="X176" s="145" cm="1">
        <f t="array" ref="X176">IF(TbTradesBinance[[#This Row],[Tipo]]="EMPTY",0,X175+IF(TbTradesBinance[[#This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Row],[Par]]))),$1:$1,0)),-(W175-W176)/W175*X175),0),0)+IF(TbTradesBinance[[#This Row],[Tipo]]="SELL",IF(ISNUMBER(FIND(MID(X$1,10,5),TbTradesBinance[[#This Row],[Par]])),IF(FIND(MID(X$1,10,5),TbTradesBinance[[#This Row],[Par]])=1, -(W175-W176)/W175*X175,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Row],[Par]])),(-(W175-W176)/W175*X175)+IF(TbTradesBinance[[#This Row],[Resultado]]&gt;0,0,TbTradesBinance[[#This Row],[Taxa]]),0),0))</f>
        <v>21.354534805278266</v>
      </c>
      <c r="Y176" s="145">
        <f t="shared" si="42"/>
        <v>259314.32671861892</v>
      </c>
      <c r="Z17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Row],[Tipo]]="DROP"),Z175+TbTradesBinance[[#This Row],[Qtt]],Z175-TbTradesBinance[[#This Row],[Qtt]]),IF(TbTradesBinance[[#This Row],[Tipo]]="BUY",Z175-TbTradesBinance[[#This Row],[Qtt]]*TbTradesBinance[[#This Row],[Preço]],Z175+TbTradesBinance[[#This Row],[Qtt]]*TbTradesBinance[[#This Row],[Preço]])),Z175)-IF(TbTradesBinance[[#This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Row],[Tipo]]="DROP"),Z175+TbTradesBinance[[#This Row],[Qtt]],Z175-TbTradesBinance[[#This Row],[Qtt]]),IF(TbTradesBinance[[#This Row],[Tipo]]="BUY",Z175-TbTradesBinance[[#This Row],[Qtt]]*TbTradesBinance[[#This Row],[Preço]],Z175+TbTradesBinance[[#This Row],[Qtt]]*TbTradesBinance[[#This Row],[Preço]])),Z175)-IF(TbTradesBinance[[#This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Row],[Tipo]]="DROP"),Z175+TbTradesBinance[[#This Row],[Qtt]],Z175-TbTradesBinance[[#This Row],[Qtt]]),IF(TbTradesBinance[[#This Row],[Tipo]]="BUY",Z175-TbTradesBinance[[#This Row],[Qtt]]*TbTradesBinance[[#This Row],[Preço]],Z175+TbTradesBinance[[#This Row],[Qtt]]*TbTradesBinance[[#This Row],[Preço]])),Z175)-IF(TbTradesBinance[[#This Row],[Moeda da Taxa]]=MID(Z$1,9,5),TbTradesBinance[[#This Row],[Taxa]],0),8)))</f>
        <v>0</v>
      </c>
      <c r="AA176" s="145" cm="1">
        <f t="array" ref="AA176">IF(TbTradesBinance[[#This Row],[Tipo]]="EMPTY",0,AA175+IF(TbTradesBinance[[#This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Row],[Par]]))),$1:$1,0)),-(Z175-Z176)/Z175*AA175),0),0)+IF(TbTradesBinance[[#This Row],[Tipo]]="SELL",IF(ISNUMBER(FIND(MID(AA$1,10,5),TbTradesBinance[[#This Row],[Par]])),IF(FIND(MID(AA$1,10,5),TbTradesBinance[[#This Row],[Par]])=1, -(Z175-Z176)/Z175*AA175,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Row],[Par]])),(-(Z175-Z176)/Z175*AA175)+IF(TbTradesBinance[[#This Row],[Resultado]]&gt;0,0,TbTradesBinance[[#This Row],[Taxa]]),0),0))</f>
        <v>0</v>
      </c>
      <c r="AB176" s="145">
        <f t="shared" si="43"/>
        <v>0</v>
      </c>
      <c r="AC17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Row],[Tipo]]="DROP"),AC175+TbTradesBinance[[#This Row],[Qtt]],AC175-TbTradesBinance[[#This Row],[Qtt]]),IF(TbTradesBinance[[#This Row],[Tipo]]="BUY",AC175-TbTradesBinance[[#This Row],[Qtt]]*TbTradesBinance[[#This Row],[Preço]],AC175+TbTradesBinance[[#This Row],[Qtt]]*TbTradesBinance[[#This Row],[Preço]])),AC175)-IF(TbTradesBinance[[#This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Row],[Tipo]]="DROP"),AC175+TbTradesBinance[[#This Row],[Qtt]],AC175-TbTradesBinance[[#This Row],[Qtt]]),IF(TbTradesBinance[[#This Row],[Tipo]]="BUY",AC175-TbTradesBinance[[#This Row],[Qtt]]*TbTradesBinance[[#This Row],[Preço]],AC175+TbTradesBinance[[#This Row],[Qtt]]*TbTradesBinance[[#This Row],[Preço]])),AC175)-IF(TbTradesBinance[[#This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Row],[Tipo]]="DROP"),AC175+TbTradesBinance[[#This Row],[Qtt]],AC175-TbTradesBinance[[#This Row],[Qtt]]),IF(TbTradesBinance[[#This Row],[Tipo]]="BUY",AC175-TbTradesBinance[[#This Row],[Qtt]]*TbTradesBinance[[#This Row],[Preço]],AC175+TbTradesBinance[[#This Row],[Qtt]]*TbTradesBinance[[#This Row],[Preço]])),AC175)-IF(TbTradesBinance[[#This Row],[Moeda da Taxa]]=MID(AC$1,9,5),TbTradesBinance[[#This Row],[Taxa]],0),8)))</f>
        <v>0</v>
      </c>
      <c r="AD176" s="145" cm="1">
        <f t="array" ref="AD176">IF(TbTradesBinance[[#This Row],[Tipo]]="EMPTY",0,AD175+IF(TbTradesBinance[[#This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Row],[Par]]))),$1:$1,0)),-(AC175-AC176)/AC175*AD175),0),0)+IF(TbTradesBinance[[#This Row],[Tipo]]="SELL",IF(ISNUMBER(FIND(MID(AD$1,10,5),TbTradesBinance[[#This Row],[Par]])),IF(FIND(MID(AD$1,10,5),TbTradesBinance[[#This Row],[Par]])=1, -(AC175-AC176)/AC175*AD175,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Row],[Par]])),(-(AC175-AC176)/AC175*AD175)+IF(TbTradesBinance[[#This Row],[Resultado]]&gt;0,0,TbTradesBinance[[#This Row],[Taxa]]),0),0))</f>
        <v>0</v>
      </c>
      <c r="AE176" s="145">
        <f t="shared" si="44"/>
        <v>0</v>
      </c>
      <c r="AF17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Row],[Tipo]]="DROP"),AF175+TbTradesBinance[[#This Row],[Qtt]],AF175-TbTradesBinance[[#This Row],[Qtt]]),IF(TbTradesBinance[[#This Row],[Tipo]]="BUY",AF175-TbTradesBinance[[#This Row],[Qtt]]*TbTradesBinance[[#This Row],[Preço]],AF175+TbTradesBinance[[#This Row],[Qtt]]*TbTradesBinance[[#This Row],[Preço]])),AF175)-IF(TbTradesBinance[[#This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Row],[Tipo]]="DROP"),AF175+TbTradesBinance[[#This Row],[Qtt]],AF175-TbTradesBinance[[#This Row],[Qtt]]),IF(TbTradesBinance[[#This Row],[Tipo]]="BUY",AF175-TbTradesBinance[[#This Row],[Qtt]]*TbTradesBinance[[#This Row],[Preço]],AF175+TbTradesBinance[[#This Row],[Qtt]]*TbTradesBinance[[#This Row],[Preço]])),AF175)-IF(TbTradesBinance[[#This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Row],[Tipo]]="DROP"),AF175+TbTradesBinance[[#This Row],[Qtt]],AF175-TbTradesBinance[[#This Row],[Qtt]]),IF(TbTradesBinance[[#This Row],[Tipo]]="BUY",AF175-TbTradesBinance[[#This Row],[Qtt]]*TbTradesBinance[[#This Row],[Preço]],AF175+TbTradesBinance[[#This Row],[Qtt]]*TbTradesBinance[[#This Row],[Preço]])),AF175)-IF(TbTradesBinance[[#This Row],[Moeda da Taxa]]=MID(AF$1,9,5),TbTradesBinance[[#This Row],[Taxa]],0),8)))</f>
        <v>0</v>
      </c>
      <c r="AG176" s="145" cm="1">
        <f t="array" ref="AG176">IF(TbTradesBinance[[#This Row],[Tipo]]="EMPTY",0,AG175+IF(TbTradesBinance[[#This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Row],[Par]]))),$1:$1,0)),-(AF175-AF176)/AF175*AG175),0),0)+IF(TbTradesBinance[[#This Row],[Tipo]]="SELL",IF(ISNUMBER(FIND(MID(AG$1,10,5),TbTradesBinance[[#This Row],[Par]])),IF(FIND(MID(AG$1,10,5),TbTradesBinance[[#This Row],[Par]])=1, -(AF175-AF176)/AF175*AG175,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Row],[Par]])),(-(AF175-AF176)/AF175*AG175)+IF(TbTradesBinance[[#This Row],[Resultado]]&gt;0,0,TbTradesBinance[[#This Row],[Taxa]]),0),0))</f>
        <v>0</v>
      </c>
      <c r="AH176" s="145">
        <f t="shared" si="45"/>
        <v>0</v>
      </c>
      <c r="AI17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Row],[Tipo]]="DROP"),AI175+TbTradesBinance[[#This Row],[Qtt]],AI175-TbTradesBinance[[#This Row],[Qtt]]),IF(TbTradesBinance[[#This Row],[Tipo]]="BUY",AI175-TbTradesBinance[[#This Row],[Qtt]]*TbTradesBinance[[#This Row],[Preço]],AI175+TbTradesBinance[[#This Row],[Qtt]]*TbTradesBinance[[#This Row],[Preço]])),AI175)-IF(TbTradesBinance[[#This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Row],[Tipo]]="DROP"),AI175+TbTradesBinance[[#This Row],[Qtt]],AI175-TbTradesBinance[[#This Row],[Qtt]]),IF(TbTradesBinance[[#This Row],[Tipo]]="BUY",AI175-TbTradesBinance[[#This Row],[Qtt]]*TbTradesBinance[[#This Row],[Preço]],AI175+TbTradesBinance[[#This Row],[Qtt]]*TbTradesBinance[[#This Row],[Preço]])),AI175)-IF(TbTradesBinance[[#This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Row],[Tipo]]="DROP"),AI175+TbTradesBinance[[#This Row],[Qtt]],AI175-TbTradesBinance[[#This Row],[Qtt]]),IF(TbTradesBinance[[#This Row],[Tipo]]="BUY",AI175-TbTradesBinance[[#This Row],[Qtt]]*TbTradesBinance[[#This Row],[Preço]],AI175+TbTradesBinance[[#This Row],[Qtt]]*TbTradesBinance[[#This Row],[Preço]])),AI175)-IF(TbTradesBinance[[#This Row],[Moeda da Taxa]]=MID(AI$1,9,5),TbTradesBinance[[#This Row],[Taxa]],0),8)))</f>
        <v>0</v>
      </c>
      <c r="AJ176" s="145" cm="1">
        <f t="array" ref="AJ176">IF(TbTradesBinance[[#This Row],[Tipo]]="EMPTY",0,AJ175+IF(TbTradesBinance[[#This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Row],[Par]]))),$1:$1,0)),-(AI175-AI176)/AI175*AJ175),0),0)+IF(TbTradesBinance[[#This Row],[Tipo]]="SELL",IF(ISNUMBER(FIND(MID(AJ$1,10,5),TbTradesBinance[[#This Row],[Par]])),IF(FIND(MID(AJ$1,10,5),TbTradesBinance[[#This Row],[Par]])=1, -(AI175-AI176)/AI175*AJ175,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Row],[Par]])),(-(AI175-AI176)/AI175*AJ175)+IF(TbTradesBinance[[#This Row],[Resultado]]&gt;0,0,TbTradesBinance[[#This Row],[Taxa]]),0),0))</f>
        <v>0</v>
      </c>
      <c r="AK176" s="145">
        <f t="shared" si="46"/>
        <v>0</v>
      </c>
      <c r="AL17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Row],[Tipo]]="DROP"),AL175+TbTradesBinance[[#This Row],[Qtt]],AL175-TbTradesBinance[[#This Row],[Qtt]]),IF(TbTradesBinance[[#This Row],[Tipo]]="BUY",AL175-TbTradesBinance[[#This Row],[Qtt]]*TbTradesBinance[[#This Row],[Preço]],AL175+TbTradesBinance[[#This Row],[Qtt]]*TbTradesBinance[[#This Row],[Preço]])),AL175)-IF(TbTradesBinance[[#This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Row],[Tipo]]="DROP"),AL175+TbTradesBinance[[#This Row],[Qtt]],AL175-TbTradesBinance[[#This Row],[Qtt]]),IF(TbTradesBinance[[#This Row],[Tipo]]="BUY",AL175-TbTradesBinance[[#This Row],[Qtt]]*TbTradesBinance[[#This Row],[Preço]],AL175+TbTradesBinance[[#This Row],[Qtt]]*TbTradesBinance[[#This Row],[Preço]])),AL175)-IF(TbTradesBinance[[#This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Row],[Tipo]]="DROP"),AL175+TbTradesBinance[[#This Row],[Qtt]],AL175-TbTradesBinance[[#This Row],[Qtt]]),IF(TbTradesBinance[[#This Row],[Tipo]]="BUY",AL175-TbTradesBinance[[#This Row],[Qtt]]*TbTradesBinance[[#This Row],[Preço]],AL175+TbTradesBinance[[#This Row],[Qtt]]*TbTradesBinance[[#This Row],[Preço]])),AL175)-IF(TbTradesBinance[[#This Row],[Moeda da Taxa]]=MID(AL$1,9,5),TbTradesBinance[[#This Row],[Taxa]],0),8)))</f>
        <v>0</v>
      </c>
      <c r="AM176" s="145" cm="1">
        <f t="array" ref="AM176">IF(TbTradesBinance[[#This Row],[Tipo]]="EMPTY",0,AM175+IF(TbTradesBinance[[#This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Row],[Par]]))),$1:$1,0)),-(AL175-AL176)/AL175*AM175),0),0)+IF(TbTradesBinance[[#This Row],[Tipo]]="SELL",IF(ISNUMBER(FIND(MID(AM$1,10,5),TbTradesBinance[[#This Row],[Par]])),IF(FIND(MID(AM$1,10,5),TbTradesBinance[[#This Row],[Par]])=1, -(AL175-AL176)/AL175*AM175,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Row],[Par]])),(-(AL175-AL176)/AL175*AM175)+IF(TbTradesBinance[[#This Row],[Resultado]]&gt;0,0,TbTradesBinance[[#This Row],[Taxa]]),0),0))</f>
        <v>0</v>
      </c>
      <c r="AN176" s="145">
        <f t="shared" si="47"/>
        <v>0</v>
      </c>
      <c r="AO17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Row],[Tipo]]="DROP"),AO175+TbTradesBinance[[#This Row],[Qtt]],AO175-TbTradesBinance[[#This Row],[Qtt]]),IF(TbTradesBinance[[#This Row],[Tipo]]="BUY",AO175-TbTradesBinance[[#This Row],[Qtt]]*TbTradesBinance[[#This Row],[Preço]],AO175+TbTradesBinance[[#This Row],[Qtt]]*TbTradesBinance[[#This Row],[Preço]])),AO175)-IF(TbTradesBinance[[#This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Row],[Tipo]]="DROP"),AO175+TbTradesBinance[[#This Row],[Qtt]],AO175-TbTradesBinance[[#This Row],[Qtt]]),IF(TbTradesBinance[[#This Row],[Tipo]]="BUY",AO175-TbTradesBinance[[#This Row],[Qtt]]*TbTradesBinance[[#This Row],[Preço]],AO175+TbTradesBinance[[#This Row],[Qtt]]*TbTradesBinance[[#This Row],[Preço]])),AO175)-IF(TbTradesBinance[[#This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Row],[Tipo]]="DROP"),AO175+TbTradesBinance[[#This Row],[Qtt]],AO175-TbTradesBinance[[#This Row],[Qtt]]),IF(TbTradesBinance[[#This Row],[Tipo]]="BUY",AO175-TbTradesBinance[[#This Row],[Qtt]]*TbTradesBinance[[#This Row],[Preço]],AO175+TbTradesBinance[[#This Row],[Qtt]]*TbTradesBinance[[#This Row],[Preço]])),AO175)-IF(TbTradesBinance[[#This Row],[Moeda da Taxa]]=MID(AO$1,9,5),TbTradesBinance[[#This Row],[Taxa]],0),8)))</f>
        <v>3.8399620000000002E-2</v>
      </c>
      <c r="AP176" s="145" cm="1">
        <f t="array" ref="AP176">IF(TbTradesBinance[[#This Row],[Tipo]]="EMPTY",0,AP175+IF(TbTradesBinance[[#This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Row],[Par]]))),$1:$1,0)),-(AO175-AO176)/AO175*AP175),0),0)+IF(TbTradesBinance[[#This Row],[Tipo]]="SELL",IF(ISNUMBER(FIND(MID(AP$1,10,5),TbTradesBinance[[#This Row],[Par]])),IF(FIND(MID(AP$1,10,5),TbTradesBinance[[#This Row],[Par]])=1, -(AO175-AO176)/AO175*AP175,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Row],[Par]])),(-(AO175-AO176)/AO175*AP175)+IF(TbTradesBinance[[#This Row],[Resultado]]&gt;0,0,TbTradesBinance[[#This Row],[Taxa]]),0),0))</f>
        <v>60.349858055862811</v>
      </c>
      <c r="AQ176" s="145">
        <f t="shared" si="48"/>
        <v>1571.6264394247341</v>
      </c>
      <c r="AR17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Row],[Tipo]]="DROP"),AR175+TbTradesBinance[[#This Row],[Qtt]],AR175-TbTradesBinance[[#This Row],[Qtt]]),IF(TbTradesBinance[[#This Row],[Tipo]]="BUY",AR175-TbTradesBinance[[#This Row],[Qtt]]*TbTradesBinance[[#This Row],[Preço]],AR175+TbTradesBinance[[#This Row],[Qtt]]*TbTradesBinance[[#This Row],[Preço]])),AR175)-IF(TbTradesBinance[[#This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Row],[Tipo]]="DROP"),AR175+TbTradesBinance[[#This Row],[Qtt]],AR175-TbTradesBinance[[#This Row],[Qtt]]),IF(TbTradesBinance[[#This Row],[Tipo]]="BUY",AR175-TbTradesBinance[[#This Row],[Qtt]]*TbTradesBinance[[#This Row],[Preço]],AR175+TbTradesBinance[[#This Row],[Qtt]]*TbTradesBinance[[#This Row],[Preço]])),AR175)-IF(TbTradesBinance[[#This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Row],[Tipo]]="DROP"),AR175+TbTradesBinance[[#This Row],[Qtt]],AR175-TbTradesBinance[[#This Row],[Qtt]]),IF(TbTradesBinance[[#This Row],[Tipo]]="BUY",AR175-TbTradesBinance[[#This Row],[Qtt]]*TbTradesBinance[[#This Row],[Preço]],AR175+TbTradesBinance[[#This Row],[Qtt]]*TbTradesBinance[[#This Row],[Preço]])),AR175)-IF(TbTradesBinance[[#This Row],[Moeda da Taxa]]=MID(AR$1,9,5),TbTradesBinance[[#This Row],[Taxa]],0),8)))</f>
        <v>0</v>
      </c>
      <c r="AS176" s="145" cm="1">
        <f t="array" ref="AS176">IF(TbTradesBinance[[#This Row],[Tipo]]="EMPTY",0,AS175+IF(TbTradesBinance[[#This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Row],[Par]]))),$1:$1,0)),-(AR175-AR176)/AR175*AS175),0),0)+IF(TbTradesBinance[[#This Row],[Tipo]]="SELL",IF(ISNUMBER(FIND(MID(AS$1,10,5),TbTradesBinance[[#This Row],[Par]])),IF(FIND(MID(AS$1,10,5),TbTradesBinance[[#This Row],[Par]])=1, -(AR175-AR176)/AR175*AS175,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Row],[Par]])),(-(AR175-AR176)/AR175*AS175)+IF(TbTradesBinance[[#This Row],[Resultado]]&gt;0,0,TbTradesBinance[[#This Row],[Taxa]]),0),0))</f>
        <v>0</v>
      </c>
      <c r="AT176" s="145">
        <f t="shared" si="49"/>
        <v>0</v>
      </c>
      <c r="AU17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Row],[Tipo]]="DROP"),AU175+TbTradesBinance[[#This Row],[Qtt]],AU175-TbTradesBinance[[#This Row],[Qtt]]),IF(TbTradesBinance[[#This Row],[Tipo]]="BUY",AU175-TbTradesBinance[[#This Row],[Qtt]]*TbTradesBinance[[#This Row],[Preço]],AU175+TbTradesBinance[[#This Row],[Qtt]]*TbTradesBinance[[#This Row],[Preço]])),AU175)-IF(TbTradesBinance[[#This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Row],[Tipo]]="DROP"),AU175+TbTradesBinance[[#This Row],[Qtt]],AU175-TbTradesBinance[[#This Row],[Qtt]]),IF(TbTradesBinance[[#This Row],[Tipo]]="BUY",AU175-TbTradesBinance[[#This Row],[Qtt]]*TbTradesBinance[[#This Row],[Preço]],AU175+TbTradesBinance[[#This Row],[Qtt]]*TbTradesBinance[[#This Row],[Preço]])),AU175)-IF(TbTradesBinance[[#This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Row],[Tipo]]="DROP"),AU175+TbTradesBinance[[#This Row],[Qtt]],AU175-TbTradesBinance[[#This Row],[Qtt]]),IF(TbTradesBinance[[#This Row],[Tipo]]="BUY",AU175-TbTradesBinance[[#This Row],[Qtt]]*TbTradesBinance[[#This Row],[Preço]],AU175+TbTradesBinance[[#This Row],[Qtt]]*TbTradesBinance[[#This Row],[Preço]])),AU175)-IF(TbTradesBinance[[#This Row],[Moeda da Taxa]]=MID(AU$1,9,5),TbTradesBinance[[#This Row],[Taxa]],0),8)))</f>
        <v>0.51</v>
      </c>
      <c r="AV176" s="145" cm="1">
        <f t="array" ref="AV176">IF(TbTradesBinance[[#This Row],[Tipo]]="EMPTY",0,AV175+IF(TbTradesBinance[[#This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Row],[Par]]))),$1:$1,0)),-(AU175-AU176)/AU175*AV175),0),0)+IF(TbTradesBinance[[#This Row],[Tipo]]="SELL",IF(ISNUMBER(FIND(MID(AV$1,10,5),TbTradesBinance[[#This Row],[Par]])),IF(FIND(MID(AV$1,10,5),TbTradesBinance[[#This Row],[Par]])=1, -(AU175-AU176)/AU175*AV175,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Row],[Par]])),(-(AU175-AU176)/AU175*AV175)+IF(TbTradesBinance[[#This Row],[Resultado]]&gt;0,0,TbTradesBinance[[#This Row],[Taxa]]),0),0))</f>
        <v>95.466693037374753</v>
      </c>
      <c r="AW176" s="145">
        <f t="shared" si="50"/>
        <v>187.18959419093088</v>
      </c>
      <c r="AX17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Row],[Tipo]]="DROP"),AX175+TbTradesBinance[[#This Row],[Qtt]],AX175-TbTradesBinance[[#This Row],[Qtt]]),IF(TbTradesBinance[[#This Row],[Tipo]]="BUY",AX175-TbTradesBinance[[#This Row],[Qtt]]*TbTradesBinance[[#This Row],[Preço]],AX175+TbTradesBinance[[#This Row],[Qtt]]*TbTradesBinance[[#This Row],[Preço]])),AX175)-IF(TbTradesBinance[[#This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Row],[Tipo]]="DROP"),AX175+TbTradesBinance[[#This Row],[Qtt]],AX175-TbTradesBinance[[#This Row],[Qtt]]),IF(TbTradesBinance[[#This Row],[Tipo]]="BUY",AX175-TbTradesBinance[[#This Row],[Qtt]]*TbTradesBinance[[#This Row],[Preço]],AX175+TbTradesBinance[[#This Row],[Qtt]]*TbTradesBinance[[#This Row],[Preço]])),AX175)-IF(TbTradesBinance[[#This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Row],[Tipo]]="DROP"),AX175+TbTradesBinance[[#This Row],[Qtt]],AX175-TbTradesBinance[[#This Row],[Qtt]]),IF(TbTradesBinance[[#This Row],[Tipo]]="BUY",AX175-TbTradesBinance[[#This Row],[Qtt]]*TbTradesBinance[[#This Row],[Preço]],AX175+TbTradesBinance[[#This Row],[Qtt]]*TbTradesBinance[[#This Row],[Preço]])),AX175)-IF(TbTradesBinance[[#This Row],[Moeda da Taxa]]=MID(AX$1,9,5),TbTradesBinance[[#This Row],[Taxa]],0),8)))</f>
        <v>0.32838000000000001</v>
      </c>
      <c r="AY176" s="145" cm="1">
        <f t="array" ref="AY176">IF(TbTradesBinance[[#This Row],[Tipo]]="EMPTY",0,AY175+IF(TbTradesBinance[[#This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Row],[Par]]))),$1:$1,0)),-(AX175-AX176)/AX175*AY175),0),0)+IF(TbTradesBinance[[#This Row],[Tipo]]="SELL",IF(ISNUMBER(FIND(MID(AY$1,10,5),TbTradesBinance[[#This Row],[Par]])),IF(FIND(MID(AY$1,10,5),TbTradesBinance[[#This Row],[Par]])=1, -(AX175-AX176)/AX175*AY175,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Row],[Par]])),(-(AX175-AX176)/AX175*AY175)+IF(TbTradesBinance[[#This Row],[Resultado]]&gt;0,0,TbTradesBinance[[#This Row],[Taxa]]),0),0))</f>
        <v>61.364116058805678</v>
      </c>
      <c r="AZ176" s="145">
        <f t="shared" si="51"/>
        <v>186.869224857804</v>
      </c>
      <c r="BA17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Row],[Tipo]]="DROP"),BA175+TbTradesBinance[[#This Row],[Qtt]],BA175-TbTradesBinance[[#This Row],[Qtt]]),IF(TbTradesBinance[[#This Row],[Tipo]]="BUY",BA175-TbTradesBinance[[#This Row],[Qtt]]*TbTradesBinance[[#This Row],[Preço]],BA175+TbTradesBinance[[#This Row],[Qtt]]*TbTradesBinance[[#This Row],[Preço]])),BA175)-IF(TbTradesBinance[[#This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Row],[Tipo]]="DROP"),BA175+TbTradesBinance[[#This Row],[Qtt]],BA175-TbTradesBinance[[#This Row],[Qtt]]),IF(TbTradesBinance[[#This Row],[Tipo]]="BUY",BA175-TbTradesBinance[[#This Row],[Qtt]]*TbTradesBinance[[#This Row],[Preço]],BA175+TbTradesBinance[[#This Row],[Qtt]]*TbTradesBinance[[#This Row],[Preço]])),BA175)-IF(TbTradesBinance[[#This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Row],[Tipo]]="DROP"),BA175+TbTradesBinance[[#This Row],[Qtt]],BA175-TbTradesBinance[[#This Row],[Qtt]]),IF(TbTradesBinance[[#This Row],[Tipo]]="BUY",BA175-TbTradesBinance[[#This Row],[Qtt]]*TbTradesBinance[[#This Row],[Preço]],BA175+TbTradesBinance[[#This Row],[Qtt]]*TbTradesBinance[[#This Row],[Preço]])),BA175)-IF(TbTradesBinance[[#This Row],[Moeda da Taxa]]=MID(BA$1,9,5),TbTradesBinance[[#This Row],[Taxa]],0),8)))</f>
        <v>0</v>
      </c>
      <c r="BB176" s="145" cm="1">
        <f t="array" ref="BB176">IF(TbTradesBinance[[#This Row],[Tipo]]="EMPTY",0,BB175+IF(TbTradesBinance[[#This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Row],[Par]]))),$1:$1,0)),-(BA175-BA176)/BA175*BB175),0),0)+IF(TbTradesBinance[[#This Row],[Tipo]]="SELL",IF(ISNUMBER(FIND(MID(BB$1,10,5),TbTradesBinance[[#This Row],[Par]])),IF(FIND(MID(BB$1,10,5),TbTradesBinance[[#This Row],[Par]])=1, -(BA175-BA176)/BA175*BB175,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Row],[Par]])),(-(BA175-BA176)/BA175*BB175)+IF(TbTradesBinance[[#This Row],[Resultado]]&gt;0,0,TbTradesBinance[[#This Row],[Taxa]]),0),0))</f>
        <v>0</v>
      </c>
      <c r="BC176" s="145">
        <f t="shared" si="52"/>
        <v>0</v>
      </c>
      <c r="BD17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Row],[Tipo]]="DROP"),BD175+TbTradesBinance[[#This Row],[Qtt]],BD175-TbTradesBinance[[#This Row],[Qtt]]),IF(TbTradesBinance[[#This Row],[Tipo]]="BUY",BD175-TbTradesBinance[[#This Row],[Qtt]]*TbTradesBinance[[#This Row],[Preço]],BD175+TbTradesBinance[[#This Row],[Qtt]]*TbTradesBinance[[#This Row],[Preço]])),BD175)-IF(TbTradesBinance[[#This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Row],[Tipo]]="DROP"),BD175+TbTradesBinance[[#This Row],[Qtt]],BD175-TbTradesBinance[[#This Row],[Qtt]]),IF(TbTradesBinance[[#This Row],[Tipo]]="BUY",BD175-TbTradesBinance[[#This Row],[Qtt]]*TbTradesBinance[[#This Row],[Preço]],BD175+TbTradesBinance[[#This Row],[Qtt]]*TbTradesBinance[[#This Row],[Preço]])),BD175)-IF(TbTradesBinance[[#This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Row],[Tipo]]="DROP"),BD175+TbTradesBinance[[#This Row],[Qtt]],BD175-TbTradesBinance[[#This Row],[Qtt]]),IF(TbTradesBinance[[#This Row],[Tipo]]="BUY",BD175-TbTradesBinance[[#This Row],[Qtt]]*TbTradesBinance[[#This Row],[Preço]],BD175+TbTradesBinance[[#This Row],[Qtt]]*TbTradesBinance[[#This Row],[Preço]])),BD175)-IF(TbTradesBinance[[#This Row],[Moeda da Taxa]]=MID(BD$1,9,5),TbTradesBinance[[#This Row],[Taxa]],0),8)))</f>
        <v>0</v>
      </c>
      <c r="BE176" s="145" cm="1">
        <f t="array" ref="BE176">IF(TbTradesBinance[[#This Row],[Tipo]]="EMPTY",0,BE175+IF(TbTradesBinance[[#This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Row],[Par]]))),$1:$1,0)),-(BD175-BD176)/BD175*BE175),0),0)+IF(TbTradesBinance[[#This Row],[Tipo]]="SELL",IF(ISNUMBER(FIND(MID(BE$1,10,5),TbTradesBinance[[#This Row],[Par]])),IF(FIND(MID(BE$1,10,5),TbTradesBinance[[#This Row],[Par]])=1, -(BD175-BD176)/BD175*BE175,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Row],[Par]])),(-(BD175-BD176)/BD175*BE175)+IF(TbTradesBinance[[#This Row],[Resultado]]&gt;0,0,TbTradesBinance[[#This Row],[Taxa]]),0),0))</f>
        <v>0</v>
      </c>
      <c r="BF176" s="145">
        <f t="shared" si="53"/>
        <v>0</v>
      </c>
      <c r="BG17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Row],[Tipo]]="DROP"),BG175+TbTradesBinance[[#This Row],[Qtt]],BG175-TbTradesBinance[[#This Row],[Qtt]]),IF(TbTradesBinance[[#This Row],[Tipo]]="BUY",BG175-TbTradesBinance[[#This Row],[Qtt]]*TbTradesBinance[[#This Row],[Preço]],BG175+TbTradesBinance[[#This Row],[Qtt]]*TbTradesBinance[[#This Row],[Preço]])),BG175)-IF(TbTradesBinance[[#This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Row],[Tipo]]="DROP"),BG175+TbTradesBinance[[#This Row],[Qtt]],BG175-TbTradesBinance[[#This Row],[Qtt]]),IF(TbTradesBinance[[#This Row],[Tipo]]="BUY",BG175-TbTradesBinance[[#This Row],[Qtt]]*TbTradesBinance[[#This Row],[Preço]],BG175+TbTradesBinance[[#This Row],[Qtt]]*TbTradesBinance[[#This Row],[Preço]])),BG175)-IF(TbTradesBinance[[#This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Row],[Tipo]]="DROP"),BG175+TbTradesBinance[[#This Row],[Qtt]],BG175-TbTradesBinance[[#This Row],[Qtt]]),IF(TbTradesBinance[[#This Row],[Tipo]]="BUY",BG175-TbTradesBinance[[#This Row],[Qtt]]*TbTradesBinance[[#This Row],[Preço]],BG175+TbTradesBinance[[#This Row],[Qtt]]*TbTradesBinance[[#This Row],[Preço]])),BG175)-IF(TbTradesBinance[[#This Row],[Moeda da Taxa]]=MID(BG$1,9,5),TbTradesBinance[[#This Row],[Taxa]],0),8)))</f>
        <v>0</v>
      </c>
      <c r="BH176" s="145" cm="1">
        <f t="array" ref="BH176">IF(TbTradesBinance[[#This Row],[Tipo]]="EMPTY",0,BH175+IF(TbTradesBinance[[#This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Row],[Par]]))),$1:$1,0)),-(BG175-BG176)/BG175*BH175),0),0)+IF(TbTradesBinance[[#This Row],[Tipo]]="SELL",IF(ISNUMBER(FIND(MID(BH$1,10,5),TbTradesBinance[[#This Row],[Par]])),IF(FIND(MID(BH$1,10,5),TbTradesBinance[[#This Row],[Par]])=1, -(BG175-BG176)/BG175*BH175,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Row],[Par]])),(-(BG175-BG176)/BG175*BH175)+IF(TbTradesBinance[[#This Row],[Resultado]]&gt;0,0,TbTradesBinance[[#This Row],[Taxa]]),0),0))</f>
        <v>0</v>
      </c>
      <c r="BI176" s="145">
        <f t="shared" si="54"/>
        <v>0</v>
      </c>
      <c r="BJ17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Row],[Tipo]]="DROP"),BJ175+TbTradesBinance[[#This Row],[Qtt]],BJ175-TbTradesBinance[[#This Row],[Qtt]]),IF(TbTradesBinance[[#This Row],[Tipo]]="BUY",BJ175-TbTradesBinance[[#This Row],[Qtt]]*TbTradesBinance[[#This Row],[Preço]],BJ175+TbTradesBinance[[#This Row],[Qtt]]*TbTradesBinance[[#This Row],[Preço]])),BJ175)-IF(TbTradesBinance[[#This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Row],[Tipo]]="DROP"),BJ175+TbTradesBinance[[#This Row],[Qtt]],BJ175-TbTradesBinance[[#This Row],[Qtt]]),IF(TbTradesBinance[[#This Row],[Tipo]]="BUY",BJ175-TbTradesBinance[[#This Row],[Qtt]]*TbTradesBinance[[#This Row],[Preço]],BJ175+TbTradesBinance[[#This Row],[Qtt]]*TbTradesBinance[[#This Row],[Preço]])),BJ175)-IF(TbTradesBinance[[#This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Row],[Tipo]]="DROP"),BJ175+TbTradesBinance[[#This Row],[Qtt]],BJ175-TbTradesBinance[[#This Row],[Qtt]]),IF(TbTradesBinance[[#This Row],[Tipo]]="BUY",BJ175-TbTradesBinance[[#This Row],[Qtt]]*TbTradesBinance[[#This Row],[Preço]],BJ175+TbTradesBinance[[#This Row],[Qtt]]*TbTradesBinance[[#This Row],[Preço]])),BJ175)-IF(TbTradesBinance[[#This Row],[Moeda da Taxa]]=MID(BJ$1,9,5),TbTradesBinance[[#This Row],[Taxa]],0),8)))</f>
        <v>0</v>
      </c>
      <c r="BK176" s="145" cm="1">
        <f t="array" ref="BK176">IF(TbTradesBinance[[#This Row],[Tipo]]="EMPTY",0,BK175+IF(TbTradesBinance[[#This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Row],[Par]]))),$1:$1,0)),-(BJ175-BJ176)/BJ175*BK175),0),0)+IF(TbTradesBinance[[#This Row],[Tipo]]="SELL",IF(ISNUMBER(FIND(MID(BK$1,10,5),TbTradesBinance[[#This Row],[Par]])),IF(FIND(MID(BK$1,10,5),TbTradesBinance[[#This Row],[Par]])=1, -(BJ175-BJ176)/BJ175*BK175,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Row],[Par]])),(-(BJ175-BJ176)/BJ175*BK175)+IF(TbTradesBinance[[#This Row],[Resultado]]&gt;0,0,TbTradesBinance[[#This Row],[Taxa]]),0),0))</f>
        <v>0</v>
      </c>
      <c r="BL176" s="145">
        <f t="shared" si="55"/>
        <v>0</v>
      </c>
      <c r="BM17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Row],[Tipo]]="DROP"),BM175+TbTradesBinance[[#This Row],[Qtt]],BM175-TbTradesBinance[[#This Row],[Qtt]]),IF(TbTradesBinance[[#This Row],[Tipo]]="BUY",BM175-TbTradesBinance[[#This Row],[Qtt]]*TbTradesBinance[[#This Row],[Preço]],BM175+TbTradesBinance[[#This Row],[Qtt]]*TbTradesBinance[[#This Row],[Preço]])),BM175)-IF(TbTradesBinance[[#This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Row],[Tipo]]="DROP"),BM175+TbTradesBinance[[#This Row],[Qtt]],BM175-TbTradesBinance[[#This Row],[Qtt]]),IF(TbTradesBinance[[#This Row],[Tipo]]="BUY",BM175-TbTradesBinance[[#This Row],[Qtt]]*TbTradesBinance[[#This Row],[Preço]],BM175+TbTradesBinance[[#This Row],[Qtt]]*TbTradesBinance[[#This Row],[Preço]])),BM175)-IF(TbTradesBinance[[#This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Row],[Tipo]]="DROP"),BM175+TbTradesBinance[[#This Row],[Qtt]],BM175-TbTradesBinance[[#This Row],[Qtt]]),IF(TbTradesBinance[[#This Row],[Tipo]]="BUY",BM175-TbTradesBinance[[#This Row],[Qtt]]*TbTradesBinance[[#This Row],[Preço]],BM175+TbTradesBinance[[#This Row],[Qtt]]*TbTradesBinance[[#This Row],[Preço]])),BM175)-IF(TbTradesBinance[[#This Row],[Moeda da Taxa]]=MID(BM$1,9,5),TbTradesBinance[[#This Row],[Taxa]],0),8)))</f>
        <v>0</v>
      </c>
      <c r="BN176" s="145" cm="1">
        <f t="array" ref="BN176">IF(TbTradesBinance[[#This Row],[Tipo]]="EMPTY",0,BN175+IF(TbTradesBinance[[#This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Row],[Par]]))),$1:$1,0)),-(BM175-BM176)/BM175*BN175),0),0)+IF(TbTradesBinance[[#This Row],[Tipo]]="SELL",IF(ISNUMBER(FIND(MID(BN$1,10,5),TbTradesBinance[[#This Row],[Par]])),IF(FIND(MID(BN$1,10,5),TbTradesBinance[[#This Row],[Par]])=1, -(BM175-BM176)/BM175*BN175,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Row],[Par]])),(-(BM175-BM176)/BM175*BN175)+IF(TbTradesBinance[[#This Row],[Resultado]]&gt;0,0,TbTradesBinance[[#This Row],[Taxa]]),0),0))</f>
        <v>0</v>
      </c>
      <c r="BO176" s="145">
        <f t="shared" si="56"/>
        <v>0</v>
      </c>
    </row>
    <row r="177" spans="2:67" x14ac:dyDescent="0.3">
      <c r="B177" s="51"/>
      <c r="C177" s="40">
        <f>TRUNC(IF(AND(TbTradesBinance[[#This Row],[Tipo]]="SEND",TbTradesBinance[[#This Row],[Par]]="BRL"),TbTradesBinance[[#This Row],[Qtt]]*(1-P175)-IF(TbTradesBinance[[#This Row],[Moeda da Taxa]]="BRL",TbTradesBinance[[#This Row],[Taxa]],0),0)+IF(AND(TbTradesBinance[[#This Row],[Tipo]]="BURN",TbTradesBinance[[#This Row],[Par]]="BRL"),-TbTradesBinance[[#This Row],[Qtt]]*P175,0),2)</f>
        <v>0</v>
      </c>
      <c r="D177" s="53">
        <v>44331.862245370372</v>
      </c>
      <c r="E177" s="37" t="s">
        <v>138</v>
      </c>
      <c r="F177" s="47" t="s">
        <v>139</v>
      </c>
      <c r="G177" s="38">
        <v>250000</v>
      </c>
      <c r="H177" s="38">
        <v>8.0000000000000007E-5</v>
      </c>
      <c r="I177" s="38">
        <v>4.9799999999999998E-6</v>
      </c>
      <c r="J177" s="37" t="s">
        <v>45</v>
      </c>
      <c r="K177" s="52">
        <v>1</v>
      </c>
      <c r="L177" s="40">
        <f t="shared" si="38"/>
        <v>250000</v>
      </c>
      <c r="M177" s="40">
        <f>IF(OR(TbTradesBinance[[#This Row],[Tipo]]="BUY",TbTradesBinance[[#This Row],[Tipo]]="RECEIVE",TbTradesBinance[[#This Row],[Tipo]]="DROP"),L177*H177,-L177*H177)</f>
        <v>20</v>
      </c>
      <c r="N17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Row],[Tipo]]="DROP"),N176+TbTradesBinance[[#This Row],[Qtt]],N176-TbTradesBinance[[#This Row],[Qtt]]),IF(TbTradesBinance[[#This Row],[Tipo]]="BUY",N176-TbTradesBinance[[#This Row],[Qtt]]*TbTradesBinance[[#This Row],[Preço]],N176+TbTradesBinance[[#This Row],[Qtt]]*TbTradesBinance[[#This Row],[Preço]])),N176)-IF(TbTradesBinance[[#This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Row],[Tipo]]="DROP"),N176+TbTradesBinance[[#This Row],[Qtt]],N176-TbTradesBinance[[#This Row],[Qtt]]),IF(TbTradesBinance[[#This Row],[Tipo]]="BUY",N176-TbTradesBinance[[#This Row],[Qtt]]*TbTradesBinance[[#This Row],[Preço]],N176+TbTradesBinance[[#This Row],[Qtt]]*TbTradesBinance[[#This Row],[Preço]])),N176)-IF(TbTradesBinance[[#This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Row],[Tipo]]="DROP"),N176+TbTradesBinance[[#This Row],[Qtt]],N176-TbTradesBinance[[#This Row],[Qtt]]),IF(TbTradesBinance[[#This Row],[Tipo]]="BUY",N176-TbTradesBinance[[#This Row],[Qtt]]*TbTradesBinance[[#This Row],[Preço]],N176+TbTradesBinance[[#This Row],[Qtt]]*TbTradesBinance[[#This Row],[Preço]])),N176)-IF(TbTradesBinance[[#This Row],[Moeda da Taxa]]=MID(N$1,9,5),TbTradesBinance[[#This Row],[Taxa]],0),8)))</f>
        <v>119786.35799598999</v>
      </c>
      <c r="O177" s="145" cm="1">
        <f t="array" ref="O177">IF(TbTradesBinance[[#This Row],[Tipo]]="EMPTY",0,O176+IF(TbTradesBinance[[#This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Row],[Par]]))),$1:$1,0)),-(N176-N177)/N176*O176),0),0)+IF(TbTradesBinance[[#This Row],[Tipo]]="SELL",IF(ISNUMBER(FIND(MID(O$1,10,5),TbTradesBinance[[#This Row],[Par]])),IF(FIND(MID(O$1,10,5),TbTradesBinance[[#This Row],[Par]])=1, -(N176-N177)/N176*O176,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Row],[Par]])),(-(N176-N177)/N176*O176)+IF(TbTradesBinance[[#This Row],[Resultado]]&gt;0,0,TbTradesBinance[[#This Row],[Taxa]]),0),0))</f>
        <v>119884.95337442562</v>
      </c>
      <c r="P177" s="145">
        <f t="shared" si="39"/>
        <v>1.0008230935482563</v>
      </c>
      <c r="Q17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Row],[Tipo]]="DROP"),Q176+TbTradesBinance[[#This Row],[Qtt]],Q176-TbTradesBinance[[#This Row],[Qtt]]),IF(TbTradesBinance[[#This Row],[Tipo]]="BUY",Q176-TbTradesBinance[[#This Row],[Qtt]]*TbTradesBinance[[#This Row],[Preço]],Q176+TbTradesBinance[[#This Row],[Qtt]]*TbTradesBinance[[#This Row],[Preço]])),Q176)-IF(TbTradesBinance[[#This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Row],[Tipo]]="DROP"),Q176+TbTradesBinance[[#This Row],[Qtt]],Q176-TbTradesBinance[[#This Row],[Qtt]]),IF(TbTradesBinance[[#This Row],[Tipo]]="BUY",Q176-TbTradesBinance[[#This Row],[Qtt]]*TbTradesBinance[[#This Row],[Preço]],Q176+TbTradesBinance[[#This Row],[Qtt]]*TbTradesBinance[[#This Row],[Preço]])),Q176)-IF(TbTradesBinance[[#This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Row],[Tipo]]="DROP"),Q176+TbTradesBinance[[#This Row],[Qtt]],Q176-TbTradesBinance[[#This Row],[Qtt]]),IF(TbTradesBinance[[#This Row],[Tipo]]="BUY",Q176-TbTradesBinance[[#This Row],[Qtt]]*TbTradesBinance[[#This Row],[Preço]],Q176+TbTradesBinance[[#This Row],[Qtt]]*TbTradesBinance[[#This Row],[Preço]])),Q176)-IF(TbTradesBinance[[#This Row],[Moeda da Taxa]]=MID(Q$1,9,5),TbTradesBinance[[#This Row],[Taxa]],0),8)))</f>
        <v>25.618341000000001</v>
      </c>
      <c r="R177" s="145" cm="1">
        <f t="array" ref="R177">IF(TbTradesBinance[[#This Row],[Tipo]]="EMPTY",0,R176+IF(TbTradesBinance[[#This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Row],[Par]]))),$1:$1,0)),-(Q176-Q177)/Q176*R176),0),0)+IF(TbTradesBinance[[#This Row],[Tipo]]="SELL",IF(ISNUMBER(FIND(MID(R$1,10,5),TbTradesBinance[[#This Row],[Par]])),IF(FIND(MID(R$1,10,5),TbTradesBinance[[#This Row],[Par]])=1, -(Q176-Q177)/Q176*R176,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Row],[Par]])),(-(Q176-Q177)/Q176*R176)+IF(TbTradesBinance[[#This Row],[Resultado]]&gt;0,0,TbTradesBinance[[#This Row],[Taxa]]),0),0))</f>
        <v>119.94522290982411</v>
      </c>
      <c r="S177" s="145">
        <f t="shared" si="40"/>
        <v>4.6820058687572352</v>
      </c>
      <c r="T17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Row],[Tipo]]="DROP"),T176+TbTradesBinance[[#This Row],[Qtt]],T176-TbTradesBinance[[#This Row],[Qtt]]),IF(TbTradesBinance[[#This Row],[Tipo]]="BUY",T176-TbTradesBinance[[#This Row],[Qtt]]*TbTradesBinance[[#This Row],[Preço]],T176+TbTradesBinance[[#This Row],[Qtt]]*TbTradesBinance[[#This Row],[Preço]])),T176)-IF(TbTradesBinance[[#This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Row],[Tipo]]="DROP"),T176+TbTradesBinance[[#This Row],[Qtt]],T176-TbTradesBinance[[#This Row],[Qtt]]),IF(TbTradesBinance[[#This Row],[Tipo]]="BUY",T176-TbTradesBinance[[#This Row],[Qtt]]*TbTradesBinance[[#This Row],[Preço]],T176+TbTradesBinance[[#This Row],[Qtt]]*TbTradesBinance[[#This Row],[Preço]])),T176)-IF(TbTradesBinance[[#This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Row],[Tipo]]="DROP"),T176+TbTradesBinance[[#This Row],[Qtt]],T176-TbTradesBinance[[#This Row],[Qtt]]),IF(TbTradesBinance[[#This Row],[Tipo]]="BUY",T176-TbTradesBinance[[#This Row],[Qtt]]*TbTradesBinance[[#This Row],[Preço]],T176+TbTradesBinance[[#This Row],[Qtt]]*TbTradesBinance[[#This Row],[Preço]])),T176)-IF(TbTradesBinance[[#This Row],[Moeda da Taxa]]=MID(T$1,9,5),TbTradesBinance[[#This Row],[Taxa]],0),8)))</f>
        <v>219713.72000189999</v>
      </c>
      <c r="U177" s="145" cm="1">
        <f t="array" ref="U177">IF(TbTradesBinance[[#This Row],[Tipo]]="EMPTY",0,U176+IF(TbTradesBinance[[#This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Row],[Par]]))),$1:$1,0)),-(T176-T177)/T176*U176),0),0)+IF(TbTradesBinance[[#This Row],[Tipo]]="SELL",IF(ISNUMBER(FIND(MID(U$1,10,5),TbTradesBinance[[#This Row],[Par]])),IF(FIND(MID(U$1,10,5),TbTradesBinance[[#This Row],[Par]])=1, -(T176-T177)/T176*U176,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Row],[Par]])),(-(T176-T177)/T176*U176)+IF(TbTradesBinance[[#This Row],[Resultado]]&gt;0,0,TbTradesBinance[[#This Row],[Taxa]]),0),0))</f>
        <v>1461096.2409827893</v>
      </c>
      <c r="V177" s="145">
        <f t="shared" si="41"/>
        <v>6.6500000135182926</v>
      </c>
      <c r="W17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Row],[Tipo]]="DROP"),W176+TbTradesBinance[[#This Row],[Qtt]],W176-TbTradesBinance[[#This Row],[Qtt]]),IF(TbTradesBinance[[#This Row],[Tipo]]="BUY",W176-TbTradesBinance[[#This Row],[Qtt]]*TbTradesBinance[[#This Row],[Preço]],W176+TbTradesBinance[[#This Row],[Qtt]]*TbTradesBinance[[#This Row],[Preço]])),W176)-IF(TbTradesBinance[[#This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Row],[Tipo]]="DROP"),W176+TbTradesBinance[[#This Row],[Qtt]],W176-TbTradesBinance[[#This Row],[Qtt]]),IF(TbTradesBinance[[#This Row],[Tipo]]="BUY",W176-TbTradesBinance[[#This Row],[Qtt]]*TbTradesBinance[[#This Row],[Preço]],W176+TbTradesBinance[[#This Row],[Qtt]]*TbTradesBinance[[#This Row],[Preço]])),W176)-IF(TbTradesBinance[[#This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Row],[Tipo]]="DROP"),W176+TbTradesBinance[[#This Row],[Qtt]],W176-TbTradesBinance[[#This Row],[Qtt]]),IF(TbTradesBinance[[#This Row],[Tipo]]="BUY",W176-TbTradesBinance[[#This Row],[Qtt]]*TbTradesBinance[[#This Row],[Preço]],W176+TbTradesBinance[[#This Row],[Qtt]]*TbTradesBinance[[#This Row],[Preço]])),W176)-IF(TbTradesBinance[[#This Row],[Moeda da Taxa]]=MID(W$1,9,5),TbTradesBinance[[#This Row],[Taxa]],0),8)))</f>
        <v>1.6234999999999999E-4</v>
      </c>
      <c r="X177" s="145" cm="1">
        <f t="array" ref="X177">IF(TbTradesBinance[[#This Row],[Tipo]]="EMPTY",0,X176+IF(TbTradesBinance[[#This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Row],[Par]]))),$1:$1,0)),-(W176-W177)/W176*X176),0),0)+IF(TbTradesBinance[[#This Row],[Tipo]]="SELL",IF(ISNUMBER(FIND(MID(X$1,10,5),TbTradesBinance[[#This Row],[Par]])),IF(FIND(MID(X$1,10,5),TbTradesBinance[[#This Row],[Par]])=1, -(W176-W177)/W176*X176,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Row],[Par]])),(-(W176-W177)/W176*X176)+IF(TbTradesBinance[[#This Row],[Resultado]]&gt;0,0,TbTradesBinance[[#This Row],[Taxa]]),0),0))</f>
        <v>41.370996676243394</v>
      </c>
      <c r="Y177" s="145">
        <f t="shared" si="42"/>
        <v>254825.97275173018</v>
      </c>
      <c r="Z17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Row],[Tipo]]="DROP"),Z176+TbTradesBinance[[#This Row],[Qtt]],Z176-TbTradesBinance[[#This Row],[Qtt]]),IF(TbTradesBinance[[#This Row],[Tipo]]="BUY",Z176-TbTradesBinance[[#This Row],[Qtt]]*TbTradesBinance[[#This Row],[Preço]],Z176+TbTradesBinance[[#This Row],[Qtt]]*TbTradesBinance[[#This Row],[Preço]])),Z176)-IF(TbTradesBinance[[#This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Row],[Tipo]]="DROP"),Z176+TbTradesBinance[[#This Row],[Qtt]],Z176-TbTradesBinance[[#This Row],[Qtt]]),IF(TbTradesBinance[[#This Row],[Tipo]]="BUY",Z176-TbTradesBinance[[#This Row],[Qtt]]*TbTradesBinance[[#This Row],[Preço]],Z176+TbTradesBinance[[#This Row],[Qtt]]*TbTradesBinance[[#This Row],[Preço]])),Z176)-IF(TbTradesBinance[[#This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Row],[Tipo]]="DROP"),Z176+TbTradesBinance[[#This Row],[Qtt]],Z176-TbTradesBinance[[#This Row],[Qtt]]),IF(TbTradesBinance[[#This Row],[Tipo]]="BUY",Z176-TbTradesBinance[[#This Row],[Qtt]]*TbTradesBinance[[#This Row],[Preço]],Z176+TbTradesBinance[[#This Row],[Qtt]]*TbTradesBinance[[#This Row],[Preço]])),Z176)-IF(TbTradesBinance[[#This Row],[Moeda da Taxa]]=MID(Z$1,9,5),TbTradesBinance[[#This Row],[Taxa]],0),8)))</f>
        <v>0</v>
      </c>
      <c r="AA177" s="145" cm="1">
        <f t="array" ref="AA177">IF(TbTradesBinance[[#This Row],[Tipo]]="EMPTY",0,AA176+IF(TbTradesBinance[[#This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Row],[Par]]))),$1:$1,0)),-(Z176-Z177)/Z176*AA176),0),0)+IF(TbTradesBinance[[#This Row],[Tipo]]="SELL",IF(ISNUMBER(FIND(MID(AA$1,10,5),TbTradesBinance[[#This Row],[Par]])),IF(FIND(MID(AA$1,10,5),TbTradesBinance[[#This Row],[Par]])=1, -(Z176-Z177)/Z176*AA176,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Row],[Par]])),(-(Z176-Z177)/Z176*AA176)+IF(TbTradesBinance[[#This Row],[Resultado]]&gt;0,0,TbTradesBinance[[#This Row],[Taxa]]),0),0))</f>
        <v>0</v>
      </c>
      <c r="AB177" s="145">
        <f t="shared" si="43"/>
        <v>0</v>
      </c>
      <c r="AC17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Row],[Tipo]]="DROP"),AC176+TbTradesBinance[[#This Row],[Qtt]],AC176-TbTradesBinance[[#This Row],[Qtt]]),IF(TbTradesBinance[[#This Row],[Tipo]]="BUY",AC176-TbTradesBinance[[#This Row],[Qtt]]*TbTradesBinance[[#This Row],[Preço]],AC176+TbTradesBinance[[#This Row],[Qtt]]*TbTradesBinance[[#This Row],[Preço]])),AC176)-IF(TbTradesBinance[[#This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Row],[Tipo]]="DROP"),AC176+TbTradesBinance[[#This Row],[Qtt]],AC176-TbTradesBinance[[#This Row],[Qtt]]),IF(TbTradesBinance[[#This Row],[Tipo]]="BUY",AC176-TbTradesBinance[[#This Row],[Qtt]]*TbTradesBinance[[#This Row],[Preço]],AC176+TbTradesBinance[[#This Row],[Qtt]]*TbTradesBinance[[#This Row],[Preço]])),AC176)-IF(TbTradesBinance[[#This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Row],[Tipo]]="DROP"),AC176+TbTradesBinance[[#This Row],[Qtt]],AC176-TbTradesBinance[[#This Row],[Qtt]]),IF(TbTradesBinance[[#This Row],[Tipo]]="BUY",AC176-TbTradesBinance[[#This Row],[Qtt]]*TbTradesBinance[[#This Row],[Preço]],AC176+TbTradesBinance[[#This Row],[Qtt]]*TbTradesBinance[[#This Row],[Preço]])),AC176)-IF(TbTradesBinance[[#This Row],[Moeda da Taxa]]=MID(AC$1,9,5),TbTradesBinance[[#This Row],[Taxa]],0),8)))</f>
        <v>0</v>
      </c>
      <c r="AD177" s="145" cm="1">
        <f t="array" ref="AD177">IF(TbTradesBinance[[#This Row],[Tipo]]="EMPTY",0,AD176+IF(TbTradesBinance[[#This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Row],[Par]]))),$1:$1,0)),-(AC176-AC177)/AC176*AD176),0),0)+IF(TbTradesBinance[[#This Row],[Tipo]]="SELL",IF(ISNUMBER(FIND(MID(AD$1,10,5),TbTradesBinance[[#This Row],[Par]])),IF(FIND(MID(AD$1,10,5),TbTradesBinance[[#This Row],[Par]])=1, -(AC176-AC177)/AC176*AD176,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Row],[Par]])),(-(AC176-AC177)/AC176*AD176)+IF(TbTradesBinance[[#This Row],[Resultado]]&gt;0,0,TbTradesBinance[[#This Row],[Taxa]]),0),0))</f>
        <v>0</v>
      </c>
      <c r="AE177" s="145">
        <f t="shared" si="44"/>
        <v>0</v>
      </c>
      <c r="AF17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Row],[Tipo]]="DROP"),AF176+TbTradesBinance[[#This Row],[Qtt]],AF176-TbTradesBinance[[#This Row],[Qtt]]),IF(TbTradesBinance[[#This Row],[Tipo]]="BUY",AF176-TbTradesBinance[[#This Row],[Qtt]]*TbTradesBinance[[#This Row],[Preço]],AF176+TbTradesBinance[[#This Row],[Qtt]]*TbTradesBinance[[#This Row],[Preço]])),AF176)-IF(TbTradesBinance[[#This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Row],[Tipo]]="DROP"),AF176+TbTradesBinance[[#This Row],[Qtt]],AF176-TbTradesBinance[[#This Row],[Qtt]]),IF(TbTradesBinance[[#This Row],[Tipo]]="BUY",AF176-TbTradesBinance[[#This Row],[Qtt]]*TbTradesBinance[[#This Row],[Preço]],AF176+TbTradesBinance[[#This Row],[Qtt]]*TbTradesBinance[[#This Row],[Preço]])),AF176)-IF(TbTradesBinance[[#This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Row],[Tipo]]="DROP"),AF176+TbTradesBinance[[#This Row],[Qtt]],AF176-TbTradesBinance[[#This Row],[Qtt]]),IF(TbTradesBinance[[#This Row],[Tipo]]="BUY",AF176-TbTradesBinance[[#This Row],[Qtt]]*TbTradesBinance[[#This Row],[Preço]],AF176+TbTradesBinance[[#This Row],[Qtt]]*TbTradesBinance[[#This Row],[Preço]])),AF176)-IF(TbTradesBinance[[#This Row],[Moeda da Taxa]]=MID(AF$1,9,5),TbTradesBinance[[#This Row],[Taxa]],0),8)))</f>
        <v>0</v>
      </c>
      <c r="AG177" s="145" cm="1">
        <f t="array" ref="AG177">IF(TbTradesBinance[[#This Row],[Tipo]]="EMPTY",0,AG176+IF(TbTradesBinance[[#This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Row],[Par]]))),$1:$1,0)),-(AF176-AF177)/AF176*AG176),0),0)+IF(TbTradesBinance[[#This Row],[Tipo]]="SELL",IF(ISNUMBER(FIND(MID(AG$1,10,5),TbTradesBinance[[#This Row],[Par]])),IF(FIND(MID(AG$1,10,5),TbTradesBinance[[#This Row],[Par]])=1, -(AF176-AF177)/AF176*AG176,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Row],[Par]])),(-(AF176-AF177)/AF176*AG176)+IF(TbTradesBinance[[#This Row],[Resultado]]&gt;0,0,TbTradesBinance[[#This Row],[Taxa]]),0),0))</f>
        <v>0</v>
      </c>
      <c r="AH177" s="145">
        <f t="shared" si="45"/>
        <v>0</v>
      </c>
      <c r="AI17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Row],[Tipo]]="DROP"),AI176+TbTradesBinance[[#This Row],[Qtt]],AI176-TbTradesBinance[[#This Row],[Qtt]]),IF(TbTradesBinance[[#This Row],[Tipo]]="BUY",AI176-TbTradesBinance[[#This Row],[Qtt]]*TbTradesBinance[[#This Row],[Preço]],AI176+TbTradesBinance[[#This Row],[Qtt]]*TbTradesBinance[[#This Row],[Preço]])),AI176)-IF(TbTradesBinance[[#This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Row],[Tipo]]="DROP"),AI176+TbTradesBinance[[#This Row],[Qtt]],AI176-TbTradesBinance[[#This Row],[Qtt]]),IF(TbTradesBinance[[#This Row],[Tipo]]="BUY",AI176-TbTradesBinance[[#This Row],[Qtt]]*TbTradesBinance[[#This Row],[Preço]],AI176+TbTradesBinance[[#This Row],[Qtt]]*TbTradesBinance[[#This Row],[Preço]])),AI176)-IF(TbTradesBinance[[#This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Row],[Tipo]]="DROP"),AI176+TbTradesBinance[[#This Row],[Qtt]],AI176-TbTradesBinance[[#This Row],[Qtt]]),IF(TbTradesBinance[[#This Row],[Tipo]]="BUY",AI176-TbTradesBinance[[#This Row],[Qtt]]*TbTradesBinance[[#This Row],[Preço]],AI176+TbTradesBinance[[#This Row],[Qtt]]*TbTradesBinance[[#This Row],[Preço]])),AI176)-IF(TbTradesBinance[[#This Row],[Moeda da Taxa]]=MID(AI$1,9,5),TbTradesBinance[[#This Row],[Taxa]],0),8)))</f>
        <v>0</v>
      </c>
      <c r="AJ177" s="145" cm="1">
        <f t="array" ref="AJ177">IF(TbTradesBinance[[#This Row],[Tipo]]="EMPTY",0,AJ176+IF(TbTradesBinance[[#This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Row],[Par]]))),$1:$1,0)),-(AI176-AI177)/AI176*AJ176),0),0)+IF(TbTradesBinance[[#This Row],[Tipo]]="SELL",IF(ISNUMBER(FIND(MID(AJ$1,10,5),TbTradesBinance[[#This Row],[Par]])),IF(FIND(MID(AJ$1,10,5),TbTradesBinance[[#This Row],[Par]])=1, -(AI176-AI177)/AI176*AJ176,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Row],[Par]])),(-(AI176-AI177)/AI176*AJ176)+IF(TbTradesBinance[[#This Row],[Resultado]]&gt;0,0,TbTradesBinance[[#This Row],[Taxa]]),0),0))</f>
        <v>0</v>
      </c>
      <c r="AK177" s="145">
        <f t="shared" si="46"/>
        <v>0</v>
      </c>
      <c r="AL17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Row],[Tipo]]="DROP"),AL176+TbTradesBinance[[#This Row],[Qtt]],AL176-TbTradesBinance[[#This Row],[Qtt]]),IF(TbTradesBinance[[#This Row],[Tipo]]="BUY",AL176-TbTradesBinance[[#This Row],[Qtt]]*TbTradesBinance[[#This Row],[Preço]],AL176+TbTradesBinance[[#This Row],[Qtt]]*TbTradesBinance[[#This Row],[Preço]])),AL176)-IF(TbTradesBinance[[#This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Row],[Tipo]]="DROP"),AL176+TbTradesBinance[[#This Row],[Qtt]],AL176-TbTradesBinance[[#This Row],[Qtt]]),IF(TbTradesBinance[[#This Row],[Tipo]]="BUY",AL176-TbTradesBinance[[#This Row],[Qtt]]*TbTradesBinance[[#This Row],[Preço]],AL176+TbTradesBinance[[#This Row],[Qtt]]*TbTradesBinance[[#This Row],[Preço]])),AL176)-IF(TbTradesBinance[[#This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Row],[Tipo]]="DROP"),AL176+TbTradesBinance[[#This Row],[Qtt]],AL176-TbTradesBinance[[#This Row],[Qtt]]),IF(TbTradesBinance[[#This Row],[Tipo]]="BUY",AL176-TbTradesBinance[[#This Row],[Qtt]]*TbTradesBinance[[#This Row],[Preço]],AL176+TbTradesBinance[[#This Row],[Qtt]]*TbTradesBinance[[#This Row],[Preço]])),AL176)-IF(TbTradesBinance[[#This Row],[Moeda da Taxa]]=MID(AL$1,9,5),TbTradesBinance[[#This Row],[Taxa]],0),8)))</f>
        <v>0</v>
      </c>
      <c r="AM177" s="145" cm="1">
        <f t="array" ref="AM177">IF(TbTradesBinance[[#This Row],[Tipo]]="EMPTY",0,AM176+IF(TbTradesBinance[[#This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Row],[Par]]))),$1:$1,0)),-(AL176-AL177)/AL176*AM176),0),0)+IF(TbTradesBinance[[#This Row],[Tipo]]="SELL",IF(ISNUMBER(FIND(MID(AM$1,10,5),TbTradesBinance[[#This Row],[Par]])),IF(FIND(MID(AM$1,10,5),TbTradesBinance[[#This Row],[Par]])=1, -(AL176-AL177)/AL176*AM176,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Row],[Par]])),(-(AL176-AL177)/AL176*AM176)+IF(TbTradesBinance[[#This Row],[Resultado]]&gt;0,0,TbTradesBinance[[#This Row],[Taxa]]),0),0))</f>
        <v>0</v>
      </c>
      <c r="AN177" s="145">
        <f t="shared" si="47"/>
        <v>0</v>
      </c>
      <c r="AO17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Row],[Tipo]]="DROP"),AO176+TbTradesBinance[[#This Row],[Qtt]],AO176-TbTradesBinance[[#This Row],[Qtt]]),IF(TbTradesBinance[[#This Row],[Tipo]]="BUY",AO176-TbTradesBinance[[#This Row],[Qtt]]*TbTradesBinance[[#This Row],[Preço]],AO176+TbTradesBinance[[#This Row],[Qtt]]*TbTradesBinance[[#This Row],[Preço]])),AO176)-IF(TbTradesBinance[[#This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Row],[Tipo]]="DROP"),AO176+TbTradesBinance[[#This Row],[Qtt]],AO176-TbTradesBinance[[#This Row],[Qtt]]),IF(TbTradesBinance[[#This Row],[Tipo]]="BUY",AO176-TbTradesBinance[[#This Row],[Qtt]]*TbTradesBinance[[#This Row],[Preço]],AO176+TbTradesBinance[[#This Row],[Qtt]]*TbTradesBinance[[#This Row],[Preço]])),AO176)-IF(TbTradesBinance[[#This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Row],[Tipo]]="DROP"),AO176+TbTradesBinance[[#This Row],[Qtt]],AO176-TbTradesBinance[[#This Row],[Qtt]]),IF(TbTradesBinance[[#This Row],[Tipo]]="BUY",AO176-TbTradesBinance[[#This Row],[Qtt]]*TbTradesBinance[[#This Row],[Preço]],AO176+TbTradesBinance[[#This Row],[Qtt]]*TbTradesBinance[[#This Row],[Preço]])),AO176)-IF(TbTradesBinance[[#This Row],[Moeda da Taxa]]=MID(AO$1,9,5),TbTradesBinance[[#This Row],[Taxa]],0),8)))</f>
        <v>3.8394640000000001E-2</v>
      </c>
      <c r="AP177" s="145" cm="1">
        <f t="array" ref="AP177">IF(TbTradesBinance[[#This Row],[Tipo]]="EMPTY",0,AP176+IF(TbTradesBinance[[#This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Row],[Par]]))),$1:$1,0)),-(AO176-AO177)/AO176*AP176),0),0)+IF(TbTradesBinance[[#This Row],[Tipo]]="SELL",IF(ISNUMBER(FIND(MID(AP$1,10,5),TbTradesBinance[[#This Row],[Par]])),IF(FIND(MID(AP$1,10,5),TbTradesBinance[[#This Row],[Par]])=1, -(AO176-AO177)/AO176*AP176,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Row],[Par]])),(-(AO176-AO177)/AO176*AP176)+IF(TbTradesBinance[[#This Row],[Resultado]]&gt;0,0,TbTradesBinance[[#This Row],[Taxa]]),0),0))</f>
        <v>60.349858055862811</v>
      </c>
      <c r="AQ177" s="145">
        <f t="shared" si="48"/>
        <v>1571.8302881824861</v>
      </c>
      <c r="AR17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Row],[Tipo]]="DROP"),AR176+TbTradesBinance[[#This Row],[Qtt]],AR176-TbTradesBinance[[#This Row],[Qtt]]),IF(TbTradesBinance[[#This Row],[Tipo]]="BUY",AR176-TbTradesBinance[[#This Row],[Qtt]]*TbTradesBinance[[#This Row],[Preço]],AR176+TbTradesBinance[[#This Row],[Qtt]]*TbTradesBinance[[#This Row],[Preço]])),AR176)-IF(TbTradesBinance[[#This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Row],[Tipo]]="DROP"),AR176+TbTradesBinance[[#This Row],[Qtt]],AR176-TbTradesBinance[[#This Row],[Qtt]]),IF(TbTradesBinance[[#This Row],[Tipo]]="BUY",AR176-TbTradesBinance[[#This Row],[Qtt]]*TbTradesBinance[[#This Row],[Preço]],AR176+TbTradesBinance[[#This Row],[Qtt]]*TbTradesBinance[[#This Row],[Preço]])),AR176)-IF(TbTradesBinance[[#This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Row],[Tipo]]="DROP"),AR176+TbTradesBinance[[#This Row],[Qtt]],AR176-TbTradesBinance[[#This Row],[Qtt]]),IF(TbTradesBinance[[#This Row],[Tipo]]="BUY",AR176-TbTradesBinance[[#This Row],[Qtt]]*TbTradesBinance[[#This Row],[Preço]],AR176+TbTradesBinance[[#This Row],[Qtt]]*TbTradesBinance[[#This Row],[Preço]])),AR176)-IF(TbTradesBinance[[#This Row],[Moeda da Taxa]]=MID(AR$1,9,5),TbTradesBinance[[#This Row],[Taxa]],0),8)))</f>
        <v>0</v>
      </c>
      <c r="AS177" s="145" cm="1">
        <f t="array" ref="AS177">IF(TbTradesBinance[[#This Row],[Tipo]]="EMPTY",0,AS176+IF(TbTradesBinance[[#This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Row],[Par]]))),$1:$1,0)),-(AR176-AR177)/AR176*AS176),0),0)+IF(TbTradesBinance[[#This Row],[Tipo]]="SELL",IF(ISNUMBER(FIND(MID(AS$1,10,5),TbTradesBinance[[#This Row],[Par]])),IF(FIND(MID(AS$1,10,5),TbTradesBinance[[#This Row],[Par]])=1, -(AR176-AR177)/AR176*AS176,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Row],[Par]])),(-(AR176-AR177)/AR176*AS176)+IF(TbTradesBinance[[#This Row],[Resultado]]&gt;0,0,TbTradesBinance[[#This Row],[Taxa]]),0),0))</f>
        <v>0</v>
      </c>
      <c r="AT177" s="145">
        <f t="shared" si="49"/>
        <v>0</v>
      </c>
      <c r="AU17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Row],[Tipo]]="DROP"),AU176+TbTradesBinance[[#This Row],[Qtt]],AU176-TbTradesBinance[[#This Row],[Qtt]]),IF(TbTradesBinance[[#This Row],[Tipo]]="BUY",AU176-TbTradesBinance[[#This Row],[Qtt]]*TbTradesBinance[[#This Row],[Preço]],AU176+TbTradesBinance[[#This Row],[Qtt]]*TbTradesBinance[[#This Row],[Preço]])),AU176)-IF(TbTradesBinance[[#This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Row],[Tipo]]="DROP"),AU176+TbTradesBinance[[#This Row],[Qtt]],AU176-TbTradesBinance[[#This Row],[Qtt]]),IF(TbTradesBinance[[#This Row],[Tipo]]="BUY",AU176-TbTradesBinance[[#This Row],[Qtt]]*TbTradesBinance[[#This Row],[Preço]],AU176+TbTradesBinance[[#This Row],[Qtt]]*TbTradesBinance[[#This Row],[Preço]])),AU176)-IF(TbTradesBinance[[#This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Row],[Tipo]]="DROP"),AU176+TbTradesBinance[[#This Row],[Qtt]],AU176-TbTradesBinance[[#This Row],[Qtt]]),IF(TbTradesBinance[[#This Row],[Tipo]]="BUY",AU176-TbTradesBinance[[#This Row],[Qtt]]*TbTradesBinance[[#This Row],[Preço]],AU176+TbTradesBinance[[#This Row],[Qtt]]*TbTradesBinance[[#This Row],[Preço]])),AU176)-IF(TbTradesBinance[[#This Row],[Moeda da Taxa]]=MID(AU$1,9,5),TbTradesBinance[[#This Row],[Taxa]],0),8)))</f>
        <v>0.51</v>
      </c>
      <c r="AV177" s="145" cm="1">
        <f t="array" ref="AV177">IF(TbTradesBinance[[#This Row],[Tipo]]="EMPTY",0,AV176+IF(TbTradesBinance[[#This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Row],[Par]]))),$1:$1,0)),-(AU176-AU177)/AU176*AV176),0),0)+IF(TbTradesBinance[[#This Row],[Tipo]]="SELL",IF(ISNUMBER(FIND(MID(AV$1,10,5),TbTradesBinance[[#This Row],[Par]])),IF(FIND(MID(AV$1,10,5),TbTradesBinance[[#This Row],[Par]])=1, -(AU176-AU177)/AU176*AV176,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Row],[Par]])),(-(AU176-AU177)/AU176*AV176)+IF(TbTradesBinance[[#This Row],[Resultado]]&gt;0,0,TbTradesBinance[[#This Row],[Taxa]]),0),0))</f>
        <v>95.466693037374753</v>
      </c>
      <c r="AW177" s="145">
        <f t="shared" si="50"/>
        <v>187.18959419093088</v>
      </c>
      <c r="AX17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Row],[Tipo]]="DROP"),AX176+TbTradesBinance[[#This Row],[Qtt]],AX176-TbTradesBinance[[#This Row],[Qtt]]),IF(TbTradesBinance[[#This Row],[Tipo]]="BUY",AX176-TbTradesBinance[[#This Row],[Qtt]]*TbTradesBinance[[#This Row],[Preço]],AX176+TbTradesBinance[[#This Row],[Qtt]]*TbTradesBinance[[#This Row],[Preço]])),AX176)-IF(TbTradesBinance[[#This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Row],[Tipo]]="DROP"),AX176+TbTradesBinance[[#This Row],[Qtt]],AX176-TbTradesBinance[[#This Row],[Qtt]]),IF(TbTradesBinance[[#This Row],[Tipo]]="BUY",AX176-TbTradesBinance[[#This Row],[Qtt]]*TbTradesBinance[[#This Row],[Preço]],AX176+TbTradesBinance[[#This Row],[Qtt]]*TbTradesBinance[[#This Row],[Preço]])),AX176)-IF(TbTradesBinance[[#This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Row],[Tipo]]="DROP"),AX176+TbTradesBinance[[#This Row],[Qtt]],AX176-TbTradesBinance[[#This Row],[Qtt]]),IF(TbTradesBinance[[#This Row],[Tipo]]="BUY",AX176-TbTradesBinance[[#This Row],[Qtt]]*TbTradesBinance[[#This Row],[Preço]],AX176+TbTradesBinance[[#This Row],[Qtt]]*TbTradesBinance[[#This Row],[Preço]])),AX176)-IF(TbTradesBinance[[#This Row],[Moeda da Taxa]]=MID(AX$1,9,5),TbTradesBinance[[#This Row],[Taxa]],0),8)))</f>
        <v>0.32838000000000001</v>
      </c>
      <c r="AY177" s="145" cm="1">
        <f t="array" ref="AY177">IF(TbTradesBinance[[#This Row],[Tipo]]="EMPTY",0,AY176+IF(TbTradesBinance[[#This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Row],[Par]]))),$1:$1,0)),-(AX176-AX177)/AX176*AY176),0),0)+IF(TbTradesBinance[[#This Row],[Tipo]]="SELL",IF(ISNUMBER(FIND(MID(AY$1,10,5),TbTradesBinance[[#This Row],[Par]])),IF(FIND(MID(AY$1,10,5),TbTradesBinance[[#This Row],[Par]])=1, -(AX176-AX177)/AX176*AY176,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Row],[Par]])),(-(AX176-AX177)/AX176*AY176)+IF(TbTradesBinance[[#This Row],[Resultado]]&gt;0,0,TbTradesBinance[[#This Row],[Taxa]]),0),0))</f>
        <v>61.364116058805678</v>
      </c>
      <c r="AZ177" s="145">
        <f t="shared" si="51"/>
        <v>186.869224857804</v>
      </c>
      <c r="BA17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Row],[Tipo]]="DROP"),BA176+TbTradesBinance[[#This Row],[Qtt]],BA176-TbTradesBinance[[#This Row],[Qtt]]),IF(TbTradesBinance[[#This Row],[Tipo]]="BUY",BA176-TbTradesBinance[[#This Row],[Qtt]]*TbTradesBinance[[#This Row],[Preço]],BA176+TbTradesBinance[[#This Row],[Qtt]]*TbTradesBinance[[#This Row],[Preço]])),BA176)-IF(TbTradesBinance[[#This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Row],[Tipo]]="DROP"),BA176+TbTradesBinance[[#This Row],[Qtt]],BA176-TbTradesBinance[[#This Row],[Qtt]]),IF(TbTradesBinance[[#This Row],[Tipo]]="BUY",BA176-TbTradesBinance[[#This Row],[Qtt]]*TbTradesBinance[[#This Row],[Preço]],BA176+TbTradesBinance[[#This Row],[Qtt]]*TbTradesBinance[[#This Row],[Preço]])),BA176)-IF(TbTradesBinance[[#This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Row],[Tipo]]="DROP"),BA176+TbTradesBinance[[#This Row],[Qtt]],BA176-TbTradesBinance[[#This Row],[Qtt]]),IF(TbTradesBinance[[#This Row],[Tipo]]="BUY",BA176-TbTradesBinance[[#This Row],[Qtt]]*TbTradesBinance[[#This Row],[Preço]],BA176+TbTradesBinance[[#This Row],[Qtt]]*TbTradesBinance[[#This Row],[Preço]])),BA176)-IF(TbTradesBinance[[#This Row],[Moeda da Taxa]]=MID(BA$1,9,5),TbTradesBinance[[#This Row],[Taxa]],0),8)))</f>
        <v>0</v>
      </c>
      <c r="BB177" s="145" cm="1">
        <f t="array" ref="BB177">IF(TbTradesBinance[[#This Row],[Tipo]]="EMPTY",0,BB176+IF(TbTradesBinance[[#This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Row],[Par]]))),$1:$1,0)),-(BA176-BA177)/BA176*BB176),0),0)+IF(TbTradesBinance[[#This Row],[Tipo]]="SELL",IF(ISNUMBER(FIND(MID(BB$1,10,5),TbTradesBinance[[#This Row],[Par]])),IF(FIND(MID(BB$1,10,5),TbTradesBinance[[#This Row],[Par]])=1, -(BA176-BA177)/BA176*BB176,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Row],[Par]])),(-(BA176-BA177)/BA176*BB176)+IF(TbTradesBinance[[#This Row],[Resultado]]&gt;0,0,TbTradesBinance[[#This Row],[Taxa]]),0),0))</f>
        <v>0</v>
      </c>
      <c r="BC177" s="145">
        <f t="shared" si="52"/>
        <v>0</v>
      </c>
      <c r="BD17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Row],[Tipo]]="DROP"),BD176+TbTradesBinance[[#This Row],[Qtt]],BD176-TbTradesBinance[[#This Row],[Qtt]]),IF(TbTradesBinance[[#This Row],[Tipo]]="BUY",BD176-TbTradesBinance[[#This Row],[Qtt]]*TbTradesBinance[[#This Row],[Preço]],BD176+TbTradesBinance[[#This Row],[Qtt]]*TbTradesBinance[[#This Row],[Preço]])),BD176)-IF(TbTradesBinance[[#This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Row],[Tipo]]="DROP"),BD176+TbTradesBinance[[#This Row],[Qtt]],BD176-TbTradesBinance[[#This Row],[Qtt]]),IF(TbTradesBinance[[#This Row],[Tipo]]="BUY",BD176-TbTradesBinance[[#This Row],[Qtt]]*TbTradesBinance[[#This Row],[Preço]],BD176+TbTradesBinance[[#This Row],[Qtt]]*TbTradesBinance[[#This Row],[Preço]])),BD176)-IF(TbTradesBinance[[#This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Row],[Tipo]]="DROP"),BD176+TbTradesBinance[[#This Row],[Qtt]],BD176-TbTradesBinance[[#This Row],[Qtt]]),IF(TbTradesBinance[[#This Row],[Tipo]]="BUY",BD176-TbTradesBinance[[#This Row],[Qtt]]*TbTradesBinance[[#This Row],[Preço]],BD176+TbTradesBinance[[#This Row],[Qtt]]*TbTradesBinance[[#This Row],[Preço]])),BD176)-IF(TbTradesBinance[[#This Row],[Moeda da Taxa]]=MID(BD$1,9,5),TbTradesBinance[[#This Row],[Taxa]],0),8)))</f>
        <v>0</v>
      </c>
      <c r="BE177" s="145" cm="1">
        <f t="array" ref="BE177">IF(TbTradesBinance[[#This Row],[Tipo]]="EMPTY",0,BE176+IF(TbTradesBinance[[#This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Row],[Par]]))),$1:$1,0)),-(BD176-BD177)/BD176*BE176),0),0)+IF(TbTradesBinance[[#This Row],[Tipo]]="SELL",IF(ISNUMBER(FIND(MID(BE$1,10,5),TbTradesBinance[[#This Row],[Par]])),IF(FIND(MID(BE$1,10,5),TbTradesBinance[[#This Row],[Par]])=1, -(BD176-BD177)/BD176*BE176,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Row],[Par]])),(-(BD176-BD177)/BD176*BE176)+IF(TbTradesBinance[[#This Row],[Resultado]]&gt;0,0,TbTradesBinance[[#This Row],[Taxa]]),0),0))</f>
        <v>0</v>
      </c>
      <c r="BF177" s="145">
        <f t="shared" si="53"/>
        <v>0</v>
      </c>
      <c r="BG17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Row],[Tipo]]="DROP"),BG176+TbTradesBinance[[#This Row],[Qtt]],BG176-TbTradesBinance[[#This Row],[Qtt]]),IF(TbTradesBinance[[#This Row],[Tipo]]="BUY",BG176-TbTradesBinance[[#This Row],[Qtt]]*TbTradesBinance[[#This Row],[Preço]],BG176+TbTradesBinance[[#This Row],[Qtt]]*TbTradesBinance[[#This Row],[Preço]])),BG176)-IF(TbTradesBinance[[#This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Row],[Tipo]]="DROP"),BG176+TbTradesBinance[[#This Row],[Qtt]],BG176-TbTradesBinance[[#This Row],[Qtt]]),IF(TbTradesBinance[[#This Row],[Tipo]]="BUY",BG176-TbTradesBinance[[#This Row],[Qtt]]*TbTradesBinance[[#This Row],[Preço]],BG176+TbTradesBinance[[#This Row],[Qtt]]*TbTradesBinance[[#This Row],[Preço]])),BG176)-IF(TbTradesBinance[[#This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Row],[Tipo]]="DROP"),BG176+TbTradesBinance[[#This Row],[Qtt]],BG176-TbTradesBinance[[#This Row],[Qtt]]),IF(TbTradesBinance[[#This Row],[Tipo]]="BUY",BG176-TbTradesBinance[[#This Row],[Qtt]]*TbTradesBinance[[#This Row],[Preço]],BG176+TbTradesBinance[[#This Row],[Qtt]]*TbTradesBinance[[#This Row],[Preço]])),BG176)-IF(TbTradesBinance[[#This Row],[Moeda da Taxa]]=MID(BG$1,9,5),TbTradesBinance[[#This Row],[Taxa]],0),8)))</f>
        <v>0</v>
      </c>
      <c r="BH177" s="145" cm="1">
        <f t="array" ref="BH177">IF(TbTradesBinance[[#This Row],[Tipo]]="EMPTY",0,BH176+IF(TbTradesBinance[[#This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Row],[Par]]))),$1:$1,0)),-(BG176-BG177)/BG176*BH176),0),0)+IF(TbTradesBinance[[#This Row],[Tipo]]="SELL",IF(ISNUMBER(FIND(MID(BH$1,10,5),TbTradesBinance[[#This Row],[Par]])),IF(FIND(MID(BH$1,10,5),TbTradesBinance[[#This Row],[Par]])=1, -(BG176-BG177)/BG176*BH176,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Row],[Par]])),(-(BG176-BG177)/BG176*BH176)+IF(TbTradesBinance[[#This Row],[Resultado]]&gt;0,0,TbTradesBinance[[#This Row],[Taxa]]),0),0))</f>
        <v>0</v>
      </c>
      <c r="BI177" s="145">
        <f t="shared" si="54"/>
        <v>0</v>
      </c>
      <c r="BJ17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Row],[Tipo]]="DROP"),BJ176+TbTradesBinance[[#This Row],[Qtt]],BJ176-TbTradesBinance[[#This Row],[Qtt]]),IF(TbTradesBinance[[#This Row],[Tipo]]="BUY",BJ176-TbTradesBinance[[#This Row],[Qtt]]*TbTradesBinance[[#This Row],[Preço]],BJ176+TbTradesBinance[[#This Row],[Qtt]]*TbTradesBinance[[#This Row],[Preço]])),BJ176)-IF(TbTradesBinance[[#This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Row],[Tipo]]="DROP"),BJ176+TbTradesBinance[[#This Row],[Qtt]],BJ176-TbTradesBinance[[#This Row],[Qtt]]),IF(TbTradesBinance[[#This Row],[Tipo]]="BUY",BJ176-TbTradesBinance[[#This Row],[Qtt]]*TbTradesBinance[[#This Row],[Preço]],BJ176+TbTradesBinance[[#This Row],[Qtt]]*TbTradesBinance[[#This Row],[Preço]])),BJ176)-IF(TbTradesBinance[[#This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Row],[Tipo]]="DROP"),BJ176+TbTradesBinance[[#This Row],[Qtt]],BJ176-TbTradesBinance[[#This Row],[Qtt]]),IF(TbTradesBinance[[#This Row],[Tipo]]="BUY",BJ176-TbTradesBinance[[#This Row],[Qtt]]*TbTradesBinance[[#This Row],[Preço]],BJ176+TbTradesBinance[[#This Row],[Qtt]]*TbTradesBinance[[#This Row],[Preço]])),BJ176)-IF(TbTradesBinance[[#This Row],[Moeda da Taxa]]=MID(BJ$1,9,5),TbTradesBinance[[#This Row],[Taxa]],0),8)))</f>
        <v>0</v>
      </c>
      <c r="BK177" s="145" cm="1">
        <f t="array" ref="BK177">IF(TbTradesBinance[[#This Row],[Tipo]]="EMPTY",0,BK176+IF(TbTradesBinance[[#This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Row],[Par]]))),$1:$1,0)),-(BJ176-BJ177)/BJ176*BK176),0),0)+IF(TbTradesBinance[[#This Row],[Tipo]]="SELL",IF(ISNUMBER(FIND(MID(BK$1,10,5),TbTradesBinance[[#This Row],[Par]])),IF(FIND(MID(BK$1,10,5),TbTradesBinance[[#This Row],[Par]])=1, -(BJ176-BJ177)/BJ176*BK176,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Row],[Par]])),(-(BJ176-BJ177)/BJ176*BK176)+IF(TbTradesBinance[[#This Row],[Resultado]]&gt;0,0,TbTradesBinance[[#This Row],[Taxa]]),0),0))</f>
        <v>0</v>
      </c>
      <c r="BL177" s="145">
        <f t="shared" si="55"/>
        <v>0</v>
      </c>
      <c r="BM17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Row],[Tipo]]="DROP"),BM176+TbTradesBinance[[#This Row],[Qtt]],BM176-TbTradesBinance[[#This Row],[Qtt]]),IF(TbTradesBinance[[#This Row],[Tipo]]="BUY",BM176-TbTradesBinance[[#This Row],[Qtt]]*TbTradesBinance[[#This Row],[Preço]],BM176+TbTradesBinance[[#This Row],[Qtt]]*TbTradesBinance[[#This Row],[Preço]])),BM176)-IF(TbTradesBinance[[#This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Row],[Tipo]]="DROP"),BM176+TbTradesBinance[[#This Row],[Qtt]],BM176-TbTradesBinance[[#This Row],[Qtt]]),IF(TbTradesBinance[[#This Row],[Tipo]]="BUY",BM176-TbTradesBinance[[#This Row],[Qtt]]*TbTradesBinance[[#This Row],[Preço]],BM176+TbTradesBinance[[#This Row],[Qtt]]*TbTradesBinance[[#This Row],[Preço]])),BM176)-IF(TbTradesBinance[[#This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Row],[Tipo]]="DROP"),BM176+TbTradesBinance[[#This Row],[Qtt]],BM176-TbTradesBinance[[#This Row],[Qtt]]),IF(TbTradesBinance[[#This Row],[Tipo]]="BUY",BM176-TbTradesBinance[[#This Row],[Qtt]]*TbTradesBinance[[#This Row],[Preço]],BM176+TbTradesBinance[[#This Row],[Qtt]]*TbTradesBinance[[#This Row],[Preço]])),BM176)-IF(TbTradesBinance[[#This Row],[Moeda da Taxa]]=MID(BM$1,9,5),TbTradesBinance[[#This Row],[Taxa]],0),8)))</f>
        <v>0</v>
      </c>
      <c r="BN177" s="145" cm="1">
        <f t="array" ref="BN177">IF(TbTradesBinance[[#This Row],[Tipo]]="EMPTY",0,BN176+IF(TbTradesBinance[[#This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Row],[Par]]))),$1:$1,0)),-(BM176-BM177)/BM176*BN176),0),0)+IF(TbTradesBinance[[#This Row],[Tipo]]="SELL",IF(ISNUMBER(FIND(MID(BN$1,10,5),TbTradesBinance[[#This Row],[Par]])),IF(FIND(MID(BN$1,10,5),TbTradesBinance[[#This Row],[Par]])=1, -(BM176-BM177)/BM176*BN176,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Row],[Par]])),(-(BM176-BM177)/BM176*BN176)+IF(TbTradesBinance[[#This Row],[Resultado]]&gt;0,0,TbTradesBinance[[#This Row],[Taxa]]),0),0))</f>
        <v>0</v>
      </c>
      <c r="BO177" s="145">
        <f t="shared" si="56"/>
        <v>0</v>
      </c>
    </row>
    <row r="178" spans="2:67" x14ac:dyDescent="0.3">
      <c r="B178" s="51"/>
      <c r="C178" s="40">
        <f>TRUNC(IF(AND(TbTradesBinance[[#This Row],[Tipo]]="SEND",TbTradesBinance[[#This Row],[Par]]="BRL"),TbTradesBinance[[#This Row],[Qtt]]*(1-P176)-IF(TbTradesBinance[[#This Row],[Moeda da Taxa]]="BRL",TbTradesBinance[[#This Row],[Taxa]],0),0)+IF(AND(TbTradesBinance[[#This Row],[Tipo]]="BURN",TbTradesBinance[[#This Row],[Par]]="BRL"),-TbTradesBinance[[#This Row],[Qtt]]*P176,0),2)</f>
        <v>0</v>
      </c>
      <c r="D178" s="53">
        <v>44332.926805555559</v>
      </c>
      <c r="E178" s="37" t="s">
        <v>138</v>
      </c>
      <c r="F178" s="47" t="s">
        <v>139</v>
      </c>
      <c r="G178" s="38">
        <v>240290</v>
      </c>
      <c r="H178" s="38">
        <v>8.2999999999999998E-5</v>
      </c>
      <c r="I178" s="38">
        <v>4.9799999999999998E-6</v>
      </c>
      <c r="J178" s="37" t="s">
        <v>45</v>
      </c>
      <c r="K178" s="52">
        <v>1</v>
      </c>
      <c r="L178" s="40">
        <f t="shared" si="38"/>
        <v>240290</v>
      </c>
      <c r="M178" s="40">
        <f>IF(OR(TbTradesBinance[[#This Row],[Tipo]]="BUY",TbTradesBinance[[#This Row],[Tipo]]="RECEIVE",TbTradesBinance[[#This Row],[Tipo]]="DROP"),L178*H178,-L178*H178)</f>
        <v>19.94407</v>
      </c>
      <c r="N17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Row],[Tipo]]="DROP"),N177+TbTradesBinance[[#This Row],[Qtt]],N177-TbTradesBinance[[#This Row],[Qtt]]),IF(TbTradesBinance[[#This Row],[Tipo]]="BUY",N177-TbTradesBinance[[#This Row],[Qtt]]*TbTradesBinance[[#This Row],[Preço]],N177+TbTradesBinance[[#This Row],[Qtt]]*TbTradesBinance[[#This Row],[Preço]])),N177)-IF(TbTradesBinance[[#This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Row],[Tipo]]="DROP"),N177+TbTradesBinance[[#This Row],[Qtt]],N177-TbTradesBinance[[#This Row],[Qtt]]),IF(TbTradesBinance[[#This Row],[Tipo]]="BUY",N177-TbTradesBinance[[#This Row],[Qtt]]*TbTradesBinance[[#This Row],[Preço]],N177+TbTradesBinance[[#This Row],[Qtt]]*TbTradesBinance[[#This Row],[Preço]])),N177)-IF(TbTradesBinance[[#This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Row],[Tipo]]="DROP"),N177+TbTradesBinance[[#This Row],[Qtt]],N177-TbTradesBinance[[#This Row],[Qtt]]),IF(TbTradesBinance[[#This Row],[Tipo]]="BUY",N177-TbTradesBinance[[#This Row],[Qtt]]*TbTradesBinance[[#This Row],[Preço]],N177+TbTradesBinance[[#This Row],[Qtt]]*TbTradesBinance[[#This Row],[Preço]])),N177)-IF(TbTradesBinance[[#This Row],[Moeda da Taxa]]=MID(N$1,9,5),TbTradesBinance[[#This Row],[Taxa]],0),8)))</f>
        <v>119766.41392599</v>
      </c>
      <c r="O178" s="145" cm="1">
        <f t="array" ref="O178">IF(TbTradesBinance[[#This Row],[Tipo]]="EMPTY",0,O177+IF(TbTradesBinance[[#This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Row],[Par]]))),$1:$1,0)),-(N177-N178)/N177*O177),0),0)+IF(TbTradesBinance[[#This Row],[Tipo]]="SELL",IF(ISNUMBER(FIND(MID(O$1,10,5),TbTradesBinance[[#This Row],[Par]])),IF(FIND(MID(O$1,10,5),TbTradesBinance[[#This Row],[Par]])=1, -(N177-N178)/N177*O177,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Row],[Par]])),(-(N177-N178)/N177*O177)+IF(TbTradesBinance[[#This Row],[Resultado]]&gt;0,0,TbTradesBinance[[#This Row],[Taxa]]),0),0))</f>
        <v>119864.99288859028</v>
      </c>
      <c r="P178" s="145">
        <f t="shared" si="39"/>
        <v>1.0008230935482563</v>
      </c>
      <c r="Q17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Row],[Tipo]]="DROP"),Q177+TbTradesBinance[[#This Row],[Qtt]],Q177-TbTradesBinance[[#This Row],[Qtt]]),IF(TbTradesBinance[[#This Row],[Tipo]]="BUY",Q177-TbTradesBinance[[#This Row],[Qtt]]*TbTradesBinance[[#This Row],[Preço]],Q177+TbTradesBinance[[#This Row],[Qtt]]*TbTradesBinance[[#This Row],[Preço]])),Q177)-IF(TbTradesBinance[[#This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Row],[Tipo]]="DROP"),Q177+TbTradesBinance[[#This Row],[Qtt]],Q177-TbTradesBinance[[#This Row],[Qtt]]),IF(TbTradesBinance[[#This Row],[Tipo]]="BUY",Q177-TbTradesBinance[[#This Row],[Qtt]]*TbTradesBinance[[#This Row],[Preço]],Q177+TbTradesBinance[[#This Row],[Qtt]]*TbTradesBinance[[#This Row],[Preço]])),Q177)-IF(TbTradesBinance[[#This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Row],[Tipo]]="DROP"),Q177+TbTradesBinance[[#This Row],[Qtt]],Q177-TbTradesBinance[[#This Row],[Qtt]]),IF(TbTradesBinance[[#This Row],[Tipo]]="BUY",Q177-TbTradesBinance[[#This Row],[Qtt]]*TbTradesBinance[[#This Row],[Preço]],Q177+TbTradesBinance[[#This Row],[Qtt]]*TbTradesBinance[[#This Row],[Preço]])),Q177)-IF(TbTradesBinance[[#This Row],[Moeda da Taxa]]=MID(Q$1,9,5),TbTradesBinance[[#This Row],[Taxa]],0),8)))</f>
        <v>25.618341000000001</v>
      </c>
      <c r="R178" s="145" cm="1">
        <f t="array" ref="R178">IF(TbTradesBinance[[#This Row],[Tipo]]="EMPTY",0,R177+IF(TbTradesBinance[[#This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Row],[Par]]))),$1:$1,0)),-(Q177-Q178)/Q177*R177),0),0)+IF(TbTradesBinance[[#This Row],[Tipo]]="SELL",IF(ISNUMBER(FIND(MID(R$1,10,5),TbTradesBinance[[#This Row],[Par]])),IF(FIND(MID(R$1,10,5),TbTradesBinance[[#This Row],[Par]])=1, -(Q177-Q178)/Q177*R177,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Row],[Par]])),(-(Q177-Q178)/Q177*R177)+IF(TbTradesBinance[[#This Row],[Resultado]]&gt;0,0,TbTradesBinance[[#This Row],[Taxa]]),0),0))</f>
        <v>119.94522290982411</v>
      </c>
      <c r="S178" s="145">
        <f t="shared" si="40"/>
        <v>4.6820058687572352</v>
      </c>
      <c r="T17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Row],[Tipo]]="DROP"),T177+TbTradesBinance[[#This Row],[Qtt]],T177-TbTradesBinance[[#This Row],[Qtt]]),IF(TbTradesBinance[[#This Row],[Tipo]]="BUY",T177-TbTradesBinance[[#This Row],[Qtt]]*TbTradesBinance[[#This Row],[Preço]],T177+TbTradesBinance[[#This Row],[Qtt]]*TbTradesBinance[[#This Row],[Preço]])),T177)-IF(TbTradesBinance[[#This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Row],[Tipo]]="DROP"),T177+TbTradesBinance[[#This Row],[Qtt]],T177-TbTradesBinance[[#This Row],[Qtt]]),IF(TbTradesBinance[[#This Row],[Tipo]]="BUY",T177-TbTradesBinance[[#This Row],[Qtt]]*TbTradesBinance[[#This Row],[Preço]],T177+TbTradesBinance[[#This Row],[Qtt]]*TbTradesBinance[[#This Row],[Preço]])),T177)-IF(TbTradesBinance[[#This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Row],[Tipo]]="DROP"),T177+TbTradesBinance[[#This Row],[Qtt]],T177-TbTradesBinance[[#This Row],[Qtt]]),IF(TbTradesBinance[[#This Row],[Tipo]]="BUY",T177-TbTradesBinance[[#This Row],[Qtt]]*TbTradesBinance[[#This Row],[Preço]],T177+TbTradesBinance[[#This Row],[Qtt]]*TbTradesBinance[[#This Row],[Preço]])),T177)-IF(TbTradesBinance[[#This Row],[Moeda da Taxa]]=MID(T$1,9,5),TbTradesBinance[[#This Row],[Taxa]],0),8)))</f>
        <v>219713.72000189999</v>
      </c>
      <c r="U178" s="145" cm="1">
        <f t="array" ref="U178">IF(TbTradesBinance[[#This Row],[Tipo]]="EMPTY",0,U177+IF(TbTradesBinance[[#This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Row],[Par]]))),$1:$1,0)),-(T177-T178)/T177*U177),0),0)+IF(TbTradesBinance[[#This Row],[Tipo]]="SELL",IF(ISNUMBER(FIND(MID(U$1,10,5),TbTradesBinance[[#This Row],[Par]])),IF(FIND(MID(U$1,10,5),TbTradesBinance[[#This Row],[Par]])=1, -(T177-T178)/T177*U177,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Row],[Par]])),(-(T177-T178)/T177*U177)+IF(TbTradesBinance[[#This Row],[Resultado]]&gt;0,0,TbTradesBinance[[#This Row],[Taxa]]),0),0))</f>
        <v>1461096.2409827893</v>
      </c>
      <c r="V178" s="145">
        <f t="shared" si="41"/>
        <v>6.6500000135182926</v>
      </c>
      <c r="W17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Row],[Tipo]]="DROP"),W177+TbTradesBinance[[#This Row],[Qtt]],W177-TbTradesBinance[[#This Row],[Qtt]]),IF(TbTradesBinance[[#This Row],[Tipo]]="BUY",W177-TbTradesBinance[[#This Row],[Qtt]]*TbTradesBinance[[#This Row],[Preço]],W177+TbTradesBinance[[#This Row],[Qtt]]*TbTradesBinance[[#This Row],[Preço]])),W177)-IF(TbTradesBinance[[#This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Row],[Tipo]]="DROP"),W177+TbTradesBinance[[#This Row],[Qtt]],W177-TbTradesBinance[[#This Row],[Qtt]]),IF(TbTradesBinance[[#This Row],[Tipo]]="BUY",W177-TbTradesBinance[[#This Row],[Qtt]]*TbTradesBinance[[#This Row],[Preço]],W177+TbTradesBinance[[#This Row],[Qtt]]*TbTradesBinance[[#This Row],[Preço]])),W177)-IF(TbTradesBinance[[#This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Row],[Tipo]]="DROP"),W177+TbTradesBinance[[#This Row],[Qtt]],W177-TbTradesBinance[[#This Row],[Qtt]]),IF(TbTradesBinance[[#This Row],[Tipo]]="BUY",W177-TbTradesBinance[[#This Row],[Qtt]]*TbTradesBinance[[#This Row],[Preço]],W177+TbTradesBinance[[#This Row],[Qtt]]*TbTradesBinance[[#This Row],[Preço]])),W177)-IF(TbTradesBinance[[#This Row],[Moeda da Taxa]]=MID(W$1,9,5),TbTradesBinance[[#This Row],[Taxa]],0),8)))</f>
        <v>2.4534999999999997E-4</v>
      </c>
      <c r="X178" s="145" cm="1">
        <f t="array" ref="X178">IF(TbTradesBinance[[#This Row],[Tipo]]="EMPTY",0,X177+IF(TbTradesBinance[[#This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Row],[Par]]))),$1:$1,0)),-(W177-W178)/W177*X177),0),0)+IF(TbTradesBinance[[#This Row],[Tipo]]="SELL",IF(ISNUMBER(FIND(MID(X$1,10,5),TbTradesBinance[[#This Row],[Par]])),IF(FIND(MID(X$1,10,5),TbTradesBinance[[#This Row],[Par]])=1, -(W177-W178)/W177*X177,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Row],[Par]])),(-(W177-W178)/W177*X177)+IF(TbTradesBinance[[#This Row],[Resultado]]&gt;0,0,TbTradesBinance[[#This Row],[Taxa]]),0),0))</f>
        <v>61.331482511584099</v>
      </c>
      <c r="Y178" s="145">
        <f t="shared" si="42"/>
        <v>249975.47386013492</v>
      </c>
      <c r="Z17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Row],[Tipo]]="DROP"),Z177+TbTradesBinance[[#This Row],[Qtt]],Z177-TbTradesBinance[[#This Row],[Qtt]]),IF(TbTradesBinance[[#This Row],[Tipo]]="BUY",Z177-TbTradesBinance[[#This Row],[Qtt]]*TbTradesBinance[[#This Row],[Preço]],Z177+TbTradesBinance[[#This Row],[Qtt]]*TbTradesBinance[[#This Row],[Preço]])),Z177)-IF(TbTradesBinance[[#This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Row],[Tipo]]="DROP"),Z177+TbTradesBinance[[#This Row],[Qtt]],Z177-TbTradesBinance[[#This Row],[Qtt]]),IF(TbTradesBinance[[#This Row],[Tipo]]="BUY",Z177-TbTradesBinance[[#This Row],[Qtt]]*TbTradesBinance[[#This Row],[Preço]],Z177+TbTradesBinance[[#This Row],[Qtt]]*TbTradesBinance[[#This Row],[Preço]])),Z177)-IF(TbTradesBinance[[#This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Row],[Tipo]]="DROP"),Z177+TbTradesBinance[[#This Row],[Qtt]],Z177-TbTradesBinance[[#This Row],[Qtt]]),IF(TbTradesBinance[[#This Row],[Tipo]]="BUY",Z177-TbTradesBinance[[#This Row],[Qtt]]*TbTradesBinance[[#This Row],[Preço]],Z177+TbTradesBinance[[#This Row],[Qtt]]*TbTradesBinance[[#This Row],[Preço]])),Z177)-IF(TbTradesBinance[[#This Row],[Moeda da Taxa]]=MID(Z$1,9,5),TbTradesBinance[[#This Row],[Taxa]],0),8)))</f>
        <v>0</v>
      </c>
      <c r="AA178" s="145" cm="1">
        <f t="array" ref="AA178">IF(TbTradesBinance[[#This Row],[Tipo]]="EMPTY",0,AA177+IF(TbTradesBinance[[#This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Row],[Par]]))),$1:$1,0)),-(Z177-Z178)/Z177*AA177),0),0)+IF(TbTradesBinance[[#This Row],[Tipo]]="SELL",IF(ISNUMBER(FIND(MID(AA$1,10,5),TbTradesBinance[[#This Row],[Par]])),IF(FIND(MID(AA$1,10,5),TbTradesBinance[[#This Row],[Par]])=1, -(Z177-Z178)/Z177*AA177,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Row],[Par]])),(-(Z177-Z178)/Z177*AA177)+IF(TbTradesBinance[[#This Row],[Resultado]]&gt;0,0,TbTradesBinance[[#This Row],[Taxa]]),0),0))</f>
        <v>0</v>
      </c>
      <c r="AB178" s="145">
        <f t="shared" si="43"/>
        <v>0</v>
      </c>
      <c r="AC17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Row],[Tipo]]="DROP"),AC177+TbTradesBinance[[#This Row],[Qtt]],AC177-TbTradesBinance[[#This Row],[Qtt]]),IF(TbTradesBinance[[#This Row],[Tipo]]="BUY",AC177-TbTradesBinance[[#This Row],[Qtt]]*TbTradesBinance[[#This Row],[Preço]],AC177+TbTradesBinance[[#This Row],[Qtt]]*TbTradesBinance[[#This Row],[Preço]])),AC177)-IF(TbTradesBinance[[#This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Row],[Tipo]]="DROP"),AC177+TbTradesBinance[[#This Row],[Qtt]],AC177-TbTradesBinance[[#This Row],[Qtt]]),IF(TbTradesBinance[[#This Row],[Tipo]]="BUY",AC177-TbTradesBinance[[#This Row],[Qtt]]*TbTradesBinance[[#This Row],[Preço]],AC177+TbTradesBinance[[#This Row],[Qtt]]*TbTradesBinance[[#This Row],[Preço]])),AC177)-IF(TbTradesBinance[[#This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Row],[Tipo]]="DROP"),AC177+TbTradesBinance[[#This Row],[Qtt]],AC177-TbTradesBinance[[#This Row],[Qtt]]),IF(TbTradesBinance[[#This Row],[Tipo]]="BUY",AC177-TbTradesBinance[[#This Row],[Qtt]]*TbTradesBinance[[#This Row],[Preço]],AC177+TbTradesBinance[[#This Row],[Qtt]]*TbTradesBinance[[#This Row],[Preço]])),AC177)-IF(TbTradesBinance[[#This Row],[Moeda da Taxa]]=MID(AC$1,9,5),TbTradesBinance[[#This Row],[Taxa]],0),8)))</f>
        <v>0</v>
      </c>
      <c r="AD178" s="145" cm="1">
        <f t="array" ref="AD178">IF(TbTradesBinance[[#This Row],[Tipo]]="EMPTY",0,AD177+IF(TbTradesBinance[[#This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Row],[Par]]))),$1:$1,0)),-(AC177-AC178)/AC177*AD177),0),0)+IF(TbTradesBinance[[#This Row],[Tipo]]="SELL",IF(ISNUMBER(FIND(MID(AD$1,10,5),TbTradesBinance[[#This Row],[Par]])),IF(FIND(MID(AD$1,10,5),TbTradesBinance[[#This Row],[Par]])=1, -(AC177-AC178)/AC177*AD177,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Row],[Par]])),(-(AC177-AC178)/AC177*AD177)+IF(TbTradesBinance[[#This Row],[Resultado]]&gt;0,0,TbTradesBinance[[#This Row],[Taxa]]),0),0))</f>
        <v>0</v>
      </c>
      <c r="AE178" s="145">
        <f t="shared" si="44"/>
        <v>0</v>
      </c>
      <c r="AF17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Row],[Tipo]]="DROP"),AF177+TbTradesBinance[[#This Row],[Qtt]],AF177-TbTradesBinance[[#This Row],[Qtt]]),IF(TbTradesBinance[[#This Row],[Tipo]]="BUY",AF177-TbTradesBinance[[#This Row],[Qtt]]*TbTradesBinance[[#This Row],[Preço]],AF177+TbTradesBinance[[#This Row],[Qtt]]*TbTradesBinance[[#This Row],[Preço]])),AF177)-IF(TbTradesBinance[[#This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Row],[Tipo]]="DROP"),AF177+TbTradesBinance[[#This Row],[Qtt]],AF177-TbTradesBinance[[#This Row],[Qtt]]),IF(TbTradesBinance[[#This Row],[Tipo]]="BUY",AF177-TbTradesBinance[[#This Row],[Qtt]]*TbTradesBinance[[#This Row],[Preço]],AF177+TbTradesBinance[[#This Row],[Qtt]]*TbTradesBinance[[#This Row],[Preço]])),AF177)-IF(TbTradesBinance[[#This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Row],[Tipo]]="DROP"),AF177+TbTradesBinance[[#This Row],[Qtt]],AF177-TbTradesBinance[[#This Row],[Qtt]]),IF(TbTradesBinance[[#This Row],[Tipo]]="BUY",AF177-TbTradesBinance[[#This Row],[Qtt]]*TbTradesBinance[[#This Row],[Preço]],AF177+TbTradesBinance[[#This Row],[Qtt]]*TbTradesBinance[[#This Row],[Preço]])),AF177)-IF(TbTradesBinance[[#This Row],[Moeda da Taxa]]=MID(AF$1,9,5),TbTradesBinance[[#This Row],[Taxa]],0),8)))</f>
        <v>0</v>
      </c>
      <c r="AG178" s="145" cm="1">
        <f t="array" ref="AG178">IF(TbTradesBinance[[#This Row],[Tipo]]="EMPTY",0,AG177+IF(TbTradesBinance[[#This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Row],[Par]]))),$1:$1,0)),-(AF177-AF178)/AF177*AG177),0),0)+IF(TbTradesBinance[[#This Row],[Tipo]]="SELL",IF(ISNUMBER(FIND(MID(AG$1,10,5),TbTradesBinance[[#This Row],[Par]])),IF(FIND(MID(AG$1,10,5),TbTradesBinance[[#This Row],[Par]])=1, -(AF177-AF178)/AF177*AG177,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Row],[Par]])),(-(AF177-AF178)/AF177*AG177)+IF(TbTradesBinance[[#This Row],[Resultado]]&gt;0,0,TbTradesBinance[[#This Row],[Taxa]]),0),0))</f>
        <v>0</v>
      </c>
      <c r="AH178" s="145">
        <f t="shared" si="45"/>
        <v>0</v>
      </c>
      <c r="AI17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Row],[Tipo]]="DROP"),AI177+TbTradesBinance[[#This Row],[Qtt]],AI177-TbTradesBinance[[#This Row],[Qtt]]),IF(TbTradesBinance[[#This Row],[Tipo]]="BUY",AI177-TbTradesBinance[[#This Row],[Qtt]]*TbTradesBinance[[#This Row],[Preço]],AI177+TbTradesBinance[[#This Row],[Qtt]]*TbTradesBinance[[#This Row],[Preço]])),AI177)-IF(TbTradesBinance[[#This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Row],[Tipo]]="DROP"),AI177+TbTradesBinance[[#This Row],[Qtt]],AI177-TbTradesBinance[[#This Row],[Qtt]]),IF(TbTradesBinance[[#This Row],[Tipo]]="BUY",AI177-TbTradesBinance[[#This Row],[Qtt]]*TbTradesBinance[[#This Row],[Preço]],AI177+TbTradesBinance[[#This Row],[Qtt]]*TbTradesBinance[[#This Row],[Preço]])),AI177)-IF(TbTradesBinance[[#This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Row],[Tipo]]="DROP"),AI177+TbTradesBinance[[#This Row],[Qtt]],AI177-TbTradesBinance[[#This Row],[Qtt]]),IF(TbTradesBinance[[#This Row],[Tipo]]="BUY",AI177-TbTradesBinance[[#This Row],[Qtt]]*TbTradesBinance[[#This Row],[Preço]],AI177+TbTradesBinance[[#This Row],[Qtt]]*TbTradesBinance[[#This Row],[Preço]])),AI177)-IF(TbTradesBinance[[#This Row],[Moeda da Taxa]]=MID(AI$1,9,5),TbTradesBinance[[#This Row],[Taxa]],0),8)))</f>
        <v>0</v>
      </c>
      <c r="AJ178" s="145" cm="1">
        <f t="array" ref="AJ178">IF(TbTradesBinance[[#This Row],[Tipo]]="EMPTY",0,AJ177+IF(TbTradesBinance[[#This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Row],[Par]]))),$1:$1,0)),-(AI177-AI178)/AI177*AJ177),0),0)+IF(TbTradesBinance[[#This Row],[Tipo]]="SELL",IF(ISNUMBER(FIND(MID(AJ$1,10,5),TbTradesBinance[[#This Row],[Par]])),IF(FIND(MID(AJ$1,10,5),TbTradesBinance[[#This Row],[Par]])=1, -(AI177-AI178)/AI177*AJ177,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Row],[Par]])),(-(AI177-AI178)/AI177*AJ177)+IF(TbTradesBinance[[#This Row],[Resultado]]&gt;0,0,TbTradesBinance[[#This Row],[Taxa]]),0),0))</f>
        <v>0</v>
      </c>
      <c r="AK178" s="145">
        <f t="shared" si="46"/>
        <v>0</v>
      </c>
      <c r="AL17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Row],[Tipo]]="DROP"),AL177+TbTradesBinance[[#This Row],[Qtt]],AL177-TbTradesBinance[[#This Row],[Qtt]]),IF(TbTradesBinance[[#This Row],[Tipo]]="BUY",AL177-TbTradesBinance[[#This Row],[Qtt]]*TbTradesBinance[[#This Row],[Preço]],AL177+TbTradesBinance[[#This Row],[Qtt]]*TbTradesBinance[[#This Row],[Preço]])),AL177)-IF(TbTradesBinance[[#This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Row],[Tipo]]="DROP"),AL177+TbTradesBinance[[#This Row],[Qtt]],AL177-TbTradesBinance[[#This Row],[Qtt]]),IF(TbTradesBinance[[#This Row],[Tipo]]="BUY",AL177-TbTradesBinance[[#This Row],[Qtt]]*TbTradesBinance[[#This Row],[Preço]],AL177+TbTradesBinance[[#This Row],[Qtt]]*TbTradesBinance[[#This Row],[Preço]])),AL177)-IF(TbTradesBinance[[#This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Row],[Tipo]]="DROP"),AL177+TbTradesBinance[[#This Row],[Qtt]],AL177-TbTradesBinance[[#This Row],[Qtt]]),IF(TbTradesBinance[[#This Row],[Tipo]]="BUY",AL177-TbTradesBinance[[#This Row],[Qtt]]*TbTradesBinance[[#This Row],[Preço]],AL177+TbTradesBinance[[#This Row],[Qtt]]*TbTradesBinance[[#This Row],[Preço]])),AL177)-IF(TbTradesBinance[[#This Row],[Moeda da Taxa]]=MID(AL$1,9,5),TbTradesBinance[[#This Row],[Taxa]],0),8)))</f>
        <v>0</v>
      </c>
      <c r="AM178" s="145" cm="1">
        <f t="array" ref="AM178">IF(TbTradesBinance[[#This Row],[Tipo]]="EMPTY",0,AM177+IF(TbTradesBinance[[#This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Row],[Par]]))),$1:$1,0)),-(AL177-AL178)/AL177*AM177),0),0)+IF(TbTradesBinance[[#This Row],[Tipo]]="SELL",IF(ISNUMBER(FIND(MID(AM$1,10,5),TbTradesBinance[[#This Row],[Par]])),IF(FIND(MID(AM$1,10,5),TbTradesBinance[[#This Row],[Par]])=1, -(AL177-AL178)/AL177*AM177,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Row],[Par]])),(-(AL177-AL178)/AL177*AM177)+IF(TbTradesBinance[[#This Row],[Resultado]]&gt;0,0,TbTradesBinance[[#This Row],[Taxa]]),0),0))</f>
        <v>0</v>
      </c>
      <c r="AN178" s="145">
        <f t="shared" si="47"/>
        <v>0</v>
      </c>
      <c r="AO17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Row],[Tipo]]="DROP"),AO177+TbTradesBinance[[#This Row],[Qtt]],AO177-TbTradesBinance[[#This Row],[Qtt]]),IF(TbTradesBinance[[#This Row],[Tipo]]="BUY",AO177-TbTradesBinance[[#This Row],[Qtt]]*TbTradesBinance[[#This Row],[Preço]],AO177+TbTradesBinance[[#This Row],[Qtt]]*TbTradesBinance[[#This Row],[Preço]])),AO177)-IF(TbTradesBinance[[#This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Row],[Tipo]]="DROP"),AO177+TbTradesBinance[[#This Row],[Qtt]],AO177-TbTradesBinance[[#This Row],[Qtt]]),IF(TbTradesBinance[[#This Row],[Tipo]]="BUY",AO177-TbTradesBinance[[#This Row],[Qtt]]*TbTradesBinance[[#This Row],[Preço]],AO177+TbTradesBinance[[#This Row],[Qtt]]*TbTradesBinance[[#This Row],[Preço]])),AO177)-IF(TbTradesBinance[[#This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Row],[Tipo]]="DROP"),AO177+TbTradesBinance[[#This Row],[Qtt]],AO177-TbTradesBinance[[#This Row],[Qtt]]),IF(TbTradesBinance[[#This Row],[Tipo]]="BUY",AO177-TbTradesBinance[[#This Row],[Qtt]]*TbTradesBinance[[#This Row],[Preço]],AO177+TbTradesBinance[[#This Row],[Qtt]]*TbTradesBinance[[#This Row],[Preço]])),AO177)-IF(TbTradesBinance[[#This Row],[Moeda da Taxa]]=MID(AO$1,9,5),TbTradesBinance[[#This Row],[Taxa]],0),8)))</f>
        <v>3.8389659999999999E-2</v>
      </c>
      <c r="AP178" s="145" cm="1">
        <f t="array" ref="AP178">IF(TbTradesBinance[[#This Row],[Tipo]]="EMPTY",0,AP177+IF(TbTradesBinance[[#This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Row],[Par]]))),$1:$1,0)),-(AO177-AO178)/AO177*AP177),0),0)+IF(TbTradesBinance[[#This Row],[Tipo]]="SELL",IF(ISNUMBER(FIND(MID(AP$1,10,5),TbTradesBinance[[#This Row],[Par]])),IF(FIND(MID(AP$1,10,5),TbTradesBinance[[#This Row],[Par]])=1, -(AO177-AO178)/AO177*AP177,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Row],[Par]])),(-(AO177-AO178)/AO177*AP177)+IF(TbTradesBinance[[#This Row],[Resultado]]&gt;0,0,TbTradesBinance[[#This Row],[Taxa]]),0),0))</f>
        <v>60.349858055862811</v>
      </c>
      <c r="AQ178" s="145">
        <f t="shared" si="48"/>
        <v>1572.0341898277509</v>
      </c>
      <c r="AR17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Row],[Tipo]]="DROP"),AR177+TbTradesBinance[[#This Row],[Qtt]],AR177-TbTradesBinance[[#This Row],[Qtt]]),IF(TbTradesBinance[[#This Row],[Tipo]]="BUY",AR177-TbTradesBinance[[#This Row],[Qtt]]*TbTradesBinance[[#This Row],[Preço]],AR177+TbTradesBinance[[#This Row],[Qtt]]*TbTradesBinance[[#This Row],[Preço]])),AR177)-IF(TbTradesBinance[[#This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Row],[Tipo]]="DROP"),AR177+TbTradesBinance[[#This Row],[Qtt]],AR177-TbTradesBinance[[#This Row],[Qtt]]),IF(TbTradesBinance[[#This Row],[Tipo]]="BUY",AR177-TbTradesBinance[[#This Row],[Qtt]]*TbTradesBinance[[#This Row],[Preço]],AR177+TbTradesBinance[[#This Row],[Qtt]]*TbTradesBinance[[#This Row],[Preço]])),AR177)-IF(TbTradesBinance[[#This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Row],[Tipo]]="DROP"),AR177+TbTradesBinance[[#This Row],[Qtt]],AR177-TbTradesBinance[[#This Row],[Qtt]]),IF(TbTradesBinance[[#This Row],[Tipo]]="BUY",AR177-TbTradesBinance[[#This Row],[Qtt]]*TbTradesBinance[[#This Row],[Preço]],AR177+TbTradesBinance[[#This Row],[Qtt]]*TbTradesBinance[[#This Row],[Preço]])),AR177)-IF(TbTradesBinance[[#This Row],[Moeda da Taxa]]=MID(AR$1,9,5),TbTradesBinance[[#This Row],[Taxa]],0),8)))</f>
        <v>0</v>
      </c>
      <c r="AS178" s="145" cm="1">
        <f t="array" ref="AS178">IF(TbTradesBinance[[#This Row],[Tipo]]="EMPTY",0,AS177+IF(TbTradesBinance[[#This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Row],[Par]]))),$1:$1,0)),-(AR177-AR178)/AR177*AS177),0),0)+IF(TbTradesBinance[[#This Row],[Tipo]]="SELL",IF(ISNUMBER(FIND(MID(AS$1,10,5),TbTradesBinance[[#This Row],[Par]])),IF(FIND(MID(AS$1,10,5),TbTradesBinance[[#This Row],[Par]])=1, -(AR177-AR178)/AR177*AS177,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Row],[Par]])),(-(AR177-AR178)/AR177*AS177)+IF(TbTradesBinance[[#This Row],[Resultado]]&gt;0,0,TbTradesBinance[[#This Row],[Taxa]]),0),0))</f>
        <v>0</v>
      </c>
      <c r="AT178" s="145">
        <f t="shared" si="49"/>
        <v>0</v>
      </c>
      <c r="AU17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Row],[Tipo]]="DROP"),AU177+TbTradesBinance[[#This Row],[Qtt]],AU177-TbTradesBinance[[#This Row],[Qtt]]),IF(TbTradesBinance[[#This Row],[Tipo]]="BUY",AU177-TbTradesBinance[[#This Row],[Qtt]]*TbTradesBinance[[#This Row],[Preço]],AU177+TbTradesBinance[[#This Row],[Qtt]]*TbTradesBinance[[#This Row],[Preço]])),AU177)-IF(TbTradesBinance[[#This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Row],[Tipo]]="DROP"),AU177+TbTradesBinance[[#This Row],[Qtt]],AU177-TbTradesBinance[[#This Row],[Qtt]]),IF(TbTradesBinance[[#This Row],[Tipo]]="BUY",AU177-TbTradesBinance[[#This Row],[Qtt]]*TbTradesBinance[[#This Row],[Preço]],AU177+TbTradesBinance[[#This Row],[Qtt]]*TbTradesBinance[[#This Row],[Preço]])),AU177)-IF(TbTradesBinance[[#This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Row],[Tipo]]="DROP"),AU177+TbTradesBinance[[#This Row],[Qtt]],AU177-TbTradesBinance[[#This Row],[Qtt]]),IF(TbTradesBinance[[#This Row],[Tipo]]="BUY",AU177-TbTradesBinance[[#This Row],[Qtt]]*TbTradesBinance[[#This Row],[Preço]],AU177+TbTradesBinance[[#This Row],[Qtt]]*TbTradesBinance[[#This Row],[Preço]])),AU177)-IF(TbTradesBinance[[#This Row],[Moeda da Taxa]]=MID(AU$1,9,5),TbTradesBinance[[#This Row],[Taxa]],0),8)))</f>
        <v>0.51</v>
      </c>
      <c r="AV178" s="145" cm="1">
        <f t="array" ref="AV178">IF(TbTradesBinance[[#This Row],[Tipo]]="EMPTY",0,AV177+IF(TbTradesBinance[[#This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Row],[Par]]))),$1:$1,0)),-(AU177-AU178)/AU177*AV177),0),0)+IF(TbTradesBinance[[#This Row],[Tipo]]="SELL",IF(ISNUMBER(FIND(MID(AV$1,10,5),TbTradesBinance[[#This Row],[Par]])),IF(FIND(MID(AV$1,10,5),TbTradesBinance[[#This Row],[Par]])=1, -(AU177-AU178)/AU177*AV177,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Row],[Par]])),(-(AU177-AU178)/AU177*AV177)+IF(TbTradesBinance[[#This Row],[Resultado]]&gt;0,0,TbTradesBinance[[#This Row],[Taxa]]),0),0))</f>
        <v>95.466693037374753</v>
      </c>
      <c r="AW178" s="145">
        <f t="shared" si="50"/>
        <v>187.18959419093088</v>
      </c>
      <c r="AX17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Row],[Tipo]]="DROP"),AX177+TbTradesBinance[[#This Row],[Qtt]],AX177-TbTradesBinance[[#This Row],[Qtt]]),IF(TbTradesBinance[[#This Row],[Tipo]]="BUY",AX177-TbTradesBinance[[#This Row],[Qtt]]*TbTradesBinance[[#This Row],[Preço]],AX177+TbTradesBinance[[#This Row],[Qtt]]*TbTradesBinance[[#This Row],[Preço]])),AX177)-IF(TbTradesBinance[[#This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Row],[Tipo]]="DROP"),AX177+TbTradesBinance[[#This Row],[Qtt]],AX177-TbTradesBinance[[#This Row],[Qtt]]),IF(TbTradesBinance[[#This Row],[Tipo]]="BUY",AX177-TbTradesBinance[[#This Row],[Qtt]]*TbTradesBinance[[#This Row],[Preço]],AX177+TbTradesBinance[[#This Row],[Qtt]]*TbTradesBinance[[#This Row],[Preço]])),AX177)-IF(TbTradesBinance[[#This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Row],[Tipo]]="DROP"),AX177+TbTradesBinance[[#This Row],[Qtt]],AX177-TbTradesBinance[[#This Row],[Qtt]]),IF(TbTradesBinance[[#This Row],[Tipo]]="BUY",AX177-TbTradesBinance[[#This Row],[Qtt]]*TbTradesBinance[[#This Row],[Preço]],AX177+TbTradesBinance[[#This Row],[Qtt]]*TbTradesBinance[[#This Row],[Preço]])),AX177)-IF(TbTradesBinance[[#This Row],[Moeda da Taxa]]=MID(AX$1,9,5),TbTradesBinance[[#This Row],[Taxa]],0),8)))</f>
        <v>0.32838000000000001</v>
      </c>
      <c r="AY178" s="145" cm="1">
        <f t="array" ref="AY178">IF(TbTradesBinance[[#This Row],[Tipo]]="EMPTY",0,AY177+IF(TbTradesBinance[[#This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Row],[Par]]))),$1:$1,0)),-(AX177-AX178)/AX177*AY177),0),0)+IF(TbTradesBinance[[#This Row],[Tipo]]="SELL",IF(ISNUMBER(FIND(MID(AY$1,10,5),TbTradesBinance[[#This Row],[Par]])),IF(FIND(MID(AY$1,10,5),TbTradesBinance[[#This Row],[Par]])=1, -(AX177-AX178)/AX177*AY177,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Row],[Par]])),(-(AX177-AX178)/AX177*AY177)+IF(TbTradesBinance[[#This Row],[Resultado]]&gt;0,0,TbTradesBinance[[#This Row],[Taxa]]),0),0))</f>
        <v>61.364116058805678</v>
      </c>
      <c r="AZ178" s="145">
        <f t="shared" si="51"/>
        <v>186.869224857804</v>
      </c>
      <c r="BA17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Row],[Tipo]]="DROP"),BA177+TbTradesBinance[[#This Row],[Qtt]],BA177-TbTradesBinance[[#This Row],[Qtt]]),IF(TbTradesBinance[[#This Row],[Tipo]]="BUY",BA177-TbTradesBinance[[#This Row],[Qtt]]*TbTradesBinance[[#This Row],[Preço]],BA177+TbTradesBinance[[#This Row],[Qtt]]*TbTradesBinance[[#This Row],[Preço]])),BA177)-IF(TbTradesBinance[[#This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Row],[Tipo]]="DROP"),BA177+TbTradesBinance[[#This Row],[Qtt]],BA177-TbTradesBinance[[#This Row],[Qtt]]),IF(TbTradesBinance[[#This Row],[Tipo]]="BUY",BA177-TbTradesBinance[[#This Row],[Qtt]]*TbTradesBinance[[#This Row],[Preço]],BA177+TbTradesBinance[[#This Row],[Qtt]]*TbTradesBinance[[#This Row],[Preço]])),BA177)-IF(TbTradesBinance[[#This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Row],[Tipo]]="DROP"),BA177+TbTradesBinance[[#This Row],[Qtt]],BA177-TbTradesBinance[[#This Row],[Qtt]]),IF(TbTradesBinance[[#This Row],[Tipo]]="BUY",BA177-TbTradesBinance[[#This Row],[Qtt]]*TbTradesBinance[[#This Row],[Preço]],BA177+TbTradesBinance[[#This Row],[Qtt]]*TbTradesBinance[[#This Row],[Preço]])),BA177)-IF(TbTradesBinance[[#This Row],[Moeda da Taxa]]=MID(BA$1,9,5),TbTradesBinance[[#This Row],[Taxa]],0),8)))</f>
        <v>0</v>
      </c>
      <c r="BB178" s="145" cm="1">
        <f t="array" ref="BB178">IF(TbTradesBinance[[#This Row],[Tipo]]="EMPTY",0,BB177+IF(TbTradesBinance[[#This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Row],[Par]]))),$1:$1,0)),-(BA177-BA178)/BA177*BB177),0),0)+IF(TbTradesBinance[[#This Row],[Tipo]]="SELL",IF(ISNUMBER(FIND(MID(BB$1,10,5),TbTradesBinance[[#This Row],[Par]])),IF(FIND(MID(BB$1,10,5),TbTradesBinance[[#This Row],[Par]])=1, -(BA177-BA178)/BA177*BB177,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Row],[Par]])),(-(BA177-BA178)/BA177*BB177)+IF(TbTradesBinance[[#This Row],[Resultado]]&gt;0,0,TbTradesBinance[[#This Row],[Taxa]]),0),0))</f>
        <v>0</v>
      </c>
      <c r="BC178" s="145">
        <f t="shared" si="52"/>
        <v>0</v>
      </c>
      <c r="BD17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Row],[Tipo]]="DROP"),BD177+TbTradesBinance[[#This Row],[Qtt]],BD177-TbTradesBinance[[#This Row],[Qtt]]),IF(TbTradesBinance[[#This Row],[Tipo]]="BUY",BD177-TbTradesBinance[[#This Row],[Qtt]]*TbTradesBinance[[#This Row],[Preço]],BD177+TbTradesBinance[[#This Row],[Qtt]]*TbTradesBinance[[#This Row],[Preço]])),BD177)-IF(TbTradesBinance[[#This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Row],[Tipo]]="DROP"),BD177+TbTradesBinance[[#This Row],[Qtt]],BD177-TbTradesBinance[[#This Row],[Qtt]]),IF(TbTradesBinance[[#This Row],[Tipo]]="BUY",BD177-TbTradesBinance[[#This Row],[Qtt]]*TbTradesBinance[[#This Row],[Preço]],BD177+TbTradesBinance[[#This Row],[Qtt]]*TbTradesBinance[[#This Row],[Preço]])),BD177)-IF(TbTradesBinance[[#This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Row],[Tipo]]="DROP"),BD177+TbTradesBinance[[#This Row],[Qtt]],BD177-TbTradesBinance[[#This Row],[Qtt]]),IF(TbTradesBinance[[#This Row],[Tipo]]="BUY",BD177-TbTradesBinance[[#This Row],[Qtt]]*TbTradesBinance[[#This Row],[Preço]],BD177+TbTradesBinance[[#This Row],[Qtt]]*TbTradesBinance[[#This Row],[Preço]])),BD177)-IF(TbTradesBinance[[#This Row],[Moeda da Taxa]]=MID(BD$1,9,5),TbTradesBinance[[#This Row],[Taxa]],0),8)))</f>
        <v>0</v>
      </c>
      <c r="BE178" s="145" cm="1">
        <f t="array" ref="BE178">IF(TbTradesBinance[[#This Row],[Tipo]]="EMPTY",0,BE177+IF(TbTradesBinance[[#This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Row],[Par]]))),$1:$1,0)),-(BD177-BD178)/BD177*BE177),0),0)+IF(TbTradesBinance[[#This Row],[Tipo]]="SELL",IF(ISNUMBER(FIND(MID(BE$1,10,5),TbTradesBinance[[#This Row],[Par]])),IF(FIND(MID(BE$1,10,5),TbTradesBinance[[#This Row],[Par]])=1, -(BD177-BD178)/BD177*BE177,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Row],[Par]])),(-(BD177-BD178)/BD177*BE177)+IF(TbTradesBinance[[#This Row],[Resultado]]&gt;0,0,TbTradesBinance[[#This Row],[Taxa]]),0),0))</f>
        <v>0</v>
      </c>
      <c r="BF178" s="145">
        <f t="shared" si="53"/>
        <v>0</v>
      </c>
      <c r="BG17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Row],[Tipo]]="DROP"),BG177+TbTradesBinance[[#This Row],[Qtt]],BG177-TbTradesBinance[[#This Row],[Qtt]]),IF(TbTradesBinance[[#This Row],[Tipo]]="BUY",BG177-TbTradesBinance[[#This Row],[Qtt]]*TbTradesBinance[[#This Row],[Preço]],BG177+TbTradesBinance[[#This Row],[Qtt]]*TbTradesBinance[[#This Row],[Preço]])),BG177)-IF(TbTradesBinance[[#This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Row],[Tipo]]="DROP"),BG177+TbTradesBinance[[#This Row],[Qtt]],BG177-TbTradesBinance[[#This Row],[Qtt]]),IF(TbTradesBinance[[#This Row],[Tipo]]="BUY",BG177-TbTradesBinance[[#This Row],[Qtt]]*TbTradesBinance[[#This Row],[Preço]],BG177+TbTradesBinance[[#This Row],[Qtt]]*TbTradesBinance[[#This Row],[Preço]])),BG177)-IF(TbTradesBinance[[#This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Row],[Tipo]]="DROP"),BG177+TbTradesBinance[[#This Row],[Qtt]],BG177-TbTradesBinance[[#This Row],[Qtt]]),IF(TbTradesBinance[[#This Row],[Tipo]]="BUY",BG177-TbTradesBinance[[#This Row],[Qtt]]*TbTradesBinance[[#This Row],[Preço]],BG177+TbTradesBinance[[#This Row],[Qtt]]*TbTradesBinance[[#This Row],[Preço]])),BG177)-IF(TbTradesBinance[[#This Row],[Moeda da Taxa]]=MID(BG$1,9,5),TbTradesBinance[[#This Row],[Taxa]],0),8)))</f>
        <v>0</v>
      </c>
      <c r="BH178" s="145" cm="1">
        <f t="array" ref="BH178">IF(TbTradesBinance[[#This Row],[Tipo]]="EMPTY",0,BH177+IF(TbTradesBinance[[#This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Row],[Par]]))),$1:$1,0)),-(BG177-BG178)/BG177*BH177),0),0)+IF(TbTradesBinance[[#This Row],[Tipo]]="SELL",IF(ISNUMBER(FIND(MID(BH$1,10,5),TbTradesBinance[[#This Row],[Par]])),IF(FIND(MID(BH$1,10,5),TbTradesBinance[[#This Row],[Par]])=1, -(BG177-BG178)/BG177*BH177,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Row],[Par]])),(-(BG177-BG178)/BG177*BH177)+IF(TbTradesBinance[[#This Row],[Resultado]]&gt;0,0,TbTradesBinance[[#This Row],[Taxa]]),0),0))</f>
        <v>0</v>
      </c>
      <c r="BI178" s="145">
        <f t="shared" si="54"/>
        <v>0</v>
      </c>
      <c r="BJ17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Row],[Tipo]]="DROP"),BJ177+TbTradesBinance[[#This Row],[Qtt]],BJ177-TbTradesBinance[[#This Row],[Qtt]]),IF(TbTradesBinance[[#This Row],[Tipo]]="BUY",BJ177-TbTradesBinance[[#This Row],[Qtt]]*TbTradesBinance[[#This Row],[Preço]],BJ177+TbTradesBinance[[#This Row],[Qtt]]*TbTradesBinance[[#This Row],[Preço]])),BJ177)-IF(TbTradesBinance[[#This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Row],[Tipo]]="DROP"),BJ177+TbTradesBinance[[#This Row],[Qtt]],BJ177-TbTradesBinance[[#This Row],[Qtt]]),IF(TbTradesBinance[[#This Row],[Tipo]]="BUY",BJ177-TbTradesBinance[[#This Row],[Qtt]]*TbTradesBinance[[#This Row],[Preço]],BJ177+TbTradesBinance[[#This Row],[Qtt]]*TbTradesBinance[[#This Row],[Preço]])),BJ177)-IF(TbTradesBinance[[#This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Row],[Tipo]]="DROP"),BJ177+TbTradesBinance[[#This Row],[Qtt]],BJ177-TbTradesBinance[[#This Row],[Qtt]]),IF(TbTradesBinance[[#This Row],[Tipo]]="BUY",BJ177-TbTradesBinance[[#This Row],[Qtt]]*TbTradesBinance[[#This Row],[Preço]],BJ177+TbTradesBinance[[#This Row],[Qtt]]*TbTradesBinance[[#This Row],[Preço]])),BJ177)-IF(TbTradesBinance[[#This Row],[Moeda da Taxa]]=MID(BJ$1,9,5),TbTradesBinance[[#This Row],[Taxa]],0),8)))</f>
        <v>0</v>
      </c>
      <c r="BK178" s="145" cm="1">
        <f t="array" ref="BK178">IF(TbTradesBinance[[#This Row],[Tipo]]="EMPTY",0,BK177+IF(TbTradesBinance[[#This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Row],[Par]]))),$1:$1,0)),-(BJ177-BJ178)/BJ177*BK177),0),0)+IF(TbTradesBinance[[#This Row],[Tipo]]="SELL",IF(ISNUMBER(FIND(MID(BK$1,10,5),TbTradesBinance[[#This Row],[Par]])),IF(FIND(MID(BK$1,10,5),TbTradesBinance[[#This Row],[Par]])=1, -(BJ177-BJ178)/BJ177*BK177,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Row],[Par]])),(-(BJ177-BJ178)/BJ177*BK177)+IF(TbTradesBinance[[#This Row],[Resultado]]&gt;0,0,TbTradesBinance[[#This Row],[Taxa]]),0),0))</f>
        <v>0</v>
      </c>
      <c r="BL178" s="145">
        <f t="shared" si="55"/>
        <v>0</v>
      </c>
      <c r="BM17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Row],[Tipo]]="DROP"),BM177+TbTradesBinance[[#This Row],[Qtt]],BM177-TbTradesBinance[[#This Row],[Qtt]]),IF(TbTradesBinance[[#This Row],[Tipo]]="BUY",BM177-TbTradesBinance[[#This Row],[Qtt]]*TbTradesBinance[[#This Row],[Preço]],BM177+TbTradesBinance[[#This Row],[Qtt]]*TbTradesBinance[[#This Row],[Preço]])),BM177)-IF(TbTradesBinance[[#This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Row],[Tipo]]="DROP"),BM177+TbTradesBinance[[#This Row],[Qtt]],BM177-TbTradesBinance[[#This Row],[Qtt]]),IF(TbTradesBinance[[#This Row],[Tipo]]="BUY",BM177-TbTradesBinance[[#This Row],[Qtt]]*TbTradesBinance[[#This Row],[Preço]],BM177+TbTradesBinance[[#This Row],[Qtt]]*TbTradesBinance[[#This Row],[Preço]])),BM177)-IF(TbTradesBinance[[#This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Row],[Tipo]]="DROP"),BM177+TbTradesBinance[[#This Row],[Qtt]],BM177-TbTradesBinance[[#This Row],[Qtt]]),IF(TbTradesBinance[[#This Row],[Tipo]]="BUY",BM177-TbTradesBinance[[#This Row],[Qtt]]*TbTradesBinance[[#This Row],[Preço]],BM177+TbTradesBinance[[#This Row],[Qtt]]*TbTradesBinance[[#This Row],[Preço]])),BM177)-IF(TbTradesBinance[[#This Row],[Moeda da Taxa]]=MID(BM$1,9,5),TbTradesBinance[[#This Row],[Taxa]],0),8)))</f>
        <v>0</v>
      </c>
      <c r="BN178" s="145" cm="1">
        <f t="array" ref="BN178">IF(TbTradesBinance[[#This Row],[Tipo]]="EMPTY",0,BN177+IF(TbTradesBinance[[#This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Row],[Par]]))),$1:$1,0)),-(BM177-BM178)/BM177*BN177),0),0)+IF(TbTradesBinance[[#This Row],[Tipo]]="SELL",IF(ISNUMBER(FIND(MID(BN$1,10,5),TbTradesBinance[[#This Row],[Par]])),IF(FIND(MID(BN$1,10,5),TbTradesBinance[[#This Row],[Par]])=1, -(BM177-BM178)/BM177*BN177,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Row],[Par]])),(-(BM177-BM178)/BM177*BN177)+IF(TbTradesBinance[[#This Row],[Resultado]]&gt;0,0,TbTradesBinance[[#This Row],[Taxa]]),0),0))</f>
        <v>0</v>
      </c>
      <c r="BO178" s="145">
        <f t="shared" si="56"/>
        <v>0</v>
      </c>
    </row>
    <row r="179" spans="2:67" x14ac:dyDescent="0.3">
      <c r="B179" s="51"/>
      <c r="C179" s="40">
        <f>TRUNC(IF(AND(TbTradesBinance[[#This Row],[Tipo]]="SEND",TbTradesBinance[[#This Row],[Par]]="BRL"),TbTradesBinance[[#This Row],[Qtt]]*(1-P177)-IF(TbTradesBinance[[#This Row],[Moeda da Taxa]]="BRL",TbTradesBinance[[#This Row],[Taxa]],0),0)+IF(AND(TbTradesBinance[[#This Row],[Tipo]]="BURN",TbTradesBinance[[#This Row],[Par]]="BRL"),-TbTradesBinance[[#This Row],[Qtt]]*P177,0),2)</f>
        <v>0</v>
      </c>
      <c r="D179" s="53">
        <v>44333.044224537036</v>
      </c>
      <c r="E179" s="37" t="s">
        <v>249</v>
      </c>
      <c r="F179" s="47" t="s">
        <v>139</v>
      </c>
      <c r="G179" s="38">
        <v>42555.13</v>
      </c>
      <c r="H179" s="38">
        <v>3.01E-4</v>
      </c>
      <c r="I179" s="38">
        <v>1.9170000000000001E-5</v>
      </c>
      <c r="J179" s="37" t="s">
        <v>45</v>
      </c>
      <c r="K179" s="52">
        <v>5.32</v>
      </c>
      <c r="L179" s="40">
        <f t="shared" si="38"/>
        <v>226393.29</v>
      </c>
      <c r="M179" s="40">
        <f>IF(OR(TbTradesBinance[[#This Row],[Tipo]]="BUY",TbTradesBinance[[#This Row],[Tipo]]="RECEIVE",TbTradesBinance[[#This Row],[Tipo]]="DROP"),L179*H179,-L179*H179)</f>
        <v>68.144380290000001</v>
      </c>
      <c r="N17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Row],[Tipo]]="DROP"),N178+TbTradesBinance[[#This Row],[Qtt]],N178-TbTradesBinance[[#This Row],[Qtt]]),IF(TbTradesBinance[[#This Row],[Tipo]]="BUY",N178-TbTradesBinance[[#This Row],[Qtt]]*TbTradesBinance[[#This Row],[Preço]],N178+TbTradesBinance[[#This Row],[Qtt]]*TbTradesBinance[[#This Row],[Preço]])),N178)-IF(TbTradesBinance[[#This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Row],[Tipo]]="DROP"),N178+TbTradesBinance[[#This Row],[Qtt]],N178-TbTradesBinance[[#This Row],[Qtt]]),IF(TbTradesBinance[[#This Row],[Tipo]]="BUY",N178-TbTradesBinance[[#This Row],[Qtt]]*TbTradesBinance[[#This Row],[Preço]],N178+TbTradesBinance[[#This Row],[Qtt]]*TbTradesBinance[[#This Row],[Preço]])),N178)-IF(TbTradesBinance[[#This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Row],[Tipo]]="DROP"),N178+TbTradesBinance[[#This Row],[Qtt]],N178-TbTradesBinance[[#This Row],[Qtt]]),IF(TbTradesBinance[[#This Row],[Tipo]]="BUY",N178-TbTradesBinance[[#This Row],[Qtt]]*TbTradesBinance[[#This Row],[Preço]],N178+TbTradesBinance[[#This Row],[Qtt]]*TbTradesBinance[[#This Row],[Preço]])),N178)-IF(TbTradesBinance[[#This Row],[Moeda da Taxa]]=MID(N$1,9,5),TbTradesBinance[[#This Row],[Taxa]],0),8)))</f>
        <v>119766.41392599</v>
      </c>
      <c r="O179" s="145" cm="1">
        <f t="array" ref="O179">IF(TbTradesBinance[[#This Row],[Tipo]]="EMPTY",0,O178+IF(TbTradesBinance[[#This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Row],[Par]]))),$1:$1,0)),-(N178-N179)/N178*O178),0),0)+IF(TbTradesBinance[[#This Row],[Tipo]]="SELL",IF(ISNUMBER(FIND(MID(O$1,10,5),TbTradesBinance[[#This Row],[Par]])),IF(FIND(MID(O$1,10,5),TbTradesBinance[[#This Row],[Par]])=1, -(N178-N179)/N178*O178,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Row],[Par]])),(-(N178-N179)/N178*O178)+IF(TbTradesBinance[[#This Row],[Resultado]]&gt;0,0,TbTradesBinance[[#This Row],[Taxa]]),0),0))</f>
        <v>119864.99288859028</v>
      </c>
      <c r="P179" s="145">
        <f t="shared" si="39"/>
        <v>1.0008230935482563</v>
      </c>
      <c r="Q17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Row],[Tipo]]="DROP"),Q178+TbTradesBinance[[#This Row],[Qtt]],Q178-TbTradesBinance[[#This Row],[Qtt]]),IF(TbTradesBinance[[#This Row],[Tipo]]="BUY",Q178-TbTradesBinance[[#This Row],[Qtt]]*TbTradesBinance[[#This Row],[Preço]],Q178+TbTradesBinance[[#This Row],[Qtt]]*TbTradesBinance[[#This Row],[Preço]])),Q178)-IF(TbTradesBinance[[#This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Row],[Tipo]]="DROP"),Q178+TbTradesBinance[[#This Row],[Qtt]],Q178-TbTradesBinance[[#This Row],[Qtt]]),IF(TbTradesBinance[[#This Row],[Tipo]]="BUY",Q178-TbTradesBinance[[#This Row],[Qtt]]*TbTradesBinance[[#This Row],[Preço]],Q178+TbTradesBinance[[#This Row],[Qtt]]*TbTradesBinance[[#This Row],[Preço]])),Q178)-IF(TbTradesBinance[[#This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Row],[Tipo]]="DROP"),Q178+TbTradesBinance[[#This Row],[Qtt]],Q178-TbTradesBinance[[#This Row],[Qtt]]),IF(TbTradesBinance[[#This Row],[Tipo]]="BUY",Q178-TbTradesBinance[[#This Row],[Qtt]]*TbTradesBinance[[#This Row],[Preço]],Q178+TbTradesBinance[[#This Row],[Qtt]]*TbTradesBinance[[#This Row],[Preço]])),Q178)-IF(TbTradesBinance[[#This Row],[Moeda da Taxa]]=MID(Q$1,9,5),TbTradesBinance[[#This Row],[Taxa]],0),8)))</f>
        <v>12.809246870000001</v>
      </c>
      <c r="R179" s="145" cm="1">
        <f t="array" ref="R179">IF(TbTradesBinance[[#This Row],[Tipo]]="EMPTY",0,R178+IF(TbTradesBinance[[#This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Row],[Par]]))),$1:$1,0)),-(Q178-Q179)/Q178*R178),0),0)+IF(TbTradesBinance[[#This Row],[Tipo]]="SELL",IF(ISNUMBER(FIND(MID(R$1,10,5),TbTradesBinance[[#This Row],[Par]])),IF(FIND(MID(R$1,10,5),TbTradesBinance[[#This Row],[Par]])=1, -(Q178-Q179)/Q178*R178,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Row],[Par]])),(-(Q178-Q179)/Q178*R178)+IF(TbTradesBinance[[#This Row],[Resultado]]&gt;0,0,TbTradesBinance[[#This Row],[Taxa]]),0),0))</f>
        <v>59.972969019700258</v>
      </c>
      <c r="S179" s="145">
        <f t="shared" si="40"/>
        <v>4.6820058687572361</v>
      </c>
      <c r="T17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Row],[Tipo]]="DROP"),T178+TbTradesBinance[[#This Row],[Qtt]],T178-TbTradesBinance[[#This Row],[Qtt]]),IF(TbTradesBinance[[#This Row],[Tipo]]="BUY",T178-TbTradesBinance[[#This Row],[Qtt]]*TbTradesBinance[[#This Row],[Preço]],T178+TbTradesBinance[[#This Row],[Qtt]]*TbTradesBinance[[#This Row],[Preço]])),T178)-IF(TbTradesBinance[[#This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Row],[Tipo]]="DROP"),T178+TbTradesBinance[[#This Row],[Qtt]],T178-TbTradesBinance[[#This Row],[Qtt]]),IF(TbTradesBinance[[#This Row],[Tipo]]="BUY",T178-TbTradesBinance[[#This Row],[Qtt]]*TbTradesBinance[[#This Row],[Preço]],T178+TbTradesBinance[[#This Row],[Qtt]]*TbTradesBinance[[#This Row],[Preço]])),T178)-IF(TbTradesBinance[[#This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Row],[Tipo]]="DROP"),T178+TbTradesBinance[[#This Row],[Qtt]],T178-TbTradesBinance[[#This Row],[Qtt]]),IF(TbTradesBinance[[#This Row],[Tipo]]="BUY",T178-TbTradesBinance[[#This Row],[Qtt]]*TbTradesBinance[[#This Row],[Preço]],T178+TbTradesBinance[[#This Row],[Qtt]]*TbTradesBinance[[#This Row],[Preço]])),T178)-IF(TbTradesBinance[[#This Row],[Moeda da Taxa]]=MID(T$1,9,5),TbTradesBinance[[#This Row],[Taxa]],0),8)))</f>
        <v>219713.72000189999</v>
      </c>
      <c r="U179" s="145" cm="1">
        <f t="array" ref="U179">IF(TbTradesBinance[[#This Row],[Tipo]]="EMPTY",0,U178+IF(TbTradesBinance[[#This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Row],[Par]]))),$1:$1,0)),-(T178-T179)/T178*U178),0),0)+IF(TbTradesBinance[[#This Row],[Tipo]]="SELL",IF(ISNUMBER(FIND(MID(U$1,10,5),TbTradesBinance[[#This Row],[Par]])),IF(FIND(MID(U$1,10,5),TbTradesBinance[[#This Row],[Par]])=1, -(T178-T179)/T178*U178,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Row],[Par]])),(-(T178-T179)/T178*U178)+IF(TbTradesBinance[[#This Row],[Resultado]]&gt;0,0,TbTradesBinance[[#This Row],[Taxa]]),0),0))</f>
        <v>1461096.2409827893</v>
      </c>
      <c r="V179" s="145">
        <f t="shared" si="41"/>
        <v>6.6500000135182926</v>
      </c>
      <c r="W17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Row],[Tipo]]="DROP"),W178+TbTradesBinance[[#This Row],[Qtt]],W178-TbTradesBinance[[#This Row],[Qtt]]),IF(TbTradesBinance[[#This Row],[Tipo]]="BUY",W178-TbTradesBinance[[#This Row],[Qtt]]*TbTradesBinance[[#This Row],[Preço]],W178+TbTradesBinance[[#This Row],[Qtt]]*TbTradesBinance[[#This Row],[Preço]])),W178)-IF(TbTradesBinance[[#This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Row],[Tipo]]="DROP"),W178+TbTradesBinance[[#This Row],[Qtt]],W178-TbTradesBinance[[#This Row],[Qtt]]),IF(TbTradesBinance[[#This Row],[Tipo]]="BUY",W178-TbTradesBinance[[#This Row],[Qtt]]*TbTradesBinance[[#This Row],[Preço]],W178+TbTradesBinance[[#This Row],[Qtt]]*TbTradesBinance[[#This Row],[Preço]])),W178)-IF(TbTradesBinance[[#This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Row],[Tipo]]="DROP"),W178+TbTradesBinance[[#This Row],[Qtt]],W178-TbTradesBinance[[#This Row],[Qtt]]),IF(TbTradesBinance[[#This Row],[Tipo]]="BUY",W178-TbTradesBinance[[#This Row],[Qtt]]*TbTradesBinance[[#This Row],[Preço]],W178+TbTradesBinance[[#This Row],[Qtt]]*TbTradesBinance[[#This Row],[Preço]])),W178)-IF(TbTradesBinance[[#This Row],[Moeda da Taxa]]=MID(W$1,9,5),TbTradesBinance[[#This Row],[Taxa]],0),8)))</f>
        <v>5.4635000000000003E-4</v>
      </c>
      <c r="X179" s="145" cm="1">
        <f t="array" ref="X179">IF(TbTradesBinance[[#This Row],[Tipo]]="EMPTY",0,X178+IF(TbTradesBinance[[#This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Row],[Par]]))),$1:$1,0)),-(W178-W179)/W178*X178),0),0)+IF(TbTradesBinance[[#This Row],[Tipo]]="SELL",IF(ISNUMBER(FIND(MID(X$1,10,5),TbTradesBinance[[#This Row],[Par]])),IF(FIND(MID(X$1,10,5),TbTradesBinance[[#This Row],[Par]])=1, -(W178-W179)/W178*X178,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Row],[Par]])),(-(W178-W179)/W178*X178)+IF(TbTradesBinance[[#This Row],[Resultado]]&gt;0,0,TbTradesBinance[[#This Row],[Taxa]]),0),0))</f>
        <v>121.30373640170795</v>
      </c>
      <c r="Y179" s="145">
        <f t="shared" si="42"/>
        <v>222025.69122670073</v>
      </c>
      <c r="Z17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Row],[Tipo]]="DROP"),Z178+TbTradesBinance[[#This Row],[Qtt]],Z178-TbTradesBinance[[#This Row],[Qtt]]),IF(TbTradesBinance[[#This Row],[Tipo]]="BUY",Z178-TbTradesBinance[[#This Row],[Qtt]]*TbTradesBinance[[#This Row],[Preço]],Z178+TbTradesBinance[[#This Row],[Qtt]]*TbTradesBinance[[#This Row],[Preço]])),Z178)-IF(TbTradesBinance[[#This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Row],[Tipo]]="DROP"),Z178+TbTradesBinance[[#This Row],[Qtt]],Z178-TbTradesBinance[[#This Row],[Qtt]]),IF(TbTradesBinance[[#This Row],[Tipo]]="BUY",Z178-TbTradesBinance[[#This Row],[Qtt]]*TbTradesBinance[[#This Row],[Preço]],Z178+TbTradesBinance[[#This Row],[Qtt]]*TbTradesBinance[[#This Row],[Preço]])),Z178)-IF(TbTradesBinance[[#This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Row],[Tipo]]="DROP"),Z178+TbTradesBinance[[#This Row],[Qtt]],Z178-TbTradesBinance[[#This Row],[Qtt]]),IF(TbTradesBinance[[#This Row],[Tipo]]="BUY",Z178-TbTradesBinance[[#This Row],[Qtt]]*TbTradesBinance[[#This Row],[Preço]],Z178+TbTradesBinance[[#This Row],[Qtt]]*TbTradesBinance[[#This Row],[Preço]])),Z178)-IF(TbTradesBinance[[#This Row],[Moeda da Taxa]]=MID(Z$1,9,5),TbTradesBinance[[#This Row],[Taxa]],0),8)))</f>
        <v>0</v>
      </c>
      <c r="AA179" s="145" cm="1">
        <f t="array" ref="AA179">IF(TbTradesBinance[[#This Row],[Tipo]]="EMPTY",0,AA178+IF(TbTradesBinance[[#This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Row],[Par]]))),$1:$1,0)),-(Z178-Z179)/Z178*AA178),0),0)+IF(TbTradesBinance[[#This Row],[Tipo]]="SELL",IF(ISNUMBER(FIND(MID(AA$1,10,5),TbTradesBinance[[#This Row],[Par]])),IF(FIND(MID(AA$1,10,5),TbTradesBinance[[#This Row],[Par]])=1, -(Z178-Z179)/Z178*AA178,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Row],[Par]])),(-(Z178-Z179)/Z178*AA178)+IF(TbTradesBinance[[#This Row],[Resultado]]&gt;0,0,TbTradesBinance[[#This Row],[Taxa]]),0),0))</f>
        <v>0</v>
      </c>
      <c r="AB179" s="145">
        <f t="shared" si="43"/>
        <v>0</v>
      </c>
      <c r="AC17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Row],[Tipo]]="DROP"),AC178+TbTradesBinance[[#This Row],[Qtt]],AC178-TbTradesBinance[[#This Row],[Qtt]]),IF(TbTradesBinance[[#This Row],[Tipo]]="BUY",AC178-TbTradesBinance[[#This Row],[Qtt]]*TbTradesBinance[[#This Row],[Preço]],AC178+TbTradesBinance[[#This Row],[Qtt]]*TbTradesBinance[[#This Row],[Preço]])),AC178)-IF(TbTradesBinance[[#This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Row],[Tipo]]="DROP"),AC178+TbTradesBinance[[#This Row],[Qtt]],AC178-TbTradesBinance[[#This Row],[Qtt]]),IF(TbTradesBinance[[#This Row],[Tipo]]="BUY",AC178-TbTradesBinance[[#This Row],[Qtt]]*TbTradesBinance[[#This Row],[Preço]],AC178+TbTradesBinance[[#This Row],[Qtt]]*TbTradesBinance[[#This Row],[Preço]])),AC178)-IF(TbTradesBinance[[#This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Row],[Tipo]]="DROP"),AC178+TbTradesBinance[[#This Row],[Qtt]],AC178-TbTradesBinance[[#This Row],[Qtt]]),IF(TbTradesBinance[[#This Row],[Tipo]]="BUY",AC178-TbTradesBinance[[#This Row],[Qtt]]*TbTradesBinance[[#This Row],[Preço]],AC178+TbTradesBinance[[#This Row],[Qtt]]*TbTradesBinance[[#This Row],[Preço]])),AC178)-IF(TbTradesBinance[[#This Row],[Moeda da Taxa]]=MID(AC$1,9,5),TbTradesBinance[[#This Row],[Taxa]],0),8)))</f>
        <v>0</v>
      </c>
      <c r="AD179" s="145" cm="1">
        <f t="array" ref="AD179">IF(TbTradesBinance[[#This Row],[Tipo]]="EMPTY",0,AD178+IF(TbTradesBinance[[#This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Row],[Par]]))),$1:$1,0)),-(AC178-AC179)/AC178*AD178),0),0)+IF(TbTradesBinance[[#This Row],[Tipo]]="SELL",IF(ISNUMBER(FIND(MID(AD$1,10,5),TbTradesBinance[[#This Row],[Par]])),IF(FIND(MID(AD$1,10,5),TbTradesBinance[[#This Row],[Par]])=1, -(AC178-AC179)/AC178*AD178,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Row],[Par]])),(-(AC178-AC179)/AC178*AD178)+IF(TbTradesBinance[[#This Row],[Resultado]]&gt;0,0,TbTradesBinance[[#This Row],[Taxa]]),0),0))</f>
        <v>0</v>
      </c>
      <c r="AE179" s="145">
        <f t="shared" si="44"/>
        <v>0</v>
      </c>
      <c r="AF17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Row],[Tipo]]="DROP"),AF178+TbTradesBinance[[#This Row],[Qtt]],AF178-TbTradesBinance[[#This Row],[Qtt]]),IF(TbTradesBinance[[#This Row],[Tipo]]="BUY",AF178-TbTradesBinance[[#This Row],[Qtt]]*TbTradesBinance[[#This Row],[Preço]],AF178+TbTradesBinance[[#This Row],[Qtt]]*TbTradesBinance[[#This Row],[Preço]])),AF178)-IF(TbTradesBinance[[#This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Row],[Tipo]]="DROP"),AF178+TbTradesBinance[[#This Row],[Qtt]],AF178-TbTradesBinance[[#This Row],[Qtt]]),IF(TbTradesBinance[[#This Row],[Tipo]]="BUY",AF178-TbTradesBinance[[#This Row],[Qtt]]*TbTradesBinance[[#This Row],[Preço]],AF178+TbTradesBinance[[#This Row],[Qtt]]*TbTradesBinance[[#This Row],[Preço]])),AF178)-IF(TbTradesBinance[[#This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Row],[Tipo]]="DROP"),AF178+TbTradesBinance[[#This Row],[Qtt]],AF178-TbTradesBinance[[#This Row],[Qtt]]),IF(TbTradesBinance[[#This Row],[Tipo]]="BUY",AF178-TbTradesBinance[[#This Row],[Qtt]]*TbTradesBinance[[#This Row],[Preço]],AF178+TbTradesBinance[[#This Row],[Qtt]]*TbTradesBinance[[#This Row],[Preço]])),AF178)-IF(TbTradesBinance[[#This Row],[Moeda da Taxa]]=MID(AF$1,9,5),TbTradesBinance[[#This Row],[Taxa]],0),8)))</f>
        <v>0</v>
      </c>
      <c r="AG179" s="145" cm="1">
        <f t="array" ref="AG179">IF(TbTradesBinance[[#This Row],[Tipo]]="EMPTY",0,AG178+IF(TbTradesBinance[[#This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Row],[Par]]))),$1:$1,0)),-(AF178-AF179)/AF178*AG178),0),0)+IF(TbTradesBinance[[#This Row],[Tipo]]="SELL",IF(ISNUMBER(FIND(MID(AG$1,10,5),TbTradesBinance[[#This Row],[Par]])),IF(FIND(MID(AG$1,10,5),TbTradesBinance[[#This Row],[Par]])=1, -(AF178-AF179)/AF178*AG178,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Row],[Par]])),(-(AF178-AF179)/AF178*AG178)+IF(TbTradesBinance[[#This Row],[Resultado]]&gt;0,0,TbTradesBinance[[#This Row],[Taxa]]),0),0))</f>
        <v>0</v>
      </c>
      <c r="AH179" s="145">
        <f t="shared" si="45"/>
        <v>0</v>
      </c>
      <c r="AI17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Row],[Tipo]]="DROP"),AI178+TbTradesBinance[[#This Row],[Qtt]],AI178-TbTradesBinance[[#This Row],[Qtt]]),IF(TbTradesBinance[[#This Row],[Tipo]]="BUY",AI178-TbTradesBinance[[#This Row],[Qtt]]*TbTradesBinance[[#This Row],[Preço]],AI178+TbTradesBinance[[#This Row],[Qtt]]*TbTradesBinance[[#This Row],[Preço]])),AI178)-IF(TbTradesBinance[[#This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Row],[Tipo]]="DROP"),AI178+TbTradesBinance[[#This Row],[Qtt]],AI178-TbTradesBinance[[#This Row],[Qtt]]),IF(TbTradesBinance[[#This Row],[Tipo]]="BUY",AI178-TbTradesBinance[[#This Row],[Qtt]]*TbTradesBinance[[#This Row],[Preço]],AI178+TbTradesBinance[[#This Row],[Qtt]]*TbTradesBinance[[#This Row],[Preço]])),AI178)-IF(TbTradesBinance[[#This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Row],[Tipo]]="DROP"),AI178+TbTradesBinance[[#This Row],[Qtt]],AI178-TbTradesBinance[[#This Row],[Qtt]]),IF(TbTradesBinance[[#This Row],[Tipo]]="BUY",AI178-TbTradesBinance[[#This Row],[Qtt]]*TbTradesBinance[[#This Row],[Preço]],AI178+TbTradesBinance[[#This Row],[Qtt]]*TbTradesBinance[[#This Row],[Preço]])),AI178)-IF(TbTradesBinance[[#This Row],[Moeda da Taxa]]=MID(AI$1,9,5),TbTradesBinance[[#This Row],[Taxa]],0),8)))</f>
        <v>0</v>
      </c>
      <c r="AJ179" s="145" cm="1">
        <f t="array" ref="AJ179">IF(TbTradesBinance[[#This Row],[Tipo]]="EMPTY",0,AJ178+IF(TbTradesBinance[[#This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Row],[Par]]))),$1:$1,0)),-(AI178-AI179)/AI178*AJ178),0),0)+IF(TbTradesBinance[[#This Row],[Tipo]]="SELL",IF(ISNUMBER(FIND(MID(AJ$1,10,5),TbTradesBinance[[#This Row],[Par]])),IF(FIND(MID(AJ$1,10,5),TbTradesBinance[[#This Row],[Par]])=1, -(AI178-AI179)/AI178*AJ178,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Row],[Par]])),(-(AI178-AI179)/AI178*AJ178)+IF(TbTradesBinance[[#This Row],[Resultado]]&gt;0,0,TbTradesBinance[[#This Row],[Taxa]]),0),0))</f>
        <v>0</v>
      </c>
      <c r="AK179" s="145">
        <f t="shared" si="46"/>
        <v>0</v>
      </c>
      <c r="AL17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Row],[Tipo]]="DROP"),AL178+TbTradesBinance[[#This Row],[Qtt]],AL178-TbTradesBinance[[#This Row],[Qtt]]),IF(TbTradesBinance[[#This Row],[Tipo]]="BUY",AL178-TbTradesBinance[[#This Row],[Qtt]]*TbTradesBinance[[#This Row],[Preço]],AL178+TbTradesBinance[[#This Row],[Qtt]]*TbTradesBinance[[#This Row],[Preço]])),AL178)-IF(TbTradesBinance[[#This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Row],[Tipo]]="DROP"),AL178+TbTradesBinance[[#This Row],[Qtt]],AL178-TbTradesBinance[[#This Row],[Qtt]]),IF(TbTradesBinance[[#This Row],[Tipo]]="BUY",AL178-TbTradesBinance[[#This Row],[Qtt]]*TbTradesBinance[[#This Row],[Preço]],AL178+TbTradesBinance[[#This Row],[Qtt]]*TbTradesBinance[[#This Row],[Preço]])),AL178)-IF(TbTradesBinance[[#This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Row],[Tipo]]="DROP"),AL178+TbTradesBinance[[#This Row],[Qtt]],AL178-TbTradesBinance[[#This Row],[Qtt]]),IF(TbTradesBinance[[#This Row],[Tipo]]="BUY",AL178-TbTradesBinance[[#This Row],[Qtt]]*TbTradesBinance[[#This Row],[Preço]],AL178+TbTradesBinance[[#This Row],[Qtt]]*TbTradesBinance[[#This Row],[Preço]])),AL178)-IF(TbTradesBinance[[#This Row],[Moeda da Taxa]]=MID(AL$1,9,5),TbTradesBinance[[#This Row],[Taxa]],0),8)))</f>
        <v>0</v>
      </c>
      <c r="AM179" s="145" cm="1">
        <f t="array" ref="AM179">IF(TbTradesBinance[[#This Row],[Tipo]]="EMPTY",0,AM178+IF(TbTradesBinance[[#This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Row],[Par]]))),$1:$1,0)),-(AL178-AL179)/AL178*AM178),0),0)+IF(TbTradesBinance[[#This Row],[Tipo]]="SELL",IF(ISNUMBER(FIND(MID(AM$1,10,5),TbTradesBinance[[#This Row],[Par]])),IF(FIND(MID(AM$1,10,5),TbTradesBinance[[#This Row],[Par]])=1, -(AL178-AL179)/AL178*AM178,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Row],[Par]])),(-(AL178-AL179)/AL178*AM178)+IF(TbTradesBinance[[#This Row],[Resultado]]&gt;0,0,TbTradesBinance[[#This Row],[Taxa]]),0),0))</f>
        <v>0</v>
      </c>
      <c r="AN179" s="145">
        <f t="shared" si="47"/>
        <v>0</v>
      </c>
      <c r="AO17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Row],[Tipo]]="DROP"),AO178+TbTradesBinance[[#This Row],[Qtt]],AO178-TbTradesBinance[[#This Row],[Qtt]]),IF(TbTradesBinance[[#This Row],[Tipo]]="BUY",AO178-TbTradesBinance[[#This Row],[Qtt]]*TbTradesBinance[[#This Row],[Preço]],AO178+TbTradesBinance[[#This Row],[Qtt]]*TbTradesBinance[[#This Row],[Preço]])),AO178)-IF(TbTradesBinance[[#This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Row],[Tipo]]="DROP"),AO178+TbTradesBinance[[#This Row],[Qtt]],AO178-TbTradesBinance[[#This Row],[Qtt]]),IF(TbTradesBinance[[#This Row],[Tipo]]="BUY",AO178-TbTradesBinance[[#This Row],[Qtt]]*TbTradesBinance[[#This Row],[Preço]],AO178+TbTradesBinance[[#This Row],[Qtt]]*TbTradesBinance[[#This Row],[Preço]])),AO178)-IF(TbTradesBinance[[#This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Row],[Tipo]]="DROP"),AO178+TbTradesBinance[[#This Row],[Qtt]],AO178-TbTradesBinance[[#This Row],[Qtt]]),IF(TbTradesBinance[[#This Row],[Tipo]]="BUY",AO178-TbTradesBinance[[#This Row],[Qtt]]*TbTradesBinance[[#This Row],[Preço]],AO178+TbTradesBinance[[#This Row],[Qtt]]*TbTradesBinance[[#This Row],[Preço]])),AO178)-IF(TbTradesBinance[[#This Row],[Moeda da Taxa]]=MID(AO$1,9,5),TbTradesBinance[[#This Row],[Taxa]],0),8)))</f>
        <v>3.837049E-2</v>
      </c>
      <c r="AP179" s="145" cm="1">
        <f t="array" ref="AP179">IF(TbTradesBinance[[#This Row],[Tipo]]="EMPTY",0,AP178+IF(TbTradesBinance[[#This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Row],[Par]]))),$1:$1,0)),-(AO178-AO179)/AO178*AP178),0),0)+IF(TbTradesBinance[[#This Row],[Tipo]]="SELL",IF(ISNUMBER(FIND(MID(AP$1,10,5),TbTradesBinance[[#This Row],[Par]])),IF(FIND(MID(AP$1,10,5),TbTradesBinance[[#This Row],[Par]])=1, -(AO178-AO179)/AO178*AP178,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Row],[Par]])),(-(AO178-AO179)/AO178*AP178)+IF(TbTradesBinance[[#This Row],[Resultado]]&gt;0,0,TbTradesBinance[[#This Row],[Taxa]]),0),0))</f>
        <v>60.349858055862811</v>
      </c>
      <c r="AQ179" s="145">
        <f t="shared" si="48"/>
        <v>1572.819582336916</v>
      </c>
      <c r="AR17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Row],[Tipo]]="DROP"),AR178+TbTradesBinance[[#This Row],[Qtt]],AR178-TbTradesBinance[[#This Row],[Qtt]]),IF(TbTradesBinance[[#This Row],[Tipo]]="BUY",AR178-TbTradesBinance[[#This Row],[Qtt]]*TbTradesBinance[[#This Row],[Preço]],AR178+TbTradesBinance[[#This Row],[Qtt]]*TbTradesBinance[[#This Row],[Preço]])),AR178)-IF(TbTradesBinance[[#This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Row],[Tipo]]="DROP"),AR178+TbTradesBinance[[#This Row],[Qtt]],AR178-TbTradesBinance[[#This Row],[Qtt]]),IF(TbTradesBinance[[#This Row],[Tipo]]="BUY",AR178-TbTradesBinance[[#This Row],[Qtt]]*TbTradesBinance[[#This Row],[Preço]],AR178+TbTradesBinance[[#This Row],[Qtt]]*TbTradesBinance[[#This Row],[Preço]])),AR178)-IF(TbTradesBinance[[#This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Row],[Tipo]]="DROP"),AR178+TbTradesBinance[[#This Row],[Qtt]],AR178-TbTradesBinance[[#This Row],[Qtt]]),IF(TbTradesBinance[[#This Row],[Tipo]]="BUY",AR178-TbTradesBinance[[#This Row],[Qtt]]*TbTradesBinance[[#This Row],[Preço]],AR178+TbTradesBinance[[#This Row],[Qtt]]*TbTradesBinance[[#This Row],[Preço]])),AR178)-IF(TbTradesBinance[[#This Row],[Moeda da Taxa]]=MID(AR$1,9,5),TbTradesBinance[[#This Row],[Taxa]],0),8)))</f>
        <v>0</v>
      </c>
      <c r="AS179" s="145" cm="1">
        <f t="array" ref="AS179">IF(TbTradesBinance[[#This Row],[Tipo]]="EMPTY",0,AS178+IF(TbTradesBinance[[#This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Row],[Par]]))),$1:$1,0)),-(AR178-AR179)/AR178*AS178),0),0)+IF(TbTradesBinance[[#This Row],[Tipo]]="SELL",IF(ISNUMBER(FIND(MID(AS$1,10,5),TbTradesBinance[[#This Row],[Par]])),IF(FIND(MID(AS$1,10,5),TbTradesBinance[[#This Row],[Par]])=1, -(AR178-AR179)/AR178*AS178,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Row],[Par]])),(-(AR178-AR179)/AR178*AS178)+IF(TbTradesBinance[[#This Row],[Resultado]]&gt;0,0,TbTradesBinance[[#This Row],[Taxa]]),0),0))</f>
        <v>0</v>
      </c>
      <c r="AT179" s="145">
        <f t="shared" si="49"/>
        <v>0</v>
      </c>
      <c r="AU17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Row],[Tipo]]="DROP"),AU178+TbTradesBinance[[#This Row],[Qtt]],AU178-TbTradesBinance[[#This Row],[Qtt]]),IF(TbTradesBinance[[#This Row],[Tipo]]="BUY",AU178-TbTradesBinance[[#This Row],[Qtt]]*TbTradesBinance[[#This Row],[Preço]],AU178+TbTradesBinance[[#This Row],[Qtt]]*TbTradesBinance[[#This Row],[Preço]])),AU178)-IF(TbTradesBinance[[#This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Row],[Tipo]]="DROP"),AU178+TbTradesBinance[[#This Row],[Qtt]],AU178-TbTradesBinance[[#This Row],[Qtt]]),IF(TbTradesBinance[[#This Row],[Tipo]]="BUY",AU178-TbTradesBinance[[#This Row],[Qtt]]*TbTradesBinance[[#This Row],[Preço]],AU178+TbTradesBinance[[#This Row],[Qtt]]*TbTradesBinance[[#This Row],[Preço]])),AU178)-IF(TbTradesBinance[[#This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Row],[Tipo]]="DROP"),AU178+TbTradesBinance[[#This Row],[Qtt]],AU178-TbTradesBinance[[#This Row],[Qtt]]),IF(TbTradesBinance[[#This Row],[Tipo]]="BUY",AU178-TbTradesBinance[[#This Row],[Qtt]]*TbTradesBinance[[#This Row],[Preço]],AU178+TbTradesBinance[[#This Row],[Qtt]]*TbTradesBinance[[#This Row],[Preço]])),AU178)-IF(TbTradesBinance[[#This Row],[Moeda da Taxa]]=MID(AU$1,9,5),TbTradesBinance[[#This Row],[Taxa]],0),8)))</f>
        <v>0.51</v>
      </c>
      <c r="AV179" s="145" cm="1">
        <f t="array" ref="AV179">IF(TbTradesBinance[[#This Row],[Tipo]]="EMPTY",0,AV178+IF(TbTradesBinance[[#This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Row],[Par]]))),$1:$1,0)),-(AU178-AU179)/AU178*AV178),0),0)+IF(TbTradesBinance[[#This Row],[Tipo]]="SELL",IF(ISNUMBER(FIND(MID(AV$1,10,5),TbTradesBinance[[#This Row],[Par]])),IF(FIND(MID(AV$1,10,5),TbTradesBinance[[#This Row],[Par]])=1, -(AU178-AU179)/AU178*AV178,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Row],[Par]])),(-(AU178-AU179)/AU178*AV178)+IF(TbTradesBinance[[#This Row],[Resultado]]&gt;0,0,TbTradesBinance[[#This Row],[Taxa]]),0),0))</f>
        <v>95.466693037374753</v>
      </c>
      <c r="AW179" s="145">
        <f t="shared" si="50"/>
        <v>187.18959419093088</v>
      </c>
      <c r="AX17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Row],[Tipo]]="DROP"),AX178+TbTradesBinance[[#This Row],[Qtt]],AX178-TbTradesBinance[[#This Row],[Qtt]]),IF(TbTradesBinance[[#This Row],[Tipo]]="BUY",AX178-TbTradesBinance[[#This Row],[Qtt]]*TbTradesBinance[[#This Row],[Preço]],AX178+TbTradesBinance[[#This Row],[Qtt]]*TbTradesBinance[[#This Row],[Preço]])),AX178)-IF(TbTradesBinance[[#This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Row],[Tipo]]="DROP"),AX178+TbTradesBinance[[#This Row],[Qtt]],AX178-TbTradesBinance[[#This Row],[Qtt]]),IF(TbTradesBinance[[#This Row],[Tipo]]="BUY",AX178-TbTradesBinance[[#This Row],[Qtt]]*TbTradesBinance[[#This Row],[Preço]],AX178+TbTradesBinance[[#This Row],[Qtt]]*TbTradesBinance[[#This Row],[Preço]])),AX178)-IF(TbTradesBinance[[#This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Row],[Tipo]]="DROP"),AX178+TbTradesBinance[[#This Row],[Qtt]],AX178-TbTradesBinance[[#This Row],[Qtt]]),IF(TbTradesBinance[[#This Row],[Tipo]]="BUY",AX178-TbTradesBinance[[#This Row],[Qtt]]*TbTradesBinance[[#This Row],[Preço]],AX178+TbTradesBinance[[#This Row],[Qtt]]*TbTradesBinance[[#This Row],[Preço]])),AX178)-IF(TbTradesBinance[[#This Row],[Moeda da Taxa]]=MID(AX$1,9,5),TbTradesBinance[[#This Row],[Taxa]],0),8)))</f>
        <v>0.32838000000000001</v>
      </c>
      <c r="AY179" s="145" cm="1">
        <f t="array" ref="AY179">IF(TbTradesBinance[[#This Row],[Tipo]]="EMPTY",0,AY178+IF(TbTradesBinance[[#This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Row],[Par]]))),$1:$1,0)),-(AX178-AX179)/AX178*AY178),0),0)+IF(TbTradesBinance[[#This Row],[Tipo]]="SELL",IF(ISNUMBER(FIND(MID(AY$1,10,5),TbTradesBinance[[#This Row],[Par]])),IF(FIND(MID(AY$1,10,5),TbTradesBinance[[#This Row],[Par]])=1, -(AX178-AX179)/AX178*AY178,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Row],[Par]])),(-(AX178-AX179)/AX178*AY178)+IF(TbTradesBinance[[#This Row],[Resultado]]&gt;0,0,TbTradesBinance[[#This Row],[Taxa]]),0),0))</f>
        <v>61.364116058805678</v>
      </c>
      <c r="AZ179" s="145">
        <f t="shared" si="51"/>
        <v>186.869224857804</v>
      </c>
      <c r="BA17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Row],[Tipo]]="DROP"),BA178+TbTradesBinance[[#This Row],[Qtt]],BA178-TbTradesBinance[[#This Row],[Qtt]]),IF(TbTradesBinance[[#This Row],[Tipo]]="BUY",BA178-TbTradesBinance[[#This Row],[Qtt]]*TbTradesBinance[[#This Row],[Preço]],BA178+TbTradesBinance[[#This Row],[Qtt]]*TbTradesBinance[[#This Row],[Preço]])),BA178)-IF(TbTradesBinance[[#This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Row],[Tipo]]="DROP"),BA178+TbTradesBinance[[#This Row],[Qtt]],BA178-TbTradesBinance[[#This Row],[Qtt]]),IF(TbTradesBinance[[#This Row],[Tipo]]="BUY",BA178-TbTradesBinance[[#This Row],[Qtt]]*TbTradesBinance[[#This Row],[Preço]],BA178+TbTradesBinance[[#This Row],[Qtt]]*TbTradesBinance[[#This Row],[Preço]])),BA178)-IF(TbTradesBinance[[#This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Row],[Tipo]]="DROP"),BA178+TbTradesBinance[[#This Row],[Qtt]],BA178-TbTradesBinance[[#This Row],[Qtt]]),IF(TbTradesBinance[[#This Row],[Tipo]]="BUY",BA178-TbTradesBinance[[#This Row],[Qtt]]*TbTradesBinance[[#This Row],[Preço]],BA178+TbTradesBinance[[#This Row],[Qtt]]*TbTradesBinance[[#This Row],[Preço]])),BA178)-IF(TbTradesBinance[[#This Row],[Moeda da Taxa]]=MID(BA$1,9,5),TbTradesBinance[[#This Row],[Taxa]],0),8)))</f>
        <v>0</v>
      </c>
      <c r="BB179" s="145" cm="1">
        <f t="array" ref="BB179">IF(TbTradesBinance[[#This Row],[Tipo]]="EMPTY",0,BB178+IF(TbTradesBinance[[#This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Row],[Par]]))),$1:$1,0)),-(BA178-BA179)/BA178*BB178),0),0)+IF(TbTradesBinance[[#This Row],[Tipo]]="SELL",IF(ISNUMBER(FIND(MID(BB$1,10,5),TbTradesBinance[[#This Row],[Par]])),IF(FIND(MID(BB$1,10,5),TbTradesBinance[[#This Row],[Par]])=1, -(BA178-BA179)/BA178*BB178,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Row],[Par]])),(-(BA178-BA179)/BA178*BB178)+IF(TbTradesBinance[[#This Row],[Resultado]]&gt;0,0,TbTradesBinance[[#This Row],[Taxa]]),0),0))</f>
        <v>0</v>
      </c>
      <c r="BC179" s="145">
        <f t="shared" si="52"/>
        <v>0</v>
      </c>
      <c r="BD17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Row],[Tipo]]="DROP"),BD178+TbTradesBinance[[#This Row],[Qtt]],BD178-TbTradesBinance[[#This Row],[Qtt]]),IF(TbTradesBinance[[#This Row],[Tipo]]="BUY",BD178-TbTradesBinance[[#This Row],[Qtt]]*TbTradesBinance[[#This Row],[Preço]],BD178+TbTradesBinance[[#This Row],[Qtt]]*TbTradesBinance[[#This Row],[Preço]])),BD178)-IF(TbTradesBinance[[#This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Row],[Tipo]]="DROP"),BD178+TbTradesBinance[[#This Row],[Qtt]],BD178-TbTradesBinance[[#This Row],[Qtt]]),IF(TbTradesBinance[[#This Row],[Tipo]]="BUY",BD178-TbTradesBinance[[#This Row],[Qtt]]*TbTradesBinance[[#This Row],[Preço]],BD178+TbTradesBinance[[#This Row],[Qtt]]*TbTradesBinance[[#This Row],[Preço]])),BD178)-IF(TbTradesBinance[[#This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Row],[Tipo]]="DROP"),BD178+TbTradesBinance[[#This Row],[Qtt]],BD178-TbTradesBinance[[#This Row],[Qtt]]),IF(TbTradesBinance[[#This Row],[Tipo]]="BUY",BD178-TbTradesBinance[[#This Row],[Qtt]]*TbTradesBinance[[#This Row],[Preço]],BD178+TbTradesBinance[[#This Row],[Qtt]]*TbTradesBinance[[#This Row],[Preço]])),BD178)-IF(TbTradesBinance[[#This Row],[Moeda da Taxa]]=MID(BD$1,9,5),TbTradesBinance[[#This Row],[Taxa]],0),8)))</f>
        <v>0</v>
      </c>
      <c r="BE179" s="145" cm="1">
        <f t="array" ref="BE179">IF(TbTradesBinance[[#This Row],[Tipo]]="EMPTY",0,BE178+IF(TbTradesBinance[[#This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Row],[Par]]))),$1:$1,0)),-(BD178-BD179)/BD178*BE178),0),0)+IF(TbTradesBinance[[#This Row],[Tipo]]="SELL",IF(ISNUMBER(FIND(MID(BE$1,10,5),TbTradesBinance[[#This Row],[Par]])),IF(FIND(MID(BE$1,10,5),TbTradesBinance[[#This Row],[Par]])=1, -(BD178-BD179)/BD178*BE178,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Row],[Par]])),(-(BD178-BD179)/BD178*BE178)+IF(TbTradesBinance[[#This Row],[Resultado]]&gt;0,0,TbTradesBinance[[#This Row],[Taxa]]),0),0))</f>
        <v>0</v>
      </c>
      <c r="BF179" s="145">
        <f t="shared" si="53"/>
        <v>0</v>
      </c>
      <c r="BG17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Row],[Tipo]]="DROP"),BG178+TbTradesBinance[[#This Row],[Qtt]],BG178-TbTradesBinance[[#This Row],[Qtt]]),IF(TbTradesBinance[[#This Row],[Tipo]]="BUY",BG178-TbTradesBinance[[#This Row],[Qtt]]*TbTradesBinance[[#This Row],[Preço]],BG178+TbTradesBinance[[#This Row],[Qtt]]*TbTradesBinance[[#This Row],[Preço]])),BG178)-IF(TbTradesBinance[[#This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Row],[Tipo]]="DROP"),BG178+TbTradesBinance[[#This Row],[Qtt]],BG178-TbTradesBinance[[#This Row],[Qtt]]),IF(TbTradesBinance[[#This Row],[Tipo]]="BUY",BG178-TbTradesBinance[[#This Row],[Qtt]]*TbTradesBinance[[#This Row],[Preço]],BG178+TbTradesBinance[[#This Row],[Qtt]]*TbTradesBinance[[#This Row],[Preço]])),BG178)-IF(TbTradesBinance[[#This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Row],[Tipo]]="DROP"),BG178+TbTradesBinance[[#This Row],[Qtt]],BG178-TbTradesBinance[[#This Row],[Qtt]]),IF(TbTradesBinance[[#This Row],[Tipo]]="BUY",BG178-TbTradesBinance[[#This Row],[Qtt]]*TbTradesBinance[[#This Row],[Preço]],BG178+TbTradesBinance[[#This Row],[Qtt]]*TbTradesBinance[[#This Row],[Preço]])),BG178)-IF(TbTradesBinance[[#This Row],[Moeda da Taxa]]=MID(BG$1,9,5),TbTradesBinance[[#This Row],[Taxa]],0),8)))</f>
        <v>0</v>
      </c>
      <c r="BH179" s="145" cm="1">
        <f t="array" ref="BH179">IF(TbTradesBinance[[#This Row],[Tipo]]="EMPTY",0,BH178+IF(TbTradesBinance[[#This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Row],[Par]]))),$1:$1,0)),-(BG178-BG179)/BG178*BH178),0),0)+IF(TbTradesBinance[[#This Row],[Tipo]]="SELL",IF(ISNUMBER(FIND(MID(BH$1,10,5),TbTradesBinance[[#This Row],[Par]])),IF(FIND(MID(BH$1,10,5),TbTradesBinance[[#This Row],[Par]])=1, -(BG178-BG179)/BG178*BH178,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Row],[Par]])),(-(BG178-BG179)/BG178*BH178)+IF(TbTradesBinance[[#This Row],[Resultado]]&gt;0,0,TbTradesBinance[[#This Row],[Taxa]]),0),0))</f>
        <v>0</v>
      </c>
      <c r="BI179" s="145">
        <f t="shared" si="54"/>
        <v>0</v>
      </c>
      <c r="BJ17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Row],[Tipo]]="DROP"),BJ178+TbTradesBinance[[#This Row],[Qtt]],BJ178-TbTradesBinance[[#This Row],[Qtt]]),IF(TbTradesBinance[[#This Row],[Tipo]]="BUY",BJ178-TbTradesBinance[[#This Row],[Qtt]]*TbTradesBinance[[#This Row],[Preço]],BJ178+TbTradesBinance[[#This Row],[Qtt]]*TbTradesBinance[[#This Row],[Preço]])),BJ178)-IF(TbTradesBinance[[#This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Row],[Tipo]]="DROP"),BJ178+TbTradesBinance[[#This Row],[Qtt]],BJ178-TbTradesBinance[[#This Row],[Qtt]]),IF(TbTradesBinance[[#This Row],[Tipo]]="BUY",BJ178-TbTradesBinance[[#This Row],[Qtt]]*TbTradesBinance[[#This Row],[Preço]],BJ178+TbTradesBinance[[#This Row],[Qtt]]*TbTradesBinance[[#This Row],[Preço]])),BJ178)-IF(TbTradesBinance[[#This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Row],[Tipo]]="DROP"),BJ178+TbTradesBinance[[#This Row],[Qtt]],BJ178-TbTradesBinance[[#This Row],[Qtt]]),IF(TbTradesBinance[[#This Row],[Tipo]]="BUY",BJ178-TbTradesBinance[[#This Row],[Qtt]]*TbTradesBinance[[#This Row],[Preço]],BJ178+TbTradesBinance[[#This Row],[Qtt]]*TbTradesBinance[[#This Row],[Preço]])),BJ178)-IF(TbTradesBinance[[#This Row],[Moeda da Taxa]]=MID(BJ$1,9,5),TbTradesBinance[[#This Row],[Taxa]],0),8)))</f>
        <v>0</v>
      </c>
      <c r="BK179" s="145" cm="1">
        <f t="array" ref="BK179">IF(TbTradesBinance[[#This Row],[Tipo]]="EMPTY",0,BK178+IF(TbTradesBinance[[#This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Row],[Par]]))),$1:$1,0)),-(BJ178-BJ179)/BJ178*BK178),0),0)+IF(TbTradesBinance[[#This Row],[Tipo]]="SELL",IF(ISNUMBER(FIND(MID(BK$1,10,5),TbTradesBinance[[#This Row],[Par]])),IF(FIND(MID(BK$1,10,5),TbTradesBinance[[#This Row],[Par]])=1, -(BJ178-BJ179)/BJ178*BK178,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Row],[Par]])),(-(BJ178-BJ179)/BJ178*BK178)+IF(TbTradesBinance[[#This Row],[Resultado]]&gt;0,0,TbTradesBinance[[#This Row],[Taxa]]),0),0))</f>
        <v>0</v>
      </c>
      <c r="BL179" s="145">
        <f t="shared" si="55"/>
        <v>0</v>
      </c>
      <c r="BM17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Row],[Tipo]]="DROP"),BM178+TbTradesBinance[[#This Row],[Qtt]],BM178-TbTradesBinance[[#This Row],[Qtt]]),IF(TbTradesBinance[[#This Row],[Tipo]]="BUY",BM178-TbTradesBinance[[#This Row],[Qtt]]*TbTradesBinance[[#This Row],[Preço]],BM178+TbTradesBinance[[#This Row],[Qtt]]*TbTradesBinance[[#This Row],[Preço]])),BM178)-IF(TbTradesBinance[[#This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Row],[Tipo]]="DROP"),BM178+TbTradesBinance[[#This Row],[Qtt]],BM178-TbTradesBinance[[#This Row],[Qtt]]),IF(TbTradesBinance[[#This Row],[Tipo]]="BUY",BM178-TbTradesBinance[[#This Row],[Qtt]]*TbTradesBinance[[#This Row],[Preço]],BM178+TbTradesBinance[[#This Row],[Qtt]]*TbTradesBinance[[#This Row],[Preço]])),BM178)-IF(TbTradesBinance[[#This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Row],[Tipo]]="DROP"),BM178+TbTradesBinance[[#This Row],[Qtt]],BM178-TbTradesBinance[[#This Row],[Qtt]]),IF(TbTradesBinance[[#This Row],[Tipo]]="BUY",BM178-TbTradesBinance[[#This Row],[Qtt]]*TbTradesBinance[[#This Row],[Preço]],BM178+TbTradesBinance[[#This Row],[Qtt]]*TbTradesBinance[[#This Row],[Preço]])),BM178)-IF(TbTradesBinance[[#This Row],[Moeda da Taxa]]=MID(BM$1,9,5),TbTradesBinance[[#This Row],[Taxa]],0),8)))</f>
        <v>0</v>
      </c>
      <c r="BN179" s="145" cm="1">
        <f t="array" ref="BN179">IF(TbTradesBinance[[#This Row],[Tipo]]="EMPTY",0,BN178+IF(TbTradesBinance[[#This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Row],[Par]]))),$1:$1,0)),-(BM178-BM179)/BM178*BN178),0),0)+IF(TbTradesBinance[[#This Row],[Tipo]]="SELL",IF(ISNUMBER(FIND(MID(BN$1,10,5),TbTradesBinance[[#This Row],[Par]])),IF(FIND(MID(BN$1,10,5),TbTradesBinance[[#This Row],[Par]])=1, -(BM178-BM179)/BM178*BN178,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Row],[Par]])),(-(BM178-BM179)/BM178*BN178)+IF(TbTradesBinance[[#This Row],[Resultado]]&gt;0,0,TbTradesBinance[[#This Row],[Taxa]]),0),0))</f>
        <v>0</v>
      </c>
      <c r="BO179" s="145">
        <f t="shared" si="56"/>
        <v>0</v>
      </c>
    </row>
    <row r="180" spans="2:67" x14ac:dyDescent="0.3">
      <c r="B180" s="51"/>
      <c r="C180" s="40">
        <f>TRUNC(IF(AND(TbTradesBinance[[#This Row],[Tipo]]="SEND",TbTradesBinance[[#This Row],[Par]]="BRL"),TbTradesBinance[[#This Row],[Qtt]]*(1-P178)-IF(TbTradesBinance[[#This Row],[Moeda da Taxa]]="BRL",TbTradesBinance[[#This Row],[Taxa]],0),0)+IF(AND(TbTradesBinance[[#This Row],[Tipo]]="BURN",TbTradesBinance[[#This Row],[Par]]="BRL"),-TbTradesBinance[[#This Row],[Qtt]]*P178,0),2)</f>
        <v>0</v>
      </c>
      <c r="D180" s="53">
        <v>44334.83971064815</v>
      </c>
      <c r="E180" s="37" t="s">
        <v>138</v>
      </c>
      <c r="F180" s="47" t="s">
        <v>139</v>
      </c>
      <c r="G180" s="38">
        <v>225543</v>
      </c>
      <c r="H180" s="38">
        <v>4.6E-5</v>
      </c>
      <c r="I180" s="38">
        <v>3.1599999999999998E-6</v>
      </c>
      <c r="J180" s="37" t="s">
        <v>45</v>
      </c>
      <c r="K180" s="52">
        <v>1</v>
      </c>
      <c r="L180" s="40">
        <f t="shared" si="38"/>
        <v>225543</v>
      </c>
      <c r="M180" s="40">
        <f>IF(OR(TbTradesBinance[[#This Row],[Tipo]]="BUY",TbTradesBinance[[#This Row],[Tipo]]="RECEIVE",TbTradesBinance[[#This Row],[Tipo]]="DROP"),L180*H180,-L180*H180)</f>
        <v>10.374978</v>
      </c>
      <c r="N18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Row],[Tipo]]="DROP"),N179+TbTradesBinance[[#This Row],[Qtt]],N179-TbTradesBinance[[#This Row],[Qtt]]),IF(TbTradesBinance[[#This Row],[Tipo]]="BUY",N179-TbTradesBinance[[#This Row],[Qtt]]*TbTradesBinance[[#This Row],[Preço]],N179+TbTradesBinance[[#This Row],[Qtt]]*TbTradesBinance[[#This Row],[Preço]])),N179)-IF(TbTradesBinance[[#This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Row],[Tipo]]="DROP"),N179+TbTradesBinance[[#This Row],[Qtt]],N179-TbTradesBinance[[#This Row],[Qtt]]),IF(TbTradesBinance[[#This Row],[Tipo]]="BUY",N179-TbTradesBinance[[#This Row],[Qtt]]*TbTradesBinance[[#This Row],[Preço]],N179+TbTradesBinance[[#This Row],[Qtt]]*TbTradesBinance[[#This Row],[Preço]])),N179)-IF(TbTradesBinance[[#This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Row],[Tipo]]="DROP"),N179+TbTradesBinance[[#This Row],[Qtt]],N179-TbTradesBinance[[#This Row],[Qtt]]),IF(TbTradesBinance[[#This Row],[Tipo]]="BUY",N179-TbTradesBinance[[#This Row],[Qtt]]*TbTradesBinance[[#This Row],[Preço]],N179+TbTradesBinance[[#This Row],[Qtt]]*TbTradesBinance[[#This Row],[Preço]])),N179)-IF(TbTradesBinance[[#This Row],[Moeda da Taxa]]=MID(N$1,9,5),TbTradesBinance[[#This Row],[Taxa]],0),8)))</f>
        <v>119756.03894799</v>
      </c>
      <c r="O180" s="145" cm="1">
        <f t="array" ref="O180">IF(TbTradesBinance[[#This Row],[Tipo]]="EMPTY",0,O179+IF(TbTradesBinance[[#This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Row],[Par]]))),$1:$1,0)),-(N179-N180)/N179*O179),0),0)+IF(TbTradesBinance[[#This Row],[Tipo]]="SELL",IF(ISNUMBER(FIND(MID(O$1,10,5),TbTradesBinance[[#This Row],[Par]])),IF(FIND(MID(O$1,10,5),TbTradesBinance[[#This Row],[Par]])=1, -(N179-N180)/N179*O179,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Row],[Par]])),(-(N179-N180)/N179*O179)+IF(TbTradesBinance[[#This Row],[Resultado]]&gt;0,0,TbTradesBinance[[#This Row],[Taxa]]),0),0))</f>
        <v>119854.60937101283</v>
      </c>
      <c r="P180" s="145">
        <f t="shared" si="39"/>
        <v>1.0008230935482563</v>
      </c>
      <c r="Q18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Row],[Tipo]]="DROP"),Q179+TbTradesBinance[[#This Row],[Qtt]],Q179-TbTradesBinance[[#This Row],[Qtt]]),IF(TbTradesBinance[[#This Row],[Tipo]]="BUY",Q179-TbTradesBinance[[#This Row],[Qtt]]*TbTradesBinance[[#This Row],[Preço]],Q179+TbTradesBinance[[#This Row],[Qtt]]*TbTradesBinance[[#This Row],[Preço]])),Q179)-IF(TbTradesBinance[[#This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Row],[Tipo]]="DROP"),Q179+TbTradesBinance[[#This Row],[Qtt]],Q179-TbTradesBinance[[#This Row],[Qtt]]),IF(TbTradesBinance[[#This Row],[Tipo]]="BUY",Q179-TbTradesBinance[[#This Row],[Qtt]]*TbTradesBinance[[#This Row],[Preço]],Q179+TbTradesBinance[[#This Row],[Qtt]]*TbTradesBinance[[#This Row],[Preço]])),Q179)-IF(TbTradesBinance[[#This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Row],[Tipo]]="DROP"),Q179+TbTradesBinance[[#This Row],[Qtt]],Q179-TbTradesBinance[[#This Row],[Qtt]]),IF(TbTradesBinance[[#This Row],[Tipo]]="BUY",Q179-TbTradesBinance[[#This Row],[Qtt]]*TbTradesBinance[[#This Row],[Preço]],Q179+TbTradesBinance[[#This Row],[Qtt]]*TbTradesBinance[[#This Row],[Preço]])),Q179)-IF(TbTradesBinance[[#This Row],[Moeda da Taxa]]=MID(Q$1,9,5),TbTradesBinance[[#This Row],[Taxa]],0),8)))</f>
        <v>12.809246870000001</v>
      </c>
      <c r="R180" s="145" cm="1">
        <f t="array" ref="R180">IF(TbTradesBinance[[#This Row],[Tipo]]="EMPTY",0,R179+IF(TbTradesBinance[[#This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Row],[Par]]))),$1:$1,0)),-(Q179-Q180)/Q179*R179),0),0)+IF(TbTradesBinance[[#This Row],[Tipo]]="SELL",IF(ISNUMBER(FIND(MID(R$1,10,5),TbTradesBinance[[#This Row],[Par]])),IF(FIND(MID(R$1,10,5),TbTradesBinance[[#This Row],[Par]])=1, -(Q179-Q180)/Q179*R179,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Row],[Par]])),(-(Q179-Q180)/Q179*R179)+IF(TbTradesBinance[[#This Row],[Resultado]]&gt;0,0,TbTradesBinance[[#This Row],[Taxa]]),0),0))</f>
        <v>59.972969019700258</v>
      </c>
      <c r="S180" s="145">
        <f t="shared" si="40"/>
        <v>4.6820058687572361</v>
      </c>
      <c r="T18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Row],[Tipo]]="DROP"),T179+TbTradesBinance[[#This Row],[Qtt]],T179-TbTradesBinance[[#This Row],[Qtt]]),IF(TbTradesBinance[[#This Row],[Tipo]]="BUY",T179-TbTradesBinance[[#This Row],[Qtt]]*TbTradesBinance[[#This Row],[Preço]],T179+TbTradesBinance[[#This Row],[Qtt]]*TbTradesBinance[[#This Row],[Preço]])),T179)-IF(TbTradesBinance[[#This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Row],[Tipo]]="DROP"),T179+TbTradesBinance[[#This Row],[Qtt]],T179-TbTradesBinance[[#This Row],[Qtt]]),IF(TbTradesBinance[[#This Row],[Tipo]]="BUY",T179-TbTradesBinance[[#This Row],[Qtt]]*TbTradesBinance[[#This Row],[Preço]],T179+TbTradesBinance[[#This Row],[Qtt]]*TbTradesBinance[[#This Row],[Preço]])),T179)-IF(TbTradesBinance[[#This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Row],[Tipo]]="DROP"),T179+TbTradesBinance[[#This Row],[Qtt]],T179-TbTradesBinance[[#This Row],[Qtt]]),IF(TbTradesBinance[[#This Row],[Tipo]]="BUY",T179-TbTradesBinance[[#This Row],[Qtt]]*TbTradesBinance[[#This Row],[Preço]],T179+TbTradesBinance[[#This Row],[Qtt]]*TbTradesBinance[[#This Row],[Preço]])),T179)-IF(TbTradesBinance[[#This Row],[Moeda da Taxa]]=MID(T$1,9,5),TbTradesBinance[[#This Row],[Taxa]],0),8)))</f>
        <v>219713.72000189999</v>
      </c>
      <c r="U180" s="145" cm="1">
        <f t="array" ref="U180">IF(TbTradesBinance[[#This Row],[Tipo]]="EMPTY",0,U179+IF(TbTradesBinance[[#This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Row],[Par]]))),$1:$1,0)),-(T179-T180)/T179*U179),0),0)+IF(TbTradesBinance[[#This Row],[Tipo]]="SELL",IF(ISNUMBER(FIND(MID(U$1,10,5),TbTradesBinance[[#This Row],[Par]])),IF(FIND(MID(U$1,10,5),TbTradesBinance[[#This Row],[Par]])=1, -(T179-T180)/T179*U179,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Row],[Par]])),(-(T179-T180)/T179*U179)+IF(TbTradesBinance[[#This Row],[Resultado]]&gt;0,0,TbTradesBinance[[#This Row],[Taxa]]),0),0))</f>
        <v>1461096.2409827893</v>
      </c>
      <c r="V180" s="145">
        <f t="shared" si="41"/>
        <v>6.6500000135182926</v>
      </c>
      <c r="W18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Row],[Tipo]]="DROP"),W179+TbTradesBinance[[#This Row],[Qtt]],W179-TbTradesBinance[[#This Row],[Qtt]]),IF(TbTradesBinance[[#This Row],[Tipo]]="BUY",W179-TbTradesBinance[[#This Row],[Qtt]]*TbTradesBinance[[#This Row],[Preço]],W179+TbTradesBinance[[#This Row],[Qtt]]*TbTradesBinance[[#This Row],[Preço]])),W179)-IF(TbTradesBinance[[#This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Row],[Tipo]]="DROP"),W179+TbTradesBinance[[#This Row],[Qtt]],W179-TbTradesBinance[[#This Row],[Qtt]]),IF(TbTradesBinance[[#This Row],[Tipo]]="BUY",W179-TbTradesBinance[[#This Row],[Qtt]]*TbTradesBinance[[#This Row],[Preço]],W179+TbTradesBinance[[#This Row],[Qtt]]*TbTradesBinance[[#This Row],[Preço]])),W179)-IF(TbTradesBinance[[#This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Row],[Tipo]]="DROP"),W179+TbTradesBinance[[#This Row],[Qtt]],W179-TbTradesBinance[[#This Row],[Qtt]]),IF(TbTradesBinance[[#This Row],[Tipo]]="BUY",W179-TbTradesBinance[[#This Row],[Qtt]]*TbTradesBinance[[#This Row],[Preço]],W179+TbTradesBinance[[#This Row],[Qtt]]*TbTradesBinance[[#This Row],[Preço]])),W179)-IF(TbTradesBinance[[#This Row],[Moeda da Taxa]]=MID(W$1,9,5),TbTradesBinance[[#This Row],[Taxa]],0),8)))</f>
        <v>5.9234999999999995E-4</v>
      </c>
      <c r="X180" s="145" cm="1">
        <f t="array" ref="X180">IF(TbTradesBinance[[#This Row],[Tipo]]="EMPTY",0,X179+IF(TbTradesBinance[[#This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Row],[Par]]))),$1:$1,0)),-(W179-W180)/W179*X179),0),0)+IF(TbTradesBinance[[#This Row],[Tipo]]="SELL",IF(ISNUMBER(FIND(MID(X$1,10,5),TbTradesBinance[[#This Row],[Par]])),IF(FIND(MID(X$1,10,5),TbTradesBinance[[#This Row],[Par]])=1, -(W179-W180)/W179*X179,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Row],[Par]])),(-(W179-W180)/W179*X179)+IF(TbTradesBinance[[#This Row],[Resultado]]&gt;0,0,TbTradesBinance[[#This Row],[Taxa]]),0),0))</f>
        <v>131.6872539791556</v>
      </c>
      <c r="Y180" s="145">
        <f t="shared" si="42"/>
        <v>222313.25057677997</v>
      </c>
      <c r="Z18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Row],[Tipo]]="DROP"),Z179+TbTradesBinance[[#This Row],[Qtt]],Z179-TbTradesBinance[[#This Row],[Qtt]]),IF(TbTradesBinance[[#This Row],[Tipo]]="BUY",Z179-TbTradesBinance[[#This Row],[Qtt]]*TbTradesBinance[[#This Row],[Preço]],Z179+TbTradesBinance[[#This Row],[Qtt]]*TbTradesBinance[[#This Row],[Preço]])),Z179)-IF(TbTradesBinance[[#This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Row],[Tipo]]="DROP"),Z179+TbTradesBinance[[#This Row],[Qtt]],Z179-TbTradesBinance[[#This Row],[Qtt]]),IF(TbTradesBinance[[#This Row],[Tipo]]="BUY",Z179-TbTradesBinance[[#This Row],[Qtt]]*TbTradesBinance[[#This Row],[Preço]],Z179+TbTradesBinance[[#This Row],[Qtt]]*TbTradesBinance[[#This Row],[Preço]])),Z179)-IF(TbTradesBinance[[#This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Row],[Tipo]]="DROP"),Z179+TbTradesBinance[[#This Row],[Qtt]],Z179-TbTradesBinance[[#This Row],[Qtt]]),IF(TbTradesBinance[[#This Row],[Tipo]]="BUY",Z179-TbTradesBinance[[#This Row],[Qtt]]*TbTradesBinance[[#This Row],[Preço]],Z179+TbTradesBinance[[#This Row],[Qtt]]*TbTradesBinance[[#This Row],[Preço]])),Z179)-IF(TbTradesBinance[[#This Row],[Moeda da Taxa]]=MID(Z$1,9,5),TbTradesBinance[[#This Row],[Taxa]],0),8)))</f>
        <v>0</v>
      </c>
      <c r="AA180" s="145" cm="1">
        <f t="array" ref="AA180">IF(TbTradesBinance[[#This Row],[Tipo]]="EMPTY",0,AA179+IF(TbTradesBinance[[#This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Row],[Par]]))),$1:$1,0)),-(Z179-Z180)/Z179*AA179),0),0)+IF(TbTradesBinance[[#This Row],[Tipo]]="SELL",IF(ISNUMBER(FIND(MID(AA$1,10,5),TbTradesBinance[[#This Row],[Par]])),IF(FIND(MID(AA$1,10,5),TbTradesBinance[[#This Row],[Par]])=1, -(Z179-Z180)/Z179*AA179,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Row],[Par]])),(-(Z179-Z180)/Z179*AA179)+IF(TbTradesBinance[[#This Row],[Resultado]]&gt;0,0,TbTradesBinance[[#This Row],[Taxa]]),0),0))</f>
        <v>0</v>
      </c>
      <c r="AB180" s="145">
        <f t="shared" si="43"/>
        <v>0</v>
      </c>
      <c r="AC18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Row],[Tipo]]="DROP"),AC179+TbTradesBinance[[#This Row],[Qtt]],AC179-TbTradesBinance[[#This Row],[Qtt]]),IF(TbTradesBinance[[#This Row],[Tipo]]="BUY",AC179-TbTradesBinance[[#This Row],[Qtt]]*TbTradesBinance[[#This Row],[Preço]],AC179+TbTradesBinance[[#This Row],[Qtt]]*TbTradesBinance[[#This Row],[Preço]])),AC179)-IF(TbTradesBinance[[#This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Row],[Tipo]]="DROP"),AC179+TbTradesBinance[[#This Row],[Qtt]],AC179-TbTradesBinance[[#This Row],[Qtt]]),IF(TbTradesBinance[[#This Row],[Tipo]]="BUY",AC179-TbTradesBinance[[#This Row],[Qtt]]*TbTradesBinance[[#This Row],[Preço]],AC179+TbTradesBinance[[#This Row],[Qtt]]*TbTradesBinance[[#This Row],[Preço]])),AC179)-IF(TbTradesBinance[[#This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Row],[Tipo]]="DROP"),AC179+TbTradesBinance[[#This Row],[Qtt]],AC179-TbTradesBinance[[#This Row],[Qtt]]),IF(TbTradesBinance[[#This Row],[Tipo]]="BUY",AC179-TbTradesBinance[[#This Row],[Qtt]]*TbTradesBinance[[#This Row],[Preço]],AC179+TbTradesBinance[[#This Row],[Qtt]]*TbTradesBinance[[#This Row],[Preço]])),AC179)-IF(TbTradesBinance[[#This Row],[Moeda da Taxa]]=MID(AC$1,9,5),TbTradesBinance[[#This Row],[Taxa]],0),8)))</f>
        <v>0</v>
      </c>
      <c r="AD180" s="145" cm="1">
        <f t="array" ref="AD180">IF(TbTradesBinance[[#This Row],[Tipo]]="EMPTY",0,AD179+IF(TbTradesBinance[[#This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Row],[Par]]))),$1:$1,0)),-(AC179-AC180)/AC179*AD179),0),0)+IF(TbTradesBinance[[#This Row],[Tipo]]="SELL",IF(ISNUMBER(FIND(MID(AD$1,10,5),TbTradesBinance[[#This Row],[Par]])),IF(FIND(MID(AD$1,10,5),TbTradesBinance[[#This Row],[Par]])=1, -(AC179-AC180)/AC179*AD179,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Row],[Par]])),(-(AC179-AC180)/AC179*AD179)+IF(TbTradesBinance[[#This Row],[Resultado]]&gt;0,0,TbTradesBinance[[#This Row],[Taxa]]),0),0))</f>
        <v>0</v>
      </c>
      <c r="AE180" s="145">
        <f t="shared" si="44"/>
        <v>0</v>
      </c>
      <c r="AF18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Row],[Tipo]]="DROP"),AF179+TbTradesBinance[[#This Row],[Qtt]],AF179-TbTradesBinance[[#This Row],[Qtt]]),IF(TbTradesBinance[[#This Row],[Tipo]]="BUY",AF179-TbTradesBinance[[#This Row],[Qtt]]*TbTradesBinance[[#This Row],[Preço]],AF179+TbTradesBinance[[#This Row],[Qtt]]*TbTradesBinance[[#This Row],[Preço]])),AF179)-IF(TbTradesBinance[[#This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Row],[Tipo]]="DROP"),AF179+TbTradesBinance[[#This Row],[Qtt]],AF179-TbTradesBinance[[#This Row],[Qtt]]),IF(TbTradesBinance[[#This Row],[Tipo]]="BUY",AF179-TbTradesBinance[[#This Row],[Qtt]]*TbTradesBinance[[#This Row],[Preço]],AF179+TbTradesBinance[[#This Row],[Qtt]]*TbTradesBinance[[#This Row],[Preço]])),AF179)-IF(TbTradesBinance[[#This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Row],[Tipo]]="DROP"),AF179+TbTradesBinance[[#This Row],[Qtt]],AF179-TbTradesBinance[[#This Row],[Qtt]]),IF(TbTradesBinance[[#This Row],[Tipo]]="BUY",AF179-TbTradesBinance[[#This Row],[Qtt]]*TbTradesBinance[[#This Row],[Preço]],AF179+TbTradesBinance[[#This Row],[Qtt]]*TbTradesBinance[[#This Row],[Preço]])),AF179)-IF(TbTradesBinance[[#This Row],[Moeda da Taxa]]=MID(AF$1,9,5),TbTradesBinance[[#This Row],[Taxa]],0),8)))</f>
        <v>0</v>
      </c>
      <c r="AG180" s="145" cm="1">
        <f t="array" ref="AG180">IF(TbTradesBinance[[#This Row],[Tipo]]="EMPTY",0,AG179+IF(TbTradesBinance[[#This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Row],[Par]]))),$1:$1,0)),-(AF179-AF180)/AF179*AG179),0),0)+IF(TbTradesBinance[[#This Row],[Tipo]]="SELL",IF(ISNUMBER(FIND(MID(AG$1,10,5),TbTradesBinance[[#This Row],[Par]])),IF(FIND(MID(AG$1,10,5),TbTradesBinance[[#This Row],[Par]])=1, -(AF179-AF180)/AF179*AG179,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Row],[Par]])),(-(AF179-AF180)/AF179*AG179)+IF(TbTradesBinance[[#This Row],[Resultado]]&gt;0,0,TbTradesBinance[[#This Row],[Taxa]]),0),0))</f>
        <v>0</v>
      </c>
      <c r="AH180" s="145">
        <f t="shared" si="45"/>
        <v>0</v>
      </c>
      <c r="AI18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Row],[Tipo]]="DROP"),AI179+TbTradesBinance[[#This Row],[Qtt]],AI179-TbTradesBinance[[#This Row],[Qtt]]),IF(TbTradesBinance[[#This Row],[Tipo]]="BUY",AI179-TbTradesBinance[[#This Row],[Qtt]]*TbTradesBinance[[#This Row],[Preço]],AI179+TbTradesBinance[[#This Row],[Qtt]]*TbTradesBinance[[#This Row],[Preço]])),AI179)-IF(TbTradesBinance[[#This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Row],[Tipo]]="DROP"),AI179+TbTradesBinance[[#This Row],[Qtt]],AI179-TbTradesBinance[[#This Row],[Qtt]]),IF(TbTradesBinance[[#This Row],[Tipo]]="BUY",AI179-TbTradesBinance[[#This Row],[Qtt]]*TbTradesBinance[[#This Row],[Preço]],AI179+TbTradesBinance[[#This Row],[Qtt]]*TbTradesBinance[[#This Row],[Preço]])),AI179)-IF(TbTradesBinance[[#This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Row],[Tipo]]="DROP"),AI179+TbTradesBinance[[#This Row],[Qtt]],AI179-TbTradesBinance[[#This Row],[Qtt]]),IF(TbTradesBinance[[#This Row],[Tipo]]="BUY",AI179-TbTradesBinance[[#This Row],[Qtt]]*TbTradesBinance[[#This Row],[Preço]],AI179+TbTradesBinance[[#This Row],[Qtt]]*TbTradesBinance[[#This Row],[Preço]])),AI179)-IF(TbTradesBinance[[#This Row],[Moeda da Taxa]]=MID(AI$1,9,5),TbTradesBinance[[#This Row],[Taxa]],0),8)))</f>
        <v>0</v>
      </c>
      <c r="AJ180" s="145" cm="1">
        <f t="array" ref="AJ180">IF(TbTradesBinance[[#This Row],[Tipo]]="EMPTY",0,AJ179+IF(TbTradesBinance[[#This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Row],[Par]]))),$1:$1,0)),-(AI179-AI180)/AI179*AJ179),0),0)+IF(TbTradesBinance[[#This Row],[Tipo]]="SELL",IF(ISNUMBER(FIND(MID(AJ$1,10,5),TbTradesBinance[[#This Row],[Par]])),IF(FIND(MID(AJ$1,10,5),TbTradesBinance[[#This Row],[Par]])=1, -(AI179-AI180)/AI179*AJ179,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Row],[Par]])),(-(AI179-AI180)/AI179*AJ179)+IF(TbTradesBinance[[#This Row],[Resultado]]&gt;0,0,TbTradesBinance[[#This Row],[Taxa]]),0),0))</f>
        <v>0</v>
      </c>
      <c r="AK180" s="145">
        <f t="shared" si="46"/>
        <v>0</v>
      </c>
      <c r="AL18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Row],[Tipo]]="DROP"),AL179+TbTradesBinance[[#This Row],[Qtt]],AL179-TbTradesBinance[[#This Row],[Qtt]]),IF(TbTradesBinance[[#This Row],[Tipo]]="BUY",AL179-TbTradesBinance[[#This Row],[Qtt]]*TbTradesBinance[[#This Row],[Preço]],AL179+TbTradesBinance[[#This Row],[Qtt]]*TbTradesBinance[[#This Row],[Preço]])),AL179)-IF(TbTradesBinance[[#This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Row],[Tipo]]="DROP"),AL179+TbTradesBinance[[#This Row],[Qtt]],AL179-TbTradesBinance[[#This Row],[Qtt]]),IF(TbTradesBinance[[#This Row],[Tipo]]="BUY",AL179-TbTradesBinance[[#This Row],[Qtt]]*TbTradesBinance[[#This Row],[Preço]],AL179+TbTradesBinance[[#This Row],[Qtt]]*TbTradesBinance[[#This Row],[Preço]])),AL179)-IF(TbTradesBinance[[#This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Row],[Tipo]]="DROP"),AL179+TbTradesBinance[[#This Row],[Qtt]],AL179-TbTradesBinance[[#This Row],[Qtt]]),IF(TbTradesBinance[[#This Row],[Tipo]]="BUY",AL179-TbTradesBinance[[#This Row],[Qtt]]*TbTradesBinance[[#This Row],[Preço]],AL179+TbTradesBinance[[#This Row],[Qtt]]*TbTradesBinance[[#This Row],[Preço]])),AL179)-IF(TbTradesBinance[[#This Row],[Moeda da Taxa]]=MID(AL$1,9,5),TbTradesBinance[[#This Row],[Taxa]],0),8)))</f>
        <v>0</v>
      </c>
      <c r="AM180" s="145" cm="1">
        <f t="array" ref="AM180">IF(TbTradesBinance[[#This Row],[Tipo]]="EMPTY",0,AM179+IF(TbTradesBinance[[#This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Row],[Par]]))),$1:$1,0)),-(AL179-AL180)/AL179*AM179),0),0)+IF(TbTradesBinance[[#This Row],[Tipo]]="SELL",IF(ISNUMBER(FIND(MID(AM$1,10,5),TbTradesBinance[[#This Row],[Par]])),IF(FIND(MID(AM$1,10,5),TbTradesBinance[[#This Row],[Par]])=1, -(AL179-AL180)/AL179*AM179,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Row],[Par]])),(-(AL179-AL180)/AL179*AM179)+IF(TbTradesBinance[[#This Row],[Resultado]]&gt;0,0,TbTradesBinance[[#This Row],[Taxa]]),0),0))</f>
        <v>0</v>
      </c>
      <c r="AN180" s="145">
        <f t="shared" si="47"/>
        <v>0</v>
      </c>
      <c r="AO18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Row],[Tipo]]="DROP"),AO179+TbTradesBinance[[#This Row],[Qtt]],AO179-TbTradesBinance[[#This Row],[Qtt]]),IF(TbTradesBinance[[#This Row],[Tipo]]="BUY",AO179-TbTradesBinance[[#This Row],[Qtt]]*TbTradesBinance[[#This Row],[Preço]],AO179+TbTradesBinance[[#This Row],[Qtt]]*TbTradesBinance[[#This Row],[Preço]])),AO179)-IF(TbTradesBinance[[#This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Row],[Tipo]]="DROP"),AO179+TbTradesBinance[[#This Row],[Qtt]],AO179-TbTradesBinance[[#This Row],[Qtt]]),IF(TbTradesBinance[[#This Row],[Tipo]]="BUY",AO179-TbTradesBinance[[#This Row],[Qtt]]*TbTradesBinance[[#This Row],[Preço]],AO179+TbTradesBinance[[#This Row],[Qtt]]*TbTradesBinance[[#This Row],[Preço]])),AO179)-IF(TbTradesBinance[[#This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Row],[Tipo]]="DROP"),AO179+TbTradesBinance[[#This Row],[Qtt]],AO179-TbTradesBinance[[#This Row],[Qtt]]),IF(TbTradesBinance[[#This Row],[Tipo]]="BUY",AO179-TbTradesBinance[[#This Row],[Qtt]]*TbTradesBinance[[#This Row],[Preço]],AO179+TbTradesBinance[[#This Row],[Qtt]]*TbTradesBinance[[#This Row],[Preço]])),AO179)-IF(TbTradesBinance[[#This Row],[Moeda da Taxa]]=MID(AO$1,9,5),TbTradesBinance[[#This Row],[Taxa]],0),8)))</f>
        <v>3.8367329999999998E-2</v>
      </c>
      <c r="AP180" s="145" cm="1">
        <f t="array" ref="AP180">IF(TbTradesBinance[[#This Row],[Tipo]]="EMPTY",0,AP179+IF(TbTradesBinance[[#This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Row],[Par]]))),$1:$1,0)),-(AO179-AO180)/AO179*AP179),0),0)+IF(TbTradesBinance[[#This Row],[Tipo]]="SELL",IF(ISNUMBER(FIND(MID(AP$1,10,5),TbTradesBinance[[#This Row],[Par]])),IF(FIND(MID(AP$1,10,5),TbTradesBinance[[#This Row],[Par]])=1, -(AO179-AO180)/AO179*AP179,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Row],[Par]])),(-(AO179-AO180)/AO179*AP179)+IF(TbTradesBinance[[#This Row],[Resultado]]&gt;0,0,TbTradesBinance[[#This Row],[Taxa]]),0),0))</f>
        <v>60.349858055862811</v>
      </c>
      <c r="AQ180" s="145">
        <f t="shared" si="48"/>
        <v>1572.9491224920475</v>
      </c>
      <c r="AR18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Row],[Tipo]]="DROP"),AR179+TbTradesBinance[[#This Row],[Qtt]],AR179-TbTradesBinance[[#This Row],[Qtt]]),IF(TbTradesBinance[[#This Row],[Tipo]]="BUY",AR179-TbTradesBinance[[#This Row],[Qtt]]*TbTradesBinance[[#This Row],[Preço]],AR179+TbTradesBinance[[#This Row],[Qtt]]*TbTradesBinance[[#This Row],[Preço]])),AR179)-IF(TbTradesBinance[[#This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Row],[Tipo]]="DROP"),AR179+TbTradesBinance[[#This Row],[Qtt]],AR179-TbTradesBinance[[#This Row],[Qtt]]),IF(TbTradesBinance[[#This Row],[Tipo]]="BUY",AR179-TbTradesBinance[[#This Row],[Qtt]]*TbTradesBinance[[#This Row],[Preço]],AR179+TbTradesBinance[[#This Row],[Qtt]]*TbTradesBinance[[#This Row],[Preço]])),AR179)-IF(TbTradesBinance[[#This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Row],[Tipo]]="DROP"),AR179+TbTradesBinance[[#This Row],[Qtt]],AR179-TbTradesBinance[[#This Row],[Qtt]]),IF(TbTradesBinance[[#This Row],[Tipo]]="BUY",AR179-TbTradesBinance[[#This Row],[Qtt]]*TbTradesBinance[[#This Row],[Preço]],AR179+TbTradesBinance[[#This Row],[Qtt]]*TbTradesBinance[[#This Row],[Preço]])),AR179)-IF(TbTradesBinance[[#This Row],[Moeda da Taxa]]=MID(AR$1,9,5),TbTradesBinance[[#This Row],[Taxa]],0),8)))</f>
        <v>0</v>
      </c>
      <c r="AS180" s="145" cm="1">
        <f t="array" ref="AS180">IF(TbTradesBinance[[#This Row],[Tipo]]="EMPTY",0,AS179+IF(TbTradesBinance[[#This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Row],[Par]]))),$1:$1,0)),-(AR179-AR180)/AR179*AS179),0),0)+IF(TbTradesBinance[[#This Row],[Tipo]]="SELL",IF(ISNUMBER(FIND(MID(AS$1,10,5),TbTradesBinance[[#This Row],[Par]])),IF(FIND(MID(AS$1,10,5),TbTradesBinance[[#This Row],[Par]])=1, -(AR179-AR180)/AR179*AS179,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Row],[Par]])),(-(AR179-AR180)/AR179*AS179)+IF(TbTradesBinance[[#This Row],[Resultado]]&gt;0,0,TbTradesBinance[[#This Row],[Taxa]]),0),0))</f>
        <v>0</v>
      </c>
      <c r="AT180" s="145">
        <f t="shared" si="49"/>
        <v>0</v>
      </c>
      <c r="AU18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Row],[Tipo]]="DROP"),AU179+TbTradesBinance[[#This Row],[Qtt]],AU179-TbTradesBinance[[#This Row],[Qtt]]),IF(TbTradesBinance[[#This Row],[Tipo]]="BUY",AU179-TbTradesBinance[[#This Row],[Qtt]]*TbTradesBinance[[#This Row],[Preço]],AU179+TbTradesBinance[[#This Row],[Qtt]]*TbTradesBinance[[#This Row],[Preço]])),AU179)-IF(TbTradesBinance[[#This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Row],[Tipo]]="DROP"),AU179+TbTradesBinance[[#This Row],[Qtt]],AU179-TbTradesBinance[[#This Row],[Qtt]]),IF(TbTradesBinance[[#This Row],[Tipo]]="BUY",AU179-TbTradesBinance[[#This Row],[Qtt]]*TbTradesBinance[[#This Row],[Preço]],AU179+TbTradesBinance[[#This Row],[Qtt]]*TbTradesBinance[[#This Row],[Preço]])),AU179)-IF(TbTradesBinance[[#This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Row],[Tipo]]="DROP"),AU179+TbTradesBinance[[#This Row],[Qtt]],AU179-TbTradesBinance[[#This Row],[Qtt]]),IF(TbTradesBinance[[#This Row],[Tipo]]="BUY",AU179-TbTradesBinance[[#This Row],[Qtt]]*TbTradesBinance[[#This Row],[Preço]],AU179+TbTradesBinance[[#This Row],[Qtt]]*TbTradesBinance[[#This Row],[Preço]])),AU179)-IF(TbTradesBinance[[#This Row],[Moeda da Taxa]]=MID(AU$1,9,5),TbTradesBinance[[#This Row],[Taxa]],0),8)))</f>
        <v>0.51</v>
      </c>
      <c r="AV180" s="145" cm="1">
        <f t="array" ref="AV180">IF(TbTradesBinance[[#This Row],[Tipo]]="EMPTY",0,AV179+IF(TbTradesBinance[[#This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Row],[Par]]))),$1:$1,0)),-(AU179-AU180)/AU179*AV179),0),0)+IF(TbTradesBinance[[#This Row],[Tipo]]="SELL",IF(ISNUMBER(FIND(MID(AV$1,10,5),TbTradesBinance[[#This Row],[Par]])),IF(FIND(MID(AV$1,10,5),TbTradesBinance[[#This Row],[Par]])=1, -(AU179-AU180)/AU179*AV179,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Row],[Par]])),(-(AU179-AU180)/AU179*AV179)+IF(TbTradesBinance[[#This Row],[Resultado]]&gt;0,0,TbTradesBinance[[#This Row],[Taxa]]),0),0))</f>
        <v>95.466693037374753</v>
      </c>
      <c r="AW180" s="145">
        <f t="shared" si="50"/>
        <v>187.18959419093088</v>
      </c>
      <c r="AX18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Row],[Tipo]]="DROP"),AX179+TbTradesBinance[[#This Row],[Qtt]],AX179-TbTradesBinance[[#This Row],[Qtt]]),IF(TbTradesBinance[[#This Row],[Tipo]]="BUY",AX179-TbTradesBinance[[#This Row],[Qtt]]*TbTradesBinance[[#This Row],[Preço]],AX179+TbTradesBinance[[#This Row],[Qtt]]*TbTradesBinance[[#This Row],[Preço]])),AX179)-IF(TbTradesBinance[[#This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Row],[Tipo]]="DROP"),AX179+TbTradesBinance[[#This Row],[Qtt]],AX179-TbTradesBinance[[#This Row],[Qtt]]),IF(TbTradesBinance[[#This Row],[Tipo]]="BUY",AX179-TbTradesBinance[[#This Row],[Qtt]]*TbTradesBinance[[#This Row],[Preço]],AX179+TbTradesBinance[[#This Row],[Qtt]]*TbTradesBinance[[#This Row],[Preço]])),AX179)-IF(TbTradesBinance[[#This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Row],[Tipo]]="DROP"),AX179+TbTradesBinance[[#This Row],[Qtt]],AX179-TbTradesBinance[[#This Row],[Qtt]]),IF(TbTradesBinance[[#This Row],[Tipo]]="BUY",AX179-TbTradesBinance[[#This Row],[Qtt]]*TbTradesBinance[[#This Row],[Preço]],AX179+TbTradesBinance[[#This Row],[Qtt]]*TbTradesBinance[[#This Row],[Preço]])),AX179)-IF(TbTradesBinance[[#This Row],[Moeda da Taxa]]=MID(AX$1,9,5),TbTradesBinance[[#This Row],[Taxa]],0),8)))</f>
        <v>0.32838000000000001</v>
      </c>
      <c r="AY180" s="145" cm="1">
        <f t="array" ref="AY180">IF(TbTradesBinance[[#This Row],[Tipo]]="EMPTY",0,AY179+IF(TbTradesBinance[[#This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Row],[Par]]))),$1:$1,0)),-(AX179-AX180)/AX179*AY179),0),0)+IF(TbTradesBinance[[#This Row],[Tipo]]="SELL",IF(ISNUMBER(FIND(MID(AY$1,10,5),TbTradesBinance[[#This Row],[Par]])),IF(FIND(MID(AY$1,10,5),TbTradesBinance[[#This Row],[Par]])=1, -(AX179-AX180)/AX179*AY179,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Row],[Par]])),(-(AX179-AX180)/AX179*AY179)+IF(TbTradesBinance[[#This Row],[Resultado]]&gt;0,0,TbTradesBinance[[#This Row],[Taxa]]),0),0))</f>
        <v>61.364116058805678</v>
      </c>
      <c r="AZ180" s="145">
        <f t="shared" si="51"/>
        <v>186.869224857804</v>
      </c>
      <c r="BA18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Row],[Tipo]]="DROP"),BA179+TbTradesBinance[[#This Row],[Qtt]],BA179-TbTradesBinance[[#This Row],[Qtt]]),IF(TbTradesBinance[[#This Row],[Tipo]]="BUY",BA179-TbTradesBinance[[#This Row],[Qtt]]*TbTradesBinance[[#This Row],[Preço]],BA179+TbTradesBinance[[#This Row],[Qtt]]*TbTradesBinance[[#This Row],[Preço]])),BA179)-IF(TbTradesBinance[[#This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Row],[Tipo]]="DROP"),BA179+TbTradesBinance[[#This Row],[Qtt]],BA179-TbTradesBinance[[#This Row],[Qtt]]),IF(TbTradesBinance[[#This Row],[Tipo]]="BUY",BA179-TbTradesBinance[[#This Row],[Qtt]]*TbTradesBinance[[#This Row],[Preço]],BA179+TbTradesBinance[[#This Row],[Qtt]]*TbTradesBinance[[#This Row],[Preço]])),BA179)-IF(TbTradesBinance[[#This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Row],[Tipo]]="DROP"),BA179+TbTradesBinance[[#This Row],[Qtt]],BA179-TbTradesBinance[[#This Row],[Qtt]]),IF(TbTradesBinance[[#This Row],[Tipo]]="BUY",BA179-TbTradesBinance[[#This Row],[Qtt]]*TbTradesBinance[[#This Row],[Preço]],BA179+TbTradesBinance[[#This Row],[Qtt]]*TbTradesBinance[[#This Row],[Preço]])),BA179)-IF(TbTradesBinance[[#This Row],[Moeda da Taxa]]=MID(BA$1,9,5),TbTradesBinance[[#This Row],[Taxa]],0),8)))</f>
        <v>0</v>
      </c>
      <c r="BB180" s="145" cm="1">
        <f t="array" ref="BB180">IF(TbTradesBinance[[#This Row],[Tipo]]="EMPTY",0,BB179+IF(TbTradesBinance[[#This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Row],[Par]]))),$1:$1,0)),-(BA179-BA180)/BA179*BB179),0),0)+IF(TbTradesBinance[[#This Row],[Tipo]]="SELL",IF(ISNUMBER(FIND(MID(BB$1,10,5),TbTradesBinance[[#This Row],[Par]])),IF(FIND(MID(BB$1,10,5),TbTradesBinance[[#This Row],[Par]])=1, -(BA179-BA180)/BA179*BB179,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Row],[Par]])),(-(BA179-BA180)/BA179*BB179)+IF(TbTradesBinance[[#This Row],[Resultado]]&gt;0,0,TbTradesBinance[[#This Row],[Taxa]]),0),0))</f>
        <v>0</v>
      </c>
      <c r="BC180" s="145">
        <f t="shared" si="52"/>
        <v>0</v>
      </c>
      <c r="BD18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Row],[Tipo]]="DROP"),BD179+TbTradesBinance[[#This Row],[Qtt]],BD179-TbTradesBinance[[#This Row],[Qtt]]),IF(TbTradesBinance[[#This Row],[Tipo]]="BUY",BD179-TbTradesBinance[[#This Row],[Qtt]]*TbTradesBinance[[#This Row],[Preço]],BD179+TbTradesBinance[[#This Row],[Qtt]]*TbTradesBinance[[#This Row],[Preço]])),BD179)-IF(TbTradesBinance[[#This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Row],[Tipo]]="DROP"),BD179+TbTradesBinance[[#This Row],[Qtt]],BD179-TbTradesBinance[[#This Row],[Qtt]]),IF(TbTradesBinance[[#This Row],[Tipo]]="BUY",BD179-TbTradesBinance[[#This Row],[Qtt]]*TbTradesBinance[[#This Row],[Preço]],BD179+TbTradesBinance[[#This Row],[Qtt]]*TbTradesBinance[[#This Row],[Preço]])),BD179)-IF(TbTradesBinance[[#This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Row],[Tipo]]="DROP"),BD179+TbTradesBinance[[#This Row],[Qtt]],BD179-TbTradesBinance[[#This Row],[Qtt]]),IF(TbTradesBinance[[#This Row],[Tipo]]="BUY",BD179-TbTradesBinance[[#This Row],[Qtt]]*TbTradesBinance[[#This Row],[Preço]],BD179+TbTradesBinance[[#This Row],[Qtt]]*TbTradesBinance[[#This Row],[Preço]])),BD179)-IF(TbTradesBinance[[#This Row],[Moeda da Taxa]]=MID(BD$1,9,5),TbTradesBinance[[#This Row],[Taxa]],0),8)))</f>
        <v>0</v>
      </c>
      <c r="BE180" s="145" cm="1">
        <f t="array" ref="BE180">IF(TbTradesBinance[[#This Row],[Tipo]]="EMPTY",0,BE179+IF(TbTradesBinance[[#This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Row],[Par]]))),$1:$1,0)),-(BD179-BD180)/BD179*BE179),0),0)+IF(TbTradesBinance[[#This Row],[Tipo]]="SELL",IF(ISNUMBER(FIND(MID(BE$1,10,5),TbTradesBinance[[#This Row],[Par]])),IF(FIND(MID(BE$1,10,5),TbTradesBinance[[#This Row],[Par]])=1, -(BD179-BD180)/BD179*BE179,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Row],[Par]])),(-(BD179-BD180)/BD179*BE179)+IF(TbTradesBinance[[#This Row],[Resultado]]&gt;0,0,TbTradesBinance[[#This Row],[Taxa]]),0),0))</f>
        <v>0</v>
      </c>
      <c r="BF180" s="145">
        <f t="shared" si="53"/>
        <v>0</v>
      </c>
      <c r="BG18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Row],[Tipo]]="DROP"),BG179+TbTradesBinance[[#This Row],[Qtt]],BG179-TbTradesBinance[[#This Row],[Qtt]]),IF(TbTradesBinance[[#This Row],[Tipo]]="BUY",BG179-TbTradesBinance[[#This Row],[Qtt]]*TbTradesBinance[[#This Row],[Preço]],BG179+TbTradesBinance[[#This Row],[Qtt]]*TbTradesBinance[[#This Row],[Preço]])),BG179)-IF(TbTradesBinance[[#This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Row],[Tipo]]="DROP"),BG179+TbTradesBinance[[#This Row],[Qtt]],BG179-TbTradesBinance[[#This Row],[Qtt]]),IF(TbTradesBinance[[#This Row],[Tipo]]="BUY",BG179-TbTradesBinance[[#This Row],[Qtt]]*TbTradesBinance[[#This Row],[Preço]],BG179+TbTradesBinance[[#This Row],[Qtt]]*TbTradesBinance[[#This Row],[Preço]])),BG179)-IF(TbTradesBinance[[#This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Row],[Tipo]]="DROP"),BG179+TbTradesBinance[[#This Row],[Qtt]],BG179-TbTradesBinance[[#This Row],[Qtt]]),IF(TbTradesBinance[[#This Row],[Tipo]]="BUY",BG179-TbTradesBinance[[#This Row],[Qtt]]*TbTradesBinance[[#This Row],[Preço]],BG179+TbTradesBinance[[#This Row],[Qtt]]*TbTradesBinance[[#This Row],[Preço]])),BG179)-IF(TbTradesBinance[[#This Row],[Moeda da Taxa]]=MID(BG$1,9,5),TbTradesBinance[[#This Row],[Taxa]],0),8)))</f>
        <v>0</v>
      </c>
      <c r="BH180" s="145" cm="1">
        <f t="array" ref="BH180">IF(TbTradesBinance[[#This Row],[Tipo]]="EMPTY",0,BH179+IF(TbTradesBinance[[#This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Row],[Par]]))),$1:$1,0)),-(BG179-BG180)/BG179*BH179),0),0)+IF(TbTradesBinance[[#This Row],[Tipo]]="SELL",IF(ISNUMBER(FIND(MID(BH$1,10,5),TbTradesBinance[[#This Row],[Par]])),IF(FIND(MID(BH$1,10,5),TbTradesBinance[[#This Row],[Par]])=1, -(BG179-BG180)/BG179*BH179,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Row],[Par]])),(-(BG179-BG180)/BG179*BH179)+IF(TbTradesBinance[[#This Row],[Resultado]]&gt;0,0,TbTradesBinance[[#This Row],[Taxa]]),0),0))</f>
        <v>0</v>
      </c>
      <c r="BI180" s="145">
        <f t="shared" si="54"/>
        <v>0</v>
      </c>
      <c r="BJ18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Row],[Tipo]]="DROP"),BJ179+TbTradesBinance[[#This Row],[Qtt]],BJ179-TbTradesBinance[[#This Row],[Qtt]]),IF(TbTradesBinance[[#This Row],[Tipo]]="BUY",BJ179-TbTradesBinance[[#This Row],[Qtt]]*TbTradesBinance[[#This Row],[Preço]],BJ179+TbTradesBinance[[#This Row],[Qtt]]*TbTradesBinance[[#This Row],[Preço]])),BJ179)-IF(TbTradesBinance[[#This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Row],[Tipo]]="DROP"),BJ179+TbTradesBinance[[#This Row],[Qtt]],BJ179-TbTradesBinance[[#This Row],[Qtt]]),IF(TbTradesBinance[[#This Row],[Tipo]]="BUY",BJ179-TbTradesBinance[[#This Row],[Qtt]]*TbTradesBinance[[#This Row],[Preço]],BJ179+TbTradesBinance[[#This Row],[Qtt]]*TbTradesBinance[[#This Row],[Preço]])),BJ179)-IF(TbTradesBinance[[#This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Row],[Tipo]]="DROP"),BJ179+TbTradesBinance[[#This Row],[Qtt]],BJ179-TbTradesBinance[[#This Row],[Qtt]]),IF(TbTradesBinance[[#This Row],[Tipo]]="BUY",BJ179-TbTradesBinance[[#This Row],[Qtt]]*TbTradesBinance[[#This Row],[Preço]],BJ179+TbTradesBinance[[#This Row],[Qtt]]*TbTradesBinance[[#This Row],[Preço]])),BJ179)-IF(TbTradesBinance[[#This Row],[Moeda da Taxa]]=MID(BJ$1,9,5),TbTradesBinance[[#This Row],[Taxa]],0),8)))</f>
        <v>0</v>
      </c>
      <c r="BK180" s="145" cm="1">
        <f t="array" ref="BK180">IF(TbTradesBinance[[#This Row],[Tipo]]="EMPTY",0,BK179+IF(TbTradesBinance[[#This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Row],[Par]]))),$1:$1,0)),-(BJ179-BJ180)/BJ179*BK179),0),0)+IF(TbTradesBinance[[#This Row],[Tipo]]="SELL",IF(ISNUMBER(FIND(MID(BK$1,10,5),TbTradesBinance[[#This Row],[Par]])),IF(FIND(MID(BK$1,10,5),TbTradesBinance[[#This Row],[Par]])=1, -(BJ179-BJ180)/BJ179*BK179,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Row],[Par]])),(-(BJ179-BJ180)/BJ179*BK179)+IF(TbTradesBinance[[#This Row],[Resultado]]&gt;0,0,TbTradesBinance[[#This Row],[Taxa]]),0),0))</f>
        <v>0</v>
      </c>
      <c r="BL180" s="145">
        <f t="shared" si="55"/>
        <v>0</v>
      </c>
      <c r="BM18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Row],[Tipo]]="DROP"),BM179+TbTradesBinance[[#This Row],[Qtt]],BM179-TbTradesBinance[[#This Row],[Qtt]]),IF(TbTradesBinance[[#This Row],[Tipo]]="BUY",BM179-TbTradesBinance[[#This Row],[Qtt]]*TbTradesBinance[[#This Row],[Preço]],BM179+TbTradesBinance[[#This Row],[Qtt]]*TbTradesBinance[[#This Row],[Preço]])),BM179)-IF(TbTradesBinance[[#This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Row],[Tipo]]="DROP"),BM179+TbTradesBinance[[#This Row],[Qtt]],BM179-TbTradesBinance[[#This Row],[Qtt]]),IF(TbTradesBinance[[#This Row],[Tipo]]="BUY",BM179-TbTradesBinance[[#This Row],[Qtt]]*TbTradesBinance[[#This Row],[Preço]],BM179+TbTradesBinance[[#This Row],[Qtt]]*TbTradesBinance[[#This Row],[Preço]])),BM179)-IF(TbTradesBinance[[#This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Row],[Tipo]]="DROP"),BM179+TbTradesBinance[[#This Row],[Qtt]],BM179-TbTradesBinance[[#This Row],[Qtt]]),IF(TbTradesBinance[[#This Row],[Tipo]]="BUY",BM179-TbTradesBinance[[#This Row],[Qtt]]*TbTradesBinance[[#This Row],[Preço]],BM179+TbTradesBinance[[#This Row],[Qtt]]*TbTradesBinance[[#This Row],[Preço]])),BM179)-IF(TbTradesBinance[[#This Row],[Moeda da Taxa]]=MID(BM$1,9,5),TbTradesBinance[[#This Row],[Taxa]],0),8)))</f>
        <v>0</v>
      </c>
      <c r="BN180" s="145" cm="1">
        <f t="array" ref="BN180">IF(TbTradesBinance[[#This Row],[Tipo]]="EMPTY",0,BN179+IF(TbTradesBinance[[#This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Row],[Par]]))),$1:$1,0)),-(BM179-BM180)/BM179*BN179),0),0)+IF(TbTradesBinance[[#This Row],[Tipo]]="SELL",IF(ISNUMBER(FIND(MID(BN$1,10,5),TbTradesBinance[[#This Row],[Par]])),IF(FIND(MID(BN$1,10,5),TbTradesBinance[[#This Row],[Par]])=1, -(BM179-BM180)/BM179*BN179,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Row],[Par]])),(-(BM179-BM180)/BM179*BN179)+IF(TbTradesBinance[[#This Row],[Resultado]]&gt;0,0,TbTradesBinance[[#This Row],[Taxa]]),0),0))</f>
        <v>0</v>
      </c>
      <c r="BO180" s="145">
        <f t="shared" si="56"/>
        <v>0</v>
      </c>
    </row>
    <row r="181" spans="2:67" x14ac:dyDescent="0.3">
      <c r="B181" s="51"/>
      <c r="C181" s="40">
        <f>TRUNC(IF(AND(TbTradesBinance[[#This Row],[Tipo]]="SEND",TbTradesBinance[[#This Row],[Par]]="BRL"),TbTradesBinance[[#This Row],[Qtt]]*(1-P179)-IF(TbTradesBinance[[#This Row],[Moeda da Taxa]]="BRL",TbTradesBinance[[#This Row],[Taxa]],0),0)+IF(AND(TbTradesBinance[[#This Row],[Tipo]]="BURN",TbTradesBinance[[#This Row],[Par]]="BRL"),-TbTradesBinance[[#This Row],[Qtt]]*P179,0),2)</f>
        <v>0</v>
      </c>
      <c r="D181" s="53">
        <v>44335.070532407408</v>
      </c>
      <c r="E181" s="37" t="s">
        <v>138</v>
      </c>
      <c r="F181" s="47" t="s">
        <v>139</v>
      </c>
      <c r="G181" s="38">
        <v>209018</v>
      </c>
      <c r="H181" s="38">
        <v>5.0000000000000002E-5</v>
      </c>
      <c r="I181" s="38">
        <v>3.4999999999999999E-6</v>
      </c>
      <c r="J181" s="37" t="s">
        <v>45</v>
      </c>
      <c r="K181" s="52">
        <v>1</v>
      </c>
      <c r="L181" s="40">
        <f t="shared" si="38"/>
        <v>209018</v>
      </c>
      <c r="M181" s="40">
        <f>IF(OR(TbTradesBinance[[#This Row],[Tipo]]="BUY",TbTradesBinance[[#This Row],[Tipo]]="RECEIVE",TbTradesBinance[[#This Row],[Tipo]]="DROP"),L181*H181,-L181*H181)</f>
        <v>10.450900000000001</v>
      </c>
      <c r="N18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Row],[Tipo]]="DROP"),N180+TbTradesBinance[[#This Row],[Qtt]],N180-TbTradesBinance[[#This Row],[Qtt]]),IF(TbTradesBinance[[#This Row],[Tipo]]="BUY",N180-TbTradesBinance[[#This Row],[Qtt]]*TbTradesBinance[[#This Row],[Preço]],N180+TbTradesBinance[[#This Row],[Qtt]]*TbTradesBinance[[#This Row],[Preço]])),N180)-IF(TbTradesBinance[[#This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Row],[Tipo]]="DROP"),N180+TbTradesBinance[[#This Row],[Qtt]],N180-TbTradesBinance[[#This Row],[Qtt]]),IF(TbTradesBinance[[#This Row],[Tipo]]="BUY",N180-TbTradesBinance[[#This Row],[Qtt]]*TbTradesBinance[[#This Row],[Preço]],N180+TbTradesBinance[[#This Row],[Qtt]]*TbTradesBinance[[#This Row],[Preço]])),N180)-IF(TbTradesBinance[[#This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Row],[Tipo]]="DROP"),N180+TbTradesBinance[[#This Row],[Qtt]],N180-TbTradesBinance[[#This Row],[Qtt]]),IF(TbTradesBinance[[#This Row],[Tipo]]="BUY",N180-TbTradesBinance[[#This Row],[Qtt]]*TbTradesBinance[[#This Row],[Preço]],N180+TbTradesBinance[[#This Row],[Qtt]]*TbTradesBinance[[#This Row],[Preço]])),N180)-IF(TbTradesBinance[[#This Row],[Moeda da Taxa]]=MID(N$1,9,5),TbTradesBinance[[#This Row],[Taxa]],0),8)))</f>
        <v>119745.58804798999</v>
      </c>
      <c r="O181" s="145" cm="1">
        <f t="array" ref="O181">IF(TbTradesBinance[[#This Row],[Tipo]]="EMPTY",0,O180+IF(TbTradesBinance[[#This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Row],[Par]]))),$1:$1,0)),-(N180-N181)/N180*O180),0),0)+IF(TbTradesBinance[[#This Row],[Tipo]]="SELL",IF(ISNUMBER(FIND(MID(O$1,10,5),TbTradesBinance[[#This Row],[Par]])),IF(FIND(MID(O$1,10,5),TbTradesBinance[[#This Row],[Par]])=1, -(N180-N181)/N180*O180,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Row],[Par]])),(-(N180-N181)/N180*O180)+IF(TbTradesBinance[[#This Row],[Resultado]]&gt;0,0,TbTradesBinance[[#This Row],[Taxa]]),0),0))</f>
        <v>119844.14986894446</v>
      </c>
      <c r="P181" s="145">
        <f t="shared" si="39"/>
        <v>1.0008230935482563</v>
      </c>
      <c r="Q18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Row],[Tipo]]="DROP"),Q180+TbTradesBinance[[#This Row],[Qtt]],Q180-TbTradesBinance[[#This Row],[Qtt]]),IF(TbTradesBinance[[#This Row],[Tipo]]="BUY",Q180-TbTradesBinance[[#This Row],[Qtt]]*TbTradesBinance[[#This Row],[Preço]],Q180+TbTradesBinance[[#This Row],[Qtt]]*TbTradesBinance[[#This Row],[Preço]])),Q180)-IF(TbTradesBinance[[#This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Row],[Tipo]]="DROP"),Q180+TbTradesBinance[[#This Row],[Qtt]],Q180-TbTradesBinance[[#This Row],[Qtt]]),IF(TbTradesBinance[[#This Row],[Tipo]]="BUY",Q180-TbTradesBinance[[#This Row],[Qtt]]*TbTradesBinance[[#This Row],[Preço]],Q180+TbTradesBinance[[#This Row],[Qtt]]*TbTradesBinance[[#This Row],[Preço]])),Q180)-IF(TbTradesBinance[[#This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Row],[Tipo]]="DROP"),Q180+TbTradesBinance[[#This Row],[Qtt]],Q180-TbTradesBinance[[#This Row],[Qtt]]),IF(TbTradesBinance[[#This Row],[Tipo]]="BUY",Q180-TbTradesBinance[[#This Row],[Qtt]]*TbTradesBinance[[#This Row],[Preço]],Q180+TbTradesBinance[[#This Row],[Qtt]]*TbTradesBinance[[#This Row],[Preço]])),Q180)-IF(TbTradesBinance[[#This Row],[Moeda da Taxa]]=MID(Q$1,9,5),TbTradesBinance[[#This Row],[Taxa]],0),8)))</f>
        <v>12.809246870000001</v>
      </c>
      <c r="R181" s="145" cm="1">
        <f t="array" ref="R181">IF(TbTradesBinance[[#This Row],[Tipo]]="EMPTY",0,R180+IF(TbTradesBinance[[#This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Row],[Par]]))),$1:$1,0)),-(Q180-Q181)/Q180*R180),0),0)+IF(TbTradesBinance[[#This Row],[Tipo]]="SELL",IF(ISNUMBER(FIND(MID(R$1,10,5),TbTradesBinance[[#This Row],[Par]])),IF(FIND(MID(R$1,10,5),TbTradesBinance[[#This Row],[Par]])=1, -(Q180-Q181)/Q180*R180,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Row],[Par]])),(-(Q180-Q181)/Q180*R180)+IF(TbTradesBinance[[#This Row],[Resultado]]&gt;0,0,TbTradesBinance[[#This Row],[Taxa]]),0),0))</f>
        <v>59.972969019700258</v>
      </c>
      <c r="S181" s="145">
        <f t="shared" si="40"/>
        <v>4.6820058687572361</v>
      </c>
      <c r="T18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Row],[Tipo]]="DROP"),T180+TbTradesBinance[[#This Row],[Qtt]],T180-TbTradesBinance[[#This Row],[Qtt]]),IF(TbTradesBinance[[#This Row],[Tipo]]="BUY",T180-TbTradesBinance[[#This Row],[Qtt]]*TbTradesBinance[[#This Row],[Preço]],T180+TbTradesBinance[[#This Row],[Qtt]]*TbTradesBinance[[#This Row],[Preço]])),T180)-IF(TbTradesBinance[[#This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Row],[Tipo]]="DROP"),T180+TbTradesBinance[[#This Row],[Qtt]],T180-TbTradesBinance[[#This Row],[Qtt]]),IF(TbTradesBinance[[#This Row],[Tipo]]="BUY",T180-TbTradesBinance[[#This Row],[Qtt]]*TbTradesBinance[[#This Row],[Preço]],T180+TbTradesBinance[[#This Row],[Qtt]]*TbTradesBinance[[#This Row],[Preço]])),T180)-IF(TbTradesBinance[[#This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Row],[Tipo]]="DROP"),T180+TbTradesBinance[[#This Row],[Qtt]],T180-TbTradesBinance[[#This Row],[Qtt]]),IF(TbTradesBinance[[#This Row],[Tipo]]="BUY",T180-TbTradesBinance[[#This Row],[Qtt]]*TbTradesBinance[[#This Row],[Preço]],T180+TbTradesBinance[[#This Row],[Qtt]]*TbTradesBinance[[#This Row],[Preço]])),T180)-IF(TbTradesBinance[[#This Row],[Moeda da Taxa]]=MID(T$1,9,5),TbTradesBinance[[#This Row],[Taxa]],0),8)))</f>
        <v>219713.72000189999</v>
      </c>
      <c r="U181" s="145" cm="1">
        <f t="array" ref="U181">IF(TbTradesBinance[[#This Row],[Tipo]]="EMPTY",0,U180+IF(TbTradesBinance[[#This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Row],[Par]]))),$1:$1,0)),-(T180-T181)/T180*U180),0),0)+IF(TbTradesBinance[[#This Row],[Tipo]]="SELL",IF(ISNUMBER(FIND(MID(U$1,10,5),TbTradesBinance[[#This Row],[Par]])),IF(FIND(MID(U$1,10,5),TbTradesBinance[[#This Row],[Par]])=1, -(T180-T181)/T180*U180,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Row],[Par]])),(-(T180-T181)/T180*U180)+IF(TbTradesBinance[[#This Row],[Resultado]]&gt;0,0,TbTradesBinance[[#This Row],[Taxa]]),0),0))</f>
        <v>1461096.2409827893</v>
      </c>
      <c r="V181" s="145">
        <f t="shared" si="41"/>
        <v>6.6500000135182926</v>
      </c>
      <c r="W18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Row],[Tipo]]="DROP"),W180+TbTradesBinance[[#This Row],[Qtt]],W180-TbTradesBinance[[#This Row],[Qtt]]),IF(TbTradesBinance[[#This Row],[Tipo]]="BUY",W180-TbTradesBinance[[#This Row],[Qtt]]*TbTradesBinance[[#This Row],[Preço]],W180+TbTradesBinance[[#This Row],[Qtt]]*TbTradesBinance[[#This Row],[Preço]])),W180)-IF(TbTradesBinance[[#This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Row],[Tipo]]="DROP"),W180+TbTradesBinance[[#This Row],[Qtt]],W180-TbTradesBinance[[#This Row],[Qtt]]),IF(TbTradesBinance[[#This Row],[Tipo]]="BUY",W180-TbTradesBinance[[#This Row],[Qtt]]*TbTradesBinance[[#This Row],[Preço]],W180+TbTradesBinance[[#This Row],[Qtt]]*TbTradesBinance[[#This Row],[Preço]])),W180)-IF(TbTradesBinance[[#This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Row],[Tipo]]="DROP"),W180+TbTradesBinance[[#This Row],[Qtt]],W180-TbTradesBinance[[#This Row],[Qtt]]),IF(TbTradesBinance[[#This Row],[Tipo]]="BUY",W180-TbTradesBinance[[#This Row],[Qtt]]*TbTradesBinance[[#This Row],[Preço]],W180+TbTradesBinance[[#This Row],[Qtt]]*TbTradesBinance[[#This Row],[Preço]])),W180)-IF(TbTradesBinance[[#This Row],[Moeda da Taxa]]=MID(W$1,9,5),TbTradesBinance[[#This Row],[Taxa]],0),8)))</f>
        <v>6.4234999999999997E-4</v>
      </c>
      <c r="X181" s="145" cm="1">
        <f t="array" ref="X181">IF(TbTradesBinance[[#This Row],[Tipo]]="EMPTY",0,X180+IF(TbTradesBinance[[#This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Row],[Par]]))),$1:$1,0)),-(W180-W181)/W180*X180),0),0)+IF(TbTradesBinance[[#This Row],[Tipo]]="SELL",IF(ISNUMBER(FIND(MID(X$1,10,5),TbTradesBinance[[#This Row],[Par]])),IF(FIND(MID(X$1,10,5),TbTradesBinance[[#This Row],[Par]])=1, -(W180-W181)/W180*X180,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Row],[Par]])),(-(W180-W181)/W180*X180)+IF(TbTradesBinance[[#This Row],[Resultado]]&gt;0,0,TbTradesBinance[[#This Row],[Taxa]]),0),0))</f>
        <v>142.14675604752981</v>
      </c>
      <c r="Y181" s="145">
        <f t="shared" si="42"/>
        <v>221291.7506772473</v>
      </c>
      <c r="Z18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Row],[Tipo]]="DROP"),Z180+TbTradesBinance[[#This Row],[Qtt]],Z180-TbTradesBinance[[#This Row],[Qtt]]),IF(TbTradesBinance[[#This Row],[Tipo]]="BUY",Z180-TbTradesBinance[[#This Row],[Qtt]]*TbTradesBinance[[#This Row],[Preço]],Z180+TbTradesBinance[[#This Row],[Qtt]]*TbTradesBinance[[#This Row],[Preço]])),Z180)-IF(TbTradesBinance[[#This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Row],[Tipo]]="DROP"),Z180+TbTradesBinance[[#This Row],[Qtt]],Z180-TbTradesBinance[[#This Row],[Qtt]]),IF(TbTradesBinance[[#This Row],[Tipo]]="BUY",Z180-TbTradesBinance[[#This Row],[Qtt]]*TbTradesBinance[[#This Row],[Preço]],Z180+TbTradesBinance[[#This Row],[Qtt]]*TbTradesBinance[[#This Row],[Preço]])),Z180)-IF(TbTradesBinance[[#This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Row],[Tipo]]="DROP"),Z180+TbTradesBinance[[#This Row],[Qtt]],Z180-TbTradesBinance[[#This Row],[Qtt]]),IF(TbTradesBinance[[#This Row],[Tipo]]="BUY",Z180-TbTradesBinance[[#This Row],[Qtt]]*TbTradesBinance[[#This Row],[Preço]],Z180+TbTradesBinance[[#This Row],[Qtt]]*TbTradesBinance[[#This Row],[Preço]])),Z180)-IF(TbTradesBinance[[#This Row],[Moeda da Taxa]]=MID(Z$1,9,5),TbTradesBinance[[#This Row],[Taxa]],0),8)))</f>
        <v>0</v>
      </c>
      <c r="AA181" s="145" cm="1">
        <f t="array" ref="AA181">IF(TbTradesBinance[[#This Row],[Tipo]]="EMPTY",0,AA180+IF(TbTradesBinance[[#This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Row],[Par]]))),$1:$1,0)),-(Z180-Z181)/Z180*AA180),0),0)+IF(TbTradesBinance[[#This Row],[Tipo]]="SELL",IF(ISNUMBER(FIND(MID(AA$1,10,5),TbTradesBinance[[#This Row],[Par]])),IF(FIND(MID(AA$1,10,5),TbTradesBinance[[#This Row],[Par]])=1, -(Z180-Z181)/Z180*AA180,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Row],[Par]])),(-(Z180-Z181)/Z180*AA180)+IF(TbTradesBinance[[#This Row],[Resultado]]&gt;0,0,TbTradesBinance[[#This Row],[Taxa]]),0),0))</f>
        <v>0</v>
      </c>
      <c r="AB181" s="145">
        <f t="shared" si="43"/>
        <v>0</v>
      </c>
      <c r="AC18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Row],[Tipo]]="DROP"),AC180+TbTradesBinance[[#This Row],[Qtt]],AC180-TbTradesBinance[[#This Row],[Qtt]]),IF(TbTradesBinance[[#This Row],[Tipo]]="BUY",AC180-TbTradesBinance[[#This Row],[Qtt]]*TbTradesBinance[[#This Row],[Preço]],AC180+TbTradesBinance[[#This Row],[Qtt]]*TbTradesBinance[[#This Row],[Preço]])),AC180)-IF(TbTradesBinance[[#This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Row],[Tipo]]="DROP"),AC180+TbTradesBinance[[#This Row],[Qtt]],AC180-TbTradesBinance[[#This Row],[Qtt]]),IF(TbTradesBinance[[#This Row],[Tipo]]="BUY",AC180-TbTradesBinance[[#This Row],[Qtt]]*TbTradesBinance[[#This Row],[Preço]],AC180+TbTradesBinance[[#This Row],[Qtt]]*TbTradesBinance[[#This Row],[Preço]])),AC180)-IF(TbTradesBinance[[#This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Row],[Tipo]]="DROP"),AC180+TbTradesBinance[[#This Row],[Qtt]],AC180-TbTradesBinance[[#This Row],[Qtt]]),IF(TbTradesBinance[[#This Row],[Tipo]]="BUY",AC180-TbTradesBinance[[#This Row],[Qtt]]*TbTradesBinance[[#This Row],[Preço]],AC180+TbTradesBinance[[#This Row],[Qtt]]*TbTradesBinance[[#This Row],[Preço]])),AC180)-IF(TbTradesBinance[[#This Row],[Moeda da Taxa]]=MID(AC$1,9,5),TbTradesBinance[[#This Row],[Taxa]],0),8)))</f>
        <v>0</v>
      </c>
      <c r="AD181" s="145" cm="1">
        <f t="array" ref="AD181">IF(TbTradesBinance[[#This Row],[Tipo]]="EMPTY",0,AD180+IF(TbTradesBinance[[#This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Row],[Par]]))),$1:$1,0)),-(AC180-AC181)/AC180*AD180),0),0)+IF(TbTradesBinance[[#This Row],[Tipo]]="SELL",IF(ISNUMBER(FIND(MID(AD$1,10,5),TbTradesBinance[[#This Row],[Par]])),IF(FIND(MID(AD$1,10,5),TbTradesBinance[[#This Row],[Par]])=1, -(AC180-AC181)/AC180*AD180,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Row],[Par]])),(-(AC180-AC181)/AC180*AD180)+IF(TbTradesBinance[[#This Row],[Resultado]]&gt;0,0,TbTradesBinance[[#This Row],[Taxa]]),0),0))</f>
        <v>0</v>
      </c>
      <c r="AE181" s="145">
        <f t="shared" si="44"/>
        <v>0</v>
      </c>
      <c r="AF18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Row],[Tipo]]="DROP"),AF180+TbTradesBinance[[#This Row],[Qtt]],AF180-TbTradesBinance[[#This Row],[Qtt]]),IF(TbTradesBinance[[#This Row],[Tipo]]="BUY",AF180-TbTradesBinance[[#This Row],[Qtt]]*TbTradesBinance[[#This Row],[Preço]],AF180+TbTradesBinance[[#This Row],[Qtt]]*TbTradesBinance[[#This Row],[Preço]])),AF180)-IF(TbTradesBinance[[#This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Row],[Tipo]]="DROP"),AF180+TbTradesBinance[[#This Row],[Qtt]],AF180-TbTradesBinance[[#This Row],[Qtt]]),IF(TbTradesBinance[[#This Row],[Tipo]]="BUY",AF180-TbTradesBinance[[#This Row],[Qtt]]*TbTradesBinance[[#This Row],[Preço]],AF180+TbTradesBinance[[#This Row],[Qtt]]*TbTradesBinance[[#This Row],[Preço]])),AF180)-IF(TbTradesBinance[[#This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Row],[Tipo]]="DROP"),AF180+TbTradesBinance[[#This Row],[Qtt]],AF180-TbTradesBinance[[#This Row],[Qtt]]),IF(TbTradesBinance[[#This Row],[Tipo]]="BUY",AF180-TbTradesBinance[[#This Row],[Qtt]]*TbTradesBinance[[#This Row],[Preço]],AF180+TbTradesBinance[[#This Row],[Qtt]]*TbTradesBinance[[#This Row],[Preço]])),AF180)-IF(TbTradesBinance[[#This Row],[Moeda da Taxa]]=MID(AF$1,9,5),TbTradesBinance[[#This Row],[Taxa]],0),8)))</f>
        <v>0</v>
      </c>
      <c r="AG181" s="145" cm="1">
        <f t="array" ref="AG181">IF(TbTradesBinance[[#This Row],[Tipo]]="EMPTY",0,AG180+IF(TbTradesBinance[[#This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Row],[Par]]))),$1:$1,0)),-(AF180-AF181)/AF180*AG180),0),0)+IF(TbTradesBinance[[#This Row],[Tipo]]="SELL",IF(ISNUMBER(FIND(MID(AG$1,10,5),TbTradesBinance[[#This Row],[Par]])),IF(FIND(MID(AG$1,10,5),TbTradesBinance[[#This Row],[Par]])=1, -(AF180-AF181)/AF180*AG180,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Row],[Par]])),(-(AF180-AF181)/AF180*AG180)+IF(TbTradesBinance[[#This Row],[Resultado]]&gt;0,0,TbTradesBinance[[#This Row],[Taxa]]),0),0))</f>
        <v>0</v>
      </c>
      <c r="AH181" s="145">
        <f t="shared" si="45"/>
        <v>0</v>
      </c>
      <c r="AI18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Row],[Tipo]]="DROP"),AI180+TbTradesBinance[[#This Row],[Qtt]],AI180-TbTradesBinance[[#This Row],[Qtt]]),IF(TbTradesBinance[[#This Row],[Tipo]]="BUY",AI180-TbTradesBinance[[#This Row],[Qtt]]*TbTradesBinance[[#This Row],[Preço]],AI180+TbTradesBinance[[#This Row],[Qtt]]*TbTradesBinance[[#This Row],[Preço]])),AI180)-IF(TbTradesBinance[[#This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Row],[Tipo]]="DROP"),AI180+TbTradesBinance[[#This Row],[Qtt]],AI180-TbTradesBinance[[#This Row],[Qtt]]),IF(TbTradesBinance[[#This Row],[Tipo]]="BUY",AI180-TbTradesBinance[[#This Row],[Qtt]]*TbTradesBinance[[#This Row],[Preço]],AI180+TbTradesBinance[[#This Row],[Qtt]]*TbTradesBinance[[#This Row],[Preço]])),AI180)-IF(TbTradesBinance[[#This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Row],[Tipo]]="DROP"),AI180+TbTradesBinance[[#This Row],[Qtt]],AI180-TbTradesBinance[[#This Row],[Qtt]]),IF(TbTradesBinance[[#This Row],[Tipo]]="BUY",AI180-TbTradesBinance[[#This Row],[Qtt]]*TbTradesBinance[[#This Row],[Preço]],AI180+TbTradesBinance[[#This Row],[Qtt]]*TbTradesBinance[[#This Row],[Preço]])),AI180)-IF(TbTradesBinance[[#This Row],[Moeda da Taxa]]=MID(AI$1,9,5),TbTradesBinance[[#This Row],[Taxa]],0),8)))</f>
        <v>0</v>
      </c>
      <c r="AJ181" s="145" cm="1">
        <f t="array" ref="AJ181">IF(TbTradesBinance[[#This Row],[Tipo]]="EMPTY",0,AJ180+IF(TbTradesBinance[[#This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Row],[Par]]))),$1:$1,0)),-(AI180-AI181)/AI180*AJ180),0),0)+IF(TbTradesBinance[[#This Row],[Tipo]]="SELL",IF(ISNUMBER(FIND(MID(AJ$1,10,5),TbTradesBinance[[#This Row],[Par]])),IF(FIND(MID(AJ$1,10,5),TbTradesBinance[[#This Row],[Par]])=1, -(AI180-AI181)/AI180*AJ180,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Row],[Par]])),(-(AI180-AI181)/AI180*AJ180)+IF(TbTradesBinance[[#This Row],[Resultado]]&gt;0,0,TbTradesBinance[[#This Row],[Taxa]]),0),0))</f>
        <v>0</v>
      </c>
      <c r="AK181" s="145">
        <f t="shared" si="46"/>
        <v>0</v>
      </c>
      <c r="AL18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Row],[Tipo]]="DROP"),AL180+TbTradesBinance[[#This Row],[Qtt]],AL180-TbTradesBinance[[#This Row],[Qtt]]),IF(TbTradesBinance[[#This Row],[Tipo]]="BUY",AL180-TbTradesBinance[[#This Row],[Qtt]]*TbTradesBinance[[#This Row],[Preço]],AL180+TbTradesBinance[[#This Row],[Qtt]]*TbTradesBinance[[#This Row],[Preço]])),AL180)-IF(TbTradesBinance[[#This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Row],[Tipo]]="DROP"),AL180+TbTradesBinance[[#This Row],[Qtt]],AL180-TbTradesBinance[[#This Row],[Qtt]]),IF(TbTradesBinance[[#This Row],[Tipo]]="BUY",AL180-TbTradesBinance[[#This Row],[Qtt]]*TbTradesBinance[[#This Row],[Preço]],AL180+TbTradesBinance[[#This Row],[Qtt]]*TbTradesBinance[[#This Row],[Preço]])),AL180)-IF(TbTradesBinance[[#This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Row],[Tipo]]="DROP"),AL180+TbTradesBinance[[#This Row],[Qtt]],AL180-TbTradesBinance[[#This Row],[Qtt]]),IF(TbTradesBinance[[#This Row],[Tipo]]="BUY",AL180-TbTradesBinance[[#This Row],[Qtt]]*TbTradesBinance[[#This Row],[Preço]],AL180+TbTradesBinance[[#This Row],[Qtt]]*TbTradesBinance[[#This Row],[Preço]])),AL180)-IF(TbTradesBinance[[#This Row],[Moeda da Taxa]]=MID(AL$1,9,5),TbTradesBinance[[#This Row],[Taxa]],0),8)))</f>
        <v>0</v>
      </c>
      <c r="AM181" s="145" cm="1">
        <f t="array" ref="AM181">IF(TbTradesBinance[[#This Row],[Tipo]]="EMPTY",0,AM180+IF(TbTradesBinance[[#This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Row],[Par]]))),$1:$1,0)),-(AL180-AL181)/AL180*AM180),0),0)+IF(TbTradesBinance[[#This Row],[Tipo]]="SELL",IF(ISNUMBER(FIND(MID(AM$1,10,5),TbTradesBinance[[#This Row],[Par]])),IF(FIND(MID(AM$1,10,5),TbTradesBinance[[#This Row],[Par]])=1, -(AL180-AL181)/AL180*AM180,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Row],[Par]])),(-(AL180-AL181)/AL180*AM180)+IF(TbTradesBinance[[#This Row],[Resultado]]&gt;0,0,TbTradesBinance[[#This Row],[Taxa]]),0),0))</f>
        <v>0</v>
      </c>
      <c r="AN181" s="145">
        <f t="shared" si="47"/>
        <v>0</v>
      </c>
      <c r="AO18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Row],[Tipo]]="DROP"),AO180+TbTradesBinance[[#This Row],[Qtt]],AO180-TbTradesBinance[[#This Row],[Qtt]]),IF(TbTradesBinance[[#This Row],[Tipo]]="BUY",AO180-TbTradesBinance[[#This Row],[Qtt]]*TbTradesBinance[[#This Row],[Preço]],AO180+TbTradesBinance[[#This Row],[Qtt]]*TbTradesBinance[[#This Row],[Preço]])),AO180)-IF(TbTradesBinance[[#This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Row],[Tipo]]="DROP"),AO180+TbTradesBinance[[#This Row],[Qtt]],AO180-TbTradesBinance[[#This Row],[Qtt]]),IF(TbTradesBinance[[#This Row],[Tipo]]="BUY",AO180-TbTradesBinance[[#This Row],[Qtt]]*TbTradesBinance[[#This Row],[Preço]],AO180+TbTradesBinance[[#This Row],[Qtt]]*TbTradesBinance[[#This Row],[Preço]])),AO180)-IF(TbTradesBinance[[#This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Row],[Tipo]]="DROP"),AO180+TbTradesBinance[[#This Row],[Qtt]],AO180-TbTradesBinance[[#This Row],[Qtt]]),IF(TbTradesBinance[[#This Row],[Tipo]]="BUY",AO180-TbTradesBinance[[#This Row],[Qtt]]*TbTradesBinance[[#This Row],[Preço]],AO180+TbTradesBinance[[#This Row],[Qtt]]*TbTradesBinance[[#This Row],[Preço]])),AO180)-IF(TbTradesBinance[[#This Row],[Moeda da Taxa]]=MID(AO$1,9,5),TbTradesBinance[[#This Row],[Taxa]],0),8)))</f>
        <v>3.8363830000000002E-2</v>
      </c>
      <c r="AP181" s="145" cm="1">
        <f t="array" ref="AP181">IF(TbTradesBinance[[#This Row],[Tipo]]="EMPTY",0,AP180+IF(TbTradesBinance[[#This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Row],[Par]]))),$1:$1,0)),-(AO180-AO181)/AO180*AP180),0),0)+IF(TbTradesBinance[[#This Row],[Tipo]]="SELL",IF(ISNUMBER(FIND(MID(AP$1,10,5),TbTradesBinance[[#This Row],[Par]])),IF(FIND(MID(AP$1,10,5),TbTradesBinance[[#This Row],[Par]])=1, -(AO180-AO181)/AO180*AP180,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Row],[Par]])),(-(AO180-AO181)/AO180*AP180)+IF(TbTradesBinance[[#This Row],[Resultado]]&gt;0,0,TbTradesBinance[[#This Row],[Taxa]]),0),0))</f>
        <v>60.349858055862811</v>
      </c>
      <c r="AQ181" s="145">
        <f t="shared" si="48"/>
        <v>1573.0926254199023</v>
      </c>
      <c r="AR18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Row],[Tipo]]="DROP"),AR180+TbTradesBinance[[#This Row],[Qtt]],AR180-TbTradesBinance[[#This Row],[Qtt]]),IF(TbTradesBinance[[#This Row],[Tipo]]="BUY",AR180-TbTradesBinance[[#This Row],[Qtt]]*TbTradesBinance[[#This Row],[Preço]],AR180+TbTradesBinance[[#This Row],[Qtt]]*TbTradesBinance[[#This Row],[Preço]])),AR180)-IF(TbTradesBinance[[#This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Row],[Tipo]]="DROP"),AR180+TbTradesBinance[[#This Row],[Qtt]],AR180-TbTradesBinance[[#This Row],[Qtt]]),IF(TbTradesBinance[[#This Row],[Tipo]]="BUY",AR180-TbTradesBinance[[#This Row],[Qtt]]*TbTradesBinance[[#This Row],[Preço]],AR180+TbTradesBinance[[#This Row],[Qtt]]*TbTradesBinance[[#This Row],[Preço]])),AR180)-IF(TbTradesBinance[[#This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Row],[Tipo]]="DROP"),AR180+TbTradesBinance[[#This Row],[Qtt]],AR180-TbTradesBinance[[#This Row],[Qtt]]),IF(TbTradesBinance[[#This Row],[Tipo]]="BUY",AR180-TbTradesBinance[[#This Row],[Qtt]]*TbTradesBinance[[#This Row],[Preço]],AR180+TbTradesBinance[[#This Row],[Qtt]]*TbTradesBinance[[#This Row],[Preço]])),AR180)-IF(TbTradesBinance[[#This Row],[Moeda da Taxa]]=MID(AR$1,9,5),TbTradesBinance[[#This Row],[Taxa]],0),8)))</f>
        <v>0</v>
      </c>
      <c r="AS181" s="145" cm="1">
        <f t="array" ref="AS181">IF(TbTradesBinance[[#This Row],[Tipo]]="EMPTY",0,AS180+IF(TbTradesBinance[[#This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Row],[Par]]))),$1:$1,0)),-(AR180-AR181)/AR180*AS180),0),0)+IF(TbTradesBinance[[#This Row],[Tipo]]="SELL",IF(ISNUMBER(FIND(MID(AS$1,10,5),TbTradesBinance[[#This Row],[Par]])),IF(FIND(MID(AS$1,10,5),TbTradesBinance[[#This Row],[Par]])=1, -(AR180-AR181)/AR180*AS180,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Row],[Par]])),(-(AR180-AR181)/AR180*AS180)+IF(TbTradesBinance[[#This Row],[Resultado]]&gt;0,0,TbTradesBinance[[#This Row],[Taxa]]),0),0))</f>
        <v>0</v>
      </c>
      <c r="AT181" s="145">
        <f t="shared" si="49"/>
        <v>0</v>
      </c>
      <c r="AU18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Row],[Tipo]]="DROP"),AU180+TbTradesBinance[[#This Row],[Qtt]],AU180-TbTradesBinance[[#This Row],[Qtt]]),IF(TbTradesBinance[[#This Row],[Tipo]]="BUY",AU180-TbTradesBinance[[#This Row],[Qtt]]*TbTradesBinance[[#This Row],[Preço]],AU180+TbTradesBinance[[#This Row],[Qtt]]*TbTradesBinance[[#This Row],[Preço]])),AU180)-IF(TbTradesBinance[[#This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Row],[Tipo]]="DROP"),AU180+TbTradesBinance[[#This Row],[Qtt]],AU180-TbTradesBinance[[#This Row],[Qtt]]),IF(TbTradesBinance[[#This Row],[Tipo]]="BUY",AU180-TbTradesBinance[[#This Row],[Qtt]]*TbTradesBinance[[#This Row],[Preço]],AU180+TbTradesBinance[[#This Row],[Qtt]]*TbTradesBinance[[#This Row],[Preço]])),AU180)-IF(TbTradesBinance[[#This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Row],[Tipo]]="DROP"),AU180+TbTradesBinance[[#This Row],[Qtt]],AU180-TbTradesBinance[[#This Row],[Qtt]]),IF(TbTradesBinance[[#This Row],[Tipo]]="BUY",AU180-TbTradesBinance[[#This Row],[Qtt]]*TbTradesBinance[[#This Row],[Preço]],AU180+TbTradesBinance[[#This Row],[Qtt]]*TbTradesBinance[[#This Row],[Preço]])),AU180)-IF(TbTradesBinance[[#This Row],[Moeda da Taxa]]=MID(AU$1,9,5),TbTradesBinance[[#This Row],[Taxa]],0),8)))</f>
        <v>0.51</v>
      </c>
      <c r="AV181" s="145" cm="1">
        <f t="array" ref="AV181">IF(TbTradesBinance[[#This Row],[Tipo]]="EMPTY",0,AV180+IF(TbTradesBinance[[#This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Row],[Par]]))),$1:$1,0)),-(AU180-AU181)/AU180*AV180),0),0)+IF(TbTradesBinance[[#This Row],[Tipo]]="SELL",IF(ISNUMBER(FIND(MID(AV$1,10,5),TbTradesBinance[[#This Row],[Par]])),IF(FIND(MID(AV$1,10,5),TbTradesBinance[[#This Row],[Par]])=1, -(AU180-AU181)/AU180*AV180,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Row],[Par]])),(-(AU180-AU181)/AU180*AV180)+IF(TbTradesBinance[[#This Row],[Resultado]]&gt;0,0,TbTradesBinance[[#This Row],[Taxa]]),0),0))</f>
        <v>95.466693037374753</v>
      </c>
      <c r="AW181" s="145">
        <f t="shared" si="50"/>
        <v>187.18959419093088</v>
      </c>
      <c r="AX18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Row],[Tipo]]="DROP"),AX180+TbTradesBinance[[#This Row],[Qtt]],AX180-TbTradesBinance[[#This Row],[Qtt]]),IF(TbTradesBinance[[#This Row],[Tipo]]="BUY",AX180-TbTradesBinance[[#This Row],[Qtt]]*TbTradesBinance[[#This Row],[Preço]],AX180+TbTradesBinance[[#This Row],[Qtt]]*TbTradesBinance[[#This Row],[Preço]])),AX180)-IF(TbTradesBinance[[#This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Row],[Tipo]]="DROP"),AX180+TbTradesBinance[[#This Row],[Qtt]],AX180-TbTradesBinance[[#This Row],[Qtt]]),IF(TbTradesBinance[[#This Row],[Tipo]]="BUY",AX180-TbTradesBinance[[#This Row],[Qtt]]*TbTradesBinance[[#This Row],[Preço]],AX180+TbTradesBinance[[#This Row],[Qtt]]*TbTradesBinance[[#This Row],[Preço]])),AX180)-IF(TbTradesBinance[[#This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Row],[Tipo]]="DROP"),AX180+TbTradesBinance[[#This Row],[Qtt]],AX180-TbTradesBinance[[#This Row],[Qtt]]),IF(TbTradesBinance[[#This Row],[Tipo]]="BUY",AX180-TbTradesBinance[[#This Row],[Qtt]]*TbTradesBinance[[#This Row],[Preço]],AX180+TbTradesBinance[[#This Row],[Qtt]]*TbTradesBinance[[#This Row],[Preço]])),AX180)-IF(TbTradesBinance[[#This Row],[Moeda da Taxa]]=MID(AX$1,9,5),TbTradesBinance[[#This Row],[Taxa]],0),8)))</f>
        <v>0.32838000000000001</v>
      </c>
      <c r="AY181" s="145" cm="1">
        <f t="array" ref="AY181">IF(TbTradesBinance[[#This Row],[Tipo]]="EMPTY",0,AY180+IF(TbTradesBinance[[#This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Row],[Par]]))),$1:$1,0)),-(AX180-AX181)/AX180*AY180),0),0)+IF(TbTradesBinance[[#This Row],[Tipo]]="SELL",IF(ISNUMBER(FIND(MID(AY$1,10,5),TbTradesBinance[[#This Row],[Par]])),IF(FIND(MID(AY$1,10,5),TbTradesBinance[[#This Row],[Par]])=1, -(AX180-AX181)/AX180*AY180,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Row],[Par]])),(-(AX180-AX181)/AX180*AY180)+IF(TbTradesBinance[[#This Row],[Resultado]]&gt;0,0,TbTradesBinance[[#This Row],[Taxa]]),0),0))</f>
        <v>61.364116058805678</v>
      </c>
      <c r="AZ181" s="145">
        <f t="shared" si="51"/>
        <v>186.869224857804</v>
      </c>
      <c r="BA18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Row],[Tipo]]="DROP"),BA180+TbTradesBinance[[#This Row],[Qtt]],BA180-TbTradesBinance[[#This Row],[Qtt]]),IF(TbTradesBinance[[#This Row],[Tipo]]="BUY",BA180-TbTradesBinance[[#This Row],[Qtt]]*TbTradesBinance[[#This Row],[Preço]],BA180+TbTradesBinance[[#This Row],[Qtt]]*TbTradesBinance[[#This Row],[Preço]])),BA180)-IF(TbTradesBinance[[#This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Row],[Tipo]]="DROP"),BA180+TbTradesBinance[[#This Row],[Qtt]],BA180-TbTradesBinance[[#This Row],[Qtt]]),IF(TbTradesBinance[[#This Row],[Tipo]]="BUY",BA180-TbTradesBinance[[#This Row],[Qtt]]*TbTradesBinance[[#This Row],[Preço]],BA180+TbTradesBinance[[#This Row],[Qtt]]*TbTradesBinance[[#This Row],[Preço]])),BA180)-IF(TbTradesBinance[[#This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Row],[Tipo]]="DROP"),BA180+TbTradesBinance[[#This Row],[Qtt]],BA180-TbTradesBinance[[#This Row],[Qtt]]),IF(TbTradesBinance[[#This Row],[Tipo]]="BUY",BA180-TbTradesBinance[[#This Row],[Qtt]]*TbTradesBinance[[#This Row],[Preço]],BA180+TbTradesBinance[[#This Row],[Qtt]]*TbTradesBinance[[#This Row],[Preço]])),BA180)-IF(TbTradesBinance[[#This Row],[Moeda da Taxa]]=MID(BA$1,9,5),TbTradesBinance[[#This Row],[Taxa]],0),8)))</f>
        <v>0</v>
      </c>
      <c r="BB181" s="145" cm="1">
        <f t="array" ref="BB181">IF(TbTradesBinance[[#This Row],[Tipo]]="EMPTY",0,BB180+IF(TbTradesBinance[[#This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Row],[Par]]))),$1:$1,0)),-(BA180-BA181)/BA180*BB180),0),0)+IF(TbTradesBinance[[#This Row],[Tipo]]="SELL",IF(ISNUMBER(FIND(MID(BB$1,10,5),TbTradesBinance[[#This Row],[Par]])),IF(FIND(MID(BB$1,10,5),TbTradesBinance[[#This Row],[Par]])=1, -(BA180-BA181)/BA180*BB180,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Row],[Par]])),(-(BA180-BA181)/BA180*BB180)+IF(TbTradesBinance[[#This Row],[Resultado]]&gt;0,0,TbTradesBinance[[#This Row],[Taxa]]),0),0))</f>
        <v>0</v>
      </c>
      <c r="BC181" s="145">
        <f t="shared" si="52"/>
        <v>0</v>
      </c>
      <c r="BD18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Row],[Tipo]]="DROP"),BD180+TbTradesBinance[[#This Row],[Qtt]],BD180-TbTradesBinance[[#This Row],[Qtt]]),IF(TbTradesBinance[[#This Row],[Tipo]]="BUY",BD180-TbTradesBinance[[#This Row],[Qtt]]*TbTradesBinance[[#This Row],[Preço]],BD180+TbTradesBinance[[#This Row],[Qtt]]*TbTradesBinance[[#This Row],[Preço]])),BD180)-IF(TbTradesBinance[[#This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Row],[Tipo]]="DROP"),BD180+TbTradesBinance[[#This Row],[Qtt]],BD180-TbTradesBinance[[#This Row],[Qtt]]),IF(TbTradesBinance[[#This Row],[Tipo]]="BUY",BD180-TbTradesBinance[[#This Row],[Qtt]]*TbTradesBinance[[#This Row],[Preço]],BD180+TbTradesBinance[[#This Row],[Qtt]]*TbTradesBinance[[#This Row],[Preço]])),BD180)-IF(TbTradesBinance[[#This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Row],[Tipo]]="DROP"),BD180+TbTradesBinance[[#This Row],[Qtt]],BD180-TbTradesBinance[[#This Row],[Qtt]]),IF(TbTradesBinance[[#This Row],[Tipo]]="BUY",BD180-TbTradesBinance[[#This Row],[Qtt]]*TbTradesBinance[[#This Row],[Preço]],BD180+TbTradesBinance[[#This Row],[Qtt]]*TbTradesBinance[[#This Row],[Preço]])),BD180)-IF(TbTradesBinance[[#This Row],[Moeda da Taxa]]=MID(BD$1,9,5),TbTradesBinance[[#This Row],[Taxa]],0),8)))</f>
        <v>0</v>
      </c>
      <c r="BE181" s="145" cm="1">
        <f t="array" ref="BE181">IF(TbTradesBinance[[#This Row],[Tipo]]="EMPTY",0,BE180+IF(TbTradesBinance[[#This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Row],[Par]]))),$1:$1,0)),-(BD180-BD181)/BD180*BE180),0),0)+IF(TbTradesBinance[[#This Row],[Tipo]]="SELL",IF(ISNUMBER(FIND(MID(BE$1,10,5),TbTradesBinance[[#This Row],[Par]])),IF(FIND(MID(BE$1,10,5),TbTradesBinance[[#This Row],[Par]])=1, -(BD180-BD181)/BD180*BE180,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Row],[Par]])),(-(BD180-BD181)/BD180*BE180)+IF(TbTradesBinance[[#This Row],[Resultado]]&gt;0,0,TbTradesBinance[[#This Row],[Taxa]]),0),0))</f>
        <v>0</v>
      </c>
      <c r="BF181" s="145">
        <f t="shared" si="53"/>
        <v>0</v>
      </c>
      <c r="BG18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Row],[Tipo]]="DROP"),BG180+TbTradesBinance[[#This Row],[Qtt]],BG180-TbTradesBinance[[#This Row],[Qtt]]),IF(TbTradesBinance[[#This Row],[Tipo]]="BUY",BG180-TbTradesBinance[[#This Row],[Qtt]]*TbTradesBinance[[#This Row],[Preço]],BG180+TbTradesBinance[[#This Row],[Qtt]]*TbTradesBinance[[#This Row],[Preço]])),BG180)-IF(TbTradesBinance[[#This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Row],[Tipo]]="DROP"),BG180+TbTradesBinance[[#This Row],[Qtt]],BG180-TbTradesBinance[[#This Row],[Qtt]]),IF(TbTradesBinance[[#This Row],[Tipo]]="BUY",BG180-TbTradesBinance[[#This Row],[Qtt]]*TbTradesBinance[[#This Row],[Preço]],BG180+TbTradesBinance[[#This Row],[Qtt]]*TbTradesBinance[[#This Row],[Preço]])),BG180)-IF(TbTradesBinance[[#This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Row],[Tipo]]="DROP"),BG180+TbTradesBinance[[#This Row],[Qtt]],BG180-TbTradesBinance[[#This Row],[Qtt]]),IF(TbTradesBinance[[#This Row],[Tipo]]="BUY",BG180-TbTradesBinance[[#This Row],[Qtt]]*TbTradesBinance[[#This Row],[Preço]],BG180+TbTradesBinance[[#This Row],[Qtt]]*TbTradesBinance[[#This Row],[Preço]])),BG180)-IF(TbTradesBinance[[#This Row],[Moeda da Taxa]]=MID(BG$1,9,5),TbTradesBinance[[#This Row],[Taxa]],0),8)))</f>
        <v>0</v>
      </c>
      <c r="BH181" s="145" cm="1">
        <f t="array" ref="BH181">IF(TbTradesBinance[[#This Row],[Tipo]]="EMPTY",0,BH180+IF(TbTradesBinance[[#This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Row],[Par]]))),$1:$1,0)),-(BG180-BG181)/BG180*BH180),0),0)+IF(TbTradesBinance[[#This Row],[Tipo]]="SELL",IF(ISNUMBER(FIND(MID(BH$1,10,5),TbTradesBinance[[#This Row],[Par]])),IF(FIND(MID(BH$1,10,5),TbTradesBinance[[#This Row],[Par]])=1, -(BG180-BG181)/BG180*BH180,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Row],[Par]])),(-(BG180-BG181)/BG180*BH180)+IF(TbTradesBinance[[#This Row],[Resultado]]&gt;0,0,TbTradesBinance[[#This Row],[Taxa]]),0),0))</f>
        <v>0</v>
      </c>
      <c r="BI181" s="145">
        <f t="shared" si="54"/>
        <v>0</v>
      </c>
      <c r="BJ18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Row],[Tipo]]="DROP"),BJ180+TbTradesBinance[[#This Row],[Qtt]],BJ180-TbTradesBinance[[#This Row],[Qtt]]),IF(TbTradesBinance[[#This Row],[Tipo]]="BUY",BJ180-TbTradesBinance[[#This Row],[Qtt]]*TbTradesBinance[[#This Row],[Preço]],BJ180+TbTradesBinance[[#This Row],[Qtt]]*TbTradesBinance[[#This Row],[Preço]])),BJ180)-IF(TbTradesBinance[[#This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Row],[Tipo]]="DROP"),BJ180+TbTradesBinance[[#This Row],[Qtt]],BJ180-TbTradesBinance[[#This Row],[Qtt]]),IF(TbTradesBinance[[#This Row],[Tipo]]="BUY",BJ180-TbTradesBinance[[#This Row],[Qtt]]*TbTradesBinance[[#This Row],[Preço]],BJ180+TbTradesBinance[[#This Row],[Qtt]]*TbTradesBinance[[#This Row],[Preço]])),BJ180)-IF(TbTradesBinance[[#This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Row],[Tipo]]="DROP"),BJ180+TbTradesBinance[[#This Row],[Qtt]],BJ180-TbTradesBinance[[#This Row],[Qtt]]),IF(TbTradesBinance[[#This Row],[Tipo]]="BUY",BJ180-TbTradesBinance[[#This Row],[Qtt]]*TbTradesBinance[[#This Row],[Preço]],BJ180+TbTradesBinance[[#This Row],[Qtt]]*TbTradesBinance[[#This Row],[Preço]])),BJ180)-IF(TbTradesBinance[[#This Row],[Moeda da Taxa]]=MID(BJ$1,9,5),TbTradesBinance[[#This Row],[Taxa]],0),8)))</f>
        <v>0</v>
      </c>
      <c r="BK181" s="145" cm="1">
        <f t="array" ref="BK181">IF(TbTradesBinance[[#This Row],[Tipo]]="EMPTY",0,BK180+IF(TbTradesBinance[[#This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Row],[Par]]))),$1:$1,0)),-(BJ180-BJ181)/BJ180*BK180),0),0)+IF(TbTradesBinance[[#This Row],[Tipo]]="SELL",IF(ISNUMBER(FIND(MID(BK$1,10,5),TbTradesBinance[[#This Row],[Par]])),IF(FIND(MID(BK$1,10,5),TbTradesBinance[[#This Row],[Par]])=1, -(BJ180-BJ181)/BJ180*BK180,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Row],[Par]])),(-(BJ180-BJ181)/BJ180*BK180)+IF(TbTradesBinance[[#This Row],[Resultado]]&gt;0,0,TbTradesBinance[[#This Row],[Taxa]]),0),0))</f>
        <v>0</v>
      </c>
      <c r="BL181" s="145">
        <f t="shared" si="55"/>
        <v>0</v>
      </c>
      <c r="BM18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Row],[Tipo]]="DROP"),BM180+TbTradesBinance[[#This Row],[Qtt]],BM180-TbTradesBinance[[#This Row],[Qtt]]),IF(TbTradesBinance[[#This Row],[Tipo]]="BUY",BM180-TbTradesBinance[[#This Row],[Qtt]]*TbTradesBinance[[#This Row],[Preço]],BM180+TbTradesBinance[[#This Row],[Qtt]]*TbTradesBinance[[#This Row],[Preço]])),BM180)-IF(TbTradesBinance[[#This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Row],[Tipo]]="DROP"),BM180+TbTradesBinance[[#This Row],[Qtt]],BM180-TbTradesBinance[[#This Row],[Qtt]]),IF(TbTradesBinance[[#This Row],[Tipo]]="BUY",BM180-TbTradesBinance[[#This Row],[Qtt]]*TbTradesBinance[[#This Row],[Preço]],BM180+TbTradesBinance[[#This Row],[Qtt]]*TbTradesBinance[[#This Row],[Preço]])),BM180)-IF(TbTradesBinance[[#This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Row],[Tipo]]="DROP"),BM180+TbTradesBinance[[#This Row],[Qtt]],BM180-TbTradesBinance[[#This Row],[Qtt]]),IF(TbTradesBinance[[#This Row],[Tipo]]="BUY",BM180-TbTradesBinance[[#This Row],[Qtt]]*TbTradesBinance[[#This Row],[Preço]],BM180+TbTradesBinance[[#This Row],[Qtt]]*TbTradesBinance[[#This Row],[Preço]])),BM180)-IF(TbTradesBinance[[#This Row],[Moeda da Taxa]]=MID(BM$1,9,5),TbTradesBinance[[#This Row],[Taxa]],0),8)))</f>
        <v>0</v>
      </c>
      <c r="BN181" s="145" cm="1">
        <f t="array" ref="BN181">IF(TbTradesBinance[[#This Row],[Tipo]]="EMPTY",0,BN180+IF(TbTradesBinance[[#This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Row],[Par]]))),$1:$1,0)),-(BM180-BM181)/BM180*BN180),0),0)+IF(TbTradesBinance[[#This Row],[Tipo]]="SELL",IF(ISNUMBER(FIND(MID(BN$1,10,5),TbTradesBinance[[#This Row],[Par]])),IF(FIND(MID(BN$1,10,5),TbTradesBinance[[#This Row],[Par]])=1, -(BM180-BM181)/BM180*BN180,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Row],[Par]])),(-(BM180-BM181)/BM180*BN180)+IF(TbTradesBinance[[#This Row],[Resultado]]&gt;0,0,TbTradesBinance[[#This Row],[Taxa]]),0),0))</f>
        <v>0</v>
      </c>
      <c r="BO181" s="145">
        <f t="shared" si="56"/>
        <v>0</v>
      </c>
    </row>
    <row r="182" spans="2:67" x14ac:dyDescent="0.3">
      <c r="B182" s="51"/>
      <c r="C182" s="40">
        <f>TRUNC(IF(AND(TbTradesBinance[[#This Row],[Tipo]]="SEND",TbTradesBinance[[#This Row],[Par]]="BRL"),TbTradesBinance[[#This Row],[Qtt]]*(1-P180)-IF(TbTradesBinance[[#This Row],[Moeda da Taxa]]="BRL",TbTradesBinance[[#This Row],[Taxa]],0),0)+IF(AND(TbTradesBinance[[#This Row],[Tipo]]="BURN",TbTradesBinance[[#This Row],[Par]]="BRL"),-TbTradesBinance[[#This Row],[Qtt]]*P180,0),2)</f>
        <v>0</v>
      </c>
      <c r="D182" s="53">
        <v>44335.409074074072</v>
      </c>
      <c r="E182" s="37" t="s">
        <v>249</v>
      </c>
      <c r="F182" s="47" t="s">
        <v>139</v>
      </c>
      <c r="G182" s="38">
        <v>35800.129999999997</v>
      </c>
      <c r="H182" s="38">
        <v>3.57E-4</v>
      </c>
      <c r="I182" s="38">
        <v>3.5999999999999999E-7</v>
      </c>
      <c r="J182" s="37" t="s">
        <v>6</v>
      </c>
      <c r="K182" s="52">
        <v>5.3159999999999998</v>
      </c>
      <c r="L182" s="40">
        <f t="shared" si="38"/>
        <v>190313.49</v>
      </c>
      <c r="M182" s="40">
        <f>IF(OR(TbTradesBinance[[#This Row],[Tipo]]="BUY",TbTradesBinance[[#This Row],[Tipo]]="RECEIVE",TbTradesBinance[[#This Row],[Tipo]]="DROP"),L182*H182,-L182*H182)</f>
        <v>67.941915929999993</v>
      </c>
      <c r="N18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Row],[Tipo]]="DROP"),N181+TbTradesBinance[[#This Row],[Qtt]],N181-TbTradesBinance[[#This Row],[Qtt]]),IF(TbTradesBinance[[#This Row],[Tipo]]="BUY",N181-TbTradesBinance[[#This Row],[Qtt]]*TbTradesBinance[[#This Row],[Preço]],N181+TbTradesBinance[[#This Row],[Qtt]]*TbTradesBinance[[#This Row],[Preço]])),N181)-IF(TbTradesBinance[[#This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Row],[Tipo]]="DROP"),N181+TbTradesBinance[[#This Row],[Qtt]],N181-TbTradesBinance[[#This Row],[Qtt]]),IF(TbTradesBinance[[#This Row],[Tipo]]="BUY",N181-TbTradesBinance[[#This Row],[Qtt]]*TbTradesBinance[[#This Row],[Preço]],N181+TbTradesBinance[[#This Row],[Qtt]]*TbTradesBinance[[#This Row],[Preço]])),N181)-IF(TbTradesBinance[[#This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Row],[Tipo]]="DROP"),N181+TbTradesBinance[[#This Row],[Qtt]],N181-TbTradesBinance[[#This Row],[Qtt]]),IF(TbTradesBinance[[#This Row],[Tipo]]="BUY",N181-TbTradesBinance[[#This Row],[Qtt]]*TbTradesBinance[[#This Row],[Preço]],N181+TbTradesBinance[[#This Row],[Qtt]]*TbTradesBinance[[#This Row],[Preço]])),N181)-IF(TbTradesBinance[[#This Row],[Moeda da Taxa]]=MID(N$1,9,5),TbTradesBinance[[#This Row],[Taxa]],0),8)))</f>
        <v>119745.58804798999</v>
      </c>
      <c r="O182" s="145" cm="1">
        <f t="array" ref="O182">IF(TbTradesBinance[[#This Row],[Tipo]]="EMPTY",0,O181+IF(TbTradesBinance[[#This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Row],[Par]]))),$1:$1,0)),-(N181-N182)/N181*O181),0),0)+IF(TbTradesBinance[[#This Row],[Tipo]]="SELL",IF(ISNUMBER(FIND(MID(O$1,10,5),TbTradesBinance[[#This Row],[Par]])),IF(FIND(MID(O$1,10,5),TbTradesBinance[[#This Row],[Par]])=1, -(N181-N182)/N181*O181,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Row],[Par]])),(-(N181-N182)/N181*O181)+IF(TbTradesBinance[[#This Row],[Resultado]]&gt;0,0,TbTradesBinance[[#This Row],[Taxa]]),0),0))</f>
        <v>119844.14986894446</v>
      </c>
      <c r="P182" s="145">
        <f t="shared" si="39"/>
        <v>1.0008230935482563</v>
      </c>
      <c r="Q18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Row],[Tipo]]="DROP"),Q181+TbTradesBinance[[#This Row],[Qtt]],Q181-TbTradesBinance[[#This Row],[Qtt]]),IF(TbTradesBinance[[#This Row],[Tipo]]="BUY",Q181-TbTradesBinance[[#This Row],[Qtt]]*TbTradesBinance[[#This Row],[Preço]],Q181+TbTradesBinance[[#This Row],[Qtt]]*TbTradesBinance[[#This Row],[Preço]])),Q181)-IF(TbTradesBinance[[#This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Row],[Tipo]]="DROP"),Q181+TbTradesBinance[[#This Row],[Qtt]],Q181-TbTradesBinance[[#This Row],[Qtt]]),IF(TbTradesBinance[[#This Row],[Tipo]]="BUY",Q181-TbTradesBinance[[#This Row],[Qtt]]*TbTradesBinance[[#This Row],[Preço]],Q181+TbTradesBinance[[#This Row],[Qtt]]*TbTradesBinance[[#This Row],[Preço]])),Q181)-IF(TbTradesBinance[[#This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Row],[Tipo]]="DROP"),Q181+TbTradesBinance[[#This Row],[Qtt]],Q181-TbTradesBinance[[#This Row],[Qtt]]),IF(TbTradesBinance[[#This Row],[Tipo]]="BUY",Q181-TbTradesBinance[[#This Row],[Qtt]]*TbTradesBinance[[#This Row],[Preço]],Q181+TbTradesBinance[[#This Row],[Qtt]]*TbTradesBinance[[#This Row],[Preço]])),Q181)-IF(TbTradesBinance[[#This Row],[Moeda da Taxa]]=MID(Q$1,9,5),TbTradesBinance[[#This Row],[Taxa]],0),8)))</f>
        <v>2.8600460000000001E-2</v>
      </c>
      <c r="R182" s="145" cm="1">
        <f t="array" ref="R182">IF(TbTradesBinance[[#This Row],[Tipo]]="EMPTY",0,R181+IF(TbTradesBinance[[#This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Row],[Par]]))),$1:$1,0)),-(Q181-Q182)/Q181*R181),0),0)+IF(TbTradesBinance[[#This Row],[Tipo]]="SELL",IF(ISNUMBER(FIND(MID(R$1,10,5),TbTradesBinance[[#This Row],[Par]])),IF(FIND(MID(R$1,10,5),TbTradesBinance[[#This Row],[Par]])=1, -(Q181-Q182)/Q181*R181,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Row],[Par]])),(-(Q181-Q182)/Q181*R181)+IF(TbTradesBinance[[#This Row],[Resultado]]&gt;0,0,TbTradesBinance[[#This Row],[Taxa]]),0),0))</f>
        <v>0.13390752156915653</v>
      </c>
      <c r="S182" s="145">
        <f t="shared" si="40"/>
        <v>4.6820058687572343</v>
      </c>
      <c r="T18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Row],[Tipo]]="DROP"),T181+TbTradesBinance[[#This Row],[Qtt]],T181-TbTradesBinance[[#This Row],[Qtt]]),IF(TbTradesBinance[[#This Row],[Tipo]]="BUY",T181-TbTradesBinance[[#This Row],[Qtt]]*TbTradesBinance[[#This Row],[Preço]],T181+TbTradesBinance[[#This Row],[Qtt]]*TbTradesBinance[[#This Row],[Preço]])),T181)-IF(TbTradesBinance[[#This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Row],[Tipo]]="DROP"),T181+TbTradesBinance[[#This Row],[Qtt]],T181-TbTradesBinance[[#This Row],[Qtt]]),IF(TbTradesBinance[[#This Row],[Tipo]]="BUY",T181-TbTradesBinance[[#This Row],[Qtt]]*TbTradesBinance[[#This Row],[Preço]],T181+TbTradesBinance[[#This Row],[Qtt]]*TbTradesBinance[[#This Row],[Preço]])),T181)-IF(TbTradesBinance[[#This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Row],[Tipo]]="DROP"),T181+TbTradesBinance[[#This Row],[Qtt]],T181-TbTradesBinance[[#This Row],[Qtt]]),IF(TbTradesBinance[[#This Row],[Tipo]]="BUY",T181-TbTradesBinance[[#This Row],[Qtt]]*TbTradesBinance[[#This Row],[Preço]],T181+TbTradesBinance[[#This Row],[Qtt]]*TbTradesBinance[[#This Row],[Preço]])),T181)-IF(TbTradesBinance[[#This Row],[Moeda da Taxa]]=MID(T$1,9,5),TbTradesBinance[[#This Row],[Taxa]],0),8)))</f>
        <v>219713.72000189999</v>
      </c>
      <c r="U182" s="145" cm="1">
        <f t="array" ref="U182">IF(TbTradesBinance[[#This Row],[Tipo]]="EMPTY",0,U181+IF(TbTradesBinance[[#This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Row],[Par]]))),$1:$1,0)),-(T181-T182)/T181*U181),0),0)+IF(TbTradesBinance[[#This Row],[Tipo]]="SELL",IF(ISNUMBER(FIND(MID(U$1,10,5),TbTradesBinance[[#This Row],[Par]])),IF(FIND(MID(U$1,10,5),TbTradesBinance[[#This Row],[Par]])=1, -(T181-T182)/T181*U181,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Row],[Par]])),(-(T181-T182)/T181*U181)+IF(TbTradesBinance[[#This Row],[Resultado]]&gt;0,0,TbTradesBinance[[#This Row],[Taxa]]),0),0))</f>
        <v>1461096.2409827893</v>
      </c>
      <c r="V182" s="145">
        <f t="shared" si="41"/>
        <v>6.6500000135182926</v>
      </c>
      <c r="W18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Row],[Tipo]]="DROP"),W181+TbTradesBinance[[#This Row],[Qtt]],W181-TbTradesBinance[[#This Row],[Qtt]]),IF(TbTradesBinance[[#This Row],[Tipo]]="BUY",W181-TbTradesBinance[[#This Row],[Qtt]]*TbTradesBinance[[#This Row],[Preço]],W181+TbTradesBinance[[#This Row],[Qtt]]*TbTradesBinance[[#This Row],[Preço]])),W181)-IF(TbTradesBinance[[#This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Row],[Tipo]]="DROP"),W181+TbTradesBinance[[#This Row],[Qtt]],W181-TbTradesBinance[[#This Row],[Qtt]]),IF(TbTradesBinance[[#This Row],[Tipo]]="BUY",W181-TbTradesBinance[[#This Row],[Qtt]]*TbTradesBinance[[#This Row],[Preço]],W181+TbTradesBinance[[#This Row],[Qtt]]*TbTradesBinance[[#This Row],[Preço]])),W181)-IF(TbTradesBinance[[#This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Row],[Tipo]]="DROP"),W181+TbTradesBinance[[#This Row],[Qtt]],W181-TbTradesBinance[[#This Row],[Qtt]]),IF(TbTradesBinance[[#This Row],[Tipo]]="BUY",W181-TbTradesBinance[[#This Row],[Qtt]]*TbTradesBinance[[#This Row],[Preço]],W181+TbTradesBinance[[#This Row],[Qtt]]*TbTradesBinance[[#This Row],[Preço]])),W181)-IF(TbTradesBinance[[#This Row],[Moeda da Taxa]]=MID(W$1,9,5),TbTradesBinance[[#This Row],[Taxa]],0),8)))</f>
        <v>9.9898999999999995E-4</v>
      </c>
      <c r="X182" s="145" cm="1">
        <f t="array" ref="X182">IF(TbTradesBinance[[#This Row],[Tipo]]="EMPTY",0,X181+IF(TbTradesBinance[[#This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Row],[Par]]))),$1:$1,0)),-(W181-W182)/W181*X181),0),0)+IF(TbTradesBinance[[#This Row],[Tipo]]="SELL",IF(ISNUMBER(FIND(MID(X$1,10,5),TbTradesBinance[[#This Row],[Par]])),IF(FIND(MID(X$1,10,5),TbTradesBinance[[#This Row],[Par]])=1, -(W181-W182)/W181*X181,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Row],[Par]])),(-(W181-W182)/W181*X181)+IF(TbTradesBinance[[#This Row],[Resultado]]&gt;0,0,TbTradesBinance[[#This Row],[Taxa]]),0),0))</f>
        <v>201.98581754566089</v>
      </c>
      <c r="Y182" s="145">
        <f t="shared" si="42"/>
        <v>202190.0294754311</v>
      </c>
      <c r="Z18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Row],[Tipo]]="DROP"),Z181+TbTradesBinance[[#This Row],[Qtt]],Z181-TbTradesBinance[[#This Row],[Qtt]]),IF(TbTradesBinance[[#This Row],[Tipo]]="BUY",Z181-TbTradesBinance[[#This Row],[Qtt]]*TbTradesBinance[[#This Row],[Preço]],Z181+TbTradesBinance[[#This Row],[Qtt]]*TbTradesBinance[[#This Row],[Preço]])),Z181)-IF(TbTradesBinance[[#This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Row],[Tipo]]="DROP"),Z181+TbTradesBinance[[#This Row],[Qtt]],Z181-TbTradesBinance[[#This Row],[Qtt]]),IF(TbTradesBinance[[#This Row],[Tipo]]="BUY",Z181-TbTradesBinance[[#This Row],[Qtt]]*TbTradesBinance[[#This Row],[Preço]],Z181+TbTradesBinance[[#This Row],[Qtt]]*TbTradesBinance[[#This Row],[Preço]])),Z181)-IF(TbTradesBinance[[#This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Row],[Tipo]]="DROP"),Z181+TbTradesBinance[[#This Row],[Qtt]],Z181-TbTradesBinance[[#This Row],[Qtt]]),IF(TbTradesBinance[[#This Row],[Tipo]]="BUY",Z181-TbTradesBinance[[#This Row],[Qtt]]*TbTradesBinance[[#This Row],[Preço]],Z181+TbTradesBinance[[#This Row],[Qtt]]*TbTradesBinance[[#This Row],[Preço]])),Z181)-IF(TbTradesBinance[[#This Row],[Moeda da Taxa]]=MID(Z$1,9,5),TbTradesBinance[[#This Row],[Taxa]],0),8)))</f>
        <v>0</v>
      </c>
      <c r="AA182" s="145" cm="1">
        <f t="array" ref="AA182">IF(TbTradesBinance[[#This Row],[Tipo]]="EMPTY",0,AA181+IF(TbTradesBinance[[#This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Row],[Par]]))),$1:$1,0)),-(Z181-Z182)/Z181*AA181),0),0)+IF(TbTradesBinance[[#This Row],[Tipo]]="SELL",IF(ISNUMBER(FIND(MID(AA$1,10,5),TbTradesBinance[[#This Row],[Par]])),IF(FIND(MID(AA$1,10,5),TbTradesBinance[[#This Row],[Par]])=1, -(Z181-Z182)/Z181*AA181,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Row],[Par]])),(-(Z181-Z182)/Z181*AA181)+IF(TbTradesBinance[[#This Row],[Resultado]]&gt;0,0,TbTradesBinance[[#This Row],[Taxa]]),0),0))</f>
        <v>0</v>
      </c>
      <c r="AB182" s="145">
        <f t="shared" si="43"/>
        <v>0</v>
      </c>
      <c r="AC18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Row],[Tipo]]="DROP"),AC181+TbTradesBinance[[#This Row],[Qtt]],AC181-TbTradesBinance[[#This Row],[Qtt]]),IF(TbTradesBinance[[#This Row],[Tipo]]="BUY",AC181-TbTradesBinance[[#This Row],[Qtt]]*TbTradesBinance[[#This Row],[Preço]],AC181+TbTradesBinance[[#This Row],[Qtt]]*TbTradesBinance[[#This Row],[Preço]])),AC181)-IF(TbTradesBinance[[#This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Row],[Tipo]]="DROP"),AC181+TbTradesBinance[[#This Row],[Qtt]],AC181-TbTradesBinance[[#This Row],[Qtt]]),IF(TbTradesBinance[[#This Row],[Tipo]]="BUY",AC181-TbTradesBinance[[#This Row],[Qtt]]*TbTradesBinance[[#This Row],[Preço]],AC181+TbTradesBinance[[#This Row],[Qtt]]*TbTradesBinance[[#This Row],[Preço]])),AC181)-IF(TbTradesBinance[[#This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Row],[Tipo]]="DROP"),AC181+TbTradesBinance[[#This Row],[Qtt]],AC181-TbTradesBinance[[#This Row],[Qtt]]),IF(TbTradesBinance[[#This Row],[Tipo]]="BUY",AC181-TbTradesBinance[[#This Row],[Qtt]]*TbTradesBinance[[#This Row],[Preço]],AC181+TbTradesBinance[[#This Row],[Qtt]]*TbTradesBinance[[#This Row],[Preço]])),AC181)-IF(TbTradesBinance[[#This Row],[Moeda da Taxa]]=MID(AC$1,9,5),TbTradesBinance[[#This Row],[Taxa]],0),8)))</f>
        <v>0</v>
      </c>
      <c r="AD182" s="145" cm="1">
        <f t="array" ref="AD182">IF(TbTradesBinance[[#This Row],[Tipo]]="EMPTY",0,AD181+IF(TbTradesBinance[[#This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Row],[Par]]))),$1:$1,0)),-(AC181-AC182)/AC181*AD181),0),0)+IF(TbTradesBinance[[#This Row],[Tipo]]="SELL",IF(ISNUMBER(FIND(MID(AD$1,10,5),TbTradesBinance[[#This Row],[Par]])),IF(FIND(MID(AD$1,10,5),TbTradesBinance[[#This Row],[Par]])=1, -(AC181-AC182)/AC181*AD181,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Row],[Par]])),(-(AC181-AC182)/AC181*AD181)+IF(TbTradesBinance[[#This Row],[Resultado]]&gt;0,0,TbTradesBinance[[#This Row],[Taxa]]),0),0))</f>
        <v>0</v>
      </c>
      <c r="AE182" s="145">
        <f t="shared" si="44"/>
        <v>0</v>
      </c>
      <c r="AF18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Row],[Tipo]]="DROP"),AF181+TbTradesBinance[[#This Row],[Qtt]],AF181-TbTradesBinance[[#This Row],[Qtt]]),IF(TbTradesBinance[[#This Row],[Tipo]]="BUY",AF181-TbTradesBinance[[#This Row],[Qtt]]*TbTradesBinance[[#This Row],[Preço]],AF181+TbTradesBinance[[#This Row],[Qtt]]*TbTradesBinance[[#This Row],[Preço]])),AF181)-IF(TbTradesBinance[[#This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Row],[Tipo]]="DROP"),AF181+TbTradesBinance[[#This Row],[Qtt]],AF181-TbTradesBinance[[#This Row],[Qtt]]),IF(TbTradesBinance[[#This Row],[Tipo]]="BUY",AF181-TbTradesBinance[[#This Row],[Qtt]]*TbTradesBinance[[#This Row],[Preço]],AF181+TbTradesBinance[[#This Row],[Qtt]]*TbTradesBinance[[#This Row],[Preço]])),AF181)-IF(TbTradesBinance[[#This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Row],[Tipo]]="DROP"),AF181+TbTradesBinance[[#This Row],[Qtt]],AF181-TbTradesBinance[[#This Row],[Qtt]]),IF(TbTradesBinance[[#This Row],[Tipo]]="BUY",AF181-TbTradesBinance[[#This Row],[Qtt]]*TbTradesBinance[[#This Row],[Preço]],AF181+TbTradesBinance[[#This Row],[Qtt]]*TbTradesBinance[[#This Row],[Preço]])),AF181)-IF(TbTradesBinance[[#This Row],[Moeda da Taxa]]=MID(AF$1,9,5),TbTradesBinance[[#This Row],[Taxa]],0),8)))</f>
        <v>0</v>
      </c>
      <c r="AG182" s="145" cm="1">
        <f t="array" ref="AG182">IF(TbTradesBinance[[#This Row],[Tipo]]="EMPTY",0,AG181+IF(TbTradesBinance[[#This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Row],[Par]]))),$1:$1,0)),-(AF181-AF182)/AF181*AG181),0),0)+IF(TbTradesBinance[[#This Row],[Tipo]]="SELL",IF(ISNUMBER(FIND(MID(AG$1,10,5),TbTradesBinance[[#This Row],[Par]])),IF(FIND(MID(AG$1,10,5),TbTradesBinance[[#This Row],[Par]])=1, -(AF181-AF182)/AF181*AG181,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Row],[Par]])),(-(AF181-AF182)/AF181*AG181)+IF(TbTradesBinance[[#This Row],[Resultado]]&gt;0,0,TbTradesBinance[[#This Row],[Taxa]]),0),0))</f>
        <v>0</v>
      </c>
      <c r="AH182" s="145">
        <f t="shared" si="45"/>
        <v>0</v>
      </c>
      <c r="AI18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Row],[Tipo]]="DROP"),AI181+TbTradesBinance[[#This Row],[Qtt]],AI181-TbTradesBinance[[#This Row],[Qtt]]),IF(TbTradesBinance[[#This Row],[Tipo]]="BUY",AI181-TbTradesBinance[[#This Row],[Qtt]]*TbTradesBinance[[#This Row],[Preço]],AI181+TbTradesBinance[[#This Row],[Qtt]]*TbTradesBinance[[#This Row],[Preço]])),AI181)-IF(TbTradesBinance[[#This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Row],[Tipo]]="DROP"),AI181+TbTradesBinance[[#This Row],[Qtt]],AI181-TbTradesBinance[[#This Row],[Qtt]]),IF(TbTradesBinance[[#This Row],[Tipo]]="BUY",AI181-TbTradesBinance[[#This Row],[Qtt]]*TbTradesBinance[[#This Row],[Preço]],AI181+TbTradesBinance[[#This Row],[Qtt]]*TbTradesBinance[[#This Row],[Preço]])),AI181)-IF(TbTradesBinance[[#This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Row],[Tipo]]="DROP"),AI181+TbTradesBinance[[#This Row],[Qtt]],AI181-TbTradesBinance[[#This Row],[Qtt]]),IF(TbTradesBinance[[#This Row],[Tipo]]="BUY",AI181-TbTradesBinance[[#This Row],[Qtt]]*TbTradesBinance[[#This Row],[Preço]],AI181+TbTradesBinance[[#This Row],[Qtt]]*TbTradesBinance[[#This Row],[Preço]])),AI181)-IF(TbTradesBinance[[#This Row],[Moeda da Taxa]]=MID(AI$1,9,5),TbTradesBinance[[#This Row],[Taxa]],0),8)))</f>
        <v>0</v>
      </c>
      <c r="AJ182" s="145" cm="1">
        <f t="array" ref="AJ182">IF(TbTradesBinance[[#This Row],[Tipo]]="EMPTY",0,AJ181+IF(TbTradesBinance[[#This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Row],[Par]]))),$1:$1,0)),-(AI181-AI182)/AI181*AJ181),0),0)+IF(TbTradesBinance[[#This Row],[Tipo]]="SELL",IF(ISNUMBER(FIND(MID(AJ$1,10,5),TbTradesBinance[[#This Row],[Par]])),IF(FIND(MID(AJ$1,10,5),TbTradesBinance[[#This Row],[Par]])=1, -(AI181-AI182)/AI181*AJ181,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Row],[Par]])),(-(AI181-AI182)/AI181*AJ181)+IF(TbTradesBinance[[#This Row],[Resultado]]&gt;0,0,TbTradesBinance[[#This Row],[Taxa]]),0),0))</f>
        <v>0</v>
      </c>
      <c r="AK182" s="145">
        <f t="shared" si="46"/>
        <v>0</v>
      </c>
      <c r="AL18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Row],[Tipo]]="DROP"),AL181+TbTradesBinance[[#This Row],[Qtt]],AL181-TbTradesBinance[[#This Row],[Qtt]]),IF(TbTradesBinance[[#This Row],[Tipo]]="BUY",AL181-TbTradesBinance[[#This Row],[Qtt]]*TbTradesBinance[[#This Row],[Preço]],AL181+TbTradesBinance[[#This Row],[Qtt]]*TbTradesBinance[[#This Row],[Preço]])),AL181)-IF(TbTradesBinance[[#This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Row],[Tipo]]="DROP"),AL181+TbTradesBinance[[#This Row],[Qtt]],AL181-TbTradesBinance[[#This Row],[Qtt]]),IF(TbTradesBinance[[#This Row],[Tipo]]="BUY",AL181-TbTradesBinance[[#This Row],[Qtt]]*TbTradesBinance[[#This Row],[Preço]],AL181+TbTradesBinance[[#This Row],[Qtt]]*TbTradesBinance[[#This Row],[Preço]])),AL181)-IF(TbTradesBinance[[#This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Row],[Tipo]]="DROP"),AL181+TbTradesBinance[[#This Row],[Qtt]],AL181-TbTradesBinance[[#This Row],[Qtt]]),IF(TbTradesBinance[[#This Row],[Tipo]]="BUY",AL181-TbTradesBinance[[#This Row],[Qtt]]*TbTradesBinance[[#This Row],[Preço]],AL181+TbTradesBinance[[#This Row],[Qtt]]*TbTradesBinance[[#This Row],[Preço]])),AL181)-IF(TbTradesBinance[[#This Row],[Moeda da Taxa]]=MID(AL$1,9,5),TbTradesBinance[[#This Row],[Taxa]],0),8)))</f>
        <v>0</v>
      </c>
      <c r="AM182" s="145" cm="1">
        <f t="array" ref="AM182">IF(TbTradesBinance[[#This Row],[Tipo]]="EMPTY",0,AM181+IF(TbTradesBinance[[#This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Row],[Par]]))),$1:$1,0)),-(AL181-AL182)/AL181*AM181),0),0)+IF(TbTradesBinance[[#This Row],[Tipo]]="SELL",IF(ISNUMBER(FIND(MID(AM$1,10,5),TbTradesBinance[[#This Row],[Par]])),IF(FIND(MID(AM$1,10,5),TbTradesBinance[[#This Row],[Par]])=1, -(AL181-AL182)/AL181*AM181,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Row],[Par]])),(-(AL181-AL182)/AL181*AM181)+IF(TbTradesBinance[[#This Row],[Resultado]]&gt;0,0,TbTradesBinance[[#This Row],[Taxa]]),0),0))</f>
        <v>0</v>
      </c>
      <c r="AN182" s="145">
        <f t="shared" si="47"/>
        <v>0</v>
      </c>
      <c r="AO18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Row],[Tipo]]="DROP"),AO181+TbTradesBinance[[#This Row],[Qtt]],AO181-TbTradesBinance[[#This Row],[Qtt]]),IF(TbTradesBinance[[#This Row],[Tipo]]="BUY",AO181-TbTradesBinance[[#This Row],[Qtt]]*TbTradesBinance[[#This Row],[Preço]],AO181+TbTradesBinance[[#This Row],[Qtt]]*TbTradesBinance[[#This Row],[Preço]])),AO181)-IF(TbTradesBinance[[#This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Row],[Tipo]]="DROP"),AO181+TbTradesBinance[[#This Row],[Qtt]],AO181-TbTradesBinance[[#This Row],[Qtt]]),IF(TbTradesBinance[[#This Row],[Tipo]]="BUY",AO181-TbTradesBinance[[#This Row],[Qtt]]*TbTradesBinance[[#This Row],[Preço]],AO181+TbTradesBinance[[#This Row],[Qtt]]*TbTradesBinance[[#This Row],[Preço]])),AO181)-IF(TbTradesBinance[[#This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Row],[Tipo]]="DROP"),AO181+TbTradesBinance[[#This Row],[Qtt]],AO181-TbTradesBinance[[#This Row],[Qtt]]),IF(TbTradesBinance[[#This Row],[Tipo]]="BUY",AO181-TbTradesBinance[[#This Row],[Qtt]]*TbTradesBinance[[#This Row],[Preço]],AO181+TbTradesBinance[[#This Row],[Qtt]]*TbTradesBinance[[#This Row],[Preço]])),AO181)-IF(TbTradesBinance[[#This Row],[Moeda da Taxa]]=MID(AO$1,9,5),TbTradesBinance[[#This Row],[Taxa]],0),8)))</f>
        <v>3.8363830000000002E-2</v>
      </c>
      <c r="AP182" s="145" cm="1">
        <f t="array" ref="AP182">IF(TbTradesBinance[[#This Row],[Tipo]]="EMPTY",0,AP181+IF(TbTradesBinance[[#This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Row],[Par]]))),$1:$1,0)),-(AO181-AO182)/AO181*AP181),0),0)+IF(TbTradesBinance[[#This Row],[Tipo]]="SELL",IF(ISNUMBER(FIND(MID(AP$1,10,5),TbTradesBinance[[#This Row],[Par]])),IF(FIND(MID(AP$1,10,5),TbTradesBinance[[#This Row],[Par]])=1, -(AO181-AO182)/AO181*AP181,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Row],[Par]])),(-(AO181-AO182)/AO181*AP181)+IF(TbTradesBinance[[#This Row],[Resultado]]&gt;0,0,TbTradesBinance[[#This Row],[Taxa]]),0),0))</f>
        <v>60.349858055862811</v>
      </c>
      <c r="AQ182" s="145">
        <f t="shared" si="48"/>
        <v>1573.0926254199023</v>
      </c>
      <c r="AR18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Row],[Tipo]]="DROP"),AR181+TbTradesBinance[[#This Row],[Qtt]],AR181-TbTradesBinance[[#This Row],[Qtt]]),IF(TbTradesBinance[[#This Row],[Tipo]]="BUY",AR181-TbTradesBinance[[#This Row],[Qtt]]*TbTradesBinance[[#This Row],[Preço]],AR181+TbTradesBinance[[#This Row],[Qtt]]*TbTradesBinance[[#This Row],[Preço]])),AR181)-IF(TbTradesBinance[[#This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Row],[Tipo]]="DROP"),AR181+TbTradesBinance[[#This Row],[Qtt]],AR181-TbTradesBinance[[#This Row],[Qtt]]),IF(TbTradesBinance[[#This Row],[Tipo]]="BUY",AR181-TbTradesBinance[[#This Row],[Qtt]]*TbTradesBinance[[#This Row],[Preço]],AR181+TbTradesBinance[[#This Row],[Qtt]]*TbTradesBinance[[#This Row],[Preço]])),AR181)-IF(TbTradesBinance[[#This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Row],[Tipo]]="DROP"),AR181+TbTradesBinance[[#This Row],[Qtt]],AR181-TbTradesBinance[[#This Row],[Qtt]]),IF(TbTradesBinance[[#This Row],[Tipo]]="BUY",AR181-TbTradesBinance[[#This Row],[Qtt]]*TbTradesBinance[[#This Row],[Preço]],AR181+TbTradesBinance[[#This Row],[Qtt]]*TbTradesBinance[[#This Row],[Preço]])),AR181)-IF(TbTradesBinance[[#This Row],[Moeda da Taxa]]=MID(AR$1,9,5),TbTradesBinance[[#This Row],[Taxa]],0),8)))</f>
        <v>0</v>
      </c>
      <c r="AS182" s="145" cm="1">
        <f t="array" ref="AS182">IF(TbTradesBinance[[#This Row],[Tipo]]="EMPTY",0,AS181+IF(TbTradesBinance[[#This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Row],[Par]]))),$1:$1,0)),-(AR181-AR182)/AR181*AS181),0),0)+IF(TbTradesBinance[[#This Row],[Tipo]]="SELL",IF(ISNUMBER(FIND(MID(AS$1,10,5),TbTradesBinance[[#This Row],[Par]])),IF(FIND(MID(AS$1,10,5),TbTradesBinance[[#This Row],[Par]])=1, -(AR181-AR182)/AR181*AS181,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Row],[Par]])),(-(AR181-AR182)/AR181*AS181)+IF(TbTradesBinance[[#This Row],[Resultado]]&gt;0,0,TbTradesBinance[[#This Row],[Taxa]]),0),0))</f>
        <v>0</v>
      </c>
      <c r="AT182" s="145">
        <f t="shared" si="49"/>
        <v>0</v>
      </c>
      <c r="AU18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Row],[Tipo]]="DROP"),AU181+TbTradesBinance[[#This Row],[Qtt]],AU181-TbTradesBinance[[#This Row],[Qtt]]),IF(TbTradesBinance[[#This Row],[Tipo]]="BUY",AU181-TbTradesBinance[[#This Row],[Qtt]]*TbTradesBinance[[#This Row],[Preço]],AU181+TbTradesBinance[[#This Row],[Qtt]]*TbTradesBinance[[#This Row],[Preço]])),AU181)-IF(TbTradesBinance[[#This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Row],[Tipo]]="DROP"),AU181+TbTradesBinance[[#This Row],[Qtt]],AU181-TbTradesBinance[[#This Row],[Qtt]]),IF(TbTradesBinance[[#This Row],[Tipo]]="BUY",AU181-TbTradesBinance[[#This Row],[Qtt]]*TbTradesBinance[[#This Row],[Preço]],AU181+TbTradesBinance[[#This Row],[Qtt]]*TbTradesBinance[[#This Row],[Preço]])),AU181)-IF(TbTradesBinance[[#This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Row],[Tipo]]="DROP"),AU181+TbTradesBinance[[#This Row],[Qtt]],AU181-TbTradesBinance[[#This Row],[Qtt]]),IF(TbTradesBinance[[#This Row],[Tipo]]="BUY",AU181-TbTradesBinance[[#This Row],[Qtt]]*TbTradesBinance[[#This Row],[Preço]],AU181+TbTradesBinance[[#This Row],[Qtt]]*TbTradesBinance[[#This Row],[Preço]])),AU181)-IF(TbTradesBinance[[#This Row],[Moeda da Taxa]]=MID(AU$1,9,5),TbTradesBinance[[#This Row],[Taxa]],0),8)))</f>
        <v>0.51</v>
      </c>
      <c r="AV182" s="145" cm="1">
        <f t="array" ref="AV182">IF(TbTradesBinance[[#This Row],[Tipo]]="EMPTY",0,AV181+IF(TbTradesBinance[[#This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Row],[Par]]))),$1:$1,0)),-(AU181-AU182)/AU181*AV181),0),0)+IF(TbTradesBinance[[#This Row],[Tipo]]="SELL",IF(ISNUMBER(FIND(MID(AV$1,10,5),TbTradesBinance[[#This Row],[Par]])),IF(FIND(MID(AV$1,10,5),TbTradesBinance[[#This Row],[Par]])=1, -(AU181-AU182)/AU181*AV181,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Row],[Par]])),(-(AU181-AU182)/AU181*AV181)+IF(TbTradesBinance[[#This Row],[Resultado]]&gt;0,0,TbTradesBinance[[#This Row],[Taxa]]),0),0))</f>
        <v>95.466693037374753</v>
      </c>
      <c r="AW182" s="145">
        <f t="shared" si="50"/>
        <v>187.18959419093088</v>
      </c>
      <c r="AX18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Row],[Tipo]]="DROP"),AX181+TbTradesBinance[[#This Row],[Qtt]],AX181-TbTradesBinance[[#This Row],[Qtt]]),IF(TbTradesBinance[[#This Row],[Tipo]]="BUY",AX181-TbTradesBinance[[#This Row],[Qtt]]*TbTradesBinance[[#This Row],[Preço]],AX181+TbTradesBinance[[#This Row],[Qtt]]*TbTradesBinance[[#This Row],[Preço]])),AX181)-IF(TbTradesBinance[[#This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Row],[Tipo]]="DROP"),AX181+TbTradesBinance[[#This Row],[Qtt]],AX181-TbTradesBinance[[#This Row],[Qtt]]),IF(TbTradesBinance[[#This Row],[Tipo]]="BUY",AX181-TbTradesBinance[[#This Row],[Qtt]]*TbTradesBinance[[#This Row],[Preço]],AX181+TbTradesBinance[[#This Row],[Qtt]]*TbTradesBinance[[#This Row],[Preço]])),AX181)-IF(TbTradesBinance[[#This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Row],[Tipo]]="DROP"),AX181+TbTradesBinance[[#This Row],[Qtt]],AX181-TbTradesBinance[[#This Row],[Qtt]]),IF(TbTradesBinance[[#This Row],[Tipo]]="BUY",AX181-TbTradesBinance[[#This Row],[Qtt]]*TbTradesBinance[[#This Row],[Preço]],AX181+TbTradesBinance[[#This Row],[Qtt]]*TbTradesBinance[[#This Row],[Preço]])),AX181)-IF(TbTradesBinance[[#This Row],[Moeda da Taxa]]=MID(AX$1,9,5),TbTradesBinance[[#This Row],[Taxa]],0),8)))</f>
        <v>0.32838000000000001</v>
      </c>
      <c r="AY182" s="145" cm="1">
        <f t="array" ref="AY182">IF(TbTradesBinance[[#This Row],[Tipo]]="EMPTY",0,AY181+IF(TbTradesBinance[[#This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Row],[Par]]))),$1:$1,0)),-(AX181-AX182)/AX181*AY181),0),0)+IF(TbTradesBinance[[#This Row],[Tipo]]="SELL",IF(ISNUMBER(FIND(MID(AY$1,10,5),TbTradesBinance[[#This Row],[Par]])),IF(FIND(MID(AY$1,10,5),TbTradesBinance[[#This Row],[Par]])=1, -(AX181-AX182)/AX181*AY181,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Row],[Par]])),(-(AX181-AX182)/AX181*AY181)+IF(TbTradesBinance[[#This Row],[Resultado]]&gt;0,0,TbTradesBinance[[#This Row],[Taxa]]),0),0))</f>
        <v>61.364116058805678</v>
      </c>
      <c r="AZ182" s="145">
        <f t="shared" si="51"/>
        <v>186.869224857804</v>
      </c>
      <c r="BA18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Row],[Tipo]]="DROP"),BA181+TbTradesBinance[[#This Row],[Qtt]],BA181-TbTradesBinance[[#This Row],[Qtt]]),IF(TbTradesBinance[[#This Row],[Tipo]]="BUY",BA181-TbTradesBinance[[#This Row],[Qtt]]*TbTradesBinance[[#This Row],[Preço]],BA181+TbTradesBinance[[#This Row],[Qtt]]*TbTradesBinance[[#This Row],[Preço]])),BA181)-IF(TbTradesBinance[[#This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Row],[Tipo]]="DROP"),BA181+TbTradesBinance[[#This Row],[Qtt]],BA181-TbTradesBinance[[#This Row],[Qtt]]),IF(TbTradesBinance[[#This Row],[Tipo]]="BUY",BA181-TbTradesBinance[[#This Row],[Qtt]]*TbTradesBinance[[#This Row],[Preço]],BA181+TbTradesBinance[[#This Row],[Qtt]]*TbTradesBinance[[#This Row],[Preço]])),BA181)-IF(TbTradesBinance[[#This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Row],[Tipo]]="DROP"),BA181+TbTradesBinance[[#This Row],[Qtt]],BA181-TbTradesBinance[[#This Row],[Qtt]]),IF(TbTradesBinance[[#This Row],[Tipo]]="BUY",BA181-TbTradesBinance[[#This Row],[Qtt]]*TbTradesBinance[[#This Row],[Preço]],BA181+TbTradesBinance[[#This Row],[Qtt]]*TbTradesBinance[[#This Row],[Preço]])),BA181)-IF(TbTradesBinance[[#This Row],[Moeda da Taxa]]=MID(BA$1,9,5),TbTradesBinance[[#This Row],[Taxa]],0),8)))</f>
        <v>0</v>
      </c>
      <c r="BB182" s="145" cm="1">
        <f t="array" ref="BB182">IF(TbTradesBinance[[#This Row],[Tipo]]="EMPTY",0,BB181+IF(TbTradesBinance[[#This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Row],[Par]]))),$1:$1,0)),-(BA181-BA182)/BA181*BB181),0),0)+IF(TbTradesBinance[[#This Row],[Tipo]]="SELL",IF(ISNUMBER(FIND(MID(BB$1,10,5),TbTradesBinance[[#This Row],[Par]])),IF(FIND(MID(BB$1,10,5),TbTradesBinance[[#This Row],[Par]])=1, -(BA181-BA182)/BA181*BB181,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Row],[Par]])),(-(BA181-BA182)/BA181*BB181)+IF(TbTradesBinance[[#This Row],[Resultado]]&gt;0,0,TbTradesBinance[[#This Row],[Taxa]]),0),0))</f>
        <v>0</v>
      </c>
      <c r="BC182" s="145">
        <f t="shared" si="52"/>
        <v>0</v>
      </c>
      <c r="BD18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Row],[Tipo]]="DROP"),BD181+TbTradesBinance[[#This Row],[Qtt]],BD181-TbTradesBinance[[#This Row],[Qtt]]),IF(TbTradesBinance[[#This Row],[Tipo]]="BUY",BD181-TbTradesBinance[[#This Row],[Qtt]]*TbTradesBinance[[#This Row],[Preço]],BD181+TbTradesBinance[[#This Row],[Qtt]]*TbTradesBinance[[#This Row],[Preço]])),BD181)-IF(TbTradesBinance[[#This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Row],[Tipo]]="DROP"),BD181+TbTradesBinance[[#This Row],[Qtt]],BD181-TbTradesBinance[[#This Row],[Qtt]]),IF(TbTradesBinance[[#This Row],[Tipo]]="BUY",BD181-TbTradesBinance[[#This Row],[Qtt]]*TbTradesBinance[[#This Row],[Preço]],BD181+TbTradesBinance[[#This Row],[Qtt]]*TbTradesBinance[[#This Row],[Preço]])),BD181)-IF(TbTradesBinance[[#This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Row],[Tipo]]="DROP"),BD181+TbTradesBinance[[#This Row],[Qtt]],BD181-TbTradesBinance[[#This Row],[Qtt]]),IF(TbTradesBinance[[#This Row],[Tipo]]="BUY",BD181-TbTradesBinance[[#This Row],[Qtt]]*TbTradesBinance[[#This Row],[Preço]],BD181+TbTradesBinance[[#This Row],[Qtt]]*TbTradesBinance[[#This Row],[Preço]])),BD181)-IF(TbTradesBinance[[#This Row],[Moeda da Taxa]]=MID(BD$1,9,5),TbTradesBinance[[#This Row],[Taxa]],0),8)))</f>
        <v>0</v>
      </c>
      <c r="BE182" s="145" cm="1">
        <f t="array" ref="BE182">IF(TbTradesBinance[[#This Row],[Tipo]]="EMPTY",0,BE181+IF(TbTradesBinance[[#This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Row],[Par]]))),$1:$1,0)),-(BD181-BD182)/BD181*BE181),0),0)+IF(TbTradesBinance[[#This Row],[Tipo]]="SELL",IF(ISNUMBER(FIND(MID(BE$1,10,5),TbTradesBinance[[#This Row],[Par]])),IF(FIND(MID(BE$1,10,5),TbTradesBinance[[#This Row],[Par]])=1, -(BD181-BD182)/BD181*BE181,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Row],[Par]])),(-(BD181-BD182)/BD181*BE181)+IF(TbTradesBinance[[#This Row],[Resultado]]&gt;0,0,TbTradesBinance[[#This Row],[Taxa]]),0),0))</f>
        <v>0</v>
      </c>
      <c r="BF182" s="145">
        <f t="shared" si="53"/>
        <v>0</v>
      </c>
      <c r="BG18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Row],[Tipo]]="DROP"),BG181+TbTradesBinance[[#This Row],[Qtt]],BG181-TbTradesBinance[[#This Row],[Qtt]]),IF(TbTradesBinance[[#This Row],[Tipo]]="BUY",BG181-TbTradesBinance[[#This Row],[Qtt]]*TbTradesBinance[[#This Row],[Preço]],BG181+TbTradesBinance[[#This Row],[Qtt]]*TbTradesBinance[[#This Row],[Preço]])),BG181)-IF(TbTradesBinance[[#This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Row],[Tipo]]="DROP"),BG181+TbTradesBinance[[#This Row],[Qtt]],BG181-TbTradesBinance[[#This Row],[Qtt]]),IF(TbTradesBinance[[#This Row],[Tipo]]="BUY",BG181-TbTradesBinance[[#This Row],[Qtt]]*TbTradesBinance[[#This Row],[Preço]],BG181+TbTradesBinance[[#This Row],[Qtt]]*TbTradesBinance[[#This Row],[Preço]])),BG181)-IF(TbTradesBinance[[#This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Row],[Tipo]]="DROP"),BG181+TbTradesBinance[[#This Row],[Qtt]],BG181-TbTradesBinance[[#This Row],[Qtt]]),IF(TbTradesBinance[[#This Row],[Tipo]]="BUY",BG181-TbTradesBinance[[#This Row],[Qtt]]*TbTradesBinance[[#This Row],[Preço]],BG181+TbTradesBinance[[#This Row],[Qtt]]*TbTradesBinance[[#This Row],[Preço]])),BG181)-IF(TbTradesBinance[[#This Row],[Moeda da Taxa]]=MID(BG$1,9,5),TbTradesBinance[[#This Row],[Taxa]],0),8)))</f>
        <v>0</v>
      </c>
      <c r="BH182" s="145" cm="1">
        <f t="array" ref="BH182">IF(TbTradesBinance[[#This Row],[Tipo]]="EMPTY",0,BH181+IF(TbTradesBinance[[#This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Row],[Par]]))),$1:$1,0)),-(BG181-BG182)/BG181*BH181),0),0)+IF(TbTradesBinance[[#This Row],[Tipo]]="SELL",IF(ISNUMBER(FIND(MID(BH$1,10,5),TbTradesBinance[[#This Row],[Par]])),IF(FIND(MID(BH$1,10,5),TbTradesBinance[[#This Row],[Par]])=1, -(BG181-BG182)/BG181*BH181,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Row],[Par]])),(-(BG181-BG182)/BG181*BH181)+IF(TbTradesBinance[[#This Row],[Resultado]]&gt;0,0,TbTradesBinance[[#This Row],[Taxa]]),0),0))</f>
        <v>0</v>
      </c>
      <c r="BI182" s="145">
        <f t="shared" si="54"/>
        <v>0</v>
      </c>
      <c r="BJ18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Row],[Tipo]]="DROP"),BJ181+TbTradesBinance[[#This Row],[Qtt]],BJ181-TbTradesBinance[[#This Row],[Qtt]]),IF(TbTradesBinance[[#This Row],[Tipo]]="BUY",BJ181-TbTradesBinance[[#This Row],[Qtt]]*TbTradesBinance[[#This Row],[Preço]],BJ181+TbTradesBinance[[#This Row],[Qtt]]*TbTradesBinance[[#This Row],[Preço]])),BJ181)-IF(TbTradesBinance[[#This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Row],[Tipo]]="DROP"),BJ181+TbTradesBinance[[#This Row],[Qtt]],BJ181-TbTradesBinance[[#This Row],[Qtt]]),IF(TbTradesBinance[[#This Row],[Tipo]]="BUY",BJ181-TbTradesBinance[[#This Row],[Qtt]]*TbTradesBinance[[#This Row],[Preço]],BJ181+TbTradesBinance[[#This Row],[Qtt]]*TbTradesBinance[[#This Row],[Preço]])),BJ181)-IF(TbTradesBinance[[#This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Row],[Tipo]]="DROP"),BJ181+TbTradesBinance[[#This Row],[Qtt]],BJ181-TbTradesBinance[[#This Row],[Qtt]]),IF(TbTradesBinance[[#This Row],[Tipo]]="BUY",BJ181-TbTradesBinance[[#This Row],[Qtt]]*TbTradesBinance[[#This Row],[Preço]],BJ181+TbTradesBinance[[#This Row],[Qtt]]*TbTradesBinance[[#This Row],[Preço]])),BJ181)-IF(TbTradesBinance[[#This Row],[Moeda da Taxa]]=MID(BJ$1,9,5),TbTradesBinance[[#This Row],[Taxa]],0),8)))</f>
        <v>0</v>
      </c>
      <c r="BK182" s="145" cm="1">
        <f t="array" ref="BK182">IF(TbTradesBinance[[#This Row],[Tipo]]="EMPTY",0,BK181+IF(TbTradesBinance[[#This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Row],[Par]]))),$1:$1,0)),-(BJ181-BJ182)/BJ181*BK181),0),0)+IF(TbTradesBinance[[#This Row],[Tipo]]="SELL",IF(ISNUMBER(FIND(MID(BK$1,10,5),TbTradesBinance[[#This Row],[Par]])),IF(FIND(MID(BK$1,10,5),TbTradesBinance[[#This Row],[Par]])=1, -(BJ181-BJ182)/BJ181*BK181,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Row],[Par]])),(-(BJ181-BJ182)/BJ181*BK181)+IF(TbTradesBinance[[#This Row],[Resultado]]&gt;0,0,TbTradesBinance[[#This Row],[Taxa]]),0),0))</f>
        <v>0</v>
      </c>
      <c r="BL182" s="145">
        <f t="shared" si="55"/>
        <v>0</v>
      </c>
      <c r="BM18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Row],[Tipo]]="DROP"),BM181+TbTradesBinance[[#This Row],[Qtt]],BM181-TbTradesBinance[[#This Row],[Qtt]]),IF(TbTradesBinance[[#This Row],[Tipo]]="BUY",BM181-TbTradesBinance[[#This Row],[Qtt]]*TbTradesBinance[[#This Row],[Preço]],BM181+TbTradesBinance[[#This Row],[Qtt]]*TbTradesBinance[[#This Row],[Preço]])),BM181)-IF(TbTradesBinance[[#This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Row],[Tipo]]="DROP"),BM181+TbTradesBinance[[#This Row],[Qtt]],BM181-TbTradesBinance[[#This Row],[Qtt]]),IF(TbTradesBinance[[#This Row],[Tipo]]="BUY",BM181-TbTradesBinance[[#This Row],[Qtt]]*TbTradesBinance[[#This Row],[Preço]],BM181+TbTradesBinance[[#This Row],[Qtt]]*TbTradesBinance[[#This Row],[Preço]])),BM181)-IF(TbTradesBinance[[#This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Row],[Tipo]]="DROP"),BM181+TbTradesBinance[[#This Row],[Qtt]],BM181-TbTradesBinance[[#This Row],[Qtt]]),IF(TbTradesBinance[[#This Row],[Tipo]]="BUY",BM181-TbTradesBinance[[#This Row],[Qtt]]*TbTradesBinance[[#This Row],[Preço]],BM181+TbTradesBinance[[#This Row],[Qtt]]*TbTradesBinance[[#This Row],[Preço]])),BM181)-IF(TbTradesBinance[[#This Row],[Moeda da Taxa]]=MID(BM$1,9,5),TbTradesBinance[[#This Row],[Taxa]],0),8)))</f>
        <v>0</v>
      </c>
      <c r="BN182" s="145" cm="1">
        <f t="array" ref="BN182">IF(TbTradesBinance[[#This Row],[Tipo]]="EMPTY",0,BN181+IF(TbTradesBinance[[#This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Row],[Par]]))),$1:$1,0)),-(BM181-BM182)/BM181*BN181),0),0)+IF(TbTradesBinance[[#This Row],[Tipo]]="SELL",IF(ISNUMBER(FIND(MID(BN$1,10,5),TbTradesBinance[[#This Row],[Par]])),IF(FIND(MID(BN$1,10,5),TbTradesBinance[[#This Row],[Par]])=1, -(BM181-BM182)/BM181*BN181,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Row],[Par]])),(-(BM181-BM182)/BM181*BN181)+IF(TbTradesBinance[[#This Row],[Resultado]]&gt;0,0,TbTradesBinance[[#This Row],[Taxa]]),0),0))</f>
        <v>0</v>
      </c>
      <c r="BO182" s="145">
        <f t="shared" si="56"/>
        <v>0</v>
      </c>
    </row>
    <row r="183" spans="2:67" x14ac:dyDescent="0.3">
      <c r="B183" s="51" t="s">
        <v>240</v>
      </c>
      <c r="C183" s="40">
        <f>TRUNC(IF(AND(TbTradesBinance[[#This Row],[Tipo]]="SEND",TbTradesBinance[[#This Row],[Par]]="BRL"),TbTradesBinance[[#This Row],[Qtt]]*(1-P181)-IF(TbTradesBinance[[#This Row],[Moeda da Taxa]]="BRL",TbTradesBinance[[#This Row],[Taxa]],0),0)+IF(AND(TbTradesBinance[[#This Row],[Tipo]]="BURN",TbTradesBinance[[#This Row],[Par]]="BRL"),-TbTradesBinance[[#This Row],[Qtt]]*P181,0),2)</f>
        <v>0</v>
      </c>
      <c r="D183" s="53">
        <v>44352.913761574076</v>
      </c>
      <c r="E183" s="37" t="s">
        <v>60</v>
      </c>
      <c r="F183" s="47" t="s">
        <v>137</v>
      </c>
      <c r="G183" s="38">
        <v>1</v>
      </c>
      <c r="H183" s="38">
        <v>200000</v>
      </c>
      <c r="I183" s="38">
        <v>0</v>
      </c>
      <c r="J183" s="37" t="s">
        <v>60</v>
      </c>
      <c r="K183" s="52">
        <v>6.1</v>
      </c>
      <c r="L183" s="40">
        <f t="shared" si="38"/>
        <v>6.1</v>
      </c>
      <c r="M183" s="40">
        <f>IF(OR(TbTradesBinance[[#This Row],[Tipo]]="BUY",TbTradesBinance[[#This Row],[Tipo]]="RECEIVE",TbTradesBinance[[#This Row],[Tipo]]="DROP"),L183*H183,-L183*H183)</f>
        <v>1220000</v>
      </c>
      <c r="N18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Row],[Tipo]]="DROP"),N182+TbTradesBinance[[#This Row],[Qtt]],N182-TbTradesBinance[[#This Row],[Qtt]]),IF(TbTradesBinance[[#This Row],[Tipo]]="BUY",N182-TbTradesBinance[[#This Row],[Qtt]]*TbTradesBinance[[#This Row],[Preço]],N182+TbTradesBinance[[#This Row],[Qtt]]*TbTradesBinance[[#This Row],[Preço]])),N182)-IF(TbTradesBinance[[#This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Row],[Tipo]]="DROP"),N182+TbTradesBinance[[#This Row],[Qtt]],N182-TbTradesBinance[[#This Row],[Qtt]]),IF(TbTradesBinance[[#This Row],[Tipo]]="BUY",N182-TbTradesBinance[[#This Row],[Qtt]]*TbTradesBinance[[#This Row],[Preço]],N182+TbTradesBinance[[#This Row],[Qtt]]*TbTradesBinance[[#This Row],[Preço]])),N182)-IF(TbTradesBinance[[#This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Row],[Tipo]]="DROP"),N182+TbTradesBinance[[#This Row],[Qtt]],N182-TbTradesBinance[[#This Row],[Qtt]]),IF(TbTradesBinance[[#This Row],[Tipo]]="BUY",N182-TbTradesBinance[[#This Row],[Qtt]]*TbTradesBinance[[#This Row],[Preço]],N182+TbTradesBinance[[#This Row],[Qtt]]*TbTradesBinance[[#This Row],[Preço]])),N182)-IF(TbTradesBinance[[#This Row],[Moeda da Taxa]]=MID(N$1,9,5),TbTradesBinance[[#This Row],[Taxa]],0),8)))</f>
        <v>119745.58804798999</v>
      </c>
      <c r="O183" s="145" cm="1">
        <f t="array" ref="O183">IF(TbTradesBinance[[#This Row],[Tipo]]="EMPTY",0,O182+IF(TbTradesBinance[[#This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Row],[Par]]))),$1:$1,0)),-(N182-N183)/N182*O182),0),0)+IF(TbTradesBinance[[#This Row],[Tipo]]="SELL",IF(ISNUMBER(FIND(MID(O$1,10,5),TbTradesBinance[[#This Row],[Par]])),IF(FIND(MID(O$1,10,5),TbTradesBinance[[#This Row],[Par]])=1, -(N182-N183)/N182*O182,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Row],[Par]])),(-(N182-N183)/N182*O182)+IF(TbTradesBinance[[#This Row],[Resultado]]&gt;0,0,TbTradesBinance[[#This Row],[Taxa]]),0),0))</f>
        <v>119844.14986894446</v>
      </c>
      <c r="P183" s="145">
        <f t="shared" si="39"/>
        <v>1.0008230935482563</v>
      </c>
      <c r="Q18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Row],[Tipo]]="DROP"),Q182+TbTradesBinance[[#This Row],[Qtt]],Q182-TbTradesBinance[[#This Row],[Qtt]]),IF(TbTradesBinance[[#This Row],[Tipo]]="BUY",Q182-TbTradesBinance[[#This Row],[Qtt]]*TbTradesBinance[[#This Row],[Preço]],Q182+TbTradesBinance[[#This Row],[Qtt]]*TbTradesBinance[[#This Row],[Preço]])),Q182)-IF(TbTradesBinance[[#This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Row],[Tipo]]="DROP"),Q182+TbTradesBinance[[#This Row],[Qtt]],Q182-TbTradesBinance[[#This Row],[Qtt]]),IF(TbTradesBinance[[#This Row],[Tipo]]="BUY",Q182-TbTradesBinance[[#This Row],[Qtt]]*TbTradesBinance[[#This Row],[Preço]],Q182+TbTradesBinance[[#This Row],[Qtt]]*TbTradesBinance[[#This Row],[Preço]])),Q182)-IF(TbTradesBinance[[#This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Row],[Tipo]]="DROP"),Q182+TbTradesBinance[[#This Row],[Qtt]],Q182-TbTradesBinance[[#This Row],[Qtt]]),IF(TbTradesBinance[[#This Row],[Tipo]]="BUY",Q182-TbTradesBinance[[#This Row],[Qtt]]*TbTradesBinance[[#This Row],[Preço]],Q182+TbTradesBinance[[#This Row],[Qtt]]*TbTradesBinance[[#This Row],[Preço]])),Q182)-IF(TbTradesBinance[[#This Row],[Moeda da Taxa]]=MID(Q$1,9,5),TbTradesBinance[[#This Row],[Taxa]],0),8)))</f>
        <v>2.8600460000000001E-2</v>
      </c>
      <c r="R183" s="145" cm="1">
        <f t="array" ref="R183">IF(TbTradesBinance[[#This Row],[Tipo]]="EMPTY",0,R182+IF(TbTradesBinance[[#This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Row],[Par]]))),$1:$1,0)),-(Q182-Q183)/Q182*R182),0),0)+IF(TbTradesBinance[[#This Row],[Tipo]]="SELL",IF(ISNUMBER(FIND(MID(R$1,10,5),TbTradesBinance[[#This Row],[Par]])),IF(FIND(MID(R$1,10,5),TbTradesBinance[[#This Row],[Par]])=1, -(Q182-Q183)/Q182*R182,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Row],[Par]])),(-(Q182-Q183)/Q182*R182)+IF(TbTradesBinance[[#This Row],[Resultado]]&gt;0,0,TbTradesBinance[[#This Row],[Taxa]]),0),0))</f>
        <v>0.13390752156915653</v>
      </c>
      <c r="S183" s="145">
        <f t="shared" si="40"/>
        <v>4.6820058687572343</v>
      </c>
      <c r="T18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Row],[Tipo]]="DROP"),T182+TbTradesBinance[[#This Row],[Qtt]],T182-TbTradesBinance[[#This Row],[Qtt]]),IF(TbTradesBinance[[#This Row],[Tipo]]="BUY",T182-TbTradesBinance[[#This Row],[Qtt]]*TbTradesBinance[[#This Row],[Preço]],T182+TbTradesBinance[[#This Row],[Qtt]]*TbTradesBinance[[#This Row],[Preço]])),T182)-IF(TbTradesBinance[[#This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Row],[Tipo]]="DROP"),T182+TbTradesBinance[[#This Row],[Qtt]],T182-TbTradesBinance[[#This Row],[Qtt]]),IF(TbTradesBinance[[#This Row],[Tipo]]="BUY",T182-TbTradesBinance[[#This Row],[Qtt]]*TbTradesBinance[[#This Row],[Preço]],T182+TbTradesBinance[[#This Row],[Qtt]]*TbTradesBinance[[#This Row],[Preço]])),T182)-IF(TbTradesBinance[[#This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Row],[Tipo]]="DROP"),T182+TbTradesBinance[[#This Row],[Qtt]],T182-TbTradesBinance[[#This Row],[Qtt]]),IF(TbTradesBinance[[#This Row],[Tipo]]="BUY",T182-TbTradesBinance[[#This Row],[Qtt]]*TbTradesBinance[[#This Row],[Preço]],T182+TbTradesBinance[[#This Row],[Qtt]]*TbTradesBinance[[#This Row],[Preço]])),T182)-IF(TbTradesBinance[[#This Row],[Moeda da Taxa]]=MID(T$1,9,5),TbTradesBinance[[#This Row],[Taxa]],0),8)))</f>
        <v>419713.72000189999</v>
      </c>
      <c r="U183" s="145" cm="1">
        <f t="array" ref="U183">IF(TbTradesBinance[[#This Row],[Tipo]]="EMPTY",0,U182+IF(TbTradesBinance[[#This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Row],[Par]]))),$1:$1,0)),-(T182-T183)/T182*U182),0),0)+IF(TbTradesBinance[[#This Row],[Tipo]]="SELL",IF(ISNUMBER(FIND(MID(U$1,10,5),TbTradesBinance[[#This Row],[Par]])),IF(FIND(MID(U$1,10,5),TbTradesBinance[[#This Row],[Par]])=1, -(T182-T183)/T182*U182,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Row],[Par]])),(-(T182-T183)/T182*U182)+IF(TbTradesBinance[[#This Row],[Resultado]]&gt;0,0,TbTradesBinance[[#This Row],[Taxa]]),0),0))</f>
        <v>2681096.2409827895</v>
      </c>
      <c r="V183" s="145">
        <f t="shared" si="41"/>
        <v>6.3879166041335331</v>
      </c>
      <c r="W18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Row],[Tipo]]="DROP"),W182+TbTradesBinance[[#This Row],[Qtt]],W182-TbTradesBinance[[#This Row],[Qtt]]),IF(TbTradesBinance[[#This Row],[Tipo]]="BUY",W182-TbTradesBinance[[#This Row],[Qtt]]*TbTradesBinance[[#This Row],[Preço]],W182+TbTradesBinance[[#This Row],[Qtt]]*TbTradesBinance[[#This Row],[Preço]])),W182)-IF(TbTradesBinance[[#This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Row],[Tipo]]="DROP"),W182+TbTradesBinance[[#This Row],[Qtt]],W182-TbTradesBinance[[#This Row],[Qtt]]),IF(TbTradesBinance[[#This Row],[Tipo]]="BUY",W182-TbTradesBinance[[#This Row],[Qtt]]*TbTradesBinance[[#This Row],[Preço]],W182+TbTradesBinance[[#This Row],[Qtt]]*TbTradesBinance[[#This Row],[Preço]])),W182)-IF(TbTradesBinance[[#This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Row],[Tipo]]="DROP"),W182+TbTradesBinance[[#This Row],[Qtt]],W182-TbTradesBinance[[#This Row],[Qtt]]),IF(TbTradesBinance[[#This Row],[Tipo]]="BUY",W182-TbTradesBinance[[#This Row],[Qtt]]*TbTradesBinance[[#This Row],[Preço]],W182+TbTradesBinance[[#This Row],[Qtt]]*TbTradesBinance[[#This Row],[Preço]])),W182)-IF(TbTradesBinance[[#This Row],[Moeda da Taxa]]=MID(W$1,9,5),TbTradesBinance[[#This Row],[Taxa]],0),8)))</f>
        <v>9.9898999999999995E-4</v>
      </c>
      <c r="X183" s="145" cm="1">
        <f t="array" ref="X183">IF(TbTradesBinance[[#This Row],[Tipo]]="EMPTY",0,X182+IF(TbTradesBinance[[#This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Row],[Par]]))),$1:$1,0)),-(W182-W183)/W182*X182),0),0)+IF(TbTradesBinance[[#This Row],[Tipo]]="SELL",IF(ISNUMBER(FIND(MID(X$1,10,5),TbTradesBinance[[#This Row],[Par]])),IF(FIND(MID(X$1,10,5),TbTradesBinance[[#This Row],[Par]])=1, -(W182-W183)/W182*X182,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Row],[Par]])),(-(W182-W183)/W182*X182)+IF(TbTradesBinance[[#This Row],[Resultado]]&gt;0,0,TbTradesBinance[[#This Row],[Taxa]]),0),0))</f>
        <v>201.98581754566089</v>
      </c>
      <c r="Y183" s="145">
        <f t="shared" si="42"/>
        <v>202190.0294754311</v>
      </c>
      <c r="Z18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Row],[Tipo]]="DROP"),Z182+TbTradesBinance[[#This Row],[Qtt]],Z182-TbTradesBinance[[#This Row],[Qtt]]),IF(TbTradesBinance[[#This Row],[Tipo]]="BUY",Z182-TbTradesBinance[[#This Row],[Qtt]]*TbTradesBinance[[#This Row],[Preço]],Z182+TbTradesBinance[[#This Row],[Qtt]]*TbTradesBinance[[#This Row],[Preço]])),Z182)-IF(TbTradesBinance[[#This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Row],[Tipo]]="DROP"),Z182+TbTradesBinance[[#This Row],[Qtt]],Z182-TbTradesBinance[[#This Row],[Qtt]]),IF(TbTradesBinance[[#This Row],[Tipo]]="BUY",Z182-TbTradesBinance[[#This Row],[Qtt]]*TbTradesBinance[[#This Row],[Preço]],Z182+TbTradesBinance[[#This Row],[Qtt]]*TbTradesBinance[[#This Row],[Preço]])),Z182)-IF(TbTradesBinance[[#This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Row],[Tipo]]="DROP"),Z182+TbTradesBinance[[#This Row],[Qtt]],Z182-TbTradesBinance[[#This Row],[Qtt]]),IF(TbTradesBinance[[#This Row],[Tipo]]="BUY",Z182-TbTradesBinance[[#This Row],[Qtt]]*TbTradesBinance[[#This Row],[Preço]],Z182+TbTradesBinance[[#This Row],[Qtt]]*TbTradesBinance[[#This Row],[Preço]])),Z182)-IF(TbTradesBinance[[#This Row],[Moeda da Taxa]]=MID(Z$1,9,5),TbTradesBinance[[#This Row],[Taxa]],0),8)))</f>
        <v>0</v>
      </c>
      <c r="AA183" s="145" cm="1">
        <f t="array" ref="AA183">IF(TbTradesBinance[[#This Row],[Tipo]]="EMPTY",0,AA182+IF(TbTradesBinance[[#This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Row],[Par]]))),$1:$1,0)),-(Z182-Z183)/Z182*AA182),0),0)+IF(TbTradesBinance[[#This Row],[Tipo]]="SELL",IF(ISNUMBER(FIND(MID(AA$1,10,5),TbTradesBinance[[#This Row],[Par]])),IF(FIND(MID(AA$1,10,5),TbTradesBinance[[#This Row],[Par]])=1, -(Z182-Z183)/Z182*AA182,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Row],[Par]])),(-(Z182-Z183)/Z182*AA182)+IF(TbTradesBinance[[#This Row],[Resultado]]&gt;0,0,TbTradesBinance[[#This Row],[Taxa]]),0),0))</f>
        <v>0</v>
      </c>
      <c r="AB183" s="145">
        <f t="shared" si="43"/>
        <v>0</v>
      </c>
      <c r="AC18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Row],[Tipo]]="DROP"),AC182+TbTradesBinance[[#This Row],[Qtt]],AC182-TbTradesBinance[[#This Row],[Qtt]]),IF(TbTradesBinance[[#This Row],[Tipo]]="BUY",AC182-TbTradesBinance[[#This Row],[Qtt]]*TbTradesBinance[[#This Row],[Preço]],AC182+TbTradesBinance[[#This Row],[Qtt]]*TbTradesBinance[[#This Row],[Preço]])),AC182)-IF(TbTradesBinance[[#This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Row],[Tipo]]="DROP"),AC182+TbTradesBinance[[#This Row],[Qtt]],AC182-TbTradesBinance[[#This Row],[Qtt]]),IF(TbTradesBinance[[#This Row],[Tipo]]="BUY",AC182-TbTradesBinance[[#This Row],[Qtt]]*TbTradesBinance[[#This Row],[Preço]],AC182+TbTradesBinance[[#This Row],[Qtt]]*TbTradesBinance[[#This Row],[Preço]])),AC182)-IF(TbTradesBinance[[#This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Row],[Tipo]]="DROP"),AC182+TbTradesBinance[[#This Row],[Qtt]],AC182-TbTradesBinance[[#This Row],[Qtt]]),IF(TbTradesBinance[[#This Row],[Tipo]]="BUY",AC182-TbTradesBinance[[#This Row],[Qtt]]*TbTradesBinance[[#This Row],[Preço]],AC182+TbTradesBinance[[#This Row],[Qtt]]*TbTradesBinance[[#This Row],[Preço]])),AC182)-IF(TbTradesBinance[[#This Row],[Moeda da Taxa]]=MID(AC$1,9,5),TbTradesBinance[[#This Row],[Taxa]],0),8)))</f>
        <v>0</v>
      </c>
      <c r="AD183" s="145" cm="1">
        <f t="array" ref="AD183">IF(TbTradesBinance[[#This Row],[Tipo]]="EMPTY",0,AD182+IF(TbTradesBinance[[#This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Row],[Par]]))),$1:$1,0)),-(AC182-AC183)/AC182*AD182),0),0)+IF(TbTradesBinance[[#This Row],[Tipo]]="SELL",IF(ISNUMBER(FIND(MID(AD$1,10,5),TbTradesBinance[[#This Row],[Par]])),IF(FIND(MID(AD$1,10,5),TbTradesBinance[[#This Row],[Par]])=1, -(AC182-AC183)/AC182*AD182,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Row],[Par]])),(-(AC182-AC183)/AC182*AD182)+IF(TbTradesBinance[[#This Row],[Resultado]]&gt;0,0,TbTradesBinance[[#This Row],[Taxa]]),0),0))</f>
        <v>0</v>
      </c>
      <c r="AE183" s="145">
        <f t="shared" si="44"/>
        <v>0</v>
      </c>
      <c r="AF18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Row],[Tipo]]="DROP"),AF182+TbTradesBinance[[#This Row],[Qtt]],AF182-TbTradesBinance[[#This Row],[Qtt]]),IF(TbTradesBinance[[#This Row],[Tipo]]="BUY",AF182-TbTradesBinance[[#This Row],[Qtt]]*TbTradesBinance[[#This Row],[Preço]],AF182+TbTradesBinance[[#This Row],[Qtt]]*TbTradesBinance[[#This Row],[Preço]])),AF182)-IF(TbTradesBinance[[#This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Row],[Tipo]]="DROP"),AF182+TbTradesBinance[[#This Row],[Qtt]],AF182-TbTradesBinance[[#This Row],[Qtt]]),IF(TbTradesBinance[[#This Row],[Tipo]]="BUY",AF182-TbTradesBinance[[#This Row],[Qtt]]*TbTradesBinance[[#This Row],[Preço]],AF182+TbTradesBinance[[#This Row],[Qtt]]*TbTradesBinance[[#This Row],[Preço]])),AF182)-IF(TbTradesBinance[[#This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Row],[Tipo]]="DROP"),AF182+TbTradesBinance[[#This Row],[Qtt]],AF182-TbTradesBinance[[#This Row],[Qtt]]),IF(TbTradesBinance[[#This Row],[Tipo]]="BUY",AF182-TbTradesBinance[[#This Row],[Qtt]]*TbTradesBinance[[#This Row],[Preço]],AF182+TbTradesBinance[[#This Row],[Qtt]]*TbTradesBinance[[#This Row],[Preço]])),AF182)-IF(TbTradesBinance[[#This Row],[Moeda da Taxa]]=MID(AF$1,9,5),TbTradesBinance[[#This Row],[Taxa]],0),8)))</f>
        <v>0</v>
      </c>
      <c r="AG183" s="145" cm="1">
        <f t="array" ref="AG183">IF(TbTradesBinance[[#This Row],[Tipo]]="EMPTY",0,AG182+IF(TbTradesBinance[[#This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Row],[Par]]))),$1:$1,0)),-(AF182-AF183)/AF182*AG182),0),0)+IF(TbTradesBinance[[#This Row],[Tipo]]="SELL",IF(ISNUMBER(FIND(MID(AG$1,10,5),TbTradesBinance[[#This Row],[Par]])),IF(FIND(MID(AG$1,10,5),TbTradesBinance[[#This Row],[Par]])=1, -(AF182-AF183)/AF182*AG182,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Row],[Par]])),(-(AF182-AF183)/AF182*AG182)+IF(TbTradesBinance[[#This Row],[Resultado]]&gt;0,0,TbTradesBinance[[#This Row],[Taxa]]),0),0))</f>
        <v>0</v>
      </c>
      <c r="AH183" s="145">
        <f t="shared" si="45"/>
        <v>0</v>
      </c>
      <c r="AI18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Row],[Tipo]]="DROP"),AI182+TbTradesBinance[[#This Row],[Qtt]],AI182-TbTradesBinance[[#This Row],[Qtt]]),IF(TbTradesBinance[[#This Row],[Tipo]]="BUY",AI182-TbTradesBinance[[#This Row],[Qtt]]*TbTradesBinance[[#This Row],[Preço]],AI182+TbTradesBinance[[#This Row],[Qtt]]*TbTradesBinance[[#This Row],[Preço]])),AI182)-IF(TbTradesBinance[[#This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Row],[Tipo]]="DROP"),AI182+TbTradesBinance[[#This Row],[Qtt]],AI182-TbTradesBinance[[#This Row],[Qtt]]),IF(TbTradesBinance[[#This Row],[Tipo]]="BUY",AI182-TbTradesBinance[[#This Row],[Qtt]]*TbTradesBinance[[#This Row],[Preço]],AI182+TbTradesBinance[[#This Row],[Qtt]]*TbTradesBinance[[#This Row],[Preço]])),AI182)-IF(TbTradesBinance[[#This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Row],[Tipo]]="DROP"),AI182+TbTradesBinance[[#This Row],[Qtt]],AI182-TbTradesBinance[[#This Row],[Qtt]]),IF(TbTradesBinance[[#This Row],[Tipo]]="BUY",AI182-TbTradesBinance[[#This Row],[Qtt]]*TbTradesBinance[[#This Row],[Preço]],AI182+TbTradesBinance[[#This Row],[Qtt]]*TbTradesBinance[[#This Row],[Preço]])),AI182)-IF(TbTradesBinance[[#This Row],[Moeda da Taxa]]=MID(AI$1,9,5),TbTradesBinance[[#This Row],[Taxa]],0),8)))</f>
        <v>0</v>
      </c>
      <c r="AJ183" s="145" cm="1">
        <f t="array" ref="AJ183">IF(TbTradesBinance[[#This Row],[Tipo]]="EMPTY",0,AJ182+IF(TbTradesBinance[[#This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Row],[Par]]))),$1:$1,0)),-(AI182-AI183)/AI182*AJ182),0),0)+IF(TbTradesBinance[[#This Row],[Tipo]]="SELL",IF(ISNUMBER(FIND(MID(AJ$1,10,5),TbTradesBinance[[#This Row],[Par]])),IF(FIND(MID(AJ$1,10,5),TbTradesBinance[[#This Row],[Par]])=1, -(AI182-AI183)/AI182*AJ182,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Row],[Par]])),(-(AI182-AI183)/AI182*AJ182)+IF(TbTradesBinance[[#This Row],[Resultado]]&gt;0,0,TbTradesBinance[[#This Row],[Taxa]]),0),0))</f>
        <v>0</v>
      </c>
      <c r="AK183" s="145">
        <f t="shared" si="46"/>
        <v>0</v>
      </c>
      <c r="AL18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Row],[Tipo]]="DROP"),AL182+TbTradesBinance[[#This Row],[Qtt]],AL182-TbTradesBinance[[#This Row],[Qtt]]),IF(TbTradesBinance[[#This Row],[Tipo]]="BUY",AL182-TbTradesBinance[[#This Row],[Qtt]]*TbTradesBinance[[#This Row],[Preço]],AL182+TbTradesBinance[[#This Row],[Qtt]]*TbTradesBinance[[#This Row],[Preço]])),AL182)-IF(TbTradesBinance[[#This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Row],[Tipo]]="DROP"),AL182+TbTradesBinance[[#This Row],[Qtt]],AL182-TbTradesBinance[[#This Row],[Qtt]]),IF(TbTradesBinance[[#This Row],[Tipo]]="BUY",AL182-TbTradesBinance[[#This Row],[Qtt]]*TbTradesBinance[[#This Row],[Preço]],AL182+TbTradesBinance[[#This Row],[Qtt]]*TbTradesBinance[[#This Row],[Preço]])),AL182)-IF(TbTradesBinance[[#This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Row],[Tipo]]="DROP"),AL182+TbTradesBinance[[#This Row],[Qtt]],AL182-TbTradesBinance[[#This Row],[Qtt]]),IF(TbTradesBinance[[#This Row],[Tipo]]="BUY",AL182-TbTradesBinance[[#This Row],[Qtt]]*TbTradesBinance[[#This Row],[Preço]],AL182+TbTradesBinance[[#This Row],[Qtt]]*TbTradesBinance[[#This Row],[Preço]])),AL182)-IF(TbTradesBinance[[#This Row],[Moeda da Taxa]]=MID(AL$1,9,5),TbTradesBinance[[#This Row],[Taxa]],0),8)))</f>
        <v>0</v>
      </c>
      <c r="AM183" s="145" cm="1">
        <f t="array" ref="AM183">IF(TbTradesBinance[[#This Row],[Tipo]]="EMPTY",0,AM182+IF(TbTradesBinance[[#This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Row],[Par]]))),$1:$1,0)),-(AL182-AL183)/AL182*AM182),0),0)+IF(TbTradesBinance[[#This Row],[Tipo]]="SELL",IF(ISNUMBER(FIND(MID(AM$1,10,5),TbTradesBinance[[#This Row],[Par]])),IF(FIND(MID(AM$1,10,5),TbTradesBinance[[#This Row],[Par]])=1, -(AL182-AL183)/AL182*AM182,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Row],[Par]])),(-(AL182-AL183)/AL182*AM182)+IF(TbTradesBinance[[#This Row],[Resultado]]&gt;0,0,TbTradesBinance[[#This Row],[Taxa]]),0),0))</f>
        <v>0</v>
      </c>
      <c r="AN183" s="145">
        <f t="shared" si="47"/>
        <v>0</v>
      </c>
      <c r="AO18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Row],[Tipo]]="DROP"),AO182+TbTradesBinance[[#This Row],[Qtt]],AO182-TbTradesBinance[[#This Row],[Qtt]]),IF(TbTradesBinance[[#This Row],[Tipo]]="BUY",AO182-TbTradesBinance[[#This Row],[Qtt]]*TbTradesBinance[[#This Row],[Preço]],AO182+TbTradesBinance[[#This Row],[Qtt]]*TbTradesBinance[[#This Row],[Preço]])),AO182)-IF(TbTradesBinance[[#This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Row],[Tipo]]="DROP"),AO182+TbTradesBinance[[#This Row],[Qtt]],AO182-TbTradesBinance[[#This Row],[Qtt]]),IF(TbTradesBinance[[#This Row],[Tipo]]="BUY",AO182-TbTradesBinance[[#This Row],[Qtt]]*TbTradesBinance[[#This Row],[Preço]],AO182+TbTradesBinance[[#This Row],[Qtt]]*TbTradesBinance[[#This Row],[Preço]])),AO182)-IF(TbTradesBinance[[#This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Row],[Tipo]]="DROP"),AO182+TbTradesBinance[[#This Row],[Qtt]],AO182-TbTradesBinance[[#This Row],[Qtt]]),IF(TbTradesBinance[[#This Row],[Tipo]]="BUY",AO182-TbTradesBinance[[#This Row],[Qtt]]*TbTradesBinance[[#This Row],[Preço]],AO182+TbTradesBinance[[#This Row],[Qtt]]*TbTradesBinance[[#This Row],[Preço]])),AO182)-IF(TbTradesBinance[[#This Row],[Moeda da Taxa]]=MID(AO$1,9,5),TbTradesBinance[[#This Row],[Taxa]],0),8)))</f>
        <v>3.8363830000000002E-2</v>
      </c>
      <c r="AP183" s="145" cm="1">
        <f t="array" ref="AP183">IF(TbTradesBinance[[#This Row],[Tipo]]="EMPTY",0,AP182+IF(TbTradesBinance[[#This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Row],[Par]]))),$1:$1,0)),-(AO182-AO183)/AO182*AP182),0),0)+IF(TbTradesBinance[[#This Row],[Tipo]]="SELL",IF(ISNUMBER(FIND(MID(AP$1,10,5),TbTradesBinance[[#This Row],[Par]])),IF(FIND(MID(AP$1,10,5),TbTradesBinance[[#This Row],[Par]])=1, -(AO182-AO183)/AO182*AP182,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Row],[Par]])),(-(AO182-AO183)/AO182*AP182)+IF(TbTradesBinance[[#This Row],[Resultado]]&gt;0,0,TbTradesBinance[[#This Row],[Taxa]]),0),0))</f>
        <v>60.349858055862811</v>
      </c>
      <c r="AQ183" s="145">
        <f t="shared" si="48"/>
        <v>1573.0926254199023</v>
      </c>
      <c r="AR18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Row],[Tipo]]="DROP"),AR182+TbTradesBinance[[#This Row],[Qtt]],AR182-TbTradesBinance[[#This Row],[Qtt]]),IF(TbTradesBinance[[#This Row],[Tipo]]="BUY",AR182-TbTradesBinance[[#This Row],[Qtt]]*TbTradesBinance[[#This Row],[Preço]],AR182+TbTradesBinance[[#This Row],[Qtt]]*TbTradesBinance[[#This Row],[Preço]])),AR182)-IF(TbTradesBinance[[#This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Row],[Tipo]]="DROP"),AR182+TbTradesBinance[[#This Row],[Qtt]],AR182-TbTradesBinance[[#This Row],[Qtt]]),IF(TbTradesBinance[[#This Row],[Tipo]]="BUY",AR182-TbTradesBinance[[#This Row],[Qtt]]*TbTradesBinance[[#This Row],[Preço]],AR182+TbTradesBinance[[#This Row],[Qtt]]*TbTradesBinance[[#This Row],[Preço]])),AR182)-IF(TbTradesBinance[[#This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Row],[Tipo]]="DROP"),AR182+TbTradesBinance[[#This Row],[Qtt]],AR182-TbTradesBinance[[#This Row],[Qtt]]),IF(TbTradesBinance[[#This Row],[Tipo]]="BUY",AR182-TbTradesBinance[[#This Row],[Qtt]]*TbTradesBinance[[#This Row],[Preço]],AR182+TbTradesBinance[[#This Row],[Qtt]]*TbTradesBinance[[#This Row],[Preço]])),AR182)-IF(TbTradesBinance[[#This Row],[Moeda da Taxa]]=MID(AR$1,9,5),TbTradesBinance[[#This Row],[Taxa]],0),8)))</f>
        <v>0</v>
      </c>
      <c r="AS183" s="145" cm="1">
        <f t="array" ref="AS183">IF(TbTradesBinance[[#This Row],[Tipo]]="EMPTY",0,AS182+IF(TbTradesBinance[[#This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Row],[Par]]))),$1:$1,0)),-(AR182-AR183)/AR182*AS182),0),0)+IF(TbTradesBinance[[#This Row],[Tipo]]="SELL",IF(ISNUMBER(FIND(MID(AS$1,10,5),TbTradesBinance[[#This Row],[Par]])),IF(FIND(MID(AS$1,10,5),TbTradesBinance[[#This Row],[Par]])=1, -(AR182-AR183)/AR182*AS182,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Row],[Par]])),(-(AR182-AR183)/AR182*AS182)+IF(TbTradesBinance[[#This Row],[Resultado]]&gt;0,0,TbTradesBinance[[#This Row],[Taxa]]),0),0))</f>
        <v>0</v>
      </c>
      <c r="AT183" s="145">
        <f t="shared" si="49"/>
        <v>0</v>
      </c>
      <c r="AU18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Row],[Tipo]]="DROP"),AU182+TbTradesBinance[[#This Row],[Qtt]],AU182-TbTradesBinance[[#This Row],[Qtt]]),IF(TbTradesBinance[[#This Row],[Tipo]]="BUY",AU182-TbTradesBinance[[#This Row],[Qtt]]*TbTradesBinance[[#This Row],[Preço]],AU182+TbTradesBinance[[#This Row],[Qtt]]*TbTradesBinance[[#This Row],[Preço]])),AU182)-IF(TbTradesBinance[[#This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Row],[Tipo]]="DROP"),AU182+TbTradesBinance[[#This Row],[Qtt]],AU182-TbTradesBinance[[#This Row],[Qtt]]),IF(TbTradesBinance[[#This Row],[Tipo]]="BUY",AU182-TbTradesBinance[[#This Row],[Qtt]]*TbTradesBinance[[#This Row],[Preço]],AU182+TbTradesBinance[[#This Row],[Qtt]]*TbTradesBinance[[#This Row],[Preço]])),AU182)-IF(TbTradesBinance[[#This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Row],[Tipo]]="DROP"),AU182+TbTradesBinance[[#This Row],[Qtt]],AU182-TbTradesBinance[[#This Row],[Qtt]]),IF(TbTradesBinance[[#This Row],[Tipo]]="BUY",AU182-TbTradesBinance[[#This Row],[Qtt]]*TbTradesBinance[[#This Row],[Preço]],AU182+TbTradesBinance[[#This Row],[Qtt]]*TbTradesBinance[[#This Row],[Preço]])),AU182)-IF(TbTradesBinance[[#This Row],[Moeda da Taxa]]=MID(AU$1,9,5),TbTradesBinance[[#This Row],[Taxa]],0),8)))</f>
        <v>0.51</v>
      </c>
      <c r="AV183" s="145" cm="1">
        <f t="array" ref="AV183">IF(TbTradesBinance[[#This Row],[Tipo]]="EMPTY",0,AV182+IF(TbTradesBinance[[#This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Row],[Par]]))),$1:$1,0)),-(AU182-AU183)/AU182*AV182),0),0)+IF(TbTradesBinance[[#This Row],[Tipo]]="SELL",IF(ISNUMBER(FIND(MID(AV$1,10,5),TbTradesBinance[[#This Row],[Par]])),IF(FIND(MID(AV$1,10,5),TbTradesBinance[[#This Row],[Par]])=1, -(AU182-AU183)/AU182*AV182,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Row],[Par]])),(-(AU182-AU183)/AU182*AV182)+IF(TbTradesBinance[[#This Row],[Resultado]]&gt;0,0,TbTradesBinance[[#This Row],[Taxa]]),0),0))</f>
        <v>95.466693037374753</v>
      </c>
      <c r="AW183" s="145">
        <f t="shared" si="50"/>
        <v>187.18959419093088</v>
      </c>
      <c r="AX18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Row],[Tipo]]="DROP"),AX182+TbTradesBinance[[#This Row],[Qtt]],AX182-TbTradesBinance[[#This Row],[Qtt]]),IF(TbTradesBinance[[#This Row],[Tipo]]="BUY",AX182-TbTradesBinance[[#This Row],[Qtt]]*TbTradesBinance[[#This Row],[Preço]],AX182+TbTradesBinance[[#This Row],[Qtt]]*TbTradesBinance[[#This Row],[Preço]])),AX182)-IF(TbTradesBinance[[#This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Row],[Tipo]]="DROP"),AX182+TbTradesBinance[[#This Row],[Qtt]],AX182-TbTradesBinance[[#This Row],[Qtt]]),IF(TbTradesBinance[[#This Row],[Tipo]]="BUY",AX182-TbTradesBinance[[#This Row],[Qtt]]*TbTradesBinance[[#This Row],[Preço]],AX182+TbTradesBinance[[#This Row],[Qtt]]*TbTradesBinance[[#This Row],[Preço]])),AX182)-IF(TbTradesBinance[[#This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Row],[Tipo]]="DROP"),AX182+TbTradesBinance[[#This Row],[Qtt]],AX182-TbTradesBinance[[#This Row],[Qtt]]),IF(TbTradesBinance[[#This Row],[Tipo]]="BUY",AX182-TbTradesBinance[[#This Row],[Qtt]]*TbTradesBinance[[#This Row],[Preço]],AX182+TbTradesBinance[[#This Row],[Qtt]]*TbTradesBinance[[#This Row],[Preço]])),AX182)-IF(TbTradesBinance[[#This Row],[Moeda da Taxa]]=MID(AX$1,9,5),TbTradesBinance[[#This Row],[Taxa]],0),8)))</f>
        <v>0.32838000000000001</v>
      </c>
      <c r="AY183" s="145" cm="1">
        <f t="array" ref="AY183">IF(TbTradesBinance[[#This Row],[Tipo]]="EMPTY",0,AY182+IF(TbTradesBinance[[#This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Row],[Par]]))),$1:$1,0)),-(AX182-AX183)/AX182*AY182),0),0)+IF(TbTradesBinance[[#This Row],[Tipo]]="SELL",IF(ISNUMBER(FIND(MID(AY$1,10,5),TbTradesBinance[[#This Row],[Par]])),IF(FIND(MID(AY$1,10,5),TbTradesBinance[[#This Row],[Par]])=1, -(AX182-AX183)/AX182*AY182,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Row],[Par]])),(-(AX182-AX183)/AX182*AY182)+IF(TbTradesBinance[[#This Row],[Resultado]]&gt;0,0,TbTradesBinance[[#This Row],[Taxa]]),0),0))</f>
        <v>61.364116058805678</v>
      </c>
      <c r="AZ183" s="145">
        <f t="shared" si="51"/>
        <v>186.869224857804</v>
      </c>
      <c r="BA18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Row],[Tipo]]="DROP"),BA182+TbTradesBinance[[#This Row],[Qtt]],BA182-TbTradesBinance[[#This Row],[Qtt]]),IF(TbTradesBinance[[#This Row],[Tipo]]="BUY",BA182-TbTradesBinance[[#This Row],[Qtt]]*TbTradesBinance[[#This Row],[Preço]],BA182+TbTradesBinance[[#This Row],[Qtt]]*TbTradesBinance[[#This Row],[Preço]])),BA182)-IF(TbTradesBinance[[#This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Row],[Tipo]]="DROP"),BA182+TbTradesBinance[[#This Row],[Qtt]],BA182-TbTradesBinance[[#This Row],[Qtt]]),IF(TbTradesBinance[[#This Row],[Tipo]]="BUY",BA182-TbTradesBinance[[#This Row],[Qtt]]*TbTradesBinance[[#This Row],[Preço]],BA182+TbTradesBinance[[#This Row],[Qtt]]*TbTradesBinance[[#This Row],[Preço]])),BA182)-IF(TbTradesBinance[[#This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Row],[Tipo]]="DROP"),BA182+TbTradesBinance[[#This Row],[Qtt]],BA182-TbTradesBinance[[#This Row],[Qtt]]),IF(TbTradesBinance[[#This Row],[Tipo]]="BUY",BA182-TbTradesBinance[[#This Row],[Qtt]]*TbTradesBinance[[#This Row],[Preço]],BA182+TbTradesBinance[[#This Row],[Qtt]]*TbTradesBinance[[#This Row],[Preço]])),BA182)-IF(TbTradesBinance[[#This Row],[Moeda da Taxa]]=MID(BA$1,9,5),TbTradesBinance[[#This Row],[Taxa]],0),8)))</f>
        <v>0</v>
      </c>
      <c r="BB183" s="145" cm="1">
        <f t="array" ref="BB183">IF(TbTradesBinance[[#This Row],[Tipo]]="EMPTY",0,BB182+IF(TbTradesBinance[[#This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Row],[Par]]))),$1:$1,0)),-(BA182-BA183)/BA182*BB182),0),0)+IF(TbTradesBinance[[#This Row],[Tipo]]="SELL",IF(ISNUMBER(FIND(MID(BB$1,10,5),TbTradesBinance[[#This Row],[Par]])),IF(FIND(MID(BB$1,10,5),TbTradesBinance[[#This Row],[Par]])=1, -(BA182-BA183)/BA182*BB182,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Row],[Par]])),(-(BA182-BA183)/BA182*BB182)+IF(TbTradesBinance[[#This Row],[Resultado]]&gt;0,0,TbTradesBinance[[#This Row],[Taxa]]),0),0))</f>
        <v>0</v>
      </c>
      <c r="BC183" s="145">
        <f t="shared" si="52"/>
        <v>0</v>
      </c>
      <c r="BD18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Row],[Tipo]]="DROP"),BD182+TbTradesBinance[[#This Row],[Qtt]],BD182-TbTradesBinance[[#This Row],[Qtt]]),IF(TbTradesBinance[[#This Row],[Tipo]]="BUY",BD182-TbTradesBinance[[#This Row],[Qtt]]*TbTradesBinance[[#This Row],[Preço]],BD182+TbTradesBinance[[#This Row],[Qtt]]*TbTradesBinance[[#This Row],[Preço]])),BD182)-IF(TbTradesBinance[[#This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Row],[Tipo]]="DROP"),BD182+TbTradesBinance[[#This Row],[Qtt]],BD182-TbTradesBinance[[#This Row],[Qtt]]),IF(TbTradesBinance[[#This Row],[Tipo]]="BUY",BD182-TbTradesBinance[[#This Row],[Qtt]]*TbTradesBinance[[#This Row],[Preço]],BD182+TbTradesBinance[[#This Row],[Qtt]]*TbTradesBinance[[#This Row],[Preço]])),BD182)-IF(TbTradesBinance[[#This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Row],[Tipo]]="DROP"),BD182+TbTradesBinance[[#This Row],[Qtt]],BD182-TbTradesBinance[[#This Row],[Qtt]]),IF(TbTradesBinance[[#This Row],[Tipo]]="BUY",BD182-TbTradesBinance[[#This Row],[Qtt]]*TbTradesBinance[[#This Row],[Preço]],BD182+TbTradesBinance[[#This Row],[Qtt]]*TbTradesBinance[[#This Row],[Preço]])),BD182)-IF(TbTradesBinance[[#This Row],[Moeda da Taxa]]=MID(BD$1,9,5),TbTradesBinance[[#This Row],[Taxa]],0),8)))</f>
        <v>0</v>
      </c>
      <c r="BE183" s="145" cm="1">
        <f t="array" ref="BE183">IF(TbTradesBinance[[#This Row],[Tipo]]="EMPTY",0,BE182+IF(TbTradesBinance[[#This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Row],[Par]]))),$1:$1,0)),-(BD182-BD183)/BD182*BE182),0),0)+IF(TbTradesBinance[[#This Row],[Tipo]]="SELL",IF(ISNUMBER(FIND(MID(BE$1,10,5),TbTradesBinance[[#This Row],[Par]])),IF(FIND(MID(BE$1,10,5),TbTradesBinance[[#This Row],[Par]])=1, -(BD182-BD183)/BD182*BE182,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Row],[Par]])),(-(BD182-BD183)/BD182*BE182)+IF(TbTradesBinance[[#This Row],[Resultado]]&gt;0,0,TbTradesBinance[[#This Row],[Taxa]]),0),0))</f>
        <v>0</v>
      </c>
      <c r="BF183" s="145">
        <f t="shared" si="53"/>
        <v>0</v>
      </c>
      <c r="BG18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Row],[Tipo]]="DROP"),BG182+TbTradesBinance[[#This Row],[Qtt]],BG182-TbTradesBinance[[#This Row],[Qtt]]),IF(TbTradesBinance[[#This Row],[Tipo]]="BUY",BG182-TbTradesBinance[[#This Row],[Qtt]]*TbTradesBinance[[#This Row],[Preço]],BG182+TbTradesBinance[[#This Row],[Qtt]]*TbTradesBinance[[#This Row],[Preço]])),BG182)-IF(TbTradesBinance[[#This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Row],[Tipo]]="DROP"),BG182+TbTradesBinance[[#This Row],[Qtt]],BG182-TbTradesBinance[[#This Row],[Qtt]]),IF(TbTradesBinance[[#This Row],[Tipo]]="BUY",BG182-TbTradesBinance[[#This Row],[Qtt]]*TbTradesBinance[[#This Row],[Preço]],BG182+TbTradesBinance[[#This Row],[Qtt]]*TbTradesBinance[[#This Row],[Preço]])),BG182)-IF(TbTradesBinance[[#This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Row],[Tipo]]="DROP"),BG182+TbTradesBinance[[#This Row],[Qtt]],BG182-TbTradesBinance[[#This Row],[Qtt]]),IF(TbTradesBinance[[#This Row],[Tipo]]="BUY",BG182-TbTradesBinance[[#This Row],[Qtt]]*TbTradesBinance[[#This Row],[Preço]],BG182+TbTradesBinance[[#This Row],[Qtt]]*TbTradesBinance[[#This Row],[Preço]])),BG182)-IF(TbTradesBinance[[#This Row],[Moeda da Taxa]]=MID(BG$1,9,5),TbTradesBinance[[#This Row],[Taxa]],0),8)))</f>
        <v>0</v>
      </c>
      <c r="BH183" s="145" cm="1">
        <f t="array" ref="BH183">IF(TbTradesBinance[[#This Row],[Tipo]]="EMPTY",0,BH182+IF(TbTradesBinance[[#This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Row],[Par]]))),$1:$1,0)),-(BG182-BG183)/BG182*BH182),0),0)+IF(TbTradesBinance[[#This Row],[Tipo]]="SELL",IF(ISNUMBER(FIND(MID(BH$1,10,5),TbTradesBinance[[#This Row],[Par]])),IF(FIND(MID(BH$1,10,5),TbTradesBinance[[#This Row],[Par]])=1, -(BG182-BG183)/BG182*BH182,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Row],[Par]])),(-(BG182-BG183)/BG182*BH182)+IF(TbTradesBinance[[#This Row],[Resultado]]&gt;0,0,TbTradesBinance[[#This Row],[Taxa]]),0),0))</f>
        <v>0</v>
      </c>
      <c r="BI183" s="145">
        <f t="shared" si="54"/>
        <v>0</v>
      </c>
      <c r="BJ18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Row],[Tipo]]="DROP"),BJ182+TbTradesBinance[[#This Row],[Qtt]],BJ182-TbTradesBinance[[#This Row],[Qtt]]),IF(TbTradesBinance[[#This Row],[Tipo]]="BUY",BJ182-TbTradesBinance[[#This Row],[Qtt]]*TbTradesBinance[[#This Row],[Preço]],BJ182+TbTradesBinance[[#This Row],[Qtt]]*TbTradesBinance[[#This Row],[Preço]])),BJ182)-IF(TbTradesBinance[[#This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Row],[Tipo]]="DROP"),BJ182+TbTradesBinance[[#This Row],[Qtt]],BJ182-TbTradesBinance[[#This Row],[Qtt]]),IF(TbTradesBinance[[#This Row],[Tipo]]="BUY",BJ182-TbTradesBinance[[#This Row],[Qtt]]*TbTradesBinance[[#This Row],[Preço]],BJ182+TbTradesBinance[[#This Row],[Qtt]]*TbTradesBinance[[#This Row],[Preço]])),BJ182)-IF(TbTradesBinance[[#This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Row],[Tipo]]="DROP"),BJ182+TbTradesBinance[[#This Row],[Qtt]],BJ182-TbTradesBinance[[#This Row],[Qtt]]),IF(TbTradesBinance[[#This Row],[Tipo]]="BUY",BJ182-TbTradesBinance[[#This Row],[Qtt]]*TbTradesBinance[[#This Row],[Preço]],BJ182+TbTradesBinance[[#This Row],[Qtt]]*TbTradesBinance[[#This Row],[Preço]])),BJ182)-IF(TbTradesBinance[[#This Row],[Moeda da Taxa]]=MID(BJ$1,9,5),TbTradesBinance[[#This Row],[Taxa]],0),8)))</f>
        <v>0</v>
      </c>
      <c r="BK183" s="145" cm="1">
        <f t="array" ref="BK183">IF(TbTradesBinance[[#This Row],[Tipo]]="EMPTY",0,BK182+IF(TbTradesBinance[[#This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Row],[Par]]))),$1:$1,0)),-(BJ182-BJ183)/BJ182*BK182),0),0)+IF(TbTradesBinance[[#This Row],[Tipo]]="SELL",IF(ISNUMBER(FIND(MID(BK$1,10,5),TbTradesBinance[[#This Row],[Par]])),IF(FIND(MID(BK$1,10,5),TbTradesBinance[[#This Row],[Par]])=1, -(BJ182-BJ183)/BJ182*BK182,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Row],[Par]])),(-(BJ182-BJ183)/BJ182*BK182)+IF(TbTradesBinance[[#This Row],[Resultado]]&gt;0,0,TbTradesBinance[[#This Row],[Taxa]]),0),0))</f>
        <v>0</v>
      </c>
      <c r="BL183" s="145">
        <f t="shared" si="55"/>
        <v>0</v>
      </c>
      <c r="BM18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Row],[Tipo]]="DROP"),BM182+TbTradesBinance[[#This Row],[Qtt]],BM182-TbTradesBinance[[#This Row],[Qtt]]),IF(TbTradesBinance[[#This Row],[Tipo]]="BUY",BM182-TbTradesBinance[[#This Row],[Qtt]]*TbTradesBinance[[#This Row],[Preço]],BM182+TbTradesBinance[[#This Row],[Qtt]]*TbTradesBinance[[#This Row],[Preço]])),BM182)-IF(TbTradesBinance[[#This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Row],[Tipo]]="DROP"),BM182+TbTradesBinance[[#This Row],[Qtt]],BM182-TbTradesBinance[[#This Row],[Qtt]]),IF(TbTradesBinance[[#This Row],[Tipo]]="BUY",BM182-TbTradesBinance[[#This Row],[Qtt]]*TbTradesBinance[[#This Row],[Preço]],BM182+TbTradesBinance[[#This Row],[Qtt]]*TbTradesBinance[[#This Row],[Preço]])),BM182)-IF(TbTradesBinance[[#This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Row],[Tipo]]="DROP"),BM182+TbTradesBinance[[#This Row],[Qtt]],BM182-TbTradesBinance[[#This Row],[Qtt]]),IF(TbTradesBinance[[#This Row],[Tipo]]="BUY",BM182-TbTradesBinance[[#This Row],[Qtt]]*TbTradesBinance[[#This Row],[Preço]],BM182+TbTradesBinance[[#This Row],[Qtt]]*TbTradesBinance[[#This Row],[Preço]])),BM182)-IF(TbTradesBinance[[#This Row],[Moeda da Taxa]]=MID(BM$1,9,5),TbTradesBinance[[#This Row],[Taxa]],0),8)))</f>
        <v>0</v>
      </c>
      <c r="BN183" s="145" cm="1">
        <f t="array" ref="BN183">IF(TbTradesBinance[[#This Row],[Tipo]]="EMPTY",0,BN182+IF(TbTradesBinance[[#This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Row],[Par]]))),$1:$1,0)),-(BM182-BM183)/BM182*BN182),0),0)+IF(TbTradesBinance[[#This Row],[Tipo]]="SELL",IF(ISNUMBER(FIND(MID(BN$1,10,5),TbTradesBinance[[#This Row],[Par]])),IF(FIND(MID(BN$1,10,5),TbTradesBinance[[#This Row],[Par]])=1, -(BM182-BM183)/BM182*BN182,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Row],[Par]])),(-(BM182-BM183)/BM182*BN182)+IF(TbTradesBinance[[#This Row],[Resultado]]&gt;0,0,TbTradesBinance[[#This Row],[Taxa]]),0),0))</f>
        <v>0</v>
      </c>
      <c r="BO183" s="145">
        <f t="shared" si="56"/>
        <v>0</v>
      </c>
    </row>
    <row r="184" spans="2:67" x14ac:dyDescent="0.3">
      <c r="B184" s="51" t="s">
        <v>241</v>
      </c>
      <c r="C184" s="40">
        <f>TRUNC(IF(AND(TbTradesBinance[[#This Row],[Tipo]]="SEND",TbTradesBinance[[#This Row],[Par]]="BRL"),TbTradesBinance[[#This Row],[Qtt]]*(1-P182)-IF(TbTradesBinance[[#This Row],[Moeda da Taxa]]="BRL",TbTradesBinance[[#This Row],[Taxa]],0),0)+IF(AND(TbTradesBinance[[#This Row],[Tipo]]="BURN",TbTradesBinance[[#This Row],[Par]]="BRL"),-TbTradesBinance[[#This Row],[Qtt]]*P182,0),2)</f>
        <v>0</v>
      </c>
      <c r="D184" s="53">
        <v>44352.913761574076</v>
      </c>
      <c r="E184" s="37" t="s">
        <v>236</v>
      </c>
      <c r="F184" s="47" t="s">
        <v>139</v>
      </c>
      <c r="G184" s="38">
        <v>28925.618999999999</v>
      </c>
      <c r="H184" s="38">
        <v>6.7759999999999999E-3</v>
      </c>
      <c r="I184" s="38">
        <v>4</v>
      </c>
      <c r="J184" s="37" t="s">
        <v>60</v>
      </c>
      <c r="K184" s="52">
        <v>6.1</v>
      </c>
      <c r="L184" s="40">
        <f t="shared" si="38"/>
        <v>176446.27</v>
      </c>
      <c r="M184" s="40">
        <f>IF(OR(TbTradesBinance[[#This Row],[Tipo]]="BUY",TbTradesBinance[[#This Row],[Tipo]]="RECEIVE",TbTradesBinance[[#This Row],[Tipo]]="DROP"),L184*H184,-L184*H184)</f>
        <v>1195.5999255199999</v>
      </c>
      <c r="N18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Row],[Tipo]]="DROP"),N183+TbTradesBinance[[#This Row],[Qtt]],N183-TbTradesBinance[[#This Row],[Qtt]]),IF(TbTradesBinance[[#This Row],[Tipo]]="BUY",N183-TbTradesBinance[[#This Row],[Qtt]]*TbTradesBinance[[#This Row],[Preço]],N183+TbTradesBinance[[#This Row],[Qtt]]*TbTradesBinance[[#This Row],[Preço]])),N183)-IF(TbTradesBinance[[#This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Row],[Tipo]]="DROP"),N183+TbTradesBinance[[#This Row],[Qtt]],N183-TbTradesBinance[[#This Row],[Qtt]]),IF(TbTradesBinance[[#This Row],[Tipo]]="BUY",N183-TbTradesBinance[[#This Row],[Qtt]]*TbTradesBinance[[#This Row],[Preço]],N183+TbTradesBinance[[#This Row],[Qtt]]*TbTradesBinance[[#This Row],[Preço]])),N183)-IF(TbTradesBinance[[#This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Row],[Tipo]]="DROP"),N183+TbTradesBinance[[#This Row],[Qtt]],N183-TbTradesBinance[[#This Row],[Qtt]]),IF(TbTradesBinance[[#This Row],[Tipo]]="BUY",N183-TbTradesBinance[[#This Row],[Qtt]]*TbTradesBinance[[#This Row],[Preço]],N183+TbTradesBinance[[#This Row],[Qtt]]*TbTradesBinance[[#This Row],[Preço]])),N183)-IF(TbTradesBinance[[#This Row],[Moeda da Taxa]]=MID(N$1,9,5),TbTradesBinance[[#This Row],[Taxa]],0),8)))</f>
        <v>119745.58804798999</v>
      </c>
      <c r="O184" s="145" cm="1">
        <f t="array" ref="O184">IF(TbTradesBinance[[#This Row],[Tipo]]="EMPTY",0,O183+IF(TbTradesBinance[[#This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Row],[Par]]))),$1:$1,0)),-(N183-N184)/N183*O183),0),0)+IF(TbTradesBinance[[#This Row],[Tipo]]="SELL",IF(ISNUMBER(FIND(MID(O$1,10,5),TbTradesBinance[[#This Row],[Par]])),IF(FIND(MID(O$1,10,5),TbTradesBinance[[#This Row],[Par]])=1, -(N183-N184)/N183*O183,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Row],[Par]])),(-(N183-N184)/N183*O183)+IF(TbTradesBinance[[#This Row],[Resultado]]&gt;0,0,TbTradesBinance[[#This Row],[Taxa]]),0),0))</f>
        <v>119844.14986894446</v>
      </c>
      <c r="P184" s="145">
        <f t="shared" si="39"/>
        <v>1.0008230935482563</v>
      </c>
      <c r="Q18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Row],[Tipo]]="DROP"),Q183+TbTradesBinance[[#This Row],[Qtt]],Q183-TbTradesBinance[[#This Row],[Qtt]]),IF(TbTradesBinance[[#This Row],[Tipo]]="BUY",Q183-TbTradesBinance[[#This Row],[Qtt]]*TbTradesBinance[[#This Row],[Preço]],Q183+TbTradesBinance[[#This Row],[Qtt]]*TbTradesBinance[[#This Row],[Preço]])),Q183)-IF(TbTradesBinance[[#This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Row],[Tipo]]="DROP"),Q183+TbTradesBinance[[#This Row],[Qtt]],Q183-TbTradesBinance[[#This Row],[Qtt]]),IF(TbTradesBinance[[#This Row],[Tipo]]="BUY",Q183-TbTradesBinance[[#This Row],[Qtt]]*TbTradesBinance[[#This Row],[Preço]],Q183+TbTradesBinance[[#This Row],[Qtt]]*TbTradesBinance[[#This Row],[Preço]])),Q183)-IF(TbTradesBinance[[#This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Row],[Tipo]]="DROP"),Q183+TbTradesBinance[[#This Row],[Qtt]],Q183-TbTradesBinance[[#This Row],[Qtt]]),IF(TbTradesBinance[[#This Row],[Tipo]]="BUY",Q183-TbTradesBinance[[#This Row],[Qtt]]*TbTradesBinance[[#This Row],[Preço]],Q183+TbTradesBinance[[#This Row],[Qtt]]*TbTradesBinance[[#This Row],[Preço]])),Q183)-IF(TbTradesBinance[[#This Row],[Moeda da Taxa]]=MID(Q$1,9,5),TbTradesBinance[[#This Row],[Taxa]],0),8)))</f>
        <v>2.8600460000000001E-2</v>
      </c>
      <c r="R184" s="145" cm="1">
        <f t="array" ref="R184">IF(TbTradesBinance[[#This Row],[Tipo]]="EMPTY",0,R183+IF(TbTradesBinance[[#This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Row],[Par]]))),$1:$1,0)),-(Q183-Q184)/Q183*R183),0),0)+IF(TbTradesBinance[[#This Row],[Tipo]]="SELL",IF(ISNUMBER(FIND(MID(R$1,10,5),TbTradesBinance[[#This Row],[Par]])),IF(FIND(MID(R$1,10,5),TbTradesBinance[[#This Row],[Par]])=1, -(Q183-Q184)/Q183*R183,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Row],[Par]])),(-(Q183-Q184)/Q183*R183)+IF(TbTradesBinance[[#This Row],[Resultado]]&gt;0,0,TbTradesBinance[[#This Row],[Taxa]]),0),0))</f>
        <v>0.13390752156915653</v>
      </c>
      <c r="S184" s="145">
        <f t="shared" si="40"/>
        <v>4.6820058687572343</v>
      </c>
      <c r="T18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Row],[Tipo]]="DROP"),T183+TbTradesBinance[[#This Row],[Qtt]],T183-TbTradesBinance[[#This Row],[Qtt]]),IF(TbTradesBinance[[#This Row],[Tipo]]="BUY",T183-TbTradesBinance[[#This Row],[Qtt]]*TbTradesBinance[[#This Row],[Preço]],T183+TbTradesBinance[[#This Row],[Qtt]]*TbTradesBinance[[#This Row],[Preço]])),T183)-IF(TbTradesBinance[[#This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Row],[Tipo]]="DROP"),T183+TbTradesBinance[[#This Row],[Qtt]],T183-TbTradesBinance[[#This Row],[Qtt]]),IF(TbTradesBinance[[#This Row],[Tipo]]="BUY",T183-TbTradesBinance[[#This Row],[Qtt]]*TbTradesBinance[[#This Row],[Preço]],T183+TbTradesBinance[[#This Row],[Qtt]]*TbTradesBinance[[#This Row],[Preço]])),T183)-IF(TbTradesBinance[[#This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Row],[Tipo]]="DROP"),T183+TbTradesBinance[[#This Row],[Qtt]],T183-TbTradesBinance[[#This Row],[Qtt]]),IF(TbTradesBinance[[#This Row],[Tipo]]="BUY",T183-TbTradesBinance[[#This Row],[Qtt]]*TbTradesBinance[[#This Row],[Preço]],T183+TbTradesBinance[[#This Row],[Qtt]]*TbTradesBinance[[#This Row],[Preço]])),T183)-IF(TbTradesBinance[[#This Row],[Moeda da Taxa]]=MID(T$1,9,5),TbTradesBinance[[#This Row],[Taxa]],0),8)))</f>
        <v>419513.72000754997</v>
      </c>
      <c r="U184" s="145" cm="1">
        <f t="array" ref="U184">IF(TbTradesBinance[[#This Row],[Tipo]]="EMPTY",0,U183+IF(TbTradesBinance[[#This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Row],[Par]]))),$1:$1,0)),-(T183-T184)/T183*U183),0),0)+IF(TbTradesBinance[[#This Row],[Tipo]]="SELL",IF(ISNUMBER(FIND(MID(U$1,10,5),TbTradesBinance[[#This Row],[Par]])),IF(FIND(MID(U$1,10,5),TbTradesBinance[[#This Row],[Par]])=1, -(T183-T184)/T183*U183,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Row],[Par]])),(-(T183-T184)/T183*U183)+IF(TbTradesBinance[[#This Row],[Resultado]]&gt;0,0,TbTradesBinance[[#This Row],[Taxa]]),0),0))</f>
        <v>2679818.6576980543</v>
      </c>
      <c r="V184" s="145">
        <f t="shared" si="41"/>
        <v>6.3879166041335331</v>
      </c>
      <c r="W18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Row],[Tipo]]="DROP"),W183+TbTradesBinance[[#This Row],[Qtt]],W183-TbTradesBinance[[#This Row],[Qtt]]),IF(TbTradesBinance[[#This Row],[Tipo]]="BUY",W183-TbTradesBinance[[#This Row],[Qtt]]*TbTradesBinance[[#This Row],[Preço]],W183+TbTradesBinance[[#This Row],[Qtt]]*TbTradesBinance[[#This Row],[Preço]])),W183)-IF(TbTradesBinance[[#This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Row],[Tipo]]="DROP"),W183+TbTradesBinance[[#This Row],[Qtt]],W183-TbTradesBinance[[#This Row],[Qtt]]),IF(TbTradesBinance[[#This Row],[Tipo]]="BUY",W183-TbTradesBinance[[#This Row],[Qtt]]*TbTradesBinance[[#This Row],[Preço]],W183+TbTradesBinance[[#This Row],[Qtt]]*TbTradesBinance[[#This Row],[Preço]])),W183)-IF(TbTradesBinance[[#This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Row],[Tipo]]="DROP"),W183+TbTradesBinance[[#This Row],[Qtt]],W183-TbTradesBinance[[#This Row],[Qtt]]),IF(TbTradesBinance[[#This Row],[Tipo]]="BUY",W183-TbTradesBinance[[#This Row],[Qtt]]*TbTradesBinance[[#This Row],[Preço]],W183+TbTradesBinance[[#This Row],[Qtt]]*TbTradesBinance[[#This Row],[Preço]])),W183)-IF(TbTradesBinance[[#This Row],[Moeda da Taxa]]=MID(W$1,9,5),TbTradesBinance[[#This Row],[Taxa]],0),8)))</f>
        <v>7.7749899999999999E-3</v>
      </c>
      <c r="X184" s="145" cm="1">
        <f t="array" ref="X184">IF(TbTradesBinance[[#This Row],[Tipo]]="EMPTY",0,X183+IF(TbTradesBinance[[#This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Row],[Par]]))),$1:$1,0)),-(W183-W184)/W183*X183),0),0)+IF(TbTradesBinance[[#This Row],[Tipo]]="SELL",IF(ISNUMBER(FIND(MID(X$1,10,5),TbTradesBinance[[#This Row],[Par]])),IF(FIND(MID(X$1,10,5),TbTradesBinance[[#This Row],[Par]])=1, -(W183-W184)/W183*X183,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Row],[Par]])),(-(W183-W184)/W183*X183)+IF(TbTradesBinance[[#This Row],[Resultado]]&gt;0,0,TbTradesBinance[[#This Row],[Taxa]]),0),0))</f>
        <v>1479.5691022807357</v>
      </c>
      <c r="Y184" s="145">
        <f t="shared" si="42"/>
        <v>190298.52157761433</v>
      </c>
      <c r="Z18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Row],[Tipo]]="DROP"),Z183+TbTradesBinance[[#This Row],[Qtt]],Z183-TbTradesBinance[[#This Row],[Qtt]]),IF(TbTradesBinance[[#This Row],[Tipo]]="BUY",Z183-TbTradesBinance[[#This Row],[Qtt]]*TbTradesBinance[[#This Row],[Preço]],Z183+TbTradesBinance[[#This Row],[Qtt]]*TbTradesBinance[[#This Row],[Preço]])),Z183)-IF(TbTradesBinance[[#This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Row],[Tipo]]="DROP"),Z183+TbTradesBinance[[#This Row],[Qtt]],Z183-TbTradesBinance[[#This Row],[Qtt]]),IF(TbTradesBinance[[#This Row],[Tipo]]="BUY",Z183-TbTradesBinance[[#This Row],[Qtt]]*TbTradesBinance[[#This Row],[Preço]],Z183+TbTradesBinance[[#This Row],[Qtt]]*TbTradesBinance[[#This Row],[Preço]])),Z183)-IF(TbTradesBinance[[#This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Row],[Tipo]]="DROP"),Z183+TbTradesBinance[[#This Row],[Qtt]],Z183-TbTradesBinance[[#This Row],[Qtt]]),IF(TbTradesBinance[[#This Row],[Tipo]]="BUY",Z183-TbTradesBinance[[#This Row],[Qtt]]*TbTradesBinance[[#This Row],[Preço]],Z183+TbTradesBinance[[#This Row],[Qtt]]*TbTradesBinance[[#This Row],[Preço]])),Z183)-IF(TbTradesBinance[[#This Row],[Moeda da Taxa]]=MID(Z$1,9,5),TbTradesBinance[[#This Row],[Taxa]],0),8)))</f>
        <v>0</v>
      </c>
      <c r="AA184" s="145" cm="1">
        <f t="array" ref="AA184">IF(TbTradesBinance[[#This Row],[Tipo]]="EMPTY",0,AA183+IF(TbTradesBinance[[#This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Row],[Par]]))),$1:$1,0)),-(Z183-Z184)/Z183*AA183),0),0)+IF(TbTradesBinance[[#This Row],[Tipo]]="SELL",IF(ISNUMBER(FIND(MID(AA$1,10,5),TbTradesBinance[[#This Row],[Par]])),IF(FIND(MID(AA$1,10,5),TbTradesBinance[[#This Row],[Par]])=1, -(Z183-Z184)/Z183*AA183,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Row],[Par]])),(-(Z183-Z184)/Z183*AA183)+IF(TbTradesBinance[[#This Row],[Resultado]]&gt;0,0,TbTradesBinance[[#This Row],[Taxa]]),0),0))</f>
        <v>0</v>
      </c>
      <c r="AB184" s="145">
        <f t="shared" si="43"/>
        <v>0</v>
      </c>
      <c r="AC18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Row],[Tipo]]="DROP"),AC183+TbTradesBinance[[#This Row],[Qtt]],AC183-TbTradesBinance[[#This Row],[Qtt]]),IF(TbTradesBinance[[#This Row],[Tipo]]="BUY",AC183-TbTradesBinance[[#This Row],[Qtt]]*TbTradesBinance[[#This Row],[Preço]],AC183+TbTradesBinance[[#This Row],[Qtt]]*TbTradesBinance[[#This Row],[Preço]])),AC183)-IF(TbTradesBinance[[#This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Row],[Tipo]]="DROP"),AC183+TbTradesBinance[[#This Row],[Qtt]],AC183-TbTradesBinance[[#This Row],[Qtt]]),IF(TbTradesBinance[[#This Row],[Tipo]]="BUY",AC183-TbTradesBinance[[#This Row],[Qtt]]*TbTradesBinance[[#This Row],[Preço]],AC183+TbTradesBinance[[#This Row],[Qtt]]*TbTradesBinance[[#This Row],[Preço]])),AC183)-IF(TbTradesBinance[[#This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Row],[Tipo]]="DROP"),AC183+TbTradesBinance[[#This Row],[Qtt]],AC183-TbTradesBinance[[#This Row],[Qtt]]),IF(TbTradesBinance[[#This Row],[Tipo]]="BUY",AC183-TbTradesBinance[[#This Row],[Qtt]]*TbTradesBinance[[#This Row],[Preço]],AC183+TbTradesBinance[[#This Row],[Qtt]]*TbTradesBinance[[#This Row],[Preço]])),AC183)-IF(TbTradesBinance[[#This Row],[Moeda da Taxa]]=MID(AC$1,9,5),TbTradesBinance[[#This Row],[Taxa]],0),8)))</f>
        <v>0</v>
      </c>
      <c r="AD184" s="145" cm="1">
        <f t="array" ref="AD184">IF(TbTradesBinance[[#This Row],[Tipo]]="EMPTY",0,AD183+IF(TbTradesBinance[[#This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Row],[Par]]))),$1:$1,0)),-(AC183-AC184)/AC183*AD183),0),0)+IF(TbTradesBinance[[#This Row],[Tipo]]="SELL",IF(ISNUMBER(FIND(MID(AD$1,10,5),TbTradesBinance[[#This Row],[Par]])),IF(FIND(MID(AD$1,10,5),TbTradesBinance[[#This Row],[Par]])=1, -(AC183-AC184)/AC183*AD183,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Row],[Par]])),(-(AC183-AC184)/AC183*AD183)+IF(TbTradesBinance[[#This Row],[Resultado]]&gt;0,0,TbTradesBinance[[#This Row],[Taxa]]),0),0))</f>
        <v>0</v>
      </c>
      <c r="AE184" s="145">
        <f t="shared" si="44"/>
        <v>0</v>
      </c>
      <c r="AF18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Row],[Tipo]]="DROP"),AF183+TbTradesBinance[[#This Row],[Qtt]],AF183-TbTradesBinance[[#This Row],[Qtt]]),IF(TbTradesBinance[[#This Row],[Tipo]]="BUY",AF183-TbTradesBinance[[#This Row],[Qtt]]*TbTradesBinance[[#This Row],[Preço]],AF183+TbTradesBinance[[#This Row],[Qtt]]*TbTradesBinance[[#This Row],[Preço]])),AF183)-IF(TbTradesBinance[[#This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Row],[Tipo]]="DROP"),AF183+TbTradesBinance[[#This Row],[Qtt]],AF183-TbTradesBinance[[#This Row],[Qtt]]),IF(TbTradesBinance[[#This Row],[Tipo]]="BUY",AF183-TbTradesBinance[[#This Row],[Qtt]]*TbTradesBinance[[#This Row],[Preço]],AF183+TbTradesBinance[[#This Row],[Qtt]]*TbTradesBinance[[#This Row],[Preço]])),AF183)-IF(TbTradesBinance[[#This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Row],[Tipo]]="DROP"),AF183+TbTradesBinance[[#This Row],[Qtt]],AF183-TbTradesBinance[[#This Row],[Qtt]]),IF(TbTradesBinance[[#This Row],[Tipo]]="BUY",AF183-TbTradesBinance[[#This Row],[Qtt]]*TbTradesBinance[[#This Row],[Preço]],AF183+TbTradesBinance[[#This Row],[Qtt]]*TbTradesBinance[[#This Row],[Preço]])),AF183)-IF(TbTradesBinance[[#This Row],[Moeda da Taxa]]=MID(AF$1,9,5),TbTradesBinance[[#This Row],[Taxa]],0),8)))</f>
        <v>0</v>
      </c>
      <c r="AG184" s="145" cm="1">
        <f t="array" ref="AG184">IF(TbTradesBinance[[#This Row],[Tipo]]="EMPTY",0,AG183+IF(TbTradesBinance[[#This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Row],[Par]]))),$1:$1,0)),-(AF183-AF184)/AF183*AG183),0),0)+IF(TbTradesBinance[[#This Row],[Tipo]]="SELL",IF(ISNUMBER(FIND(MID(AG$1,10,5),TbTradesBinance[[#This Row],[Par]])),IF(FIND(MID(AG$1,10,5),TbTradesBinance[[#This Row],[Par]])=1, -(AF183-AF184)/AF183*AG183,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Row],[Par]])),(-(AF183-AF184)/AF183*AG183)+IF(TbTradesBinance[[#This Row],[Resultado]]&gt;0,0,TbTradesBinance[[#This Row],[Taxa]]),0),0))</f>
        <v>0</v>
      </c>
      <c r="AH184" s="145">
        <f t="shared" si="45"/>
        <v>0</v>
      </c>
      <c r="AI18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Row],[Tipo]]="DROP"),AI183+TbTradesBinance[[#This Row],[Qtt]],AI183-TbTradesBinance[[#This Row],[Qtt]]),IF(TbTradesBinance[[#This Row],[Tipo]]="BUY",AI183-TbTradesBinance[[#This Row],[Qtt]]*TbTradesBinance[[#This Row],[Preço]],AI183+TbTradesBinance[[#This Row],[Qtt]]*TbTradesBinance[[#This Row],[Preço]])),AI183)-IF(TbTradesBinance[[#This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Row],[Tipo]]="DROP"),AI183+TbTradesBinance[[#This Row],[Qtt]],AI183-TbTradesBinance[[#This Row],[Qtt]]),IF(TbTradesBinance[[#This Row],[Tipo]]="BUY",AI183-TbTradesBinance[[#This Row],[Qtt]]*TbTradesBinance[[#This Row],[Preço]],AI183+TbTradesBinance[[#This Row],[Qtt]]*TbTradesBinance[[#This Row],[Preço]])),AI183)-IF(TbTradesBinance[[#This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Row],[Tipo]]="DROP"),AI183+TbTradesBinance[[#This Row],[Qtt]],AI183-TbTradesBinance[[#This Row],[Qtt]]),IF(TbTradesBinance[[#This Row],[Tipo]]="BUY",AI183-TbTradesBinance[[#This Row],[Qtt]]*TbTradesBinance[[#This Row],[Preço]],AI183+TbTradesBinance[[#This Row],[Qtt]]*TbTradesBinance[[#This Row],[Preço]])),AI183)-IF(TbTradesBinance[[#This Row],[Moeda da Taxa]]=MID(AI$1,9,5),TbTradesBinance[[#This Row],[Taxa]],0),8)))</f>
        <v>0</v>
      </c>
      <c r="AJ184" s="145" cm="1">
        <f t="array" ref="AJ184">IF(TbTradesBinance[[#This Row],[Tipo]]="EMPTY",0,AJ183+IF(TbTradesBinance[[#This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Row],[Par]]))),$1:$1,0)),-(AI183-AI184)/AI183*AJ183),0),0)+IF(TbTradesBinance[[#This Row],[Tipo]]="SELL",IF(ISNUMBER(FIND(MID(AJ$1,10,5),TbTradesBinance[[#This Row],[Par]])),IF(FIND(MID(AJ$1,10,5),TbTradesBinance[[#This Row],[Par]])=1, -(AI183-AI184)/AI183*AJ183,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Row],[Par]])),(-(AI183-AI184)/AI183*AJ183)+IF(TbTradesBinance[[#This Row],[Resultado]]&gt;0,0,TbTradesBinance[[#This Row],[Taxa]]),0),0))</f>
        <v>0</v>
      </c>
      <c r="AK184" s="145">
        <f t="shared" si="46"/>
        <v>0</v>
      </c>
      <c r="AL18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Row],[Tipo]]="DROP"),AL183+TbTradesBinance[[#This Row],[Qtt]],AL183-TbTradesBinance[[#This Row],[Qtt]]),IF(TbTradesBinance[[#This Row],[Tipo]]="BUY",AL183-TbTradesBinance[[#This Row],[Qtt]]*TbTradesBinance[[#This Row],[Preço]],AL183+TbTradesBinance[[#This Row],[Qtt]]*TbTradesBinance[[#This Row],[Preço]])),AL183)-IF(TbTradesBinance[[#This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Row],[Tipo]]="DROP"),AL183+TbTradesBinance[[#This Row],[Qtt]],AL183-TbTradesBinance[[#This Row],[Qtt]]),IF(TbTradesBinance[[#This Row],[Tipo]]="BUY",AL183-TbTradesBinance[[#This Row],[Qtt]]*TbTradesBinance[[#This Row],[Preço]],AL183+TbTradesBinance[[#This Row],[Qtt]]*TbTradesBinance[[#This Row],[Preço]])),AL183)-IF(TbTradesBinance[[#This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Row],[Tipo]]="DROP"),AL183+TbTradesBinance[[#This Row],[Qtt]],AL183-TbTradesBinance[[#This Row],[Qtt]]),IF(TbTradesBinance[[#This Row],[Tipo]]="BUY",AL183-TbTradesBinance[[#This Row],[Qtt]]*TbTradesBinance[[#This Row],[Preço]],AL183+TbTradesBinance[[#This Row],[Qtt]]*TbTradesBinance[[#This Row],[Preço]])),AL183)-IF(TbTradesBinance[[#This Row],[Moeda da Taxa]]=MID(AL$1,9,5),TbTradesBinance[[#This Row],[Taxa]],0),8)))</f>
        <v>0</v>
      </c>
      <c r="AM184" s="145" cm="1">
        <f t="array" ref="AM184">IF(TbTradesBinance[[#This Row],[Tipo]]="EMPTY",0,AM183+IF(TbTradesBinance[[#This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Row],[Par]]))),$1:$1,0)),-(AL183-AL184)/AL183*AM183),0),0)+IF(TbTradesBinance[[#This Row],[Tipo]]="SELL",IF(ISNUMBER(FIND(MID(AM$1,10,5),TbTradesBinance[[#This Row],[Par]])),IF(FIND(MID(AM$1,10,5),TbTradesBinance[[#This Row],[Par]])=1, -(AL183-AL184)/AL183*AM183,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Row],[Par]])),(-(AL183-AL184)/AL183*AM183)+IF(TbTradesBinance[[#This Row],[Resultado]]&gt;0,0,TbTradesBinance[[#This Row],[Taxa]]),0),0))</f>
        <v>0</v>
      </c>
      <c r="AN184" s="145">
        <f t="shared" si="47"/>
        <v>0</v>
      </c>
      <c r="AO18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Row],[Tipo]]="DROP"),AO183+TbTradesBinance[[#This Row],[Qtt]],AO183-TbTradesBinance[[#This Row],[Qtt]]),IF(TbTradesBinance[[#This Row],[Tipo]]="BUY",AO183-TbTradesBinance[[#This Row],[Qtt]]*TbTradesBinance[[#This Row],[Preço]],AO183+TbTradesBinance[[#This Row],[Qtt]]*TbTradesBinance[[#This Row],[Preço]])),AO183)-IF(TbTradesBinance[[#This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Row],[Tipo]]="DROP"),AO183+TbTradesBinance[[#This Row],[Qtt]],AO183-TbTradesBinance[[#This Row],[Qtt]]),IF(TbTradesBinance[[#This Row],[Tipo]]="BUY",AO183-TbTradesBinance[[#This Row],[Qtt]]*TbTradesBinance[[#This Row],[Preço]],AO183+TbTradesBinance[[#This Row],[Qtt]]*TbTradesBinance[[#This Row],[Preço]])),AO183)-IF(TbTradesBinance[[#This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Row],[Tipo]]="DROP"),AO183+TbTradesBinance[[#This Row],[Qtt]],AO183-TbTradesBinance[[#This Row],[Qtt]]),IF(TbTradesBinance[[#This Row],[Tipo]]="BUY",AO183-TbTradesBinance[[#This Row],[Qtt]]*TbTradesBinance[[#This Row],[Preço]],AO183+TbTradesBinance[[#This Row],[Qtt]]*TbTradesBinance[[#This Row],[Preço]])),AO183)-IF(TbTradesBinance[[#This Row],[Moeda da Taxa]]=MID(AO$1,9,5),TbTradesBinance[[#This Row],[Taxa]],0),8)))</f>
        <v>3.8363830000000002E-2</v>
      </c>
      <c r="AP184" s="145" cm="1">
        <f t="array" ref="AP184">IF(TbTradesBinance[[#This Row],[Tipo]]="EMPTY",0,AP183+IF(TbTradesBinance[[#This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Row],[Par]]))),$1:$1,0)),-(AO183-AO184)/AO183*AP183),0),0)+IF(TbTradesBinance[[#This Row],[Tipo]]="SELL",IF(ISNUMBER(FIND(MID(AP$1,10,5),TbTradesBinance[[#This Row],[Par]])),IF(FIND(MID(AP$1,10,5),TbTradesBinance[[#This Row],[Par]])=1, -(AO183-AO184)/AO183*AP183,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Row],[Par]])),(-(AO183-AO184)/AO183*AP183)+IF(TbTradesBinance[[#This Row],[Resultado]]&gt;0,0,TbTradesBinance[[#This Row],[Taxa]]),0),0))</f>
        <v>60.349858055862811</v>
      </c>
      <c r="AQ184" s="145">
        <f t="shared" si="48"/>
        <v>1573.0926254199023</v>
      </c>
      <c r="AR18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Row],[Tipo]]="DROP"),AR183+TbTradesBinance[[#This Row],[Qtt]],AR183-TbTradesBinance[[#This Row],[Qtt]]),IF(TbTradesBinance[[#This Row],[Tipo]]="BUY",AR183-TbTradesBinance[[#This Row],[Qtt]]*TbTradesBinance[[#This Row],[Preço]],AR183+TbTradesBinance[[#This Row],[Qtt]]*TbTradesBinance[[#This Row],[Preço]])),AR183)-IF(TbTradesBinance[[#This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Row],[Tipo]]="DROP"),AR183+TbTradesBinance[[#This Row],[Qtt]],AR183-TbTradesBinance[[#This Row],[Qtt]]),IF(TbTradesBinance[[#This Row],[Tipo]]="BUY",AR183-TbTradesBinance[[#This Row],[Qtt]]*TbTradesBinance[[#This Row],[Preço]],AR183+TbTradesBinance[[#This Row],[Qtt]]*TbTradesBinance[[#This Row],[Preço]])),AR183)-IF(TbTradesBinance[[#This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Row],[Tipo]]="DROP"),AR183+TbTradesBinance[[#This Row],[Qtt]],AR183-TbTradesBinance[[#This Row],[Qtt]]),IF(TbTradesBinance[[#This Row],[Tipo]]="BUY",AR183-TbTradesBinance[[#This Row],[Qtt]]*TbTradesBinance[[#This Row],[Preço]],AR183+TbTradesBinance[[#This Row],[Qtt]]*TbTradesBinance[[#This Row],[Preço]])),AR183)-IF(TbTradesBinance[[#This Row],[Moeda da Taxa]]=MID(AR$1,9,5),TbTradesBinance[[#This Row],[Taxa]],0),8)))</f>
        <v>0</v>
      </c>
      <c r="AS184" s="145" cm="1">
        <f t="array" ref="AS184">IF(TbTradesBinance[[#This Row],[Tipo]]="EMPTY",0,AS183+IF(TbTradesBinance[[#This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Row],[Par]]))),$1:$1,0)),-(AR183-AR184)/AR183*AS183),0),0)+IF(TbTradesBinance[[#This Row],[Tipo]]="SELL",IF(ISNUMBER(FIND(MID(AS$1,10,5),TbTradesBinance[[#This Row],[Par]])),IF(FIND(MID(AS$1,10,5),TbTradesBinance[[#This Row],[Par]])=1, -(AR183-AR184)/AR183*AS183,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Row],[Par]])),(-(AR183-AR184)/AR183*AS183)+IF(TbTradesBinance[[#This Row],[Resultado]]&gt;0,0,TbTradesBinance[[#This Row],[Taxa]]),0),0))</f>
        <v>0</v>
      </c>
      <c r="AT184" s="145">
        <f t="shared" si="49"/>
        <v>0</v>
      </c>
      <c r="AU18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Row],[Tipo]]="DROP"),AU183+TbTradesBinance[[#This Row],[Qtt]],AU183-TbTradesBinance[[#This Row],[Qtt]]),IF(TbTradesBinance[[#This Row],[Tipo]]="BUY",AU183-TbTradesBinance[[#This Row],[Qtt]]*TbTradesBinance[[#This Row],[Preço]],AU183+TbTradesBinance[[#This Row],[Qtt]]*TbTradesBinance[[#This Row],[Preço]])),AU183)-IF(TbTradesBinance[[#This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Row],[Tipo]]="DROP"),AU183+TbTradesBinance[[#This Row],[Qtt]],AU183-TbTradesBinance[[#This Row],[Qtt]]),IF(TbTradesBinance[[#This Row],[Tipo]]="BUY",AU183-TbTradesBinance[[#This Row],[Qtt]]*TbTradesBinance[[#This Row],[Preço]],AU183+TbTradesBinance[[#This Row],[Qtt]]*TbTradesBinance[[#This Row],[Preço]])),AU183)-IF(TbTradesBinance[[#This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Row],[Tipo]]="DROP"),AU183+TbTradesBinance[[#This Row],[Qtt]],AU183-TbTradesBinance[[#This Row],[Qtt]]),IF(TbTradesBinance[[#This Row],[Tipo]]="BUY",AU183-TbTradesBinance[[#This Row],[Qtt]]*TbTradesBinance[[#This Row],[Preço]],AU183+TbTradesBinance[[#This Row],[Qtt]]*TbTradesBinance[[#This Row],[Preço]])),AU183)-IF(TbTradesBinance[[#This Row],[Moeda da Taxa]]=MID(AU$1,9,5),TbTradesBinance[[#This Row],[Taxa]],0),8)))</f>
        <v>0.51</v>
      </c>
      <c r="AV184" s="145" cm="1">
        <f t="array" ref="AV184">IF(TbTradesBinance[[#This Row],[Tipo]]="EMPTY",0,AV183+IF(TbTradesBinance[[#This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Row],[Par]]))),$1:$1,0)),-(AU183-AU184)/AU183*AV183),0),0)+IF(TbTradesBinance[[#This Row],[Tipo]]="SELL",IF(ISNUMBER(FIND(MID(AV$1,10,5),TbTradesBinance[[#This Row],[Par]])),IF(FIND(MID(AV$1,10,5),TbTradesBinance[[#This Row],[Par]])=1, -(AU183-AU184)/AU183*AV183,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Row],[Par]])),(-(AU183-AU184)/AU183*AV183)+IF(TbTradesBinance[[#This Row],[Resultado]]&gt;0,0,TbTradesBinance[[#This Row],[Taxa]]),0),0))</f>
        <v>95.466693037374753</v>
      </c>
      <c r="AW184" s="145">
        <f t="shared" si="50"/>
        <v>187.18959419093088</v>
      </c>
      <c r="AX18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Row],[Tipo]]="DROP"),AX183+TbTradesBinance[[#This Row],[Qtt]],AX183-TbTradesBinance[[#This Row],[Qtt]]),IF(TbTradesBinance[[#This Row],[Tipo]]="BUY",AX183-TbTradesBinance[[#This Row],[Qtt]]*TbTradesBinance[[#This Row],[Preço]],AX183+TbTradesBinance[[#This Row],[Qtt]]*TbTradesBinance[[#This Row],[Preço]])),AX183)-IF(TbTradesBinance[[#This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Row],[Tipo]]="DROP"),AX183+TbTradesBinance[[#This Row],[Qtt]],AX183-TbTradesBinance[[#This Row],[Qtt]]),IF(TbTradesBinance[[#This Row],[Tipo]]="BUY",AX183-TbTradesBinance[[#This Row],[Qtt]]*TbTradesBinance[[#This Row],[Preço]],AX183+TbTradesBinance[[#This Row],[Qtt]]*TbTradesBinance[[#This Row],[Preço]])),AX183)-IF(TbTradesBinance[[#This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Row],[Tipo]]="DROP"),AX183+TbTradesBinance[[#This Row],[Qtt]],AX183-TbTradesBinance[[#This Row],[Qtt]]),IF(TbTradesBinance[[#This Row],[Tipo]]="BUY",AX183-TbTradesBinance[[#This Row],[Qtt]]*TbTradesBinance[[#This Row],[Preço]],AX183+TbTradesBinance[[#This Row],[Qtt]]*TbTradesBinance[[#This Row],[Preço]])),AX183)-IF(TbTradesBinance[[#This Row],[Moeda da Taxa]]=MID(AX$1,9,5),TbTradesBinance[[#This Row],[Taxa]],0),8)))</f>
        <v>0.32838000000000001</v>
      </c>
      <c r="AY184" s="145" cm="1">
        <f t="array" ref="AY184">IF(TbTradesBinance[[#This Row],[Tipo]]="EMPTY",0,AY183+IF(TbTradesBinance[[#This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Row],[Par]]))),$1:$1,0)),-(AX183-AX184)/AX183*AY183),0),0)+IF(TbTradesBinance[[#This Row],[Tipo]]="SELL",IF(ISNUMBER(FIND(MID(AY$1,10,5),TbTradesBinance[[#This Row],[Par]])),IF(FIND(MID(AY$1,10,5),TbTradesBinance[[#This Row],[Par]])=1, -(AX183-AX184)/AX183*AY183,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Row],[Par]])),(-(AX183-AX184)/AX183*AY183)+IF(TbTradesBinance[[#This Row],[Resultado]]&gt;0,0,TbTradesBinance[[#This Row],[Taxa]]),0),0))</f>
        <v>61.364116058805678</v>
      </c>
      <c r="AZ184" s="145">
        <f t="shared" si="51"/>
        <v>186.869224857804</v>
      </c>
      <c r="BA18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Row],[Tipo]]="DROP"),BA183+TbTradesBinance[[#This Row],[Qtt]],BA183-TbTradesBinance[[#This Row],[Qtt]]),IF(TbTradesBinance[[#This Row],[Tipo]]="BUY",BA183-TbTradesBinance[[#This Row],[Qtt]]*TbTradesBinance[[#This Row],[Preço]],BA183+TbTradesBinance[[#This Row],[Qtt]]*TbTradesBinance[[#This Row],[Preço]])),BA183)-IF(TbTradesBinance[[#This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Row],[Tipo]]="DROP"),BA183+TbTradesBinance[[#This Row],[Qtt]],BA183-TbTradesBinance[[#This Row],[Qtt]]),IF(TbTradesBinance[[#This Row],[Tipo]]="BUY",BA183-TbTradesBinance[[#This Row],[Qtt]]*TbTradesBinance[[#This Row],[Preço]],BA183+TbTradesBinance[[#This Row],[Qtt]]*TbTradesBinance[[#This Row],[Preço]])),BA183)-IF(TbTradesBinance[[#This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Row],[Tipo]]="DROP"),BA183+TbTradesBinance[[#This Row],[Qtt]],BA183-TbTradesBinance[[#This Row],[Qtt]]),IF(TbTradesBinance[[#This Row],[Tipo]]="BUY",BA183-TbTradesBinance[[#This Row],[Qtt]]*TbTradesBinance[[#This Row],[Preço]],BA183+TbTradesBinance[[#This Row],[Qtt]]*TbTradesBinance[[#This Row],[Preço]])),BA183)-IF(TbTradesBinance[[#This Row],[Moeda da Taxa]]=MID(BA$1,9,5),TbTradesBinance[[#This Row],[Taxa]],0),8)))</f>
        <v>0</v>
      </c>
      <c r="BB184" s="145" cm="1">
        <f t="array" ref="BB184">IF(TbTradesBinance[[#This Row],[Tipo]]="EMPTY",0,BB183+IF(TbTradesBinance[[#This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Row],[Par]]))),$1:$1,0)),-(BA183-BA184)/BA183*BB183),0),0)+IF(TbTradesBinance[[#This Row],[Tipo]]="SELL",IF(ISNUMBER(FIND(MID(BB$1,10,5),TbTradesBinance[[#This Row],[Par]])),IF(FIND(MID(BB$1,10,5),TbTradesBinance[[#This Row],[Par]])=1, -(BA183-BA184)/BA183*BB183,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Row],[Par]])),(-(BA183-BA184)/BA183*BB183)+IF(TbTradesBinance[[#This Row],[Resultado]]&gt;0,0,TbTradesBinance[[#This Row],[Taxa]]),0),0))</f>
        <v>0</v>
      </c>
      <c r="BC184" s="145">
        <f t="shared" si="52"/>
        <v>0</v>
      </c>
      <c r="BD18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Row],[Tipo]]="DROP"),BD183+TbTradesBinance[[#This Row],[Qtt]],BD183-TbTradesBinance[[#This Row],[Qtt]]),IF(TbTradesBinance[[#This Row],[Tipo]]="BUY",BD183-TbTradesBinance[[#This Row],[Qtt]]*TbTradesBinance[[#This Row],[Preço]],BD183+TbTradesBinance[[#This Row],[Qtt]]*TbTradesBinance[[#This Row],[Preço]])),BD183)-IF(TbTradesBinance[[#This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Row],[Tipo]]="DROP"),BD183+TbTradesBinance[[#This Row],[Qtt]],BD183-TbTradesBinance[[#This Row],[Qtt]]),IF(TbTradesBinance[[#This Row],[Tipo]]="BUY",BD183-TbTradesBinance[[#This Row],[Qtt]]*TbTradesBinance[[#This Row],[Preço]],BD183+TbTradesBinance[[#This Row],[Qtt]]*TbTradesBinance[[#This Row],[Preço]])),BD183)-IF(TbTradesBinance[[#This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Row],[Tipo]]="DROP"),BD183+TbTradesBinance[[#This Row],[Qtt]],BD183-TbTradesBinance[[#This Row],[Qtt]]),IF(TbTradesBinance[[#This Row],[Tipo]]="BUY",BD183-TbTradesBinance[[#This Row],[Qtt]]*TbTradesBinance[[#This Row],[Preço]],BD183+TbTradesBinance[[#This Row],[Qtt]]*TbTradesBinance[[#This Row],[Preço]])),BD183)-IF(TbTradesBinance[[#This Row],[Moeda da Taxa]]=MID(BD$1,9,5),TbTradesBinance[[#This Row],[Taxa]],0),8)))</f>
        <v>0</v>
      </c>
      <c r="BE184" s="145" cm="1">
        <f t="array" ref="BE184">IF(TbTradesBinance[[#This Row],[Tipo]]="EMPTY",0,BE183+IF(TbTradesBinance[[#This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Row],[Par]]))),$1:$1,0)),-(BD183-BD184)/BD183*BE183),0),0)+IF(TbTradesBinance[[#This Row],[Tipo]]="SELL",IF(ISNUMBER(FIND(MID(BE$1,10,5),TbTradesBinance[[#This Row],[Par]])),IF(FIND(MID(BE$1,10,5),TbTradesBinance[[#This Row],[Par]])=1, -(BD183-BD184)/BD183*BE183,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Row],[Par]])),(-(BD183-BD184)/BD183*BE183)+IF(TbTradesBinance[[#This Row],[Resultado]]&gt;0,0,TbTradesBinance[[#This Row],[Taxa]]),0),0))</f>
        <v>0</v>
      </c>
      <c r="BF184" s="145">
        <f t="shared" si="53"/>
        <v>0</v>
      </c>
      <c r="BG18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Row],[Tipo]]="DROP"),BG183+TbTradesBinance[[#This Row],[Qtt]],BG183-TbTradesBinance[[#This Row],[Qtt]]),IF(TbTradesBinance[[#This Row],[Tipo]]="BUY",BG183-TbTradesBinance[[#This Row],[Qtt]]*TbTradesBinance[[#This Row],[Preço]],BG183+TbTradesBinance[[#This Row],[Qtt]]*TbTradesBinance[[#This Row],[Preço]])),BG183)-IF(TbTradesBinance[[#This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Row],[Tipo]]="DROP"),BG183+TbTradesBinance[[#This Row],[Qtt]],BG183-TbTradesBinance[[#This Row],[Qtt]]),IF(TbTradesBinance[[#This Row],[Tipo]]="BUY",BG183-TbTradesBinance[[#This Row],[Qtt]]*TbTradesBinance[[#This Row],[Preço]],BG183+TbTradesBinance[[#This Row],[Qtt]]*TbTradesBinance[[#This Row],[Preço]])),BG183)-IF(TbTradesBinance[[#This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Row],[Tipo]]="DROP"),BG183+TbTradesBinance[[#This Row],[Qtt]],BG183-TbTradesBinance[[#This Row],[Qtt]]),IF(TbTradesBinance[[#This Row],[Tipo]]="BUY",BG183-TbTradesBinance[[#This Row],[Qtt]]*TbTradesBinance[[#This Row],[Preço]],BG183+TbTradesBinance[[#This Row],[Qtt]]*TbTradesBinance[[#This Row],[Preço]])),BG183)-IF(TbTradesBinance[[#This Row],[Moeda da Taxa]]=MID(BG$1,9,5),TbTradesBinance[[#This Row],[Taxa]],0),8)))</f>
        <v>0</v>
      </c>
      <c r="BH184" s="145" cm="1">
        <f t="array" ref="BH184">IF(TbTradesBinance[[#This Row],[Tipo]]="EMPTY",0,BH183+IF(TbTradesBinance[[#This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Row],[Par]]))),$1:$1,0)),-(BG183-BG184)/BG183*BH183),0),0)+IF(TbTradesBinance[[#This Row],[Tipo]]="SELL",IF(ISNUMBER(FIND(MID(BH$1,10,5),TbTradesBinance[[#This Row],[Par]])),IF(FIND(MID(BH$1,10,5),TbTradesBinance[[#This Row],[Par]])=1, -(BG183-BG184)/BG183*BH183,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Row],[Par]])),(-(BG183-BG184)/BG183*BH183)+IF(TbTradesBinance[[#This Row],[Resultado]]&gt;0,0,TbTradesBinance[[#This Row],[Taxa]]),0),0))</f>
        <v>0</v>
      </c>
      <c r="BI184" s="145">
        <f t="shared" si="54"/>
        <v>0</v>
      </c>
      <c r="BJ18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Row],[Tipo]]="DROP"),BJ183+TbTradesBinance[[#This Row],[Qtt]],BJ183-TbTradesBinance[[#This Row],[Qtt]]),IF(TbTradesBinance[[#This Row],[Tipo]]="BUY",BJ183-TbTradesBinance[[#This Row],[Qtt]]*TbTradesBinance[[#This Row],[Preço]],BJ183+TbTradesBinance[[#This Row],[Qtt]]*TbTradesBinance[[#This Row],[Preço]])),BJ183)-IF(TbTradesBinance[[#This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Row],[Tipo]]="DROP"),BJ183+TbTradesBinance[[#This Row],[Qtt]],BJ183-TbTradesBinance[[#This Row],[Qtt]]),IF(TbTradesBinance[[#This Row],[Tipo]]="BUY",BJ183-TbTradesBinance[[#This Row],[Qtt]]*TbTradesBinance[[#This Row],[Preço]],BJ183+TbTradesBinance[[#This Row],[Qtt]]*TbTradesBinance[[#This Row],[Preço]])),BJ183)-IF(TbTradesBinance[[#This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Row],[Tipo]]="DROP"),BJ183+TbTradesBinance[[#This Row],[Qtt]],BJ183-TbTradesBinance[[#This Row],[Qtt]]),IF(TbTradesBinance[[#This Row],[Tipo]]="BUY",BJ183-TbTradesBinance[[#This Row],[Qtt]]*TbTradesBinance[[#This Row],[Preço]],BJ183+TbTradesBinance[[#This Row],[Qtt]]*TbTradesBinance[[#This Row],[Preço]])),BJ183)-IF(TbTradesBinance[[#This Row],[Moeda da Taxa]]=MID(BJ$1,9,5),TbTradesBinance[[#This Row],[Taxa]],0),8)))</f>
        <v>0</v>
      </c>
      <c r="BK184" s="145" cm="1">
        <f t="array" ref="BK184">IF(TbTradesBinance[[#This Row],[Tipo]]="EMPTY",0,BK183+IF(TbTradesBinance[[#This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Row],[Par]]))),$1:$1,0)),-(BJ183-BJ184)/BJ183*BK183),0),0)+IF(TbTradesBinance[[#This Row],[Tipo]]="SELL",IF(ISNUMBER(FIND(MID(BK$1,10,5),TbTradesBinance[[#This Row],[Par]])),IF(FIND(MID(BK$1,10,5),TbTradesBinance[[#This Row],[Par]])=1, -(BJ183-BJ184)/BJ183*BK183,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Row],[Par]])),(-(BJ183-BJ184)/BJ183*BK183)+IF(TbTradesBinance[[#This Row],[Resultado]]&gt;0,0,TbTradesBinance[[#This Row],[Taxa]]),0),0))</f>
        <v>0</v>
      </c>
      <c r="BL184" s="145">
        <f t="shared" si="55"/>
        <v>0</v>
      </c>
      <c r="BM18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Row],[Tipo]]="DROP"),BM183+TbTradesBinance[[#This Row],[Qtt]],BM183-TbTradesBinance[[#This Row],[Qtt]]),IF(TbTradesBinance[[#This Row],[Tipo]]="BUY",BM183-TbTradesBinance[[#This Row],[Qtt]]*TbTradesBinance[[#This Row],[Preço]],BM183+TbTradesBinance[[#This Row],[Qtt]]*TbTradesBinance[[#This Row],[Preço]])),BM183)-IF(TbTradesBinance[[#This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Row],[Tipo]]="DROP"),BM183+TbTradesBinance[[#This Row],[Qtt]],BM183-TbTradesBinance[[#This Row],[Qtt]]),IF(TbTradesBinance[[#This Row],[Tipo]]="BUY",BM183-TbTradesBinance[[#This Row],[Qtt]]*TbTradesBinance[[#This Row],[Preço]],BM183+TbTradesBinance[[#This Row],[Qtt]]*TbTradesBinance[[#This Row],[Preço]])),BM183)-IF(TbTradesBinance[[#This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Row],[Tipo]]="DROP"),BM183+TbTradesBinance[[#This Row],[Qtt]],BM183-TbTradesBinance[[#This Row],[Qtt]]),IF(TbTradesBinance[[#This Row],[Tipo]]="BUY",BM183-TbTradesBinance[[#This Row],[Qtt]]*TbTradesBinance[[#This Row],[Preço]],BM183+TbTradesBinance[[#This Row],[Qtt]]*TbTradesBinance[[#This Row],[Preço]])),BM183)-IF(TbTradesBinance[[#This Row],[Moeda da Taxa]]=MID(BM$1,9,5),TbTradesBinance[[#This Row],[Taxa]],0),8)))</f>
        <v>0</v>
      </c>
      <c r="BN184" s="145" cm="1">
        <f t="array" ref="BN184">IF(TbTradesBinance[[#This Row],[Tipo]]="EMPTY",0,BN183+IF(TbTradesBinance[[#This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Row],[Par]]))),$1:$1,0)),-(BM183-BM184)/BM183*BN183),0),0)+IF(TbTradesBinance[[#This Row],[Tipo]]="SELL",IF(ISNUMBER(FIND(MID(BN$1,10,5),TbTradesBinance[[#This Row],[Par]])),IF(FIND(MID(BN$1,10,5),TbTradesBinance[[#This Row],[Par]])=1, -(BM183-BM184)/BM183*BN183,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Row],[Par]])),(-(BM183-BM184)/BM183*BN183)+IF(TbTradesBinance[[#This Row],[Resultado]]&gt;0,0,TbTradesBinance[[#This Row],[Taxa]]),0),0))</f>
        <v>0</v>
      </c>
      <c r="BO184" s="145">
        <f t="shared" si="56"/>
        <v>0</v>
      </c>
    </row>
    <row r="185" spans="2:67" x14ac:dyDescent="0.3">
      <c r="B185" s="51" t="s">
        <v>240</v>
      </c>
      <c r="C185" s="40">
        <f>TRUNC(IF(AND(TbTradesBinance[[#This Row],[Tipo]]="SEND",TbTradesBinance[[#This Row],[Par]]="BRL"),TbTradesBinance[[#This Row],[Qtt]]*(1-P183)-IF(TbTradesBinance[[#This Row],[Moeda da Taxa]]="BRL",TbTradesBinance[[#This Row],[Taxa]],0),0)+IF(AND(TbTradesBinance[[#This Row],[Tipo]]="BURN",TbTradesBinance[[#This Row],[Par]]="BRL"),-TbTradesBinance[[#This Row],[Qtt]]*P183,0),2)</f>
        <v>0</v>
      </c>
      <c r="D185" s="53">
        <v>44353.620578703703</v>
      </c>
      <c r="E185" s="37" t="s">
        <v>60</v>
      </c>
      <c r="F185" s="47" t="s">
        <v>137</v>
      </c>
      <c r="G185" s="38">
        <v>1</v>
      </c>
      <c r="H185" s="38">
        <v>5000</v>
      </c>
      <c r="I185" s="38">
        <v>0</v>
      </c>
      <c r="J185" s="37" t="s">
        <v>60</v>
      </c>
      <c r="K185" s="52">
        <v>6.1</v>
      </c>
      <c r="L185" s="40">
        <f t="shared" si="38"/>
        <v>6.1</v>
      </c>
      <c r="M185" s="40">
        <f>IF(OR(TbTradesBinance[[#This Row],[Tipo]]="BUY",TbTradesBinance[[#This Row],[Tipo]]="RECEIVE",TbTradesBinance[[#This Row],[Tipo]]="DROP"),L185*H185,-L185*H185)</f>
        <v>30500</v>
      </c>
      <c r="N18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Row],[Tipo]]="DROP"),N184+TbTradesBinance[[#This Row],[Qtt]],N184-TbTradesBinance[[#This Row],[Qtt]]),IF(TbTradesBinance[[#This Row],[Tipo]]="BUY",N184-TbTradesBinance[[#This Row],[Qtt]]*TbTradesBinance[[#This Row],[Preço]],N184+TbTradesBinance[[#This Row],[Qtt]]*TbTradesBinance[[#This Row],[Preço]])),N184)-IF(TbTradesBinance[[#This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Row],[Tipo]]="DROP"),N184+TbTradesBinance[[#This Row],[Qtt]],N184-TbTradesBinance[[#This Row],[Qtt]]),IF(TbTradesBinance[[#This Row],[Tipo]]="BUY",N184-TbTradesBinance[[#This Row],[Qtt]]*TbTradesBinance[[#This Row],[Preço]],N184+TbTradesBinance[[#This Row],[Qtt]]*TbTradesBinance[[#This Row],[Preço]])),N184)-IF(TbTradesBinance[[#This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Row],[Tipo]]="DROP"),N184+TbTradesBinance[[#This Row],[Qtt]],N184-TbTradesBinance[[#This Row],[Qtt]]),IF(TbTradesBinance[[#This Row],[Tipo]]="BUY",N184-TbTradesBinance[[#This Row],[Qtt]]*TbTradesBinance[[#This Row],[Preço]],N184+TbTradesBinance[[#This Row],[Qtt]]*TbTradesBinance[[#This Row],[Preço]])),N184)-IF(TbTradesBinance[[#This Row],[Moeda da Taxa]]=MID(N$1,9,5),TbTradesBinance[[#This Row],[Taxa]],0),8)))</f>
        <v>119745.58804798999</v>
      </c>
      <c r="O185" s="145" cm="1">
        <f t="array" ref="O185">IF(TbTradesBinance[[#This Row],[Tipo]]="EMPTY",0,O184+IF(TbTradesBinance[[#This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Row],[Par]]))),$1:$1,0)),-(N184-N185)/N184*O184),0),0)+IF(TbTradesBinance[[#This Row],[Tipo]]="SELL",IF(ISNUMBER(FIND(MID(O$1,10,5),TbTradesBinance[[#This Row],[Par]])),IF(FIND(MID(O$1,10,5),TbTradesBinance[[#This Row],[Par]])=1, -(N184-N185)/N184*O184,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Row],[Par]])),(-(N184-N185)/N184*O184)+IF(TbTradesBinance[[#This Row],[Resultado]]&gt;0,0,TbTradesBinance[[#This Row],[Taxa]]),0),0))</f>
        <v>119844.14986894446</v>
      </c>
      <c r="P185" s="145">
        <f t="shared" si="39"/>
        <v>1.0008230935482563</v>
      </c>
      <c r="Q18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Row],[Tipo]]="DROP"),Q184+TbTradesBinance[[#This Row],[Qtt]],Q184-TbTradesBinance[[#This Row],[Qtt]]),IF(TbTradesBinance[[#This Row],[Tipo]]="BUY",Q184-TbTradesBinance[[#This Row],[Qtt]]*TbTradesBinance[[#This Row],[Preço]],Q184+TbTradesBinance[[#This Row],[Qtt]]*TbTradesBinance[[#This Row],[Preço]])),Q184)-IF(TbTradesBinance[[#This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Row],[Tipo]]="DROP"),Q184+TbTradesBinance[[#This Row],[Qtt]],Q184-TbTradesBinance[[#This Row],[Qtt]]),IF(TbTradesBinance[[#This Row],[Tipo]]="BUY",Q184-TbTradesBinance[[#This Row],[Qtt]]*TbTradesBinance[[#This Row],[Preço]],Q184+TbTradesBinance[[#This Row],[Qtt]]*TbTradesBinance[[#This Row],[Preço]])),Q184)-IF(TbTradesBinance[[#This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Row],[Tipo]]="DROP"),Q184+TbTradesBinance[[#This Row],[Qtt]],Q184-TbTradesBinance[[#This Row],[Qtt]]),IF(TbTradesBinance[[#This Row],[Tipo]]="BUY",Q184-TbTradesBinance[[#This Row],[Qtt]]*TbTradesBinance[[#This Row],[Preço]],Q184+TbTradesBinance[[#This Row],[Qtt]]*TbTradesBinance[[#This Row],[Preço]])),Q184)-IF(TbTradesBinance[[#This Row],[Moeda da Taxa]]=MID(Q$1,9,5),TbTradesBinance[[#This Row],[Taxa]],0),8)))</f>
        <v>2.8600460000000001E-2</v>
      </c>
      <c r="R185" s="145" cm="1">
        <f t="array" ref="R185">IF(TbTradesBinance[[#This Row],[Tipo]]="EMPTY",0,R184+IF(TbTradesBinance[[#This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Row],[Par]]))),$1:$1,0)),-(Q184-Q185)/Q184*R184),0),0)+IF(TbTradesBinance[[#This Row],[Tipo]]="SELL",IF(ISNUMBER(FIND(MID(R$1,10,5),TbTradesBinance[[#This Row],[Par]])),IF(FIND(MID(R$1,10,5),TbTradesBinance[[#This Row],[Par]])=1, -(Q184-Q185)/Q184*R184,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Row],[Par]])),(-(Q184-Q185)/Q184*R184)+IF(TbTradesBinance[[#This Row],[Resultado]]&gt;0,0,TbTradesBinance[[#This Row],[Taxa]]),0),0))</f>
        <v>0.13390752156915653</v>
      </c>
      <c r="S185" s="145">
        <f t="shared" si="40"/>
        <v>4.6820058687572343</v>
      </c>
      <c r="T18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Row],[Tipo]]="DROP"),T184+TbTradesBinance[[#This Row],[Qtt]],T184-TbTradesBinance[[#This Row],[Qtt]]),IF(TbTradesBinance[[#This Row],[Tipo]]="BUY",T184-TbTradesBinance[[#This Row],[Qtt]]*TbTradesBinance[[#This Row],[Preço]],T184+TbTradesBinance[[#This Row],[Qtt]]*TbTradesBinance[[#This Row],[Preço]])),T184)-IF(TbTradesBinance[[#This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Row],[Tipo]]="DROP"),T184+TbTradesBinance[[#This Row],[Qtt]],T184-TbTradesBinance[[#This Row],[Qtt]]),IF(TbTradesBinance[[#This Row],[Tipo]]="BUY",T184-TbTradesBinance[[#This Row],[Qtt]]*TbTradesBinance[[#This Row],[Preço]],T184+TbTradesBinance[[#This Row],[Qtt]]*TbTradesBinance[[#This Row],[Preço]])),T184)-IF(TbTradesBinance[[#This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Row],[Tipo]]="DROP"),T184+TbTradesBinance[[#This Row],[Qtt]],T184-TbTradesBinance[[#This Row],[Qtt]]),IF(TbTradesBinance[[#This Row],[Tipo]]="BUY",T184-TbTradesBinance[[#This Row],[Qtt]]*TbTradesBinance[[#This Row],[Preço]],T184+TbTradesBinance[[#This Row],[Qtt]]*TbTradesBinance[[#This Row],[Preço]])),T184)-IF(TbTradesBinance[[#This Row],[Moeda da Taxa]]=MID(T$1,9,5),TbTradesBinance[[#This Row],[Taxa]],0),8)))</f>
        <v>424513.72000754997</v>
      </c>
      <c r="U185" s="145" cm="1">
        <f t="array" ref="U185">IF(TbTradesBinance[[#This Row],[Tipo]]="EMPTY",0,U184+IF(TbTradesBinance[[#This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Row],[Par]]))),$1:$1,0)),-(T184-T185)/T184*U184),0),0)+IF(TbTradesBinance[[#This Row],[Tipo]]="SELL",IF(ISNUMBER(FIND(MID(U$1,10,5),TbTradesBinance[[#This Row],[Par]])),IF(FIND(MID(U$1,10,5),TbTradesBinance[[#This Row],[Par]])=1, -(T184-T185)/T184*U184,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Row],[Par]])),(-(T184-T185)/T184*U184)+IF(TbTradesBinance[[#This Row],[Resultado]]&gt;0,0,TbTradesBinance[[#This Row],[Taxa]]),0),0))</f>
        <v>2710318.6576980543</v>
      </c>
      <c r="V185" s="145">
        <f t="shared" si="41"/>
        <v>6.3845254698713889</v>
      </c>
      <c r="W18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Row],[Tipo]]="DROP"),W184+TbTradesBinance[[#This Row],[Qtt]],W184-TbTradesBinance[[#This Row],[Qtt]]),IF(TbTradesBinance[[#This Row],[Tipo]]="BUY",W184-TbTradesBinance[[#This Row],[Qtt]]*TbTradesBinance[[#This Row],[Preço]],W184+TbTradesBinance[[#This Row],[Qtt]]*TbTradesBinance[[#This Row],[Preço]])),W184)-IF(TbTradesBinance[[#This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Row],[Tipo]]="DROP"),W184+TbTradesBinance[[#This Row],[Qtt]],W184-TbTradesBinance[[#This Row],[Qtt]]),IF(TbTradesBinance[[#This Row],[Tipo]]="BUY",W184-TbTradesBinance[[#This Row],[Qtt]]*TbTradesBinance[[#This Row],[Preço]],W184+TbTradesBinance[[#This Row],[Qtt]]*TbTradesBinance[[#This Row],[Preço]])),W184)-IF(TbTradesBinance[[#This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Row],[Tipo]]="DROP"),W184+TbTradesBinance[[#This Row],[Qtt]],W184-TbTradesBinance[[#This Row],[Qtt]]),IF(TbTradesBinance[[#This Row],[Tipo]]="BUY",W184-TbTradesBinance[[#This Row],[Qtt]]*TbTradesBinance[[#This Row],[Preço]],W184+TbTradesBinance[[#This Row],[Qtt]]*TbTradesBinance[[#This Row],[Preço]])),W184)-IF(TbTradesBinance[[#This Row],[Moeda da Taxa]]=MID(W$1,9,5),TbTradesBinance[[#This Row],[Taxa]],0),8)))</f>
        <v>7.7749899999999999E-3</v>
      </c>
      <c r="X185" s="145" cm="1">
        <f t="array" ref="X185">IF(TbTradesBinance[[#This Row],[Tipo]]="EMPTY",0,X184+IF(TbTradesBinance[[#This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Row],[Par]]))),$1:$1,0)),-(W184-W185)/W184*X184),0),0)+IF(TbTradesBinance[[#This Row],[Tipo]]="SELL",IF(ISNUMBER(FIND(MID(X$1,10,5),TbTradesBinance[[#This Row],[Par]])),IF(FIND(MID(X$1,10,5),TbTradesBinance[[#This Row],[Par]])=1, -(W184-W185)/W184*X184,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Row],[Par]])),(-(W184-W185)/W184*X184)+IF(TbTradesBinance[[#This Row],[Resultado]]&gt;0,0,TbTradesBinance[[#This Row],[Taxa]]),0),0))</f>
        <v>1479.5691022807357</v>
      </c>
      <c r="Y185" s="145">
        <f t="shared" si="42"/>
        <v>190298.52157761433</v>
      </c>
      <c r="Z18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Row],[Tipo]]="DROP"),Z184+TbTradesBinance[[#This Row],[Qtt]],Z184-TbTradesBinance[[#This Row],[Qtt]]),IF(TbTradesBinance[[#This Row],[Tipo]]="BUY",Z184-TbTradesBinance[[#This Row],[Qtt]]*TbTradesBinance[[#This Row],[Preço]],Z184+TbTradesBinance[[#This Row],[Qtt]]*TbTradesBinance[[#This Row],[Preço]])),Z184)-IF(TbTradesBinance[[#This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Row],[Tipo]]="DROP"),Z184+TbTradesBinance[[#This Row],[Qtt]],Z184-TbTradesBinance[[#This Row],[Qtt]]),IF(TbTradesBinance[[#This Row],[Tipo]]="BUY",Z184-TbTradesBinance[[#This Row],[Qtt]]*TbTradesBinance[[#This Row],[Preço]],Z184+TbTradesBinance[[#This Row],[Qtt]]*TbTradesBinance[[#This Row],[Preço]])),Z184)-IF(TbTradesBinance[[#This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Row],[Tipo]]="DROP"),Z184+TbTradesBinance[[#This Row],[Qtt]],Z184-TbTradesBinance[[#This Row],[Qtt]]),IF(TbTradesBinance[[#This Row],[Tipo]]="BUY",Z184-TbTradesBinance[[#This Row],[Qtt]]*TbTradesBinance[[#This Row],[Preço]],Z184+TbTradesBinance[[#This Row],[Qtt]]*TbTradesBinance[[#This Row],[Preço]])),Z184)-IF(TbTradesBinance[[#This Row],[Moeda da Taxa]]=MID(Z$1,9,5),TbTradesBinance[[#This Row],[Taxa]],0),8)))</f>
        <v>0</v>
      </c>
      <c r="AA185" s="145" cm="1">
        <f t="array" ref="AA185">IF(TbTradesBinance[[#This Row],[Tipo]]="EMPTY",0,AA184+IF(TbTradesBinance[[#This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Row],[Par]]))),$1:$1,0)),-(Z184-Z185)/Z184*AA184),0),0)+IF(TbTradesBinance[[#This Row],[Tipo]]="SELL",IF(ISNUMBER(FIND(MID(AA$1,10,5),TbTradesBinance[[#This Row],[Par]])),IF(FIND(MID(AA$1,10,5),TbTradesBinance[[#This Row],[Par]])=1, -(Z184-Z185)/Z184*AA184,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Row],[Par]])),(-(Z184-Z185)/Z184*AA184)+IF(TbTradesBinance[[#This Row],[Resultado]]&gt;0,0,TbTradesBinance[[#This Row],[Taxa]]),0),0))</f>
        <v>0</v>
      </c>
      <c r="AB185" s="145">
        <f t="shared" si="43"/>
        <v>0</v>
      </c>
      <c r="AC18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Row],[Tipo]]="DROP"),AC184+TbTradesBinance[[#This Row],[Qtt]],AC184-TbTradesBinance[[#This Row],[Qtt]]),IF(TbTradesBinance[[#This Row],[Tipo]]="BUY",AC184-TbTradesBinance[[#This Row],[Qtt]]*TbTradesBinance[[#This Row],[Preço]],AC184+TbTradesBinance[[#This Row],[Qtt]]*TbTradesBinance[[#This Row],[Preço]])),AC184)-IF(TbTradesBinance[[#This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Row],[Tipo]]="DROP"),AC184+TbTradesBinance[[#This Row],[Qtt]],AC184-TbTradesBinance[[#This Row],[Qtt]]),IF(TbTradesBinance[[#This Row],[Tipo]]="BUY",AC184-TbTradesBinance[[#This Row],[Qtt]]*TbTradesBinance[[#This Row],[Preço]],AC184+TbTradesBinance[[#This Row],[Qtt]]*TbTradesBinance[[#This Row],[Preço]])),AC184)-IF(TbTradesBinance[[#This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Row],[Tipo]]="DROP"),AC184+TbTradesBinance[[#This Row],[Qtt]],AC184-TbTradesBinance[[#This Row],[Qtt]]),IF(TbTradesBinance[[#This Row],[Tipo]]="BUY",AC184-TbTradesBinance[[#This Row],[Qtt]]*TbTradesBinance[[#This Row],[Preço]],AC184+TbTradesBinance[[#This Row],[Qtt]]*TbTradesBinance[[#This Row],[Preço]])),AC184)-IF(TbTradesBinance[[#This Row],[Moeda da Taxa]]=MID(AC$1,9,5),TbTradesBinance[[#This Row],[Taxa]],0),8)))</f>
        <v>0</v>
      </c>
      <c r="AD185" s="145" cm="1">
        <f t="array" ref="AD185">IF(TbTradesBinance[[#This Row],[Tipo]]="EMPTY",0,AD184+IF(TbTradesBinance[[#This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Row],[Par]]))),$1:$1,0)),-(AC184-AC185)/AC184*AD184),0),0)+IF(TbTradesBinance[[#This Row],[Tipo]]="SELL",IF(ISNUMBER(FIND(MID(AD$1,10,5),TbTradesBinance[[#This Row],[Par]])),IF(FIND(MID(AD$1,10,5),TbTradesBinance[[#This Row],[Par]])=1, -(AC184-AC185)/AC184*AD184,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Row],[Par]])),(-(AC184-AC185)/AC184*AD184)+IF(TbTradesBinance[[#This Row],[Resultado]]&gt;0,0,TbTradesBinance[[#This Row],[Taxa]]),0),0))</f>
        <v>0</v>
      </c>
      <c r="AE185" s="145">
        <f t="shared" si="44"/>
        <v>0</v>
      </c>
      <c r="AF18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Row],[Tipo]]="DROP"),AF184+TbTradesBinance[[#This Row],[Qtt]],AF184-TbTradesBinance[[#This Row],[Qtt]]),IF(TbTradesBinance[[#This Row],[Tipo]]="BUY",AF184-TbTradesBinance[[#This Row],[Qtt]]*TbTradesBinance[[#This Row],[Preço]],AF184+TbTradesBinance[[#This Row],[Qtt]]*TbTradesBinance[[#This Row],[Preço]])),AF184)-IF(TbTradesBinance[[#This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Row],[Tipo]]="DROP"),AF184+TbTradesBinance[[#This Row],[Qtt]],AF184-TbTradesBinance[[#This Row],[Qtt]]),IF(TbTradesBinance[[#This Row],[Tipo]]="BUY",AF184-TbTradesBinance[[#This Row],[Qtt]]*TbTradesBinance[[#This Row],[Preço]],AF184+TbTradesBinance[[#This Row],[Qtt]]*TbTradesBinance[[#This Row],[Preço]])),AF184)-IF(TbTradesBinance[[#This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Row],[Tipo]]="DROP"),AF184+TbTradesBinance[[#This Row],[Qtt]],AF184-TbTradesBinance[[#This Row],[Qtt]]),IF(TbTradesBinance[[#This Row],[Tipo]]="BUY",AF184-TbTradesBinance[[#This Row],[Qtt]]*TbTradesBinance[[#This Row],[Preço]],AF184+TbTradesBinance[[#This Row],[Qtt]]*TbTradesBinance[[#This Row],[Preço]])),AF184)-IF(TbTradesBinance[[#This Row],[Moeda da Taxa]]=MID(AF$1,9,5),TbTradesBinance[[#This Row],[Taxa]],0),8)))</f>
        <v>0</v>
      </c>
      <c r="AG185" s="145" cm="1">
        <f t="array" ref="AG185">IF(TbTradesBinance[[#This Row],[Tipo]]="EMPTY",0,AG184+IF(TbTradesBinance[[#This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Row],[Par]]))),$1:$1,0)),-(AF184-AF185)/AF184*AG184),0),0)+IF(TbTradesBinance[[#This Row],[Tipo]]="SELL",IF(ISNUMBER(FIND(MID(AG$1,10,5),TbTradesBinance[[#This Row],[Par]])),IF(FIND(MID(AG$1,10,5),TbTradesBinance[[#This Row],[Par]])=1, -(AF184-AF185)/AF184*AG184,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Row],[Par]])),(-(AF184-AF185)/AF184*AG184)+IF(TbTradesBinance[[#This Row],[Resultado]]&gt;0,0,TbTradesBinance[[#This Row],[Taxa]]),0),0))</f>
        <v>0</v>
      </c>
      <c r="AH185" s="145">
        <f t="shared" si="45"/>
        <v>0</v>
      </c>
      <c r="AI18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Row],[Tipo]]="DROP"),AI184+TbTradesBinance[[#This Row],[Qtt]],AI184-TbTradesBinance[[#This Row],[Qtt]]),IF(TbTradesBinance[[#This Row],[Tipo]]="BUY",AI184-TbTradesBinance[[#This Row],[Qtt]]*TbTradesBinance[[#This Row],[Preço]],AI184+TbTradesBinance[[#This Row],[Qtt]]*TbTradesBinance[[#This Row],[Preço]])),AI184)-IF(TbTradesBinance[[#This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Row],[Tipo]]="DROP"),AI184+TbTradesBinance[[#This Row],[Qtt]],AI184-TbTradesBinance[[#This Row],[Qtt]]),IF(TbTradesBinance[[#This Row],[Tipo]]="BUY",AI184-TbTradesBinance[[#This Row],[Qtt]]*TbTradesBinance[[#This Row],[Preço]],AI184+TbTradesBinance[[#This Row],[Qtt]]*TbTradesBinance[[#This Row],[Preço]])),AI184)-IF(TbTradesBinance[[#This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Row],[Tipo]]="DROP"),AI184+TbTradesBinance[[#This Row],[Qtt]],AI184-TbTradesBinance[[#This Row],[Qtt]]),IF(TbTradesBinance[[#This Row],[Tipo]]="BUY",AI184-TbTradesBinance[[#This Row],[Qtt]]*TbTradesBinance[[#This Row],[Preço]],AI184+TbTradesBinance[[#This Row],[Qtt]]*TbTradesBinance[[#This Row],[Preço]])),AI184)-IF(TbTradesBinance[[#This Row],[Moeda da Taxa]]=MID(AI$1,9,5),TbTradesBinance[[#This Row],[Taxa]],0),8)))</f>
        <v>0</v>
      </c>
      <c r="AJ185" s="145" cm="1">
        <f t="array" ref="AJ185">IF(TbTradesBinance[[#This Row],[Tipo]]="EMPTY",0,AJ184+IF(TbTradesBinance[[#This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Row],[Par]]))),$1:$1,0)),-(AI184-AI185)/AI184*AJ184),0),0)+IF(TbTradesBinance[[#This Row],[Tipo]]="SELL",IF(ISNUMBER(FIND(MID(AJ$1,10,5),TbTradesBinance[[#This Row],[Par]])),IF(FIND(MID(AJ$1,10,5),TbTradesBinance[[#This Row],[Par]])=1, -(AI184-AI185)/AI184*AJ184,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Row],[Par]])),(-(AI184-AI185)/AI184*AJ184)+IF(TbTradesBinance[[#This Row],[Resultado]]&gt;0,0,TbTradesBinance[[#This Row],[Taxa]]),0),0))</f>
        <v>0</v>
      </c>
      <c r="AK185" s="145">
        <f t="shared" si="46"/>
        <v>0</v>
      </c>
      <c r="AL18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Row],[Tipo]]="DROP"),AL184+TbTradesBinance[[#This Row],[Qtt]],AL184-TbTradesBinance[[#This Row],[Qtt]]),IF(TbTradesBinance[[#This Row],[Tipo]]="BUY",AL184-TbTradesBinance[[#This Row],[Qtt]]*TbTradesBinance[[#This Row],[Preço]],AL184+TbTradesBinance[[#This Row],[Qtt]]*TbTradesBinance[[#This Row],[Preço]])),AL184)-IF(TbTradesBinance[[#This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Row],[Tipo]]="DROP"),AL184+TbTradesBinance[[#This Row],[Qtt]],AL184-TbTradesBinance[[#This Row],[Qtt]]),IF(TbTradesBinance[[#This Row],[Tipo]]="BUY",AL184-TbTradesBinance[[#This Row],[Qtt]]*TbTradesBinance[[#This Row],[Preço]],AL184+TbTradesBinance[[#This Row],[Qtt]]*TbTradesBinance[[#This Row],[Preço]])),AL184)-IF(TbTradesBinance[[#This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Row],[Tipo]]="DROP"),AL184+TbTradesBinance[[#This Row],[Qtt]],AL184-TbTradesBinance[[#This Row],[Qtt]]),IF(TbTradesBinance[[#This Row],[Tipo]]="BUY",AL184-TbTradesBinance[[#This Row],[Qtt]]*TbTradesBinance[[#This Row],[Preço]],AL184+TbTradesBinance[[#This Row],[Qtt]]*TbTradesBinance[[#This Row],[Preço]])),AL184)-IF(TbTradesBinance[[#This Row],[Moeda da Taxa]]=MID(AL$1,9,5),TbTradesBinance[[#This Row],[Taxa]],0),8)))</f>
        <v>0</v>
      </c>
      <c r="AM185" s="145" cm="1">
        <f t="array" ref="AM185">IF(TbTradesBinance[[#This Row],[Tipo]]="EMPTY",0,AM184+IF(TbTradesBinance[[#This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Row],[Par]]))),$1:$1,0)),-(AL184-AL185)/AL184*AM184),0),0)+IF(TbTradesBinance[[#This Row],[Tipo]]="SELL",IF(ISNUMBER(FIND(MID(AM$1,10,5),TbTradesBinance[[#This Row],[Par]])),IF(FIND(MID(AM$1,10,5),TbTradesBinance[[#This Row],[Par]])=1, -(AL184-AL185)/AL184*AM184,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Row],[Par]])),(-(AL184-AL185)/AL184*AM184)+IF(TbTradesBinance[[#This Row],[Resultado]]&gt;0,0,TbTradesBinance[[#This Row],[Taxa]]),0),0))</f>
        <v>0</v>
      </c>
      <c r="AN185" s="145">
        <f t="shared" si="47"/>
        <v>0</v>
      </c>
      <c r="AO18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Row],[Tipo]]="DROP"),AO184+TbTradesBinance[[#This Row],[Qtt]],AO184-TbTradesBinance[[#This Row],[Qtt]]),IF(TbTradesBinance[[#This Row],[Tipo]]="BUY",AO184-TbTradesBinance[[#This Row],[Qtt]]*TbTradesBinance[[#This Row],[Preço]],AO184+TbTradesBinance[[#This Row],[Qtt]]*TbTradesBinance[[#This Row],[Preço]])),AO184)-IF(TbTradesBinance[[#This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Row],[Tipo]]="DROP"),AO184+TbTradesBinance[[#This Row],[Qtt]],AO184-TbTradesBinance[[#This Row],[Qtt]]),IF(TbTradesBinance[[#This Row],[Tipo]]="BUY",AO184-TbTradesBinance[[#This Row],[Qtt]]*TbTradesBinance[[#This Row],[Preço]],AO184+TbTradesBinance[[#This Row],[Qtt]]*TbTradesBinance[[#This Row],[Preço]])),AO184)-IF(TbTradesBinance[[#This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Row],[Tipo]]="DROP"),AO184+TbTradesBinance[[#This Row],[Qtt]],AO184-TbTradesBinance[[#This Row],[Qtt]]),IF(TbTradesBinance[[#This Row],[Tipo]]="BUY",AO184-TbTradesBinance[[#This Row],[Qtt]]*TbTradesBinance[[#This Row],[Preço]],AO184+TbTradesBinance[[#This Row],[Qtt]]*TbTradesBinance[[#This Row],[Preço]])),AO184)-IF(TbTradesBinance[[#This Row],[Moeda da Taxa]]=MID(AO$1,9,5),TbTradesBinance[[#This Row],[Taxa]],0),8)))</f>
        <v>3.8363830000000002E-2</v>
      </c>
      <c r="AP185" s="145" cm="1">
        <f t="array" ref="AP185">IF(TbTradesBinance[[#This Row],[Tipo]]="EMPTY",0,AP184+IF(TbTradesBinance[[#This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Row],[Par]]))),$1:$1,0)),-(AO184-AO185)/AO184*AP184),0),0)+IF(TbTradesBinance[[#This Row],[Tipo]]="SELL",IF(ISNUMBER(FIND(MID(AP$1,10,5),TbTradesBinance[[#This Row],[Par]])),IF(FIND(MID(AP$1,10,5),TbTradesBinance[[#This Row],[Par]])=1, -(AO184-AO185)/AO184*AP184,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Row],[Par]])),(-(AO184-AO185)/AO184*AP184)+IF(TbTradesBinance[[#This Row],[Resultado]]&gt;0,0,TbTradesBinance[[#This Row],[Taxa]]),0),0))</f>
        <v>60.349858055862811</v>
      </c>
      <c r="AQ185" s="145">
        <f t="shared" si="48"/>
        <v>1573.0926254199023</v>
      </c>
      <c r="AR18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Row],[Tipo]]="DROP"),AR184+TbTradesBinance[[#This Row],[Qtt]],AR184-TbTradesBinance[[#This Row],[Qtt]]),IF(TbTradesBinance[[#This Row],[Tipo]]="BUY",AR184-TbTradesBinance[[#This Row],[Qtt]]*TbTradesBinance[[#This Row],[Preço]],AR184+TbTradesBinance[[#This Row],[Qtt]]*TbTradesBinance[[#This Row],[Preço]])),AR184)-IF(TbTradesBinance[[#This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Row],[Tipo]]="DROP"),AR184+TbTradesBinance[[#This Row],[Qtt]],AR184-TbTradesBinance[[#This Row],[Qtt]]),IF(TbTradesBinance[[#This Row],[Tipo]]="BUY",AR184-TbTradesBinance[[#This Row],[Qtt]]*TbTradesBinance[[#This Row],[Preço]],AR184+TbTradesBinance[[#This Row],[Qtt]]*TbTradesBinance[[#This Row],[Preço]])),AR184)-IF(TbTradesBinance[[#This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Row],[Tipo]]="DROP"),AR184+TbTradesBinance[[#This Row],[Qtt]],AR184-TbTradesBinance[[#This Row],[Qtt]]),IF(TbTradesBinance[[#This Row],[Tipo]]="BUY",AR184-TbTradesBinance[[#This Row],[Qtt]]*TbTradesBinance[[#This Row],[Preço]],AR184+TbTradesBinance[[#This Row],[Qtt]]*TbTradesBinance[[#This Row],[Preço]])),AR184)-IF(TbTradesBinance[[#This Row],[Moeda da Taxa]]=MID(AR$1,9,5),TbTradesBinance[[#This Row],[Taxa]],0),8)))</f>
        <v>0</v>
      </c>
      <c r="AS185" s="145" cm="1">
        <f t="array" ref="AS185">IF(TbTradesBinance[[#This Row],[Tipo]]="EMPTY",0,AS184+IF(TbTradesBinance[[#This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Row],[Par]]))),$1:$1,0)),-(AR184-AR185)/AR184*AS184),0),0)+IF(TbTradesBinance[[#This Row],[Tipo]]="SELL",IF(ISNUMBER(FIND(MID(AS$1,10,5),TbTradesBinance[[#This Row],[Par]])),IF(FIND(MID(AS$1,10,5),TbTradesBinance[[#This Row],[Par]])=1, -(AR184-AR185)/AR184*AS184,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Row],[Par]])),(-(AR184-AR185)/AR184*AS184)+IF(TbTradesBinance[[#This Row],[Resultado]]&gt;0,0,TbTradesBinance[[#This Row],[Taxa]]),0),0))</f>
        <v>0</v>
      </c>
      <c r="AT185" s="145">
        <f t="shared" si="49"/>
        <v>0</v>
      </c>
      <c r="AU18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Row],[Tipo]]="DROP"),AU184+TbTradesBinance[[#This Row],[Qtt]],AU184-TbTradesBinance[[#This Row],[Qtt]]),IF(TbTradesBinance[[#This Row],[Tipo]]="BUY",AU184-TbTradesBinance[[#This Row],[Qtt]]*TbTradesBinance[[#This Row],[Preço]],AU184+TbTradesBinance[[#This Row],[Qtt]]*TbTradesBinance[[#This Row],[Preço]])),AU184)-IF(TbTradesBinance[[#This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Row],[Tipo]]="DROP"),AU184+TbTradesBinance[[#This Row],[Qtt]],AU184-TbTradesBinance[[#This Row],[Qtt]]),IF(TbTradesBinance[[#This Row],[Tipo]]="BUY",AU184-TbTradesBinance[[#This Row],[Qtt]]*TbTradesBinance[[#This Row],[Preço]],AU184+TbTradesBinance[[#This Row],[Qtt]]*TbTradesBinance[[#This Row],[Preço]])),AU184)-IF(TbTradesBinance[[#This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Row],[Tipo]]="DROP"),AU184+TbTradesBinance[[#This Row],[Qtt]],AU184-TbTradesBinance[[#This Row],[Qtt]]),IF(TbTradesBinance[[#This Row],[Tipo]]="BUY",AU184-TbTradesBinance[[#This Row],[Qtt]]*TbTradesBinance[[#This Row],[Preço]],AU184+TbTradesBinance[[#This Row],[Qtt]]*TbTradesBinance[[#This Row],[Preço]])),AU184)-IF(TbTradesBinance[[#This Row],[Moeda da Taxa]]=MID(AU$1,9,5),TbTradesBinance[[#This Row],[Taxa]],0),8)))</f>
        <v>0.51</v>
      </c>
      <c r="AV185" s="145" cm="1">
        <f t="array" ref="AV185">IF(TbTradesBinance[[#This Row],[Tipo]]="EMPTY",0,AV184+IF(TbTradesBinance[[#This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Row],[Par]]))),$1:$1,0)),-(AU184-AU185)/AU184*AV184),0),0)+IF(TbTradesBinance[[#This Row],[Tipo]]="SELL",IF(ISNUMBER(FIND(MID(AV$1,10,5),TbTradesBinance[[#This Row],[Par]])),IF(FIND(MID(AV$1,10,5),TbTradesBinance[[#This Row],[Par]])=1, -(AU184-AU185)/AU184*AV184,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Row],[Par]])),(-(AU184-AU185)/AU184*AV184)+IF(TbTradesBinance[[#This Row],[Resultado]]&gt;0,0,TbTradesBinance[[#This Row],[Taxa]]),0),0))</f>
        <v>95.466693037374753</v>
      </c>
      <c r="AW185" s="145">
        <f t="shared" si="50"/>
        <v>187.18959419093088</v>
      </c>
      <c r="AX18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Row],[Tipo]]="DROP"),AX184+TbTradesBinance[[#This Row],[Qtt]],AX184-TbTradesBinance[[#This Row],[Qtt]]),IF(TbTradesBinance[[#This Row],[Tipo]]="BUY",AX184-TbTradesBinance[[#This Row],[Qtt]]*TbTradesBinance[[#This Row],[Preço]],AX184+TbTradesBinance[[#This Row],[Qtt]]*TbTradesBinance[[#This Row],[Preço]])),AX184)-IF(TbTradesBinance[[#This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Row],[Tipo]]="DROP"),AX184+TbTradesBinance[[#This Row],[Qtt]],AX184-TbTradesBinance[[#This Row],[Qtt]]),IF(TbTradesBinance[[#This Row],[Tipo]]="BUY",AX184-TbTradesBinance[[#This Row],[Qtt]]*TbTradesBinance[[#This Row],[Preço]],AX184+TbTradesBinance[[#This Row],[Qtt]]*TbTradesBinance[[#This Row],[Preço]])),AX184)-IF(TbTradesBinance[[#This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Row],[Tipo]]="DROP"),AX184+TbTradesBinance[[#This Row],[Qtt]],AX184-TbTradesBinance[[#This Row],[Qtt]]),IF(TbTradesBinance[[#This Row],[Tipo]]="BUY",AX184-TbTradesBinance[[#This Row],[Qtt]]*TbTradesBinance[[#This Row],[Preço]],AX184+TbTradesBinance[[#This Row],[Qtt]]*TbTradesBinance[[#This Row],[Preço]])),AX184)-IF(TbTradesBinance[[#This Row],[Moeda da Taxa]]=MID(AX$1,9,5),TbTradesBinance[[#This Row],[Taxa]],0),8)))</f>
        <v>0.32838000000000001</v>
      </c>
      <c r="AY185" s="145" cm="1">
        <f t="array" ref="AY185">IF(TbTradesBinance[[#This Row],[Tipo]]="EMPTY",0,AY184+IF(TbTradesBinance[[#This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Row],[Par]]))),$1:$1,0)),-(AX184-AX185)/AX184*AY184),0),0)+IF(TbTradesBinance[[#This Row],[Tipo]]="SELL",IF(ISNUMBER(FIND(MID(AY$1,10,5),TbTradesBinance[[#This Row],[Par]])),IF(FIND(MID(AY$1,10,5),TbTradesBinance[[#This Row],[Par]])=1, -(AX184-AX185)/AX184*AY184,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Row],[Par]])),(-(AX184-AX185)/AX184*AY184)+IF(TbTradesBinance[[#This Row],[Resultado]]&gt;0,0,TbTradesBinance[[#This Row],[Taxa]]),0),0))</f>
        <v>61.364116058805678</v>
      </c>
      <c r="AZ185" s="145">
        <f t="shared" si="51"/>
        <v>186.869224857804</v>
      </c>
      <c r="BA18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Row],[Tipo]]="DROP"),BA184+TbTradesBinance[[#This Row],[Qtt]],BA184-TbTradesBinance[[#This Row],[Qtt]]),IF(TbTradesBinance[[#This Row],[Tipo]]="BUY",BA184-TbTradesBinance[[#This Row],[Qtt]]*TbTradesBinance[[#This Row],[Preço]],BA184+TbTradesBinance[[#This Row],[Qtt]]*TbTradesBinance[[#This Row],[Preço]])),BA184)-IF(TbTradesBinance[[#This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Row],[Tipo]]="DROP"),BA184+TbTradesBinance[[#This Row],[Qtt]],BA184-TbTradesBinance[[#This Row],[Qtt]]),IF(TbTradesBinance[[#This Row],[Tipo]]="BUY",BA184-TbTradesBinance[[#This Row],[Qtt]]*TbTradesBinance[[#This Row],[Preço]],BA184+TbTradesBinance[[#This Row],[Qtt]]*TbTradesBinance[[#This Row],[Preço]])),BA184)-IF(TbTradesBinance[[#This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Row],[Tipo]]="DROP"),BA184+TbTradesBinance[[#This Row],[Qtt]],BA184-TbTradesBinance[[#This Row],[Qtt]]),IF(TbTradesBinance[[#This Row],[Tipo]]="BUY",BA184-TbTradesBinance[[#This Row],[Qtt]]*TbTradesBinance[[#This Row],[Preço]],BA184+TbTradesBinance[[#This Row],[Qtt]]*TbTradesBinance[[#This Row],[Preço]])),BA184)-IF(TbTradesBinance[[#This Row],[Moeda da Taxa]]=MID(BA$1,9,5),TbTradesBinance[[#This Row],[Taxa]],0),8)))</f>
        <v>0</v>
      </c>
      <c r="BB185" s="145" cm="1">
        <f t="array" ref="BB185">IF(TbTradesBinance[[#This Row],[Tipo]]="EMPTY",0,BB184+IF(TbTradesBinance[[#This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Row],[Par]]))),$1:$1,0)),-(BA184-BA185)/BA184*BB184),0),0)+IF(TbTradesBinance[[#This Row],[Tipo]]="SELL",IF(ISNUMBER(FIND(MID(BB$1,10,5),TbTradesBinance[[#This Row],[Par]])),IF(FIND(MID(BB$1,10,5),TbTradesBinance[[#This Row],[Par]])=1, -(BA184-BA185)/BA184*BB184,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Row],[Par]])),(-(BA184-BA185)/BA184*BB184)+IF(TbTradesBinance[[#This Row],[Resultado]]&gt;0,0,TbTradesBinance[[#This Row],[Taxa]]),0),0))</f>
        <v>0</v>
      </c>
      <c r="BC185" s="145">
        <f t="shared" si="52"/>
        <v>0</v>
      </c>
      <c r="BD18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Row],[Tipo]]="DROP"),BD184+TbTradesBinance[[#This Row],[Qtt]],BD184-TbTradesBinance[[#This Row],[Qtt]]),IF(TbTradesBinance[[#This Row],[Tipo]]="BUY",BD184-TbTradesBinance[[#This Row],[Qtt]]*TbTradesBinance[[#This Row],[Preço]],BD184+TbTradesBinance[[#This Row],[Qtt]]*TbTradesBinance[[#This Row],[Preço]])),BD184)-IF(TbTradesBinance[[#This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Row],[Tipo]]="DROP"),BD184+TbTradesBinance[[#This Row],[Qtt]],BD184-TbTradesBinance[[#This Row],[Qtt]]),IF(TbTradesBinance[[#This Row],[Tipo]]="BUY",BD184-TbTradesBinance[[#This Row],[Qtt]]*TbTradesBinance[[#This Row],[Preço]],BD184+TbTradesBinance[[#This Row],[Qtt]]*TbTradesBinance[[#This Row],[Preço]])),BD184)-IF(TbTradesBinance[[#This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Row],[Tipo]]="DROP"),BD184+TbTradesBinance[[#This Row],[Qtt]],BD184-TbTradesBinance[[#This Row],[Qtt]]),IF(TbTradesBinance[[#This Row],[Tipo]]="BUY",BD184-TbTradesBinance[[#This Row],[Qtt]]*TbTradesBinance[[#This Row],[Preço]],BD184+TbTradesBinance[[#This Row],[Qtt]]*TbTradesBinance[[#This Row],[Preço]])),BD184)-IF(TbTradesBinance[[#This Row],[Moeda da Taxa]]=MID(BD$1,9,5),TbTradesBinance[[#This Row],[Taxa]],0),8)))</f>
        <v>0</v>
      </c>
      <c r="BE185" s="145" cm="1">
        <f t="array" ref="BE185">IF(TbTradesBinance[[#This Row],[Tipo]]="EMPTY",0,BE184+IF(TbTradesBinance[[#This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Row],[Par]]))),$1:$1,0)),-(BD184-BD185)/BD184*BE184),0),0)+IF(TbTradesBinance[[#This Row],[Tipo]]="SELL",IF(ISNUMBER(FIND(MID(BE$1,10,5),TbTradesBinance[[#This Row],[Par]])),IF(FIND(MID(BE$1,10,5),TbTradesBinance[[#This Row],[Par]])=1, -(BD184-BD185)/BD184*BE184,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Row],[Par]])),(-(BD184-BD185)/BD184*BE184)+IF(TbTradesBinance[[#This Row],[Resultado]]&gt;0,0,TbTradesBinance[[#This Row],[Taxa]]),0),0))</f>
        <v>0</v>
      </c>
      <c r="BF185" s="145">
        <f t="shared" si="53"/>
        <v>0</v>
      </c>
      <c r="BG18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Row],[Tipo]]="DROP"),BG184+TbTradesBinance[[#This Row],[Qtt]],BG184-TbTradesBinance[[#This Row],[Qtt]]),IF(TbTradesBinance[[#This Row],[Tipo]]="BUY",BG184-TbTradesBinance[[#This Row],[Qtt]]*TbTradesBinance[[#This Row],[Preço]],BG184+TbTradesBinance[[#This Row],[Qtt]]*TbTradesBinance[[#This Row],[Preço]])),BG184)-IF(TbTradesBinance[[#This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Row],[Tipo]]="DROP"),BG184+TbTradesBinance[[#This Row],[Qtt]],BG184-TbTradesBinance[[#This Row],[Qtt]]),IF(TbTradesBinance[[#This Row],[Tipo]]="BUY",BG184-TbTradesBinance[[#This Row],[Qtt]]*TbTradesBinance[[#This Row],[Preço]],BG184+TbTradesBinance[[#This Row],[Qtt]]*TbTradesBinance[[#This Row],[Preço]])),BG184)-IF(TbTradesBinance[[#This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Row],[Tipo]]="DROP"),BG184+TbTradesBinance[[#This Row],[Qtt]],BG184-TbTradesBinance[[#This Row],[Qtt]]),IF(TbTradesBinance[[#This Row],[Tipo]]="BUY",BG184-TbTradesBinance[[#This Row],[Qtt]]*TbTradesBinance[[#This Row],[Preço]],BG184+TbTradesBinance[[#This Row],[Qtt]]*TbTradesBinance[[#This Row],[Preço]])),BG184)-IF(TbTradesBinance[[#This Row],[Moeda da Taxa]]=MID(BG$1,9,5),TbTradesBinance[[#This Row],[Taxa]],0),8)))</f>
        <v>0</v>
      </c>
      <c r="BH185" s="145" cm="1">
        <f t="array" ref="BH185">IF(TbTradesBinance[[#This Row],[Tipo]]="EMPTY",0,BH184+IF(TbTradesBinance[[#This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Row],[Par]]))),$1:$1,0)),-(BG184-BG185)/BG184*BH184),0),0)+IF(TbTradesBinance[[#This Row],[Tipo]]="SELL",IF(ISNUMBER(FIND(MID(BH$1,10,5),TbTradesBinance[[#This Row],[Par]])),IF(FIND(MID(BH$1,10,5),TbTradesBinance[[#This Row],[Par]])=1, -(BG184-BG185)/BG184*BH184,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Row],[Par]])),(-(BG184-BG185)/BG184*BH184)+IF(TbTradesBinance[[#This Row],[Resultado]]&gt;0,0,TbTradesBinance[[#This Row],[Taxa]]),0),0))</f>
        <v>0</v>
      </c>
      <c r="BI185" s="145">
        <f t="shared" si="54"/>
        <v>0</v>
      </c>
      <c r="BJ18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Row],[Tipo]]="DROP"),BJ184+TbTradesBinance[[#This Row],[Qtt]],BJ184-TbTradesBinance[[#This Row],[Qtt]]),IF(TbTradesBinance[[#This Row],[Tipo]]="BUY",BJ184-TbTradesBinance[[#This Row],[Qtt]]*TbTradesBinance[[#This Row],[Preço]],BJ184+TbTradesBinance[[#This Row],[Qtt]]*TbTradesBinance[[#This Row],[Preço]])),BJ184)-IF(TbTradesBinance[[#This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Row],[Tipo]]="DROP"),BJ184+TbTradesBinance[[#This Row],[Qtt]],BJ184-TbTradesBinance[[#This Row],[Qtt]]),IF(TbTradesBinance[[#This Row],[Tipo]]="BUY",BJ184-TbTradesBinance[[#This Row],[Qtt]]*TbTradesBinance[[#This Row],[Preço]],BJ184+TbTradesBinance[[#This Row],[Qtt]]*TbTradesBinance[[#This Row],[Preço]])),BJ184)-IF(TbTradesBinance[[#This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Row],[Tipo]]="DROP"),BJ184+TbTradesBinance[[#This Row],[Qtt]],BJ184-TbTradesBinance[[#This Row],[Qtt]]),IF(TbTradesBinance[[#This Row],[Tipo]]="BUY",BJ184-TbTradesBinance[[#This Row],[Qtt]]*TbTradesBinance[[#This Row],[Preço]],BJ184+TbTradesBinance[[#This Row],[Qtt]]*TbTradesBinance[[#This Row],[Preço]])),BJ184)-IF(TbTradesBinance[[#This Row],[Moeda da Taxa]]=MID(BJ$1,9,5),TbTradesBinance[[#This Row],[Taxa]],0),8)))</f>
        <v>0</v>
      </c>
      <c r="BK185" s="145" cm="1">
        <f t="array" ref="BK185">IF(TbTradesBinance[[#This Row],[Tipo]]="EMPTY",0,BK184+IF(TbTradesBinance[[#This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Row],[Par]]))),$1:$1,0)),-(BJ184-BJ185)/BJ184*BK184),0),0)+IF(TbTradesBinance[[#This Row],[Tipo]]="SELL",IF(ISNUMBER(FIND(MID(BK$1,10,5),TbTradesBinance[[#This Row],[Par]])),IF(FIND(MID(BK$1,10,5),TbTradesBinance[[#This Row],[Par]])=1, -(BJ184-BJ185)/BJ184*BK184,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Row],[Par]])),(-(BJ184-BJ185)/BJ184*BK184)+IF(TbTradesBinance[[#This Row],[Resultado]]&gt;0,0,TbTradesBinance[[#This Row],[Taxa]]),0),0))</f>
        <v>0</v>
      </c>
      <c r="BL185" s="145">
        <f t="shared" si="55"/>
        <v>0</v>
      </c>
      <c r="BM18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Row],[Tipo]]="DROP"),BM184+TbTradesBinance[[#This Row],[Qtt]],BM184-TbTradesBinance[[#This Row],[Qtt]]),IF(TbTradesBinance[[#This Row],[Tipo]]="BUY",BM184-TbTradesBinance[[#This Row],[Qtt]]*TbTradesBinance[[#This Row],[Preço]],BM184+TbTradesBinance[[#This Row],[Qtt]]*TbTradesBinance[[#This Row],[Preço]])),BM184)-IF(TbTradesBinance[[#This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Row],[Tipo]]="DROP"),BM184+TbTradesBinance[[#This Row],[Qtt]],BM184-TbTradesBinance[[#This Row],[Qtt]]),IF(TbTradesBinance[[#This Row],[Tipo]]="BUY",BM184-TbTradesBinance[[#This Row],[Qtt]]*TbTradesBinance[[#This Row],[Preço]],BM184+TbTradesBinance[[#This Row],[Qtt]]*TbTradesBinance[[#This Row],[Preço]])),BM184)-IF(TbTradesBinance[[#This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Row],[Tipo]]="DROP"),BM184+TbTradesBinance[[#This Row],[Qtt]],BM184-TbTradesBinance[[#This Row],[Qtt]]),IF(TbTradesBinance[[#This Row],[Tipo]]="BUY",BM184-TbTradesBinance[[#This Row],[Qtt]]*TbTradesBinance[[#This Row],[Preço]],BM184+TbTradesBinance[[#This Row],[Qtt]]*TbTradesBinance[[#This Row],[Preço]])),BM184)-IF(TbTradesBinance[[#This Row],[Moeda da Taxa]]=MID(BM$1,9,5),TbTradesBinance[[#This Row],[Taxa]],0),8)))</f>
        <v>0</v>
      </c>
      <c r="BN185" s="145" cm="1">
        <f t="array" ref="BN185">IF(TbTradesBinance[[#This Row],[Tipo]]="EMPTY",0,BN184+IF(TbTradesBinance[[#This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Row],[Par]]))),$1:$1,0)),-(BM184-BM185)/BM184*BN184),0),0)+IF(TbTradesBinance[[#This Row],[Tipo]]="SELL",IF(ISNUMBER(FIND(MID(BN$1,10,5),TbTradesBinance[[#This Row],[Par]])),IF(FIND(MID(BN$1,10,5),TbTradesBinance[[#This Row],[Par]])=1, -(BM184-BM185)/BM184*BN184,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Row],[Par]])),(-(BM184-BM185)/BM184*BN184)+IF(TbTradesBinance[[#This Row],[Resultado]]&gt;0,0,TbTradesBinance[[#This Row],[Taxa]]),0),0))</f>
        <v>0</v>
      </c>
      <c r="BO185" s="145">
        <f t="shared" si="56"/>
        <v>0</v>
      </c>
    </row>
    <row r="186" spans="2:67" x14ac:dyDescent="0.3">
      <c r="B186" s="51" t="s">
        <v>241</v>
      </c>
      <c r="C186" s="40">
        <f>TRUNC(IF(AND(TbTradesBinance[[#This Row],[Tipo]]="SEND",TbTradesBinance[[#This Row],[Par]]="BRL"),TbTradesBinance[[#This Row],[Qtt]]*(1-P184)-IF(TbTradesBinance[[#This Row],[Moeda da Taxa]]="BRL",TbTradesBinance[[#This Row],[Taxa]],0),0)+IF(AND(TbTradesBinance[[#This Row],[Tipo]]="BURN",TbTradesBinance[[#This Row],[Par]]="BRL"),-TbTradesBinance[[#This Row],[Qtt]]*P184,0),2)</f>
        <v>0</v>
      </c>
      <c r="D186" s="53">
        <v>44353.620578703703</v>
      </c>
      <c r="E186" s="37" t="s">
        <v>236</v>
      </c>
      <c r="F186" s="47" t="s">
        <v>139</v>
      </c>
      <c r="G186" s="38">
        <v>29791.760999999999</v>
      </c>
      <c r="H186" s="38">
        <v>6.5789999999999998E-3</v>
      </c>
      <c r="I186" s="38">
        <v>4</v>
      </c>
      <c r="J186" s="37" t="s">
        <v>60</v>
      </c>
      <c r="K186" s="52">
        <v>6.1</v>
      </c>
      <c r="L186" s="40">
        <f t="shared" si="38"/>
        <v>181729.74</v>
      </c>
      <c r="M186" s="40">
        <f>IF(OR(TbTradesBinance[[#This Row],[Tipo]]="BUY",TbTradesBinance[[#This Row],[Tipo]]="RECEIVE",TbTradesBinance[[#This Row],[Tipo]]="DROP"),L186*H186,-L186*H186)</f>
        <v>1195.5999594599998</v>
      </c>
      <c r="N18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Row],[Tipo]]="DROP"),N185+TbTradesBinance[[#This Row],[Qtt]],N185-TbTradesBinance[[#This Row],[Qtt]]),IF(TbTradesBinance[[#This Row],[Tipo]]="BUY",N185-TbTradesBinance[[#This Row],[Qtt]]*TbTradesBinance[[#This Row],[Preço]],N185+TbTradesBinance[[#This Row],[Qtt]]*TbTradesBinance[[#This Row],[Preço]])),N185)-IF(TbTradesBinance[[#This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Row],[Tipo]]="DROP"),N185+TbTradesBinance[[#This Row],[Qtt]],N185-TbTradesBinance[[#This Row],[Qtt]]),IF(TbTradesBinance[[#This Row],[Tipo]]="BUY",N185-TbTradesBinance[[#This Row],[Qtt]]*TbTradesBinance[[#This Row],[Preço]],N185+TbTradesBinance[[#This Row],[Qtt]]*TbTradesBinance[[#This Row],[Preço]])),N185)-IF(TbTradesBinance[[#This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Row],[Tipo]]="DROP"),N185+TbTradesBinance[[#This Row],[Qtt]],N185-TbTradesBinance[[#This Row],[Qtt]]),IF(TbTradesBinance[[#This Row],[Tipo]]="BUY",N185-TbTradesBinance[[#This Row],[Qtt]]*TbTradesBinance[[#This Row],[Preço]],N185+TbTradesBinance[[#This Row],[Qtt]]*TbTradesBinance[[#This Row],[Preço]])),N185)-IF(TbTradesBinance[[#This Row],[Moeda da Taxa]]=MID(N$1,9,5),TbTradesBinance[[#This Row],[Taxa]],0),8)))</f>
        <v>119745.58804798999</v>
      </c>
      <c r="O186" s="145" cm="1">
        <f t="array" ref="O186">IF(TbTradesBinance[[#This Row],[Tipo]]="EMPTY",0,O185+IF(TbTradesBinance[[#This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Row],[Par]]))),$1:$1,0)),-(N185-N186)/N185*O185),0),0)+IF(TbTradesBinance[[#This Row],[Tipo]]="SELL",IF(ISNUMBER(FIND(MID(O$1,10,5),TbTradesBinance[[#This Row],[Par]])),IF(FIND(MID(O$1,10,5),TbTradesBinance[[#This Row],[Par]])=1, -(N185-N186)/N185*O185,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Row],[Par]])),(-(N185-N186)/N185*O185)+IF(TbTradesBinance[[#This Row],[Resultado]]&gt;0,0,TbTradesBinance[[#This Row],[Taxa]]),0),0))</f>
        <v>119844.14986894446</v>
      </c>
      <c r="P186" s="145">
        <f t="shared" si="39"/>
        <v>1.0008230935482563</v>
      </c>
      <c r="Q18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Row],[Tipo]]="DROP"),Q185+TbTradesBinance[[#This Row],[Qtt]],Q185-TbTradesBinance[[#This Row],[Qtt]]),IF(TbTradesBinance[[#This Row],[Tipo]]="BUY",Q185-TbTradesBinance[[#This Row],[Qtt]]*TbTradesBinance[[#This Row],[Preço]],Q185+TbTradesBinance[[#This Row],[Qtt]]*TbTradesBinance[[#This Row],[Preço]])),Q185)-IF(TbTradesBinance[[#This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Row],[Tipo]]="DROP"),Q185+TbTradesBinance[[#This Row],[Qtt]],Q185-TbTradesBinance[[#This Row],[Qtt]]),IF(TbTradesBinance[[#This Row],[Tipo]]="BUY",Q185-TbTradesBinance[[#This Row],[Qtt]]*TbTradesBinance[[#This Row],[Preço]],Q185+TbTradesBinance[[#This Row],[Qtt]]*TbTradesBinance[[#This Row],[Preço]])),Q185)-IF(TbTradesBinance[[#This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Row],[Tipo]]="DROP"),Q185+TbTradesBinance[[#This Row],[Qtt]],Q185-TbTradesBinance[[#This Row],[Qtt]]),IF(TbTradesBinance[[#This Row],[Tipo]]="BUY",Q185-TbTradesBinance[[#This Row],[Qtt]]*TbTradesBinance[[#This Row],[Preço]],Q185+TbTradesBinance[[#This Row],[Qtt]]*TbTradesBinance[[#This Row],[Preço]])),Q185)-IF(TbTradesBinance[[#This Row],[Moeda da Taxa]]=MID(Q$1,9,5),TbTradesBinance[[#This Row],[Taxa]],0),8)))</f>
        <v>2.8600460000000001E-2</v>
      </c>
      <c r="R186" s="145" cm="1">
        <f t="array" ref="R186">IF(TbTradesBinance[[#This Row],[Tipo]]="EMPTY",0,R185+IF(TbTradesBinance[[#This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Row],[Par]]))),$1:$1,0)),-(Q185-Q186)/Q185*R185),0),0)+IF(TbTradesBinance[[#This Row],[Tipo]]="SELL",IF(ISNUMBER(FIND(MID(R$1,10,5),TbTradesBinance[[#This Row],[Par]])),IF(FIND(MID(R$1,10,5),TbTradesBinance[[#This Row],[Par]])=1, -(Q185-Q186)/Q185*R185,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Row],[Par]])),(-(Q185-Q186)/Q185*R185)+IF(TbTradesBinance[[#This Row],[Resultado]]&gt;0,0,TbTradesBinance[[#This Row],[Taxa]]),0),0))</f>
        <v>0.13390752156915653</v>
      </c>
      <c r="S186" s="145">
        <f t="shared" si="40"/>
        <v>4.6820058687572343</v>
      </c>
      <c r="T18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Row],[Tipo]]="DROP"),T185+TbTradesBinance[[#This Row],[Qtt]],T185-TbTradesBinance[[#This Row],[Qtt]]),IF(TbTradesBinance[[#This Row],[Tipo]]="BUY",T185-TbTradesBinance[[#This Row],[Qtt]]*TbTradesBinance[[#This Row],[Preço]],T185+TbTradesBinance[[#This Row],[Qtt]]*TbTradesBinance[[#This Row],[Preço]])),T185)-IF(TbTradesBinance[[#This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Row],[Tipo]]="DROP"),T185+TbTradesBinance[[#This Row],[Qtt]],T185-TbTradesBinance[[#This Row],[Qtt]]),IF(TbTradesBinance[[#This Row],[Tipo]]="BUY",T185-TbTradesBinance[[#This Row],[Qtt]]*TbTradesBinance[[#This Row],[Preço]],T185+TbTradesBinance[[#This Row],[Qtt]]*TbTradesBinance[[#This Row],[Preço]])),T185)-IF(TbTradesBinance[[#This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Row],[Tipo]]="DROP"),T185+TbTradesBinance[[#This Row],[Qtt]],T185-TbTradesBinance[[#This Row],[Qtt]]),IF(TbTradesBinance[[#This Row],[Tipo]]="BUY",T185-TbTradesBinance[[#This Row],[Qtt]]*TbTradesBinance[[#This Row],[Preço]],T185+TbTradesBinance[[#This Row],[Qtt]]*TbTradesBinance[[#This Row],[Preço]])),T185)-IF(TbTradesBinance[[#This Row],[Moeda da Taxa]]=MID(T$1,9,5),TbTradesBinance[[#This Row],[Taxa]],0),8)))</f>
        <v>424313.72001192998</v>
      </c>
      <c r="U186" s="145" cm="1">
        <f t="array" ref="U186">IF(TbTradesBinance[[#This Row],[Tipo]]="EMPTY",0,U185+IF(TbTradesBinance[[#This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Row],[Par]]))),$1:$1,0)),-(T185-T186)/T185*U185),0),0)+IF(TbTradesBinance[[#This Row],[Tipo]]="SELL",IF(ISNUMBER(FIND(MID(U$1,10,5),TbTradesBinance[[#This Row],[Par]])),IF(FIND(MID(U$1,10,5),TbTradesBinance[[#This Row],[Par]])=1, -(T185-T186)/T185*U185,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Row],[Par]])),(-(T185-T186)/T185*U185)+IF(TbTradesBinance[[#This Row],[Resultado]]&gt;0,0,TbTradesBinance[[#This Row],[Taxa]]),0),0))</f>
        <v>2709041.7526320443</v>
      </c>
      <c r="V186" s="145">
        <f t="shared" si="41"/>
        <v>6.3845254698713889</v>
      </c>
      <c r="W18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Row],[Tipo]]="DROP"),W185+TbTradesBinance[[#This Row],[Qtt]],W185-TbTradesBinance[[#This Row],[Qtt]]),IF(TbTradesBinance[[#This Row],[Tipo]]="BUY",W185-TbTradesBinance[[#This Row],[Qtt]]*TbTradesBinance[[#This Row],[Preço]],W185+TbTradesBinance[[#This Row],[Qtt]]*TbTradesBinance[[#This Row],[Preço]])),W185)-IF(TbTradesBinance[[#This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Row],[Tipo]]="DROP"),W185+TbTradesBinance[[#This Row],[Qtt]],W185-TbTradesBinance[[#This Row],[Qtt]]),IF(TbTradesBinance[[#This Row],[Tipo]]="BUY",W185-TbTradesBinance[[#This Row],[Qtt]]*TbTradesBinance[[#This Row],[Preço]],W185+TbTradesBinance[[#This Row],[Qtt]]*TbTradesBinance[[#This Row],[Preço]])),W185)-IF(TbTradesBinance[[#This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Row],[Tipo]]="DROP"),W185+TbTradesBinance[[#This Row],[Qtt]],W185-TbTradesBinance[[#This Row],[Qtt]]),IF(TbTradesBinance[[#This Row],[Tipo]]="BUY",W185-TbTradesBinance[[#This Row],[Qtt]]*TbTradesBinance[[#This Row],[Preço]],W185+TbTradesBinance[[#This Row],[Qtt]]*TbTradesBinance[[#This Row],[Preço]])),W185)-IF(TbTradesBinance[[#This Row],[Moeda da Taxa]]=MID(W$1,9,5),TbTradesBinance[[#This Row],[Taxa]],0),8)))</f>
        <v>1.435399E-2</v>
      </c>
      <c r="X186" s="145" cm="1">
        <f t="array" ref="X186">IF(TbTradesBinance[[#This Row],[Tipo]]="EMPTY",0,X185+IF(TbTradesBinance[[#This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Row],[Par]]))),$1:$1,0)),-(W185-W186)/W185*X185),0),0)+IF(TbTradesBinance[[#This Row],[Tipo]]="SELL",IF(ISNUMBER(FIND(MID(X$1,10,5),TbTradesBinance[[#This Row],[Par]])),IF(FIND(MID(X$1,10,5),TbTradesBinance[[#This Row],[Par]])=1, -(W185-W186)/W185*X185,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Row],[Par]])),(-(W185-W186)/W185*X185)+IF(TbTradesBinance[[#This Row],[Resultado]]&gt;0,0,TbTradesBinance[[#This Row],[Taxa]]),0),0))</f>
        <v>2756.4741682907279</v>
      </c>
      <c r="Y186" s="145">
        <f t="shared" si="42"/>
        <v>192035.39700743332</v>
      </c>
      <c r="Z18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Row],[Tipo]]="DROP"),Z185+TbTradesBinance[[#This Row],[Qtt]],Z185-TbTradesBinance[[#This Row],[Qtt]]),IF(TbTradesBinance[[#This Row],[Tipo]]="BUY",Z185-TbTradesBinance[[#This Row],[Qtt]]*TbTradesBinance[[#This Row],[Preço]],Z185+TbTradesBinance[[#This Row],[Qtt]]*TbTradesBinance[[#This Row],[Preço]])),Z185)-IF(TbTradesBinance[[#This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Row],[Tipo]]="DROP"),Z185+TbTradesBinance[[#This Row],[Qtt]],Z185-TbTradesBinance[[#This Row],[Qtt]]),IF(TbTradesBinance[[#This Row],[Tipo]]="BUY",Z185-TbTradesBinance[[#This Row],[Qtt]]*TbTradesBinance[[#This Row],[Preço]],Z185+TbTradesBinance[[#This Row],[Qtt]]*TbTradesBinance[[#This Row],[Preço]])),Z185)-IF(TbTradesBinance[[#This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Row],[Tipo]]="DROP"),Z185+TbTradesBinance[[#This Row],[Qtt]],Z185-TbTradesBinance[[#This Row],[Qtt]]),IF(TbTradesBinance[[#This Row],[Tipo]]="BUY",Z185-TbTradesBinance[[#This Row],[Qtt]]*TbTradesBinance[[#This Row],[Preço]],Z185+TbTradesBinance[[#This Row],[Qtt]]*TbTradesBinance[[#This Row],[Preço]])),Z185)-IF(TbTradesBinance[[#This Row],[Moeda da Taxa]]=MID(Z$1,9,5),TbTradesBinance[[#This Row],[Taxa]],0),8)))</f>
        <v>0</v>
      </c>
      <c r="AA186" s="145" cm="1">
        <f t="array" ref="AA186">IF(TbTradesBinance[[#This Row],[Tipo]]="EMPTY",0,AA185+IF(TbTradesBinance[[#This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Row],[Par]]))),$1:$1,0)),-(Z185-Z186)/Z185*AA185),0),0)+IF(TbTradesBinance[[#This Row],[Tipo]]="SELL",IF(ISNUMBER(FIND(MID(AA$1,10,5),TbTradesBinance[[#This Row],[Par]])),IF(FIND(MID(AA$1,10,5),TbTradesBinance[[#This Row],[Par]])=1, -(Z185-Z186)/Z185*AA185,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Row],[Par]])),(-(Z185-Z186)/Z185*AA185)+IF(TbTradesBinance[[#This Row],[Resultado]]&gt;0,0,TbTradesBinance[[#This Row],[Taxa]]),0),0))</f>
        <v>0</v>
      </c>
      <c r="AB186" s="145">
        <f t="shared" si="43"/>
        <v>0</v>
      </c>
      <c r="AC18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Row],[Tipo]]="DROP"),AC185+TbTradesBinance[[#This Row],[Qtt]],AC185-TbTradesBinance[[#This Row],[Qtt]]),IF(TbTradesBinance[[#This Row],[Tipo]]="BUY",AC185-TbTradesBinance[[#This Row],[Qtt]]*TbTradesBinance[[#This Row],[Preço]],AC185+TbTradesBinance[[#This Row],[Qtt]]*TbTradesBinance[[#This Row],[Preço]])),AC185)-IF(TbTradesBinance[[#This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Row],[Tipo]]="DROP"),AC185+TbTradesBinance[[#This Row],[Qtt]],AC185-TbTradesBinance[[#This Row],[Qtt]]),IF(TbTradesBinance[[#This Row],[Tipo]]="BUY",AC185-TbTradesBinance[[#This Row],[Qtt]]*TbTradesBinance[[#This Row],[Preço]],AC185+TbTradesBinance[[#This Row],[Qtt]]*TbTradesBinance[[#This Row],[Preço]])),AC185)-IF(TbTradesBinance[[#This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Row],[Tipo]]="DROP"),AC185+TbTradesBinance[[#This Row],[Qtt]],AC185-TbTradesBinance[[#This Row],[Qtt]]),IF(TbTradesBinance[[#This Row],[Tipo]]="BUY",AC185-TbTradesBinance[[#This Row],[Qtt]]*TbTradesBinance[[#This Row],[Preço]],AC185+TbTradesBinance[[#This Row],[Qtt]]*TbTradesBinance[[#This Row],[Preço]])),AC185)-IF(TbTradesBinance[[#This Row],[Moeda da Taxa]]=MID(AC$1,9,5),TbTradesBinance[[#This Row],[Taxa]],0),8)))</f>
        <v>0</v>
      </c>
      <c r="AD186" s="145" cm="1">
        <f t="array" ref="AD186">IF(TbTradesBinance[[#This Row],[Tipo]]="EMPTY",0,AD185+IF(TbTradesBinance[[#This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Row],[Par]]))),$1:$1,0)),-(AC185-AC186)/AC185*AD185),0),0)+IF(TbTradesBinance[[#This Row],[Tipo]]="SELL",IF(ISNUMBER(FIND(MID(AD$1,10,5),TbTradesBinance[[#This Row],[Par]])),IF(FIND(MID(AD$1,10,5),TbTradesBinance[[#This Row],[Par]])=1, -(AC185-AC186)/AC185*AD185,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Row],[Par]])),(-(AC185-AC186)/AC185*AD185)+IF(TbTradesBinance[[#This Row],[Resultado]]&gt;0,0,TbTradesBinance[[#This Row],[Taxa]]),0),0))</f>
        <v>0</v>
      </c>
      <c r="AE186" s="145">
        <f t="shared" si="44"/>
        <v>0</v>
      </c>
      <c r="AF18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Row],[Tipo]]="DROP"),AF185+TbTradesBinance[[#This Row],[Qtt]],AF185-TbTradesBinance[[#This Row],[Qtt]]),IF(TbTradesBinance[[#This Row],[Tipo]]="BUY",AF185-TbTradesBinance[[#This Row],[Qtt]]*TbTradesBinance[[#This Row],[Preço]],AF185+TbTradesBinance[[#This Row],[Qtt]]*TbTradesBinance[[#This Row],[Preço]])),AF185)-IF(TbTradesBinance[[#This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Row],[Tipo]]="DROP"),AF185+TbTradesBinance[[#This Row],[Qtt]],AF185-TbTradesBinance[[#This Row],[Qtt]]),IF(TbTradesBinance[[#This Row],[Tipo]]="BUY",AF185-TbTradesBinance[[#This Row],[Qtt]]*TbTradesBinance[[#This Row],[Preço]],AF185+TbTradesBinance[[#This Row],[Qtt]]*TbTradesBinance[[#This Row],[Preço]])),AF185)-IF(TbTradesBinance[[#This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Row],[Tipo]]="DROP"),AF185+TbTradesBinance[[#This Row],[Qtt]],AF185-TbTradesBinance[[#This Row],[Qtt]]),IF(TbTradesBinance[[#This Row],[Tipo]]="BUY",AF185-TbTradesBinance[[#This Row],[Qtt]]*TbTradesBinance[[#This Row],[Preço]],AF185+TbTradesBinance[[#This Row],[Qtt]]*TbTradesBinance[[#This Row],[Preço]])),AF185)-IF(TbTradesBinance[[#This Row],[Moeda da Taxa]]=MID(AF$1,9,5),TbTradesBinance[[#This Row],[Taxa]],0),8)))</f>
        <v>0</v>
      </c>
      <c r="AG186" s="145" cm="1">
        <f t="array" ref="AG186">IF(TbTradesBinance[[#This Row],[Tipo]]="EMPTY",0,AG185+IF(TbTradesBinance[[#This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Row],[Par]]))),$1:$1,0)),-(AF185-AF186)/AF185*AG185),0),0)+IF(TbTradesBinance[[#This Row],[Tipo]]="SELL",IF(ISNUMBER(FIND(MID(AG$1,10,5),TbTradesBinance[[#This Row],[Par]])),IF(FIND(MID(AG$1,10,5),TbTradesBinance[[#This Row],[Par]])=1, -(AF185-AF186)/AF185*AG185,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Row],[Par]])),(-(AF185-AF186)/AF185*AG185)+IF(TbTradesBinance[[#This Row],[Resultado]]&gt;0,0,TbTradesBinance[[#This Row],[Taxa]]),0),0))</f>
        <v>0</v>
      </c>
      <c r="AH186" s="145">
        <f t="shared" si="45"/>
        <v>0</v>
      </c>
      <c r="AI18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Row],[Tipo]]="DROP"),AI185+TbTradesBinance[[#This Row],[Qtt]],AI185-TbTradesBinance[[#This Row],[Qtt]]),IF(TbTradesBinance[[#This Row],[Tipo]]="BUY",AI185-TbTradesBinance[[#This Row],[Qtt]]*TbTradesBinance[[#This Row],[Preço]],AI185+TbTradesBinance[[#This Row],[Qtt]]*TbTradesBinance[[#This Row],[Preço]])),AI185)-IF(TbTradesBinance[[#This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Row],[Tipo]]="DROP"),AI185+TbTradesBinance[[#This Row],[Qtt]],AI185-TbTradesBinance[[#This Row],[Qtt]]),IF(TbTradesBinance[[#This Row],[Tipo]]="BUY",AI185-TbTradesBinance[[#This Row],[Qtt]]*TbTradesBinance[[#This Row],[Preço]],AI185+TbTradesBinance[[#This Row],[Qtt]]*TbTradesBinance[[#This Row],[Preço]])),AI185)-IF(TbTradesBinance[[#This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Row],[Tipo]]="DROP"),AI185+TbTradesBinance[[#This Row],[Qtt]],AI185-TbTradesBinance[[#This Row],[Qtt]]),IF(TbTradesBinance[[#This Row],[Tipo]]="BUY",AI185-TbTradesBinance[[#This Row],[Qtt]]*TbTradesBinance[[#This Row],[Preço]],AI185+TbTradesBinance[[#This Row],[Qtt]]*TbTradesBinance[[#This Row],[Preço]])),AI185)-IF(TbTradesBinance[[#This Row],[Moeda da Taxa]]=MID(AI$1,9,5),TbTradesBinance[[#This Row],[Taxa]],0),8)))</f>
        <v>0</v>
      </c>
      <c r="AJ186" s="145" cm="1">
        <f t="array" ref="AJ186">IF(TbTradesBinance[[#This Row],[Tipo]]="EMPTY",0,AJ185+IF(TbTradesBinance[[#This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Row],[Par]]))),$1:$1,0)),-(AI185-AI186)/AI185*AJ185),0),0)+IF(TbTradesBinance[[#This Row],[Tipo]]="SELL",IF(ISNUMBER(FIND(MID(AJ$1,10,5),TbTradesBinance[[#This Row],[Par]])),IF(FIND(MID(AJ$1,10,5),TbTradesBinance[[#This Row],[Par]])=1, -(AI185-AI186)/AI185*AJ185,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Row],[Par]])),(-(AI185-AI186)/AI185*AJ185)+IF(TbTradesBinance[[#This Row],[Resultado]]&gt;0,0,TbTradesBinance[[#This Row],[Taxa]]),0),0))</f>
        <v>0</v>
      </c>
      <c r="AK186" s="145">
        <f t="shared" si="46"/>
        <v>0</v>
      </c>
      <c r="AL18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Row],[Tipo]]="DROP"),AL185+TbTradesBinance[[#This Row],[Qtt]],AL185-TbTradesBinance[[#This Row],[Qtt]]),IF(TbTradesBinance[[#This Row],[Tipo]]="BUY",AL185-TbTradesBinance[[#This Row],[Qtt]]*TbTradesBinance[[#This Row],[Preço]],AL185+TbTradesBinance[[#This Row],[Qtt]]*TbTradesBinance[[#This Row],[Preço]])),AL185)-IF(TbTradesBinance[[#This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Row],[Tipo]]="DROP"),AL185+TbTradesBinance[[#This Row],[Qtt]],AL185-TbTradesBinance[[#This Row],[Qtt]]),IF(TbTradesBinance[[#This Row],[Tipo]]="BUY",AL185-TbTradesBinance[[#This Row],[Qtt]]*TbTradesBinance[[#This Row],[Preço]],AL185+TbTradesBinance[[#This Row],[Qtt]]*TbTradesBinance[[#This Row],[Preço]])),AL185)-IF(TbTradesBinance[[#This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Row],[Tipo]]="DROP"),AL185+TbTradesBinance[[#This Row],[Qtt]],AL185-TbTradesBinance[[#This Row],[Qtt]]),IF(TbTradesBinance[[#This Row],[Tipo]]="BUY",AL185-TbTradesBinance[[#This Row],[Qtt]]*TbTradesBinance[[#This Row],[Preço]],AL185+TbTradesBinance[[#This Row],[Qtt]]*TbTradesBinance[[#This Row],[Preço]])),AL185)-IF(TbTradesBinance[[#This Row],[Moeda da Taxa]]=MID(AL$1,9,5),TbTradesBinance[[#This Row],[Taxa]],0),8)))</f>
        <v>0</v>
      </c>
      <c r="AM186" s="145" cm="1">
        <f t="array" ref="AM186">IF(TbTradesBinance[[#This Row],[Tipo]]="EMPTY",0,AM185+IF(TbTradesBinance[[#This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Row],[Par]]))),$1:$1,0)),-(AL185-AL186)/AL185*AM185),0),0)+IF(TbTradesBinance[[#This Row],[Tipo]]="SELL",IF(ISNUMBER(FIND(MID(AM$1,10,5),TbTradesBinance[[#This Row],[Par]])),IF(FIND(MID(AM$1,10,5),TbTradesBinance[[#This Row],[Par]])=1, -(AL185-AL186)/AL185*AM185,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Row],[Par]])),(-(AL185-AL186)/AL185*AM185)+IF(TbTradesBinance[[#This Row],[Resultado]]&gt;0,0,TbTradesBinance[[#This Row],[Taxa]]),0),0))</f>
        <v>0</v>
      </c>
      <c r="AN186" s="145">
        <f t="shared" si="47"/>
        <v>0</v>
      </c>
      <c r="AO18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Row],[Tipo]]="DROP"),AO185+TbTradesBinance[[#This Row],[Qtt]],AO185-TbTradesBinance[[#This Row],[Qtt]]),IF(TbTradesBinance[[#This Row],[Tipo]]="BUY",AO185-TbTradesBinance[[#This Row],[Qtt]]*TbTradesBinance[[#This Row],[Preço]],AO185+TbTradesBinance[[#This Row],[Qtt]]*TbTradesBinance[[#This Row],[Preço]])),AO185)-IF(TbTradesBinance[[#This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Row],[Tipo]]="DROP"),AO185+TbTradesBinance[[#This Row],[Qtt]],AO185-TbTradesBinance[[#This Row],[Qtt]]),IF(TbTradesBinance[[#This Row],[Tipo]]="BUY",AO185-TbTradesBinance[[#This Row],[Qtt]]*TbTradesBinance[[#This Row],[Preço]],AO185+TbTradesBinance[[#This Row],[Qtt]]*TbTradesBinance[[#This Row],[Preço]])),AO185)-IF(TbTradesBinance[[#This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Row],[Tipo]]="DROP"),AO185+TbTradesBinance[[#This Row],[Qtt]],AO185-TbTradesBinance[[#This Row],[Qtt]]),IF(TbTradesBinance[[#This Row],[Tipo]]="BUY",AO185-TbTradesBinance[[#This Row],[Qtt]]*TbTradesBinance[[#This Row],[Preço]],AO185+TbTradesBinance[[#This Row],[Qtt]]*TbTradesBinance[[#This Row],[Preço]])),AO185)-IF(TbTradesBinance[[#This Row],[Moeda da Taxa]]=MID(AO$1,9,5),TbTradesBinance[[#This Row],[Taxa]],0),8)))</f>
        <v>3.8363830000000002E-2</v>
      </c>
      <c r="AP186" s="145" cm="1">
        <f t="array" ref="AP186">IF(TbTradesBinance[[#This Row],[Tipo]]="EMPTY",0,AP185+IF(TbTradesBinance[[#This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Row],[Par]]))),$1:$1,0)),-(AO185-AO186)/AO185*AP185),0),0)+IF(TbTradesBinance[[#This Row],[Tipo]]="SELL",IF(ISNUMBER(FIND(MID(AP$1,10,5),TbTradesBinance[[#This Row],[Par]])),IF(FIND(MID(AP$1,10,5),TbTradesBinance[[#This Row],[Par]])=1, -(AO185-AO186)/AO185*AP185,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Row],[Par]])),(-(AO185-AO186)/AO185*AP185)+IF(TbTradesBinance[[#This Row],[Resultado]]&gt;0,0,TbTradesBinance[[#This Row],[Taxa]]),0),0))</f>
        <v>60.349858055862811</v>
      </c>
      <c r="AQ186" s="145">
        <f t="shared" si="48"/>
        <v>1573.0926254199023</v>
      </c>
      <c r="AR18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Row],[Tipo]]="DROP"),AR185+TbTradesBinance[[#This Row],[Qtt]],AR185-TbTradesBinance[[#This Row],[Qtt]]),IF(TbTradesBinance[[#This Row],[Tipo]]="BUY",AR185-TbTradesBinance[[#This Row],[Qtt]]*TbTradesBinance[[#This Row],[Preço]],AR185+TbTradesBinance[[#This Row],[Qtt]]*TbTradesBinance[[#This Row],[Preço]])),AR185)-IF(TbTradesBinance[[#This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Row],[Tipo]]="DROP"),AR185+TbTradesBinance[[#This Row],[Qtt]],AR185-TbTradesBinance[[#This Row],[Qtt]]),IF(TbTradesBinance[[#This Row],[Tipo]]="BUY",AR185-TbTradesBinance[[#This Row],[Qtt]]*TbTradesBinance[[#This Row],[Preço]],AR185+TbTradesBinance[[#This Row],[Qtt]]*TbTradesBinance[[#This Row],[Preço]])),AR185)-IF(TbTradesBinance[[#This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Row],[Tipo]]="DROP"),AR185+TbTradesBinance[[#This Row],[Qtt]],AR185-TbTradesBinance[[#This Row],[Qtt]]),IF(TbTradesBinance[[#This Row],[Tipo]]="BUY",AR185-TbTradesBinance[[#This Row],[Qtt]]*TbTradesBinance[[#This Row],[Preço]],AR185+TbTradesBinance[[#This Row],[Qtt]]*TbTradesBinance[[#This Row],[Preço]])),AR185)-IF(TbTradesBinance[[#This Row],[Moeda da Taxa]]=MID(AR$1,9,5),TbTradesBinance[[#This Row],[Taxa]],0),8)))</f>
        <v>0</v>
      </c>
      <c r="AS186" s="145" cm="1">
        <f t="array" ref="AS186">IF(TbTradesBinance[[#This Row],[Tipo]]="EMPTY",0,AS185+IF(TbTradesBinance[[#This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Row],[Par]]))),$1:$1,0)),-(AR185-AR186)/AR185*AS185),0),0)+IF(TbTradesBinance[[#This Row],[Tipo]]="SELL",IF(ISNUMBER(FIND(MID(AS$1,10,5),TbTradesBinance[[#This Row],[Par]])),IF(FIND(MID(AS$1,10,5),TbTradesBinance[[#This Row],[Par]])=1, -(AR185-AR186)/AR185*AS185,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Row],[Par]])),(-(AR185-AR186)/AR185*AS185)+IF(TbTradesBinance[[#This Row],[Resultado]]&gt;0,0,TbTradesBinance[[#This Row],[Taxa]]),0),0))</f>
        <v>0</v>
      </c>
      <c r="AT186" s="145">
        <f t="shared" si="49"/>
        <v>0</v>
      </c>
      <c r="AU18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Row],[Tipo]]="DROP"),AU185+TbTradesBinance[[#This Row],[Qtt]],AU185-TbTradesBinance[[#This Row],[Qtt]]),IF(TbTradesBinance[[#This Row],[Tipo]]="BUY",AU185-TbTradesBinance[[#This Row],[Qtt]]*TbTradesBinance[[#This Row],[Preço]],AU185+TbTradesBinance[[#This Row],[Qtt]]*TbTradesBinance[[#This Row],[Preço]])),AU185)-IF(TbTradesBinance[[#This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Row],[Tipo]]="DROP"),AU185+TbTradesBinance[[#This Row],[Qtt]],AU185-TbTradesBinance[[#This Row],[Qtt]]),IF(TbTradesBinance[[#This Row],[Tipo]]="BUY",AU185-TbTradesBinance[[#This Row],[Qtt]]*TbTradesBinance[[#This Row],[Preço]],AU185+TbTradesBinance[[#This Row],[Qtt]]*TbTradesBinance[[#This Row],[Preço]])),AU185)-IF(TbTradesBinance[[#This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Row],[Tipo]]="DROP"),AU185+TbTradesBinance[[#This Row],[Qtt]],AU185-TbTradesBinance[[#This Row],[Qtt]]),IF(TbTradesBinance[[#This Row],[Tipo]]="BUY",AU185-TbTradesBinance[[#This Row],[Qtt]]*TbTradesBinance[[#This Row],[Preço]],AU185+TbTradesBinance[[#This Row],[Qtt]]*TbTradesBinance[[#This Row],[Preço]])),AU185)-IF(TbTradesBinance[[#This Row],[Moeda da Taxa]]=MID(AU$1,9,5),TbTradesBinance[[#This Row],[Taxa]],0),8)))</f>
        <v>0.51</v>
      </c>
      <c r="AV186" s="145" cm="1">
        <f t="array" ref="AV186">IF(TbTradesBinance[[#This Row],[Tipo]]="EMPTY",0,AV185+IF(TbTradesBinance[[#This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Row],[Par]]))),$1:$1,0)),-(AU185-AU186)/AU185*AV185),0),0)+IF(TbTradesBinance[[#This Row],[Tipo]]="SELL",IF(ISNUMBER(FIND(MID(AV$1,10,5),TbTradesBinance[[#This Row],[Par]])),IF(FIND(MID(AV$1,10,5),TbTradesBinance[[#This Row],[Par]])=1, -(AU185-AU186)/AU185*AV185,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Row],[Par]])),(-(AU185-AU186)/AU185*AV185)+IF(TbTradesBinance[[#This Row],[Resultado]]&gt;0,0,TbTradesBinance[[#This Row],[Taxa]]),0),0))</f>
        <v>95.466693037374753</v>
      </c>
      <c r="AW186" s="145">
        <f t="shared" si="50"/>
        <v>187.18959419093088</v>
      </c>
      <c r="AX18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Row],[Tipo]]="DROP"),AX185+TbTradesBinance[[#This Row],[Qtt]],AX185-TbTradesBinance[[#This Row],[Qtt]]),IF(TbTradesBinance[[#This Row],[Tipo]]="BUY",AX185-TbTradesBinance[[#This Row],[Qtt]]*TbTradesBinance[[#This Row],[Preço]],AX185+TbTradesBinance[[#This Row],[Qtt]]*TbTradesBinance[[#This Row],[Preço]])),AX185)-IF(TbTradesBinance[[#This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Row],[Tipo]]="DROP"),AX185+TbTradesBinance[[#This Row],[Qtt]],AX185-TbTradesBinance[[#This Row],[Qtt]]),IF(TbTradesBinance[[#This Row],[Tipo]]="BUY",AX185-TbTradesBinance[[#This Row],[Qtt]]*TbTradesBinance[[#This Row],[Preço]],AX185+TbTradesBinance[[#This Row],[Qtt]]*TbTradesBinance[[#This Row],[Preço]])),AX185)-IF(TbTradesBinance[[#This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Row],[Tipo]]="DROP"),AX185+TbTradesBinance[[#This Row],[Qtt]],AX185-TbTradesBinance[[#This Row],[Qtt]]),IF(TbTradesBinance[[#This Row],[Tipo]]="BUY",AX185-TbTradesBinance[[#This Row],[Qtt]]*TbTradesBinance[[#This Row],[Preço]],AX185+TbTradesBinance[[#This Row],[Qtt]]*TbTradesBinance[[#This Row],[Preço]])),AX185)-IF(TbTradesBinance[[#This Row],[Moeda da Taxa]]=MID(AX$1,9,5),TbTradesBinance[[#This Row],[Taxa]],0),8)))</f>
        <v>0.32838000000000001</v>
      </c>
      <c r="AY186" s="145" cm="1">
        <f t="array" ref="AY186">IF(TbTradesBinance[[#This Row],[Tipo]]="EMPTY",0,AY185+IF(TbTradesBinance[[#This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Row],[Par]]))),$1:$1,0)),-(AX185-AX186)/AX185*AY185),0),0)+IF(TbTradesBinance[[#This Row],[Tipo]]="SELL",IF(ISNUMBER(FIND(MID(AY$1,10,5),TbTradesBinance[[#This Row],[Par]])),IF(FIND(MID(AY$1,10,5),TbTradesBinance[[#This Row],[Par]])=1, -(AX185-AX186)/AX185*AY185,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Row],[Par]])),(-(AX185-AX186)/AX185*AY185)+IF(TbTradesBinance[[#This Row],[Resultado]]&gt;0,0,TbTradesBinance[[#This Row],[Taxa]]),0),0))</f>
        <v>61.364116058805678</v>
      </c>
      <c r="AZ186" s="145">
        <f t="shared" si="51"/>
        <v>186.869224857804</v>
      </c>
      <c r="BA18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Row],[Tipo]]="DROP"),BA185+TbTradesBinance[[#This Row],[Qtt]],BA185-TbTradesBinance[[#This Row],[Qtt]]),IF(TbTradesBinance[[#This Row],[Tipo]]="BUY",BA185-TbTradesBinance[[#This Row],[Qtt]]*TbTradesBinance[[#This Row],[Preço]],BA185+TbTradesBinance[[#This Row],[Qtt]]*TbTradesBinance[[#This Row],[Preço]])),BA185)-IF(TbTradesBinance[[#This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Row],[Tipo]]="DROP"),BA185+TbTradesBinance[[#This Row],[Qtt]],BA185-TbTradesBinance[[#This Row],[Qtt]]),IF(TbTradesBinance[[#This Row],[Tipo]]="BUY",BA185-TbTradesBinance[[#This Row],[Qtt]]*TbTradesBinance[[#This Row],[Preço]],BA185+TbTradesBinance[[#This Row],[Qtt]]*TbTradesBinance[[#This Row],[Preço]])),BA185)-IF(TbTradesBinance[[#This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Row],[Tipo]]="DROP"),BA185+TbTradesBinance[[#This Row],[Qtt]],BA185-TbTradesBinance[[#This Row],[Qtt]]),IF(TbTradesBinance[[#This Row],[Tipo]]="BUY",BA185-TbTradesBinance[[#This Row],[Qtt]]*TbTradesBinance[[#This Row],[Preço]],BA185+TbTradesBinance[[#This Row],[Qtt]]*TbTradesBinance[[#This Row],[Preço]])),BA185)-IF(TbTradesBinance[[#This Row],[Moeda da Taxa]]=MID(BA$1,9,5),TbTradesBinance[[#This Row],[Taxa]],0),8)))</f>
        <v>0</v>
      </c>
      <c r="BB186" s="145" cm="1">
        <f t="array" ref="BB186">IF(TbTradesBinance[[#This Row],[Tipo]]="EMPTY",0,BB185+IF(TbTradesBinance[[#This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Row],[Par]]))),$1:$1,0)),-(BA185-BA186)/BA185*BB185),0),0)+IF(TbTradesBinance[[#This Row],[Tipo]]="SELL",IF(ISNUMBER(FIND(MID(BB$1,10,5),TbTradesBinance[[#This Row],[Par]])),IF(FIND(MID(BB$1,10,5),TbTradesBinance[[#This Row],[Par]])=1, -(BA185-BA186)/BA185*BB185,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Row],[Par]])),(-(BA185-BA186)/BA185*BB185)+IF(TbTradesBinance[[#This Row],[Resultado]]&gt;0,0,TbTradesBinance[[#This Row],[Taxa]]),0),0))</f>
        <v>0</v>
      </c>
      <c r="BC186" s="145">
        <f t="shared" si="52"/>
        <v>0</v>
      </c>
      <c r="BD18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Row],[Tipo]]="DROP"),BD185+TbTradesBinance[[#This Row],[Qtt]],BD185-TbTradesBinance[[#This Row],[Qtt]]),IF(TbTradesBinance[[#This Row],[Tipo]]="BUY",BD185-TbTradesBinance[[#This Row],[Qtt]]*TbTradesBinance[[#This Row],[Preço]],BD185+TbTradesBinance[[#This Row],[Qtt]]*TbTradesBinance[[#This Row],[Preço]])),BD185)-IF(TbTradesBinance[[#This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Row],[Tipo]]="DROP"),BD185+TbTradesBinance[[#This Row],[Qtt]],BD185-TbTradesBinance[[#This Row],[Qtt]]),IF(TbTradesBinance[[#This Row],[Tipo]]="BUY",BD185-TbTradesBinance[[#This Row],[Qtt]]*TbTradesBinance[[#This Row],[Preço]],BD185+TbTradesBinance[[#This Row],[Qtt]]*TbTradesBinance[[#This Row],[Preço]])),BD185)-IF(TbTradesBinance[[#This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Row],[Tipo]]="DROP"),BD185+TbTradesBinance[[#This Row],[Qtt]],BD185-TbTradesBinance[[#This Row],[Qtt]]),IF(TbTradesBinance[[#This Row],[Tipo]]="BUY",BD185-TbTradesBinance[[#This Row],[Qtt]]*TbTradesBinance[[#This Row],[Preço]],BD185+TbTradesBinance[[#This Row],[Qtt]]*TbTradesBinance[[#This Row],[Preço]])),BD185)-IF(TbTradesBinance[[#This Row],[Moeda da Taxa]]=MID(BD$1,9,5),TbTradesBinance[[#This Row],[Taxa]],0),8)))</f>
        <v>0</v>
      </c>
      <c r="BE186" s="145" cm="1">
        <f t="array" ref="BE186">IF(TbTradesBinance[[#This Row],[Tipo]]="EMPTY",0,BE185+IF(TbTradesBinance[[#This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Row],[Par]]))),$1:$1,0)),-(BD185-BD186)/BD185*BE185),0),0)+IF(TbTradesBinance[[#This Row],[Tipo]]="SELL",IF(ISNUMBER(FIND(MID(BE$1,10,5),TbTradesBinance[[#This Row],[Par]])),IF(FIND(MID(BE$1,10,5),TbTradesBinance[[#This Row],[Par]])=1, -(BD185-BD186)/BD185*BE185,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Row],[Par]])),(-(BD185-BD186)/BD185*BE185)+IF(TbTradesBinance[[#This Row],[Resultado]]&gt;0,0,TbTradesBinance[[#This Row],[Taxa]]),0),0))</f>
        <v>0</v>
      </c>
      <c r="BF186" s="145">
        <f t="shared" si="53"/>
        <v>0</v>
      </c>
      <c r="BG18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Row],[Tipo]]="DROP"),BG185+TbTradesBinance[[#This Row],[Qtt]],BG185-TbTradesBinance[[#This Row],[Qtt]]),IF(TbTradesBinance[[#This Row],[Tipo]]="BUY",BG185-TbTradesBinance[[#This Row],[Qtt]]*TbTradesBinance[[#This Row],[Preço]],BG185+TbTradesBinance[[#This Row],[Qtt]]*TbTradesBinance[[#This Row],[Preço]])),BG185)-IF(TbTradesBinance[[#This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Row],[Tipo]]="DROP"),BG185+TbTradesBinance[[#This Row],[Qtt]],BG185-TbTradesBinance[[#This Row],[Qtt]]),IF(TbTradesBinance[[#This Row],[Tipo]]="BUY",BG185-TbTradesBinance[[#This Row],[Qtt]]*TbTradesBinance[[#This Row],[Preço]],BG185+TbTradesBinance[[#This Row],[Qtt]]*TbTradesBinance[[#This Row],[Preço]])),BG185)-IF(TbTradesBinance[[#This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Row],[Tipo]]="DROP"),BG185+TbTradesBinance[[#This Row],[Qtt]],BG185-TbTradesBinance[[#This Row],[Qtt]]),IF(TbTradesBinance[[#This Row],[Tipo]]="BUY",BG185-TbTradesBinance[[#This Row],[Qtt]]*TbTradesBinance[[#This Row],[Preço]],BG185+TbTradesBinance[[#This Row],[Qtt]]*TbTradesBinance[[#This Row],[Preço]])),BG185)-IF(TbTradesBinance[[#This Row],[Moeda da Taxa]]=MID(BG$1,9,5),TbTradesBinance[[#This Row],[Taxa]],0),8)))</f>
        <v>0</v>
      </c>
      <c r="BH186" s="145" cm="1">
        <f t="array" ref="BH186">IF(TbTradesBinance[[#This Row],[Tipo]]="EMPTY",0,BH185+IF(TbTradesBinance[[#This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Row],[Par]]))),$1:$1,0)),-(BG185-BG186)/BG185*BH185),0),0)+IF(TbTradesBinance[[#This Row],[Tipo]]="SELL",IF(ISNUMBER(FIND(MID(BH$1,10,5),TbTradesBinance[[#This Row],[Par]])),IF(FIND(MID(BH$1,10,5),TbTradesBinance[[#This Row],[Par]])=1, -(BG185-BG186)/BG185*BH185,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Row],[Par]])),(-(BG185-BG186)/BG185*BH185)+IF(TbTradesBinance[[#This Row],[Resultado]]&gt;0,0,TbTradesBinance[[#This Row],[Taxa]]),0),0))</f>
        <v>0</v>
      </c>
      <c r="BI186" s="145">
        <f t="shared" si="54"/>
        <v>0</v>
      </c>
      <c r="BJ18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Row],[Tipo]]="DROP"),BJ185+TbTradesBinance[[#This Row],[Qtt]],BJ185-TbTradesBinance[[#This Row],[Qtt]]),IF(TbTradesBinance[[#This Row],[Tipo]]="BUY",BJ185-TbTradesBinance[[#This Row],[Qtt]]*TbTradesBinance[[#This Row],[Preço]],BJ185+TbTradesBinance[[#This Row],[Qtt]]*TbTradesBinance[[#This Row],[Preço]])),BJ185)-IF(TbTradesBinance[[#This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Row],[Tipo]]="DROP"),BJ185+TbTradesBinance[[#This Row],[Qtt]],BJ185-TbTradesBinance[[#This Row],[Qtt]]),IF(TbTradesBinance[[#This Row],[Tipo]]="BUY",BJ185-TbTradesBinance[[#This Row],[Qtt]]*TbTradesBinance[[#This Row],[Preço]],BJ185+TbTradesBinance[[#This Row],[Qtt]]*TbTradesBinance[[#This Row],[Preço]])),BJ185)-IF(TbTradesBinance[[#This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Row],[Tipo]]="DROP"),BJ185+TbTradesBinance[[#This Row],[Qtt]],BJ185-TbTradesBinance[[#This Row],[Qtt]]),IF(TbTradesBinance[[#This Row],[Tipo]]="BUY",BJ185-TbTradesBinance[[#This Row],[Qtt]]*TbTradesBinance[[#This Row],[Preço]],BJ185+TbTradesBinance[[#This Row],[Qtt]]*TbTradesBinance[[#This Row],[Preço]])),BJ185)-IF(TbTradesBinance[[#This Row],[Moeda da Taxa]]=MID(BJ$1,9,5),TbTradesBinance[[#This Row],[Taxa]],0),8)))</f>
        <v>0</v>
      </c>
      <c r="BK186" s="145" cm="1">
        <f t="array" ref="BK186">IF(TbTradesBinance[[#This Row],[Tipo]]="EMPTY",0,BK185+IF(TbTradesBinance[[#This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Row],[Par]]))),$1:$1,0)),-(BJ185-BJ186)/BJ185*BK185),0),0)+IF(TbTradesBinance[[#This Row],[Tipo]]="SELL",IF(ISNUMBER(FIND(MID(BK$1,10,5),TbTradesBinance[[#This Row],[Par]])),IF(FIND(MID(BK$1,10,5),TbTradesBinance[[#This Row],[Par]])=1, -(BJ185-BJ186)/BJ185*BK185,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Row],[Par]])),(-(BJ185-BJ186)/BJ185*BK185)+IF(TbTradesBinance[[#This Row],[Resultado]]&gt;0,0,TbTradesBinance[[#This Row],[Taxa]]),0),0))</f>
        <v>0</v>
      </c>
      <c r="BL186" s="145">
        <f t="shared" si="55"/>
        <v>0</v>
      </c>
      <c r="BM18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Row],[Tipo]]="DROP"),BM185+TbTradesBinance[[#This Row],[Qtt]],BM185-TbTradesBinance[[#This Row],[Qtt]]),IF(TbTradesBinance[[#This Row],[Tipo]]="BUY",BM185-TbTradesBinance[[#This Row],[Qtt]]*TbTradesBinance[[#This Row],[Preço]],BM185+TbTradesBinance[[#This Row],[Qtt]]*TbTradesBinance[[#This Row],[Preço]])),BM185)-IF(TbTradesBinance[[#This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Row],[Tipo]]="DROP"),BM185+TbTradesBinance[[#This Row],[Qtt]],BM185-TbTradesBinance[[#This Row],[Qtt]]),IF(TbTradesBinance[[#This Row],[Tipo]]="BUY",BM185-TbTradesBinance[[#This Row],[Qtt]]*TbTradesBinance[[#This Row],[Preço]],BM185+TbTradesBinance[[#This Row],[Qtt]]*TbTradesBinance[[#This Row],[Preço]])),BM185)-IF(TbTradesBinance[[#This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Row],[Tipo]]="DROP"),BM185+TbTradesBinance[[#This Row],[Qtt]],BM185-TbTradesBinance[[#This Row],[Qtt]]),IF(TbTradesBinance[[#This Row],[Tipo]]="BUY",BM185-TbTradesBinance[[#This Row],[Qtt]]*TbTradesBinance[[#This Row],[Preço]],BM185+TbTradesBinance[[#This Row],[Qtt]]*TbTradesBinance[[#This Row],[Preço]])),BM185)-IF(TbTradesBinance[[#This Row],[Moeda da Taxa]]=MID(BM$1,9,5),TbTradesBinance[[#This Row],[Taxa]],0),8)))</f>
        <v>0</v>
      </c>
      <c r="BN186" s="145" cm="1">
        <f t="array" ref="BN186">IF(TbTradesBinance[[#This Row],[Tipo]]="EMPTY",0,BN185+IF(TbTradesBinance[[#This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Row],[Par]]))),$1:$1,0)),-(BM185-BM186)/BM185*BN185),0),0)+IF(TbTradesBinance[[#This Row],[Tipo]]="SELL",IF(ISNUMBER(FIND(MID(BN$1,10,5),TbTradesBinance[[#This Row],[Par]])),IF(FIND(MID(BN$1,10,5),TbTradesBinance[[#This Row],[Par]])=1, -(BM185-BM186)/BM185*BN185,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Row],[Par]])),(-(BM185-BM186)/BM185*BN185)+IF(TbTradesBinance[[#This Row],[Resultado]]&gt;0,0,TbTradesBinance[[#This Row],[Taxa]]),0),0))</f>
        <v>0</v>
      </c>
      <c r="BO186" s="145">
        <f t="shared" si="56"/>
        <v>0</v>
      </c>
    </row>
    <row r="187" spans="2:67" x14ac:dyDescent="0.3">
      <c r="B187" s="51" t="s">
        <v>240</v>
      </c>
      <c r="C187" s="40">
        <f>TRUNC(IF(AND(TbTradesBinance[[#This Row],[Tipo]]="SEND",TbTradesBinance[[#This Row],[Par]]="BRL"),TbTradesBinance[[#This Row],[Qtt]]*(1-P185)-IF(TbTradesBinance[[#This Row],[Moeda da Taxa]]="BRL",TbTradesBinance[[#This Row],[Taxa]],0),0)+IF(AND(TbTradesBinance[[#This Row],[Tipo]]="BURN",TbTradesBinance[[#This Row],[Par]]="BRL"),-TbTradesBinance[[#This Row],[Qtt]]*P185,0),2)</f>
        <v>0</v>
      </c>
      <c r="D187" s="53">
        <v>44353.646122685182</v>
      </c>
      <c r="E187" s="37" t="s">
        <v>60</v>
      </c>
      <c r="F187" s="47" t="s">
        <v>137</v>
      </c>
      <c r="G187" s="38">
        <v>1</v>
      </c>
      <c r="H187" s="38">
        <v>100000000</v>
      </c>
      <c r="I187" s="38">
        <v>0</v>
      </c>
      <c r="J187" s="37" t="s">
        <v>60</v>
      </c>
      <c r="K187" s="52">
        <v>6.1</v>
      </c>
      <c r="L187" s="40">
        <f t="shared" si="38"/>
        <v>6.1</v>
      </c>
      <c r="M187" s="40">
        <f>IF(OR(TbTradesBinance[[#This Row],[Tipo]]="BUY",TbTradesBinance[[#This Row],[Tipo]]="RECEIVE",TbTradesBinance[[#This Row],[Tipo]]="DROP"),L187*H187,-L187*H187)</f>
        <v>610000000</v>
      </c>
      <c r="N18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Row],[Tipo]]="DROP"),N186+TbTradesBinance[[#This Row],[Qtt]],N186-TbTradesBinance[[#This Row],[Qtt]]),IF(TbTradesBinance[[#This Row],[Tipo]]="BUY",N186-TbTradesBinance[[#This Row],[Qtt]]*TbTradesBinance[[#This Row],[Preço]],N186+TbTradesBinance[[#This Row],[Qtt]]*TbTradesBinance[[#This Row],[Preço]])),N186)-IF(TbTradesBinance[[#This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Row],[Tipo]]="DROP"),N186+TbTradesBinance[[#This Row],[Qtt]],N186-TbTradesBinance[[#This Row],[Qtt]]),IF(TbTradesBinance[[#This Row],[Tipo]]="BUY",N186-TbTradesBinance[[#This Row],[Qtt]]*TbTradesBinance[[#This Row],[Preço]],N186+TbTradesBinance[[#This Row],[Qtt]]*TbTradesBinance[[#This Row],[Preço]])),N186)-IF(TbTradesBinance[[#This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Row],[Tipo]]="DROP"),N186+TbTradesBinance[[#This Row],[Qtt]],N186-TbTradesBinance[[#This Row],[Qtt]]),IF(TbTradesBinance[[#This Row],[Tipo]]="BUY",N186-TbTradesBinance[[#This Row],[Qtt]]*TbTradesBinance[[#This Row],[Preço]],N186+TbTradesBinance[[#This Row],[Qtt]]*TbTradesBinance[[#This Row],[Preço]])),N186)-IF(TbTradesBinance[[#This Row],[Moeda da Taxa]]=MID(N$1,9,5),TbTradesBinance[[#This Row],[Taxa]],0),8)))</f>
        <v>119745.58804798999</v>
      </c>
      <c r="O187" s="145" cm="1">
        <f t="array" ref="O187">IF(TbTradesBinance[[#This Row],[Tipo]]="EMPTY",0,O186+IF(TbTradesBinance[[#This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Row],[Par]]))),$1:$1,0)),-(N186-N187)/N186*O186),0),0)+IF(TbTradesBinance[[#This Row],[Tipo]]="SELL",IF(ISNUMBER(FIND(MID(O$1,10,5),TbTradesBinance[[#This Row],[Par]])),IF(FIND(MID(O$1,10,5),TbTradesBinance[[#This Row],[Par]])=1, -(N186-N187)/N186*O186,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Row],[Par]])),(-(N186-N187)/N186*O186)+IF(TbTradesBinance[[#This Row],[Resultado]]&gt;0,0,TbTradesBinance[[#This Row],[Taxa]]),0),0))</f>
        <v>119844.14986894446</v>
      </c>
      <c r="P187" s="145">
        <f t="shared" si="39"/>
        <v>1.0008230935482563</v>
      </c>
      <c r="Q18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Row],[Tipo]]="DROP"),Q186+TbTradesBinance[[#This Row],[Qtt]],Q186-TbTradesBinance[[#This Row],[Qtt]]),IF(TbTradesBinance[[#This Row],[Tipo]]="BUY",Q186-TbTradesBinance[[#This Row],[Qtt]]*TbTradesBinance[[#This Row],[Preço]],Q186+TbTradesBinance[[#This Row],[Qtt]]*TbTradesBinance[[#This Row],[Preço]])),Q186)-IF(TbTradesBinance[[#This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Row],[Tipo]]="DROP"),Q186+TbTradesBinance[[#This Row],[Qtt]],Q186-TbTradesBinance[[#This Row],[Qtt]]),IF(TbTradesBinance[[#This Row],[Tipo]]="BUY",Q186-TbTradesBinance[[#This Row],[Qtt]]*TbTradesBinance[[#This Row],[Preço]],Q186+TbTradesBinance[[#This Row],[Qtt]]*TbTradesBinance[[#This Row],[Preço]])),Q186)-IF(TbTradesBinance[[#This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Row],[Tipo]]="DROP"),Q186+TbTradesBinance[[#This Row],[Qtt]],Q186-TbTradesBinance[[#This Row],[Qtt]]),IF(TbTradesBinance[[#This Row],[Tipo]]="BUY",Q186-TbTradesBinance[[#This Row],[Qtt]]*TbTradesBinance[[#This Row],[Preço]],Q186+TbTradesBinance[[#This Row],[Qtt]]*TbTradesBinance[[#This Row],[Preço]])),Q186)-IF(TbTradesBinance[[#This Row],[Moeda da Taxa]]=MID(Q$1,9,5),TbTradesBinance[[#This Row],[Taxa]],0),8)))</f>
        <v>2.8600460000000001E-2</v>
      </c>
      <c r="R187" s="145" cm="1">
        <f t="array" ref="R187">IF(TbTradesBinance[[#This Row],[Tipo]]="EMPTY",0,R186+IF(TbTradesBinance[[#This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Row],[Par]]))),$1:$1,0)),-(Q186-Q187)/Q186*R186),0),0)+IF(TbTradesBinance[[#This Row],[Tipo]]="SELL",IF(ISNUMBER(FIND(MID(R$1,10,5),TbTradesBinance[[#This Row],[Par]])),IF(FIND(MID(R$1,10,5),TbTradesBinance[[#This Row],[Par]])=1, -(Q186-Q187)/Q186*R186,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Row],[Par]])),(-(Q186-Q187)/Q186*R186)+IF(TbTradesBinance[[#This Row],[Resultado]]&gt;0,0,TbTradesBinance[[#This Row],[Taxa]]),0),0))</f>
        <v>0.13390752156915653</v>
      </c>
      <c r="S187" s="145">
        <f t="shared" si="40"/>
        <v>4.6820058687572343</v>
      </c>
      <c r="T18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Row],[Tipo]]="DROP"),T186+TbTradesBinance[[#This Row],[Qtt]],T186-TbTradesBinance[[#This Row],[Qtt]]),IF(TbTradesBinance[[#This Row],[Tipo]]="BUY",T186-TbTradesBinance[[#This Row],[Qtt]]*TbTradesBinance[[#This Row],[Preço]],T186+TbTradesBinance[[#This Row],[Qtt]]*TbTradesBinance[[#This Row],[Preço]])),T186)-IF(TbTradesBinance[[#This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Row],[Tipo]]="DROP"),T186+TbTradesBinance[[#This Row],[Qtt]],T186-TbTradesBinance[[#This Row],[Qtt]]),IF(TbTradesBinance[[#This Row],[Tipo]]="BUY",T186-TbTradesBinance[[#This Row],[Qtt]]*TbTradesBinance[[#This Row],[Preço]],T186+TbTradesBinance[[#This Row],[Qtt]]*TbTradesBinance[[#This Row],[Preço]])),T186)-IF(TbTradesBinance[[#This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Row],[Tipo]]="DROP"),T186+TbTradesBinance[[#This Row],[Qtt]],T186-TbTradesBinance[[#This Row],[Qtt]]),IF(TbTradesBinance[[#This Row],[Tipo]]="BUY",T186-TbTradesBinance[[#This Row],[Qtt]]*TbTradesBinance[[#This Row],[Preço]],T186+TbTradesBinance[[#This Row],[Qtt]]*TbTradesBinance[[#This Row],[Preço]])),T186)-IF(TbTradesBinance[[#This Row],[Moeda da Taxa]]=MID(T$1,9,5),TbTradesBinance[[#This Row],[Taxa]],0),8)))</f>
        <v>100424313.72001199</v>
      </c>
      <c r="U187" s="145" cm="1">
        <f t="array" ref="U187">IF(TbTradesBinance[[#This Row],[Tipo]]="EMPTY",0,U186+IF(TbTradesBinance[[#This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Row],[Par]]))),$1:$1,0)),-(T186-T187)/T186*U186),0),0)+IF(TbTradesBinance[[#This Row],[Tipo]]="SELL",IF(ISNUMBER(FIND(MID(U$1,10,5),TbTradesBinance[[#This Row],[Par]])),IF(FIND(MID(U$1,10,5),TbTradesBinance[[#This Row],[Par]])=1, -(T186-T187)/T186*U186,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Row],[Par]])),(-(T186-T187)/T186*U186)+IF(TbTradesBinance[[#This Row],[Resultado]]&gt;0,0,TbTradesBinance[[#This Row],[Taxa]]),0),0))</f>
        <v>612709041.75263202</v>
      </c>
      <c r="V187" s="145">
        <f t="shared" si="41"/>
        <v>6.1012021795926374</v>
      </c>
      <c r="W18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Row],[Tipo]]="DROP"),W186+TbTradesBinance[[#This Row],[Qtt]],W186-TbTradesBinance[[#This Row],[Qtt]]),IF(TbTradesBinance[[#This Row],[Tipo]]="BUY",W186-TbTradesBinance[[#This Row],[Qtt]]*TbTradesBinance[[#This Row],[Preço]],W186+TbTradesBinance[[#This Row],[Qtt]]*TbTradesBinance[[#This Row],[Preço]])),W186)-IF(TbTradesBinance[[#This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Row],[Tipo]]="DROP"),W186+TbTradesBinance[[#This Row],[Qtt]],W186-TbTradesBinance[[#This Row],[Qtt]]),IF(TbTradesBinance[[#This Row],[Tipo]]="BUY",W186-TbTradesBinance[[#This Row],[Qtt]]*TbTradesBinance[[#This Row],[Preço]],W186+TbTradesBinance[[#This Row],[Qtt]]*TbTradesBinance[[#This Row],[Preço]])),W186)-IF(TbTradesBinance[[#This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Row],[Tipo]]="DROP"),W186+TbTradesBinance[[#This Row],[Qtt]],W186-TbTradesBinance[[#This Row],[Qtt]]),IF(TbTradesBinance[[#This Row],[Tipo]]="BUY",W186-TbTradesBinance[[#This Row],[Qtt]]*TbTradesBinance[[#This Row],[Preço]],W186+TbTradesBinance[[#This Row],[Qtt]]*TbTradesBinance[[#This Row],[Preço]])),W186)-IF(TbTradesBinance[[#This Row],[Moeda da Taxa]]=MID(W$1,9,5),TbTradesBinance[[#This Row],[Taxa]],0),8)))</f>
        <v>1.435399E-2</v>
      </c>
      <c r="X187" s="145" cm="1">
        <f t="array" ref="X187">IF(TbTradesBinance[[#This Row],[Tipo]]="EMPTY",0,X186+IF(TbTradesBinance[[#This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Row],[Par]]))),$1:$1,0)),-(W186-W187)/W186*X186),0),0)+IF(TbTradesBinance[[#This Row],[Tipo]]="SELL",IF(ISNUMBER(FIND(MID(X$1,10,5),TbTradesBinance[[#This Row],[Par]])),IF(FIND(MID(X$1,10,5),TbTradesBinance[[#This Row],[Par]])=1, -(W186-W187)/W186*X186,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Row],[Par]])),(-(W186-W187)/W186*X186)+IF(TbTradesBinance[[#This Row],[Resultado]]&gt;0,0,TbTradesBinance[[#This Row],[Taxa]]),0),0))</f>
        <v>2756.4741682907279</v>
      </c>
      <c r="Y187" s="145">
        <f t="shared" si="42"/>
        <v>192035.39700743332</v>
      </c>
      <c r="Z18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Row],[Tipo]]="DROP"),Z186+TbTradesBinance[[#This Row],[Qtt]],Z186-TbTradesBinance[[#This Row],[Qtt]]),IF(TbTradesBinance[[#This Row],[Tipo]]="BUY",Z186-TbTradesBinance[[#This Row],[Qtt]]*TbTradesBinance[[#This Row],[Preço]],Z186+TbTradesBinance[[#This Row],[Qtt]]*TbTradesBinance[[#This Row],[Preço]])),Z186)-IF(TbTradesBinance[[#This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Row],[Tipo]]="DROP"),Z186+TbTradesBinance[[#This Row],[Qtt]],Z186-TbTradesBinance[[#This Row],[Qtt]]),IF(TbTradesBinance[[#This Row],[Tipo]]="BUY",Z186-TbTradesBinance[[#This Row],[Qtt]]*TbTradesBinance[[#This Row],[Preço]],Z186+TbTradesBinance[[#This Row],[Qtt]]*TbTradesBinance[[#This Row],[Preço]])),Z186)-IF(TbTradesBinance[[#This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Row],[Tipo]]="DROP"),Z186+TbTradesBinance[[#This Row],[Qtt]],Z186-TbTradesBinance[[#This Row],[Qtt]]),IF(TbTradesBinance[[#This Row],[Tipo]]="BUY",Z186-TbTradesBinance[[#This Row],[Qtt]]*TbTradesBinance[[#This Row],[Preço]],Z186+TbTradesBinance[[#This Row],[Qtt]]*TbTradesBinance[[#This Row],[Preço]])),Z186)-IF(TbTradesBinance[[#This Row],[Moeda da Taxa]]=MID(Z$1,9,5),TbTradesBinance[[#This Row],[Taxa]],0),8)))</f>
        <v>0</v>
      </c>
      <c r="AA187" s="145" cm="1">
        <f t="array" ref="AA187">IF(TbTradesBinance[[#This Row],[Tipo]]="EMPTY",0,AA186+IF(TbTradesBinance[[#This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Row],[Par]]))),$1:$1,0)),-(Z186-Z187)/Z186*AA186),0),0)+IF(TbTradesBinance[[#This Row],[Tipo]]="SELL",IF(ISNUMBER(FIND(MID(AA$1,10,5),TbTradesBinance[[#This Row],[Par]])),IF(FIND(MID(AA$1,10,5),TbTradesBinance[[#This Row],[Par]])=1, -(Z186-Z187)/Z186*AA186,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Row],[Par]])),(-(Z186-Z187)/Z186*AA186)+IF(TbTradesBinance[[#This Row],[Resultado]]&gt;0,0,TbTradesBinance[[#This Row],[Taxa]]),0),0))</f>
        <v>0</v>
      </c>
      <c r="AB187" s="145">
        <f t="shared" si="43"/>
        <v>0</v>
      </c>
      <c r="AC18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Row],[Tipo]]="DROP"),AC186+TbTradesBinance[[#This Row],[Qtt]],AC186-TbTradesBinance[[#This Row],[Qtt]]),IF(TbTradesBinance[[#This Row],[Tipo]]="BUY",AC186-TbTradesBinance[[#This Row],[Qtt]]*TbTradesBinance[[#This Row],[Preço]],AC186+TbTradesBinance[[#This Row],[Qtt]]*TbTradesBinance[[#This Row],[Preço]])),AC186)-IF(TbTradesBinance[[#This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Row],[Tipo]]="DROP"),AC186+TbTradesBinance[[#This Row],[Qtt]],AC186-TbTradesBinance[[#This Row],[Qtt]]),IF(TbTradesBinance[[#This Row],[Tipo]]="BUY",AC186-TbTradesBinance[[#This Row],[Qtt]]*TbTradesBinance[[#This Row],[Preço]],AC186+TbTradesBinance[[#This Row],[Qtt]]*TbTradesBinance[[#This Row],[Preço]])),AC186)-IF(TbTradesBinance[[#This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Row],[Tipo]]="DROP"),AC186+TbTradesBinance[[#This Row],[Qtt]],AC186-TbTradesBinance[[#This Row],[Qtt]]),IF(TbTradesBinance[[#This Row],[Tipo]]="BUY",AC186-TbTradesBinance[[#This Row],[Qtt]]*TbTradesBinance[[#This Row],[Preço]],AC186+TbTradesBinance[[#This Row],[Qtt]]*TbTradesBinance[[#This Row],[Preço]])),AC186)-IF(TbTradesBinance[[#This Row],[Moeda da Taxa]]=MID(AC$1,9,5),TbTradesBinance[[#This Row],[Taxa]],0),8)))</f>
        <v>0</v>
      </c>
      <c r="AD187" s="145" cm="1">
        <f t="array" ref="AD187">IF(TbTradesBinance[[#This Row],[Tipo]]="EMPTY",0,AD186+IF(TbTradesBinance[[#This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Row],[Par]]))),$1:$1,0)),-(AC186-AC187)/AC186*AD186),0),0)+IF(TbTradesBinance[[#This Row],[Tipo]]="SELL",IF(ISNUMBER(FIND(MID(AD$1,10,5),TbTradesBinance[[#This Row],[Par]])),IF(FIND(MID(AD$1,10,5),TbTradesBinance[[#This Row],[Par]])=1, -(AC186-AC187)/AC186*AD186,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Row],[Par]])),(-(AC186-AC187)/AC186*AD186)+IF(TbTradesBinance[[#This Row],[Resultado]]&gt;0,0,TbTradesBinance[[#This Row],[Taxa]]),0),0))</f>
        <v>0</v>
      </c>
      <c r="AE187" s="145">
        <f t="shared" si="44"/>
        <v>0</v>
      </c>
      <c r="AF18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Row],[Tipo]]="DROP"),AF186+TbTradesBinance[[#This Row],[Qtt]],AF186-TbTradesBinance[[#This Row],[Qtt]]),IF(TbTradesBinance[[#This Row],[Tipo]]="BUY",AF186-TbTradesBinance[[#This Row],[Qtt]]*TbTradesBinance[[#This Row],[Preço]],AF186+TbTradesBinance[[#This Row],[Qtt]]*TbTradesBinance[[#This Row],[Preço]])),AF186)-IF(TbTradesBinance[[#This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Row],[Tipo]]="DROP"),AF186+TbTradesBinance[[#This Row],[Qtt]],AF186-TbTradesBinance[[#This Row],[Qtt]]),IF(TbTradesBinance[[#This Row],[Tipo]]="BUY",AF186-TbTradesBinance[[#This Row],[Qtt]]*TbTradesBinance[[#This Row],[Preço]],AF186+TbTradesBinance[[#This Row],[Qtt]]*TbTradesBinance[[#This Row],[Preço]])),AF186)-IF(TbTradesBinance[[#This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Row],[Tipo]]="DROP"),AF186+TbTradesBinance[[#This Row],[Qtt]],AF186-TbTradesBinance[[#This Row],[Qtt]]),IF(TbTradesBinance[[#This Row],[Tipo]]="BUY",AF186-TbTradesBinance[[#This Row],[Qtt]]*TbTradesBinance[[#This Row],[Preço]],AF186+TbTradesBinance[[#This Row],[Qtt]]*TbTradesBinance[[#This Row],[Preço]])),AF186)-IF(TbTradesBinance[[#This Row],[Moeda da Taxa]]=MID(AF$1,9,5),TbTradesBinance[[#This Row],[Taxa]],0),8)))</f>
        <v>0</v>
      </c>
      <c r="AG187" s="145" cm="1">
        <f t="array" ref="AG187">IF(TbTradesBinance[[#This Row],[Tipo]]="EMPTY",0,AG186+IF(TbTradesBinance[[#This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Row],[Par]]))),$1:$1,0)),-(AF186-AF187)/AF186*AG186),0),0)+IF(TbTradesBinance[[#This Row],[Tipo]]="SELL",IF(ISNUMBER(FIND(MID(AG$1,10,5),TbTradesBinance[[#This Row],[Par]])),IF(FIND(MID(AG$1,10,5),TbTradesBinance[[#This Row],[Par]])=1, -(AF186-AF187)/AF186*AG186,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Row],[Par]])),(-(AF186-AF187)/AF186*AG186)+IF(TbTradesBinance[[#This Row],[Resultado]]&gt;0,0,TbTradesBinance[[#This Row],[Taxa]]),0),0))</f>
        <v>0</v>
      </c>
      <c r="AH187" s="145">
        <f t="shared" si="45"/>
        <v>0</v>
      </c>
      <c r="AI18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Row],[Tipo]]="DROP"),AI186+TbTradesBinance[[#This Row],[Qtt]],AI186-TbTradesBinance[[#This Row],[Qtt]]),IF(TbTradesBinance[[#This Row],[Tipo]]="BUY",AI186-TbTradesBinance[[#This Row],[Qtt]]*TbTradesBinance[[#This Row],[Preço]],AI186+TbTradesBinance[[#This Row],[Qtt]]*TbTradesBinance[[#This Row],[Preço]])),AI186)-IF(TbTradesBinance[[#This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Row],[Tipo]]="DROP"),AI186+TbTradesBinance[[#This Row],[Qtt]],AI186-TbTradesBinance[[#This Row],[Qtt]]),IF(TbTradesBinance[[#This Row],[Tipo]]="BUY",AI186-TbTradesBinance[[#This Row],[Qtt]]*TbTradesBinance[[#This Row],[Preço]],AI186+TbTradesBinance[[#This Row],[Qtt]]*TbTradesBinance[[#This Row],[Preço]])),AI186)-IF(TbTradesBinance[[#This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Row],[Tipo]]="DROP"),AI186+TbTradesBinance[[#This Row],[Qtt]],AI186-TbTradesBinance[[#This Row],[Qtt]]),IF(TbTradesBinance[[#This Row],[Tipo]]="BUY",AI186-TbTradesBinance[[#This Row],[Qtt]]*TbTradesBinance[[#This Row],[Preço]],AI186+TbTradesBinance[[#This Row],[Qtt]]*TbTradesBinance[[#This Row],[Preço]])),AI186)-IF(TbTradesBinance[[#This Row],[Moeda da Taxa]]=MID(AI$1,9,5),TbTradesBinance[[#This Row],[Taxa]],0),8)))</f>
        <v>0</v>
      </c>
      <c r="AJ187" s="145" cm="1">
        <f t="array" ref="AJ187">IF(TbTradesBinance[[#This Row],[Tipo]]="EMPTY",0,AJ186+IF(TbTradesBinance[[#This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Row],[Par]]))),$1:$1,0)),-(AI186-AI187)/AI186*AJ186),0),0)+IF(TbTradesBinance[[#This Row],[Tipo]]="SELL",IF(ISNUMBER(FIND(MID(AJ$1,10,5),TbTradesBinance[[#This Row],[Par]])),IF(FIND(MID(AJ$1,10,5),TbTradesBinance[[#This Row],[Par]])=1, -(AI186-AI187)/AI186*AJ186,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Row],[Par]])),(-(AI186-AI187)/AI186*AJ186)+IF(TbTradesBinance[[#This Row],[Resultado]]&gt;0,0,TbTradesBinance[[#This Row],[Taxa]]),0),0))</f>
        <v>0</v>
      </c>
      <c r="AK187" s="145">
        <f t="shared" si="46"/>
        <v>0</v>
      </c>
      <c r="AL18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Row],[Tipo]]="DROP"),AL186+TbTradesBinance[[#This Row],[Qtt]],AL186-TbTradesBinance[[#This Row],[Qtt]]),IF(TbTradesBinance[[#This Row],[Tipo]]="BUY",AL186-TbTradesBinance[[#This Row],[Qtt]]*TbTradesBinance[[#This Row],[Preço]],AL186+TbTradesBinance[[#This Row],[Qtt]]*TbTradesBinance[[#This Row],[Preço]])),AL186)-IF(TbTradesBinance[[#This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Row],[Tipo]]="DROP"),AL186+TbTradesBinance[[#This Row],[Qtt]],AL186-TbTradesBinance[[#This Row],[Qtt]]),IF(TbTradesBinance[[#This Row],[Tipo]]="BUY",AL186-TbTradesBinance[[#This Row],[Qtt]]*TbTradesBinance[[#This Row],[Preço]],AL186+TbTradesBinance[[#This Row],[Qtt]]*TbTradesBinance[[#This Row],[Preço]])),AL186)-IF(TbTradesBinance[[#This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Row],[Tipo]]="DROP"),AL186+TbTradesBinance[[#This Row],[Qtt]],AL186-TbTradesBinance[[#This Row],[Qtt]]),IF(TbTradesBinance[[#This Row],[Tipo]]="BUY",AL186-TbTradesBinance[[#This Row],[Qtt]]*TbTradesBinance[[#This Row],[Preço]],AL186+TbTradesBinance[[#This Row],[Qtt]]*TbTradesBinance[[#This Row],[Preço]])),AL186)-IF(TbTradesBinance[[#This Row],[Moeda da Taxa]]=MID(AL$1,9,5),TbTradesBinance[[#This Row],[Taxa]],0),8)))</f>
        <v>0</v>
      </c>
      <c r="AM187" s="145" cm="1">
        <f t="array" ref="AM187">IF(TbTradesBinance[[#This Row],[Tipo]]="EMPTY",0,AM186+IF(TbTradesBinance[[#This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Row],[Par]]))),$1:$1,0)),-(AL186-AL187)/AL186*AM186),0),0)+IF(TbTradesBinance[[#This Row],[Tipo]]="SELL",IF(ISNUMBER(FIND(MID(AM$1,10,5),TbTradesBinance[[#This Row],[Par]])),IF(FIND(MID(AM$1,10,5),TbTradesBinance[[#This Row],[Par]])=1, -(AL186-AL187)/AL186*AM186,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Row],[Par]])),(-(AL186-AL187)/AL186*AM186)+IF(TbTradesBinance[[#This Row],[Resultado]]&gt;0,0,TbTradesBinance[[#This Row],[Taxa]]),0),0))</f>
        <v>0</v>
      </c>
      <c r="AN187" s="145">
        <f t="shared" si="47"/>
        <v>0</v>
      </c>
      <c r="AO18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Row],[Tipo]]="DROP"),AO186+TbTradesBinance[[#This Row],[Qtt]],AO186-TbTradesBinance[[#This Row],[Qtt]]),IF(TbTradesBinance[[#This Row],[Tipo]]="BUY",AO186-TbTradesBinance[[#This Row],[Qtt]]*TbTradesBinance[[#This Row],[Preço]],AO186+TbTradesBinance[[#This Row],[Qtt]]*TbTradesBinance[[#This Row],[Preço]])),AO186)-IF(TbTradesBinance[[#This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Row],[Tipo]]="DROP"),AO186+TbTradesBinance[[#This Row],[Qtt]],AO186-TbTradesBinance[[#This Row],[Qtt]]),IF(TbTradesBinance[[#This Row],[Tipo]]="BUY",AO186-TbTradesBinance[[#This Row],[Qtt]]*TbTradesBinance[[#This Row],[Preço]],AO186+TbTradesBinance[[#This Row],[Qtt]]*TbTradesBinance[[#This Row],[Preço]])),AO186)-IF(TbTradesBinance[[#This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Row],[Tipo]]="DROP"),AO186+TbTradesBinance[[#This Row],[Qtt]],AO186-TbTradesBinance[[#This Row],[Qtt]]),IF(TbTradesBinance[[#This Row],[Tipo]]="BUY",AO186-TbTradesBinance[[#This Row],[Qtt]]*TbTradesBinance[[#This Row],[Preço]],AO186+TbTradesBinance[[#This Row],[Qtt]]*TbTradesBinance[[#This Row],[Preço]])),AO186)-IF(TbTradesBinance[[#This Row],[Moeda da Taxa]]=MID(AO$1,9,5),TbTradesBinance[[#This Row],[Taxa]],0),8)))</f>
        <v>3.8363830000000002E-2</v>
      </c>
      <c r="AP187" s="145" cm="1">
        <f t="array" ref="AP187">IF(TbTradesBinance[[#This Row],[Tipo]]="EMPTY",0,AP186+IF(TbTradesBinance[[#This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Row],[Par]]))),$1:$1,0)),-(AO186-AO187)/AO186*AP186),0),0)+IF(TbTradesBinance[[#This Row],[Tipo]]="SELL",IF(ISNUMBER(FIND(MID(AP$1,10,5),TbTradesBinance[[#This Row],[Par]])),IF(FIND(MID(AP$1,10,5),TbTradesBinance[[#This Row],[Par]])=1, -(AO186-AO187)/AO186*AP186,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Row],[Par]])),(-(AO186-AO187)/AO186*AP186)+IF(TbTradesBinance[[#This Row],[Resultado]]&gt;0,0,TbTradesBinance[[#This Row],[Taxa]]),0),0))</f>
        <v>60.349858055862811</v>
      </c>
      <c r="AQ187" s="145">
        <f t="shared" si="48"/>
        <v>1573.0926254199023</v>
      </c>
      <c r="AR18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Row],[Tipo]]="DROP"),AR186+TbTradesBinance[[#This Row],[Qtt]],AR186-TbTradesBinance[[#This Row],[Qtt]]),IF(TbTradesBinance[[#This Row],[Tipo]]="BUY",AR186-TbTradesBinance[[#This Row],[Qtt]]*TbTradesBinance[[#This Row],[Preço]],AR186+TbTradesBinance[[#This Row],[Qtt]]*TbTradesBinance[[#This Row],[Preço]])),AR186)-IF(TbTradesBinance[[#This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Row],[Tipo]]="DROP"),AR186+TbTradesBinance[[#This Row],[Qtt]],AR186-TbTradesBinance[[#This Row],[Qtt]]),IF(TbTradesBinance[[#This Row],[Tipo]]="BUY",AR186-TbTradesBinance[[#This Row],[Qtt]]*TbTradesBinance[[#This Row],[Preço]],AR186+TbTradesBinance[[#This Row],[Qtt]]*TbTradesBinance[[#This Row],[Preço]])),AR186)-IF(TbTradesBinance[[#This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Row],[Tipo]]="DROP"),AR186+TbTradesBinance[[#This Row],[Qtt]],AR186-TbTradesBinance[[#This Row],[Qtt]]),IF(TbTradesBinance[[#This Row],[Tipo]]="BUY",AR186-TbTradesBinance[[#This Row],[Qtt]]*TbTradesBinance[[#This Row],[Preço]],AR186+TbTradesBinance[[#This Row],[Qtt]]*TbTradesBinance[[#This Row],[Preço]])),AR186)-IF(TbTradesBinance[[#This Row],[Moeda da Taxa]]=MID(AR$1,9,5),TbTradesBinance[[#This Row],[Taxa]],0),8)))</f>
        <v>0</v>
      </c>
      <c r="AS187" s="145" cm="1">
        <f t="array" ref="AS187">IF(TbTradesBinance[[#This Row],[Tipo]]="EMPTY",0,AS186+IF(TbTradesBinance[[#This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Row],[Par]]))),$1:$1,0)),-(AR186-AR187)/AR186*AS186),0),0)+IF(TbTradesBinance[[#This Row],[Tipo]]="SELL",IF(ISNUMBER(FIND(MID(AS$1,10,5),TbTradesBinance[[#This Row],[Par]])),IF(FIND(MID(AS$1,10,5),TbTradesBinance[[#This Row],[Par]])=1, -(AR186-AR187)/AR186*AS186,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Row],[Par]])),(-(AR186-AR187)/AR186*AS186)+IF(TbTradesBinance[[#This Row],[Resultado]]&gt;0,0,TbTradesBinance[[#This Row],[Taxa]]),0),0))</f>
        <v>0</v>
      </c>
      <c r="AT187" s="145">
        <f t="shared" si="49"/>
        <v>0</v>
      </c>
      <c r="AU18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Row],[Tipo]]="DROP"),AU186+TbTradesBinance[[#This Row],[Qtt]],AU186-TbTradesBinance[[#This Row],[Qtt]]),IF(TbTradesBinance[[#This Row],[Tipo]]="BUY",AU186-TbTradesBinance[[#This Row],[Qtt]]*TbTradesBinance[[#This Row],[Preço]],AU186+TbTradesBinance[[#This Row],[Qtt]]*TbTradesBinance[[#This Row],[Preço]])),AU186)-IF(TbTradesBinance[[#This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Row],[Tipo]]="DROP"),AU186+TbTradesBinance[[#This Row],[Qtt]],AU186-TbTradesBinance[[#This Row],[Qtt]]),IF(TbTradesBinance[[#This Row],[Tipo]]="BUY",AU186-TbTradesBinance[[#This Row],[Qtt]]*TbTradesBinance[[#This Row],[Preço]],AU186+TbTradesBinance[[#This Row],[Qtt]]*TbTradesBinance[[#This Row],[Preço]])),AU186)-IF(TbTradesBinance[[#This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Row],[Tipo]]="DROP"),AU186+TbTradesBinance[[#This Row],[Qtt]],AU186-TbTradesBinance[[#This Row],[Qtt]]),IF(TbTradesBinance[[#This Row],[Tipo]]="BUY",AU186-TbTradesBinance[[#This Row],[Qtt]]*TbTradesBinance[[#This Row],[Preço]],AU186+TbTradesBinance[[#This Row],[Qtt]]*TbTradesBinance[[#This Row],[Preço]])),AU186)-IF(TbTradesBinance[[#This Row],[Moeda da Taxa]]=MID(AU$1,9,5),TbTradesBinance[[#This Row],[Taxa]],0),8)))</f>
        <v>0.51</v>
      </c>
      <c r="AV187" s="145" cm="1">
        <f t="array" ref="AV187">IF(TbTradesBinance[[#This Row],[Tipo]]="EMPTY",0,AV186+IF(TbTradesBinance[[#This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Row],[Par]]))),$1:$1,0)),-(AU186-AU187)/AU186*AV186),0),0)+IF(TbTradesBinance[[#This Row],[Tipo]]="SELL",IF(ISNUMBER(FIND(MID(AV$1,10,5),TbTradesBinance[[#This Row],[Par]])),IF(FIND(MID(AV$1,10,5),TbTradesBinance[[#This Row],[Par]])=1, -(AU186-AU187)/AU186*AV186,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Row],[Par]])),(-(AU186-AU187)/AU186*AV186)+IF(TbTradesBinance[[#This Row],[Resultado]]&gt;0,0,TbTradesBinance[[#This Row],[Taxa]]),0),0))</f>
        <v>95.466693037374753</v>
      </c>
      <c r="AW187" s="145">
        <f t="shared" si="50"/>
        <v>187.18959419093088</v>
      </c>
      <c r="AX18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Row],[Tipo]]="DROP"),AX186+TbTradesBinance[[#This Row],[Qtt]],AX186-TbTradesBinance[[#This Row],[Qtt]]),IF(TbTradesBinance[[#This Row],[Tipo]]="BUY",AX186-TbTradesBinance[[#This Row],[Qtt]]*TbTradesBinance[[#This Row],[Preço]],AX186+TbTradesBinance[[#This Row],[Qtt]]*TbTradesBinance[[#This Row],[Preço]])),AX186)-IF(TbTradesBinance[[#This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Row],[Tipo]]="DROP"),AX186+TbTradesBinance[[#This Row],[Qtt]],AX186-TbTradesBinance[[#This Row],[Qtt]]),IF(TbTradesBinance[[#This Row],[Tipo]]="BUY",AX186-TbTradesBinance[[#This Row],[Qtt]]*TbTradesBinance[[#This Row],[Preço]],AX186+TbTradesBinance[[#This Row],[Qtt]]*TbTradesBinance[[#This Row],[Preço]])),AX186)-IF(TbTradesBinance[[#This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Row],[Tipo]]="DROP"),AX186+TbTradesBinance[[#This Row],[Qtt]],AX186-TbTradesBinance[[#This Row],[Qtt]]),IF(TbTradesBinance[[#This Row],[Tipo]]="BUY",AX186-TbTradesBinance[[#This Row],[Qtt]]*TbTradesBinance[[#This Row],[Preço]],AX186+TbTradesBinance[[#This Row],[Qtt]]*TbTradesBinance[[#This Row],[Preço]])),AX186)-IF(TbTradesBinance[[#This Row],[Moeda da Taxa]]=MID(AX$1,9,5),TbTradesBinance[[#This Row],[Taxa]],0),8)))</f>
        <v>0.32838000000000001</v>
      </c>
      <c r="AY187" s="145" cm="1">
        <f t="array" ref="AY187">IF(TbTradesBinance[[#This Row],[Tipo]]="EMPTY",0,AY186+IF(TbTradesBinance[[#This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Row],[Par]]))),$1:$1,0)),-(AX186-AX187)/AX186*AY186),0),0)+IF(TbTradesBinance[[#This Row],[Tipo]]="SELL",IF(ISNUMBER(FIND(MID(AY$1,10,5),TbTradesBinance[[#This Row],[Par]])),IF(FIND(MID(AY$1,10,5),TbTradesBinance[[#This Row],[Par]])=1, -(AX186-AX187)/AX186*AY186,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Row],[Par]])),(-(AX186-AX187)/AX186*AY186)+IF(TbTradesBinance[[#This Row],[Resultado]]&gt;0,0,TbTradesBinance[[#This Row],[Taxa]]),0),0))</f>
        <v>61.364116058805678</v>
      </c>
      <c r="AZ187" s="145">
        <f t="shared" si="51"/>
        <v>186.869224857804</v>
      </c>
      <c r="BA18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Row],[Tipo]]="DROP"),BA186+TbTradesBinance[[#This Row],[Qtt]],BA186-TbTradesBinance[[#This Row],[Qtt]]),IF(TbTradesBinance[[#This Row],[Tipo]]="BUY",BA186-TbTradesBinance[[#This Row],[Qtt]]*TbTradesBinance[[#This Row],[Preço]],BA186+TbTradesBinance[[#This Row],[Qtt]]*TbTradesBinance[[#This Row],[Preço]])),BA186)-IF(TbTradesBinance[[#This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Row],[Tipo]]="DROP"),BA186+TbTradesBinance[[#This Row],[Qtt]],BA186-TbTradesBinance[[#This Row],[Qtt]]),IF(TbTradesBinance[[#This Row],[Tipo]]="BUY",BA186-TbTradesBinance[[#This Row],[Qtt]]*TbTradesBinance[[#This Row],[Preço]],BA186+TbTradesBinance[[#This Row],[Qtt]]*TbTradesBinance[[#This Row],[Preço]])),BA186)-IF(TbTradesBinance[[#This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Row],[Tipo]]="DROP"),BA186+TbTradesBinance[[#This Row],[Qtt]],BA186-TbTradesBinance[[#This Row],[Qtt]]),IF(TbTradesBinance[[#This Row],[Tipo]]="BUY",BA186-TbTradesBinance[[#This Row],[Qtt]]*TbTradesBinance[[#This Row],[Preço]],BA186+TbTradesBinance[[#This Row],[Qtt]]*TbTradesBinance[[#This Row],[Preço]])),BA186)-IF(TbTradesBinance[[#This Row],[Moeda da Taxa]]=MID(BA$1,9,5),TbTradesBinance[[#This Row],[Taxa]],0),8)))</f>
        <v>0</v>
      </c>
      <c r="BB187" s="145" cm="1">
        <f t="array" ref="BB187">IF(TbTradesBinance[[#This Row],[Tipo]]="EMPTY",0,BB186+IF(TbTradesBinance[[#This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Row],[Par]]))),$1:$1,0)),-(BA186-BA187)/BA186*BB186),0),0)+IF(TbTradesBinance[[#This Row],[Tipo]]="SELL",IF(ISNUMBER(FIND(MID(BB$1,10,5),TbTradesBinance[[#This Row],[Par]])),IF(FIND(MID(BB$1,10,5),TbTradesBinance[[#This Row],[Par]])=1, -(BA186-BA187)/BA186*BB186,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Row],[Par]])),(-(BA186-BA187)/BA186*BB186)+IF(TbTradesBinance[[#This Row],[Resultado]]&gt;0,0,TbTradesBinance[[#This Row],[Taxa]]),0),0))</f>
        <v>0</v>
      </c>
      <c r="BC187" s="145">
        <f t="shared" si="52"/>
        <v>0</v>
      </c>
      <c r="BD18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Row],[Tipo]]="DROP"),BD186+TbTradesBinance[[#This Row],[Qtt]],BD186-TbTradesBinance[[#This Row],[Qtt]]),IF(TbTradesBinance[[#This Row],[Tipo]]="BUY",BD186-TbTradesBinance[[#This Row],[Qtt]]*TbTradesBinance[[#This Row],[Preço]],BD186+TbTradesBinance[[#This Row],[Qtt]]*TbTradesBinance[[#This Row],[Preço]])),BD186)-IF(TbTradesBinance[[#This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Row],[Tipo]]="DROP"),BD186+TbTradesBinance[[#This Row],[Qtt]],BD186-TbTradesBinance[[#This Row],[Qtt]]),IF(TbTradesBinance[[#This Row],[Tipo]]="BUY",BD186-TbTradesBinance[[#This Row],[Qtt]]*TbTradesBinance[[#This Row],[Preço]],BD186+TbTradesBinance[[#This Row],[Qtt]]*TbTradesBinance[[#This Row],[Preço]])),BD186)-IF(TbTradesBinance[[#This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Row],[Tipo]]="DROP"),BD186+TbTradesBinance[[#This Row],[Qtt]],BD186-TbTradesBinance[[#This Row],[Qtt]]),IF(TbTradesBinance[[#This Row],[Tipo]]="BUY",BD186-TbTradesBinance[[#This Row],[Qtt]]*TbTradesBinance[[#This Row],[Preço]],BD186+TbTradesBinance[[#This Row],[Qtt]]*TbTradesBinance[[#This Row],[Preço]])),BD186)-IF(TbTradesBinance[[#This Row],[Moeda da Taxa]]=MID(BD$1,9,5),TbTradesBinance[[#This Row],[Taxa]],0),8)))</f>
        <v>0</v>
      </c>
      <c r="BE187" s="145" cm="1">
        <f t="array" ref="BE187">IF(TbTradesBinance[[#This Row],[Tipo]]="EMPTY",0,BE186+IF(TbTradesBinance[[#This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Row],[Par]]))),$1:$1,0)),-(BD186-BD187)/BD186*BE186),0),0)+IF(TbTradesBinance[[#This Row],[Tipo]]="SELL",IF(ISNUMBER(FIND(MID(BE$1,10,5),TbTradesBinance[[#This Row],[Par]])),IF(FIND(MID(BE$1,10,5),TbTradesBinance[[#This Row],[Par]])=1, -(BD186-BD187)/BD186*BE186,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Row],[Par]])),(-(BD186-BD187)/BD186*BE186)+IF(TbTradesBinance[[#This Row],[Resultado]]&gt;0,0,TbTradesBinance[[#This Row],[Taxa]]),0),0))</f>
        <v>0</v>
      </c>
      <c r="BF187" s="145">
        <f t="shared" si="53"/>
        <v>0</v>
      </c>
      <c r="BG18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Row],[Tipo]]="DROP"),BG186+TbTradesBinance[[#This Row],[Qtt]],BG186-TbTradesBinance[[#This Row],[Qtt]]),IF(TbTradesBinance[[#This Row],[Tipo]]="BUY",BG186-TbTradesBinance[[#This Row],[Qtt]]*TbTradesBinance[[#This Row],[Preço]],BG186+TbTradesBinance[[#This Row],[Qtt]]*TbTradesBinance[[#This Row],[Preço]])),BG186)-IF(TbTradesBinance[[#This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Row],[Tipo]]="DROP"),BG186+TbTradesBinance[[#This Row],[Qtt]],BG186-TbTradesBinance[[#This Row],[Qtt]]),IF(TbTradesBinance[[#This Row],[Tipo]]="BUY",BG186-TbTradesBinance[[#This Row],[Qtt]]*TbTradesBinance[[#This Row],[Preço]],BG186+TbTradesBinance[[#This Row],[Qtt]]*TbTradesBinance[[#This Row],[Preço]])),BG186)-IF(TbTradesBinance[[#This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Row],[Tipo]]="DROP"),BG186+TbTradesBinance[[#This Row],[Qtt]],BG186-TbTradesBinance[[#This Row],[Qtt]]),IF(TbTradesBinance[[#This Row],[Tipo]]="BUY",BG186-TbTradesBinance[[#This Row],[Qtt]]*TbTradesBinance[[#This Row],[Preço]],BG186+TbTradesBinance[[#This Row],[Qtt]]*TbTradesBinance[[#This Row],[Preço]])),BG186)-IF(TbTradesBinance[[#This Row],[Moeda da Taxa]]=MID(BG$1,9,5),TbTradesBinance[[#This Row],[Taxa]],0),8)))</f>
        <v>0</v>
      </c>
      <c r="BH187" s="145" cm="1">
        <f t="array" ref="BH187">IF(TbTradesBinance[[#This Row],[Tipo]]="EMPTY",0,BH186+IF(TbTradesBinance[[#This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Row],[Par]]))),$1:$1,0)),-(BG186-BG187)/BG186*BH186),0),0)+IF(TbTradesBinance[[#This Row],[Tipo]]="SELL",IF(ISNUMBER(FIND(MID(BH$1,10,5),TbTradesBinance[[#This Row],[Par]])),IF(FIND(MID(BH$1,10,5),TbTradesBinance[[#This Row],[Par]])=1, -(BG186-BG187)/BG186*BH186,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Row],[Par]])),(-(BG186-BG187)/BG186*BH186)+IF(TbTradesBinance[[#This Row],[Resultado]]&gt;0,0,TbTradesBinance[[#This Row],[Taxa]]),0),0))</f>
        <v>0</v>
      </c>
      <c r="BI187" s="145">
        <f t="shared" si="54"/>
        <v>0</v>
      </c>
      <c r="BJ18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Row],[Tipo]]="DROP"),BJ186+TbTradesBinance[[#This Row],[Qtt]],BJ186-TbTradesBinance[[#This Row],[Qtt]]),IF(TbTradesBinance[[#This Row],[Tipo]]="BUY",BJ186-TbTradesBinance[[#This Row],[Qtt]]*TbTradesBinance[[#This Row],[Preço]],BJ186+TbTradesBinance[[#This Row],[Qtt]]*TbTradesBinance[[#This Row],[Preço]])),BJ186)-IF(TbTradesBinance[[#This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Row],[Tipo]]="DROP"),BJ186+TbTradesBinance[[#This Row],[Qtt]],BJ186-TbTradesBinance[[#This Row],[Qtt]]),IF(TbTradesBinance[[#This Row],[Tipo]]="BUY",BJ186-TbTradesBinance[[#This Row],[Qtt]]*TbTradesBinance[[#This Row],[Preço]],BJ186+TbTradesBinance[[#This Row],[Qtt]]*TbTradesBinance[[#This Row],[Preço]])),BJ186)-IF(TbTradesBinance[[#This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Row],[Tipo]]="DROP"),BJ186+TbTradesBinance[[#This Row],[Qtt]],BJ186-TbTradesBinance[[#This Row],[Qtt]]),IF(TbTradesBinance[[#This Row],[Tipo]]="BUY",BJ186-TbTradesBinance[[#This Row],[Qtt]]*TbTradesBinance[[#This Row],[Preço]],BJ186+TbTradesBinance[[#This Row],[Qtt]]*TbTradesBinance[[#This Row],[Preço]])),BJ186)-IF(TbTradesBinance[[#This Row],[Moeda da Taxa]]=MID(BJ$1,9,5),TbTradesBinance[[#This Row],[Taxa]],0),8)))</f>
        <v>0</v>
      </c>
      <c r="BK187" s="145" cm="1">
        <f t="array" ref="BK187">IF(TbTradesBinance[[#This Row],[Tipo]]="EMPTY",0,BK186+IF(TbTradesBinance[[#This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Row],[Par]]))),$1:$1,0)),-(BJ186-BJ187)/BJ186*BK186),0),0)+IF(TbTradesBinance[[#This Row],[Tipo]]="SELL",IF(ISNUMBER(FIND(MID(BK$1,10,5),TbTradesBinance[[#This Row],[Par]])),IF(FIND(MID(BK$1,10,5),TbTradesBinance[[#This Row],[Par]])=1, -(BJ186-BJ187)/BJ186*BK186,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Row],[Par]])),(-(BJ186-BJ187)/BJ186*BK186)+IF(TbTradesBinance[[#This Row],[Resultado]]&gt;0,0,TbTradesBinance[[#This Row],[Taxa]]),0),0))</f>
        <v>0</v>
      </c>
      <c r="BL187" s="145">
        <f t="shared" si="55"/>
        <v>0</v>
      </c>
      <c r="BM18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Row],[Tipo]]="DROP"),BM186+TbTradesBinance[[#This Row],[Qtt]],BM186-TbTradesBinance[[#This Row],[Qtt]]),IF(TbTradesBinance[[#This Row],[Tipo]]="BUY",BM186-TbTradesBinance[[#This Row],[Qtt]]*TbTradesBinance[[#This Row],[Preço]],BM186+TbTradesBinance[[#This Row],[Qtt]]*TbTradesBinance[[#This Row],[Preço]])),BM186)-IF(TbTradesBinance[[#This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Row],[Tipo]]="DROP"),BM186+TbTradesBinance[[#This Row],[Qtt]],BM186-TbTradesBinance[[#This Row],[Qtt]]),IF(TbTradesBinance[[#This Row],[Tipo]]="BUY",BM186-TbTradesBinance[[#This Row],[Qtt]]*TbTradesBinance[[#This Row],[Preço]],BM186+TbTradesBinance[[#This Row],[Qtt]]*TbTradesBinance[[#This Row],[Preço]])),BM186)-IF(TbTradesBinance[[#This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Row],[Tipo]]="DROP"),BM186+TbTradesBinance[[#This Row],[Qtt]],BM186-TbTradesBinance[[#This Row],[Qtt]]),IF(TbTradesBinance[[#This Row],[Tipo]]="BUY",BM186-TbTradesBinance[[#This Row],[Qtt]]*TbTradesBinance[[#This Row],[Preço]],BM186+TbTradesBinance[[#This Row],[Qtt]]*TbTradesBinance[[#This Row],[Preço]])),BM186)-IF(TbTradesBinance[[#This Row],[Moeda da Taxa]]=MID(BM$1,9,5),TbTradesBinance[[#This Row],[Taxa]],0),8)))</f>
        <v>0</v>
      </c>
      <c r="BN187" s="145" cm="1">
        <f t="array" ref="BN187">IF(TbTradesBinance[[#This Row],[Tipo]]="EMPTY",0,BN186+IF(TbTradesBinance[[#This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Row],[Par]]))),$1:$1,0)),-(BM186-BM187)/BM186*BN186),0),0)+IF(TbTradesBinance[[#This Row],[Tipo]]="SELL",IF(ISNUMBER(FIND(MID(BN$1,10,5),TbTradesBinance[[#This Row],[Par]])),IF(FIND(MID(BN$1,10,5),TbTradesBinance[[#This Row],[Par]])=1, -(BM186-BM187)/BM186*BN186,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Row],[Par]])),(-(BM186-BM187)/BM186*BN186)+IF(TbTradesBinance[[#This Row],[Resultado]]&gt;0,0,TbTradesBinance[[#This Row],[Taxa]]),0),0))</f>
        <v>0</v>
      </c>
      <c r="BO187" s="145">
        <f t="shared" si="56"/>
        <v>0</v>
      </c>
    </row>
    <row r="188" spans="2:67" x14ac:dyDescent="0.3">
      <c r="B188" s="51" t="s">
        <v>241</v>
      </c>
      <c r="C188" s="40">
        <f>TRUNC(IF(AND(TbTradesBinance[[#This Row],[Tipo]]="SEND",TbTradesBinance[[#This Row],[Par]]="BRL"),TbTradesBinance[[#This Row],[Qtt]]*(1-P186)-IF(TbTradesBinance[[#This Row],[Moeda da Taxa]]="BRL",TbTradesBinance[[#This Row],[Taxa]],0),0)+IF(AND(TbTradesBinance[[#This Row],[Tipo]]="BURN",TbTradesBinance[[#This Row],[Par]]="BRL"),-TbTradesBinance[[#This Row],[Qtt]]*P186,0),2)</f>
        <v>0</v>
      </c>
      <c r="D188" s="53">
        <v>44353.646122685182</v>
      </c>
      <c r="E188" s="37" t="s">
        <v>236</v>
      </c>
      <c r="F188" s="47" t="s">
        <v>139</v>
      </c>
      <c r="G188" s="38">
        <v>29873.494999999999</v>
      </c>
      <c r="H188" s="38">
        <v>6.561E-3</v>
      </c>
      <c r="I188" s="38">
        <v>4</v>
      </c>
      <c r="J188" s="37" t="s">
        <v>60</v>
      </c>
      <c r="K188" s="52">
        <v>6.1</v>
      </c>
      <c r="L188" s="40">
        <f t="shared" si="38"/>
        <v>182228.31</v>
      </c>
      <c r="M188" s="40">
        <f>IF(OR(TbTradesBinance[[#This Row],[Tipo]]="BUY",TbTradesBinance[[#This Row],[Tipo]]="RECEIVE",TbTradesBinance[[#This Row],[Tipo]]="DROP"),L188*H188,-L188*H188)</f>
        <v>1195.5999419099999</v>
      </c>
      <c r="N18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Row],[Tipo]]="DROP"),N187+TbTradesBinance[[#This Row],[Qtt]],N187-TbTradesBinance[[#This Row],[Qtt]]),IF(TbTradesBinance[[#This Row],[Tipo]]="BUY",N187-TbTradesBinance[[#This Row],[Qtt]]*TbTradesBinance[[#This Row],[Preço]],N187+TbTradesBinance[[#This Row],[Qtt]]*TbTradesBinance[[#This Row],[Preço]])),N187)-IF(TbTradesBinance[[#This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Row],[Tipo]]="DROP"),N187+TbTradesBinance[[#This Row],[Qtt]],N187-TbTradesBinance[[#This Row],[Qtt]]),IF(TbTradesBinance[[#This Row],[Tipo]]="BUY",N187-TbTradesBinance[[#This Row],[Qtt]]*TbTradesBinance[[#This Row],[Preço]],N187+TbTradesBinance[[#This Row],[Qtt]]*TbTradesBinance[[#This Row],[Preço]])),N187)-IF(TbTradesBinance[[#This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Row],[Tipo]]="DROP"),N187+TbTradesBinance[[#This Row],[Qtt]],N187-TbTradesBinance[[#This Row],[Qtt]]),IF(TbTradesBinance[[#This Row],[Tipo]]="BUY",N187-TbTradesBinance[[#This Row],[Qtt]]*TbTradesBinance[[#This Row],[Preço]],N187+TbTradesBinance[[#This Row],[Qtt]]*TbTradesBinance[[#This Row],[Preço]])),N187)-IF(TbTradesBinance[[#This Row],[Moeda da Taxa]]=MID(N$1,9,5),TbTradesBinance[[#This Row],[Taxa]],0),8)))</f>
        <v>119745.58804798999</v>
      </c>
      <c r="O188" s="145" cm="1">
        <f t="array" ref="O188">IF(TbTradesBinance[[#This Row],[Tipo]]="EMPTY",0,O187+IF(TbTradesBinance[[#This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Row],[Par]]))),$1:$1,0)),-(N187-N188)/N187*O187),0),0)+IF(TbTradesBinance[[#This Row],[Tipo]]="SELL",IF(ISNUMBER(FIND(MID(O$1,10,5),TbTradesBinance[[#This Row],[Par]])),IF(FIND(MID(O$1,10,5),TbTradesBinance[[#This Row],[Par]])=1, -(N187-N188)/N187*O187,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Row],[Par]])),(-(N187-N188)/N187*O187)+IF(TbTradesBinance[[#This Row],[Resultado]]&gt;0,0,TbTradesBinance[[#This Row],[Taxa]]),0),0))</f>
        <v>119844.14986894446</v>
      </c>
      <c r="P188" s="145">
        <f t="shared" si="39"/>
        <v>1.0008230935482563</v>
      </c>
      <c r="Q18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Row],[Tipo]]="DROP"),Q187+TbTradesBinance[[#This Row],[Qtt]],Q187-TbTradesBinance[[#This Row],[Qtt]]),IF(TbTradesBinance[[#This Row],[Tipo]]="BUY",Q187-TbTradesBinance[[#This Row],[Qtt]]*TbTradesBinance[[#This Row],[Preço]],Q187+TbTradesBinance[[#This Row],[Qtt]]*TbTradesBinance[[#This Row],[Preço]])),Q187)-IF(TbTradesBinance[[#This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Row],[Tipo]]="DROP"),Q187+TbTradesBinance[[#This Row],[Qtt]],Q187-TbTradesBinance[[#This Row],[Qtt]]),IF(TbTradesBinance[[#This Row],[Tipo]]="BUY",Q187-TbTradesBinance[[#This Row],[Qtt]]*TbTradesBinance[[#This Row],[Preço]],Q187+TbTradesBinance[[#This Row],[Qtt]]*TbTradesBinance[[#This Row],[Preço]])),Q187)-IF(TbTradesBinance[[#This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Row],[Tipo]]="DROP"),Q187+TbTradesBinance[[#This Row],[Qtt]],Q187-TbTradesBinance[[#This Row],[Qtt]]),IF(TbTradesBinance[[#This Row],[Tipo]]="BUY",Q187-TbTradesBinance[[#This Row],[Qtt]]*TbTradesBinance[[#This Row],[Preço]],Q187+TbTradesBinance[[#This Row],[Qtt]]*TbTradesBinance[[#This Row],[Preço]])),Q187)-IF(TbTradesBinance[[#This Row],[Moeda da Taxa]]=MID(Q$1,9,5),TbTradesBinance[[#This Row],[Taxa]],0),8)))</f>
        <v>2.8600460000000001E-2</v>
      </c>
      <c r="R188" s="145" cm="1">
        <f t="array" ref="R188">IF(TbTradesBinance[[#This Row],[Tipo]]="EMPTY",0,R187+IF(TbTradesBinance[[#This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Row],[Par]]))),$1:$1,0)),-(Q187-Q188)/Q187*R187),0),0)+IF(TbTradesBinance[[#This Row],[Tipo]]="SELL",IF(ISNUMBER(FIND(MID(R$1,10,5),TbTradesBinance[[#This Row],[Par]])),IF(FIND(MID(R$1,10,5),TbTradesBinance[[#This Row],[Par]])=1, -(Q187-Q188)/Q187*R187,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Row],[Par]])),(-(Q187-Q188)/Q187*R187)+IF(TbTradesBinance[[#This Row],[Resultado]]&gt;0,0,TbTradesBinance[[#This Row],[Taxa]]),0),0))</f>
        <v>0.13390752156915653</v>
      </c>
      <c r="S188" s="145">
        <f t="shared" si="40"/>
        <v>4.6820058687572343</v>
      </c>
      <c r="T18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Row],[Tipo]]="DROP"),T187+TbTradesBinance[[#This Row],[Qtt]],T187-TbTradesBinance[[#This Row],[Qtt]]),IF(TbTradesBinance[[#This Row],[Tipo]]="BUY",T187-TbTradesBinance[[#This Row],[Qtt]]*TbTradesBinance[[#This Row],[Preço]],T187+TbTradesBinance[[#This Row],[Qtt]]*TbTradesBinance[[#This Row],[Preço]])),T187)-IF(TbTradesBinance[[#This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Row],[Tipo]]="DROP"),T187+TbTradesBinance[[#This Row],[Qtt]],T187-TbTradesBinance[[#This Row],[Qtt]]),IF(TbTradesBinance[[#This Row],[Tipo]]="BUY",T187-TbTradesBinance[[#This Row],[Qtt]]*TbTradesBinance[[#This Row],[Preço]],T187+TbTradesBinance[[#This Row],[Qtt]]*TbTradesBinance[[#This Row],[Preço]])),T187)-IF(TbTradesBinance[[#This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Row],[Tipo]]="DROP"),T187+TbTradesBinance[[#This Row],[Qtt]],T187-TbTradesBinance[[#This Row],[Qtt]]),IF(TbTradesBinance[[#This Row],[Tipo]]="BUY",T187-TbTradesBinance[[#This Row],[Qtt]]*TbTradesBinance[[#This Row],[Preço]],T187+TbTradesBinance[[#This Row],[Qtt]]*TbTradesBinance[[#This Row],[Preço]])),T187)-IF(TbTradesBinance[[#This Row],[Moeda da Taxa]]=MID(T$1,9,5),TbTradesBinance[[#This Row],[Taxa]],0),8)))</f>
        <v>100424113.720011</v>
      </c>
      <c r="U188" s="145" cm="1">
        <f t="array" ref="U188">IF(TbTradesBinance[[#This Row],[Tipo]]="EMPTY",0,U187+IF(TbTradesBinance[[#This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Row],[Par]]))),$1:$1,0)),-(T187-T188)/T187*U187),0),0)+IF(TbTradesBinance[[#This Row],[Tipo]]="SELL",IF(ISNUMBER(FIND(MID(U$1,10,5),TbTradesBinance[[#This Row],[Par]])),IF(FIND(MID(U$1,10,5),TbTradesBinance[[#This Row],[Par]])=1, -(T187-T188)/T187*U187,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Row],[Par]])),(-(T187-T188)/T187*U187)+IF(TbTradesBinance[[#This Row],[Resultado]]&gt;0,0,TbTradesBinance[[#This Row],[Taxa]]),0),0))</f>
        <v>612707821.51218998</v>
      </c>
      <c r="V188" s="145">
        <f t="shared" si="41"/>
        <v>6.1012021795926374</v>
      </c>
      <c r="W18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Row],[Tipo]]="DROP"),W187+TbTradesBinance[[#This Row],[Qtt]],W187-TbTradesBinance[[#This Row],[Qtt]]),IF(TbTradesBinance[[#This Row],[Tipo]]="BUY",W187-TbTradesBinance[[#This Row],[Qtt]]*TbTradesBinance[[#This Row],[Preço]],W187+TbTradesBinance[[#This Row],[Qtt]]*TbTradesBinance[[#This Row],[Preço]])),W187)-IF(TbTradesBinance[[#This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Row],[Tipo]]="DROP"),W187+TbTradesBinance[[#This Row],[Qtt]],W187-TbTradesBinance[[#This Row],[Qtt]]),IF(TbTradesBinance[[#This Row],[Tipo]]="BUY",W187-TbTradesBinance[[#This Row],[Qtt]]*TbTradesBinance[[#This Row],[Preço]],W187+TbTradesBinance[[#This Row],[Qtt]]*TbTradesBinance[[#This Row],[Preço]])),W187)-IF(TbTradesBinance[[#This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Row],[Tipo]]="DROP"),W187+TbTradesBinance[[#This Row],[Qtt]],W187-TbTradesBinance[[#This Row],[Qtt]]),IF(TbTradesBinance[[#This Row],[Tipo]]="BUY",W187-TbTradesBinance[[#This Row],[Qtt]]*TbTradesBinance[[#This Row],[Preço]],W187+TbTradesBinance[[#This Row],[Qtt]]*TbTradesBinance[[#This Row],[Preço]])),W187)-IF(TbTradesBinance[[#This Row],[Moeda da Taxa]]=MID(W$1,9,5),TbTradesBinance[[#This Row],[Taxa]],0),8)))</f>
        <v>2.0914990000000001E-2</v>
      </c>
      <c r="X188" s="145" cm="1">
        <f t="array" ref="X188">IF(TbTradesBinance[[#This Row],[Tipo]]="EMPTY",0,X187+IF(TbTradesBinance[[#This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Row],[Par]]))),$1:$1,0)),-(W187-W188)/W187*X187),0),0)+IF(TbTradesBinance[[#This Row],[Tipo]]="SELL",IF(ISNUMBER(FIND(MID(X$1,10,5),TbTradesBinance[[#This Row],[Par]])),IF(FIND(MID(X$1,10,5),TbTradesBinance[[#This Row],[Par]])=1, -(W187-W188)/W187*X187,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Row],[Par]])),(-(W187-W188)/W187*X187)+IF(TbTradesBinance[[#This Row],[Resultado]]&gt;0,0,TbTradesBinance[[#This Row],[Taxa]]),0),0))</f>
        <v>3976.7146103005603</v>
      </c>
      <c r="Y188" s="145">
        <f t="shared" si="42"/>
        <v>190137.05530342401</v>
      </c>
      <c r="Z18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Row],[Tipo]]="DROP"),Z187+TbTradesBinance[[#This Row],[Qtt]],Z187-TbTradesBinance[[#This Row],[Qtt]]),IF(TbTradesBinance[[#This Row],[Tipo]]="BUY",Z187-TbTradesBinance[[#This Row],[Qtt]]*TbTradesBinance[[#This Row],[Preço]],Z187+TbTradesBinance[[#This Row],[Qtt]]*TbTradesBinance[[#This Row],[Preço]])),Z187)-IF(TbTradesBinance[[#This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Row],[Tipo]]="DROP"),Z187+TbTradesBinance[[#This Row],[Qtt]],Z187-TbTradesBinance[[#This Row],[Qtt]]),IF(TbTradesBinance[[#This Row],[Tipo]]="BUY",Z187-TbTradesBinance[[#This Row],[Qtt]]*TbTradesBinance[[#This Row],[Preço]],Z187+TbTradesBinance[[#This Row],[Qtt]]*TbTradesBinance[[#This Row],[Preço]])),Z187)-IF(TbTradesBinance[[#This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Row],[Tipo]]="DROP"),Z187+TbTradesBinance[[#This Row],[Qtt]],Z187-TbTradesBinance[[#This Row],[Qtt]]),IF(TbTradesBinance[[#This Row],[Tipo]]="BUY",Z187-TbTradesBinance[[#This Row],[Qtt]]*TbTradesBinance[[#This Row],[Preço]],Z187+TbTradesBinance[[#This Row],[Qtt]]*TbTradesBinance[[#This Row],[Preço]])),Z187)-IF(TbTradesBinance[[#This Row],[Moeda da Taxa]]=MID(Z$1,9,5),TbTradesBinance[[#This Row],[Taxa]],0),8)))</f>
        <v>0</v>
      </c>
      <c r="AA188" s="145" cm="1">
        <f t="array" ref="AA188">IF(TbTradesBinance[[#This Row],[Tipo]]="EMPTY",0,AA187+IF(TbTradesBinance[[#This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Row],[Par]]))),$1:$1,0)),-(Z187-Z188)/Z187*AA187),0),0)+IF(TbTradesBinance[[#This Row],[Tipo]]="SELL",IF(ISNUMBER(FIND(MID(AA$1,10,5),TbTradesBinance[[#This Row],[Par]])),IF(FIND(MID(AA$1,10,5),TbTradesBinance[[#This Row],[Par]])=1, -(Z187-Z188)/Z187*AA187,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Row],[Par]])),(-(Z187-Z188)/Z187*AA187)+IF(TbTradesBinance[[#This Row],[Resultado]]&gt;0,0,TbTradesBinance[[#This Row],[Taxa]]),0),0))</f>
        <v>0</v>
      </c>
      <c r="AB188" s="145">
        <f t="shared" si="43"/>
        <v>0</v>
      </c>
      <c r="AC18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Row],[Tipo]]="DROP"),AC187+TbTradesBinance[[#This Row],[Qtt]],AC187-TbTradesBinance[[#This Row],[Qtt]]),IF(TbTradesBinance[[#This Row],[Tipo]]="BUY",AC187-TbTradesBinance[[#This Row],[Qtt]]*TbTradesBinance[[#This Row],[Preço]],AC187+TbTradesBinance[[#This Row],[Qtt]]*TbTradesBinance[[#This Row],[Preço]])),AC187)-IF(TbTradesBinance[[#This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Row],[Tipo]]="DROP"),AC187+TbTradesBinance[[#This Row],[Qtt]],AC187-TbTradesBinance[[#This Row],[Qtt]]),IF(TbTradesBinance[[#This Row],[Tipo]]="BUY",AC187-TbTradesBinance[[#This Row],[Qtt]]*TbTradesBinance[[#This Row],[Preço]],AC187+TbTradesBinance[[#This Row],[Qtt]]*TbTradesBinance[[#This Row],[Preço]])),AC187)-IF(TbTradesBinance[[#This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Row],[Tipo]]="DROP"),AC187+TbTradesBinance[[#This Row],[Qtt]],AC187-TbTradesBinance[[#This Row],[Qtt]]),IF(TbTradesBinance[[#This Row],[Tipo]]="BUY",AC187-TbTradesBinance[[#This Row],[Qtt]]*TbTradesBinance[[#This Row],[Preço]],AC187+TbTradesBinance[[#This Row],[Qtt]]*TbTradesBinance[[#This Row],[Preço]])),AC187)-IF(TbTradesBinance[[#This Row],[Moeda da Taxa]]=MID(AC$1,9,5),TbTradesBinance[[#This Row],[Taxa]],0),8)))</f>
        <v>0</v>
      </c>
      <c r="AD188" s="145" cm="1">
        <f t="array" ref="AD188">IF(TbTradesBinance[[#This Row],[Tipo]]="EMPTY",0,AD187+IF(TbTradesBinance[[#This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Row],[Par]]))),$1:$1,0)),-(AC187-AC188)/AC187*AD187),0),0)+IF(TbTradesBinance[[#This Row],[Tipo]]="SELL",IF(ISNUMBER(FIND(MID(AD$1,10,5),TbTradesBinance[[#This Row],[Par]])),IF(FIND(MID(AD$1,10,5),TbTradesBinance[[#This Row],[Par]])=1, -(AC187-AC188)/AC187*AD187,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Row],[Par]])),(-(AC187-AC188)/AC187*AD187)+IF(TbTradesBinance[[#This Row],[Resultado]]&gt;0,0,TbTradesBinance[[#This Row],[Taxa]]),0),0))</f>
        <v>0</v>
      </c>
      <c r="AE188" s="145">
        <f t="shared" si="44"/>
        <v>0</v>
      </c>
      <c r="AF18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Row],[Tipo]]="DROP"),AF187+TbTradesBinance[[#This Row],[Qtt]],AF187-TbTradesBinance[[#This Row],[Qtt]]),IF(TbTradesBinance[[#This Row],[Tipo]]="BUY",AF187-TbTradesBinance[[#This Row],[Qtt]]*TbTradesBinance[[#This Row],[Preço]],AF187+TbTradesBinance[[#This Row],[Qtt]]*TbTradesBinance[[#This Row],[Preço]])),AF187)-IF(TbTradesBinance[[#This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Row],[Tipo]]="DROP"),AF187+TbTradesBinance[[#This Row],[Qtt]],AF187-TbTradesBinance[[#This Row],[Qtt]]),IF(TbTradesBinance[[#This Row],[Tipo]]="BUY",AF187-TbTradesBinance[[#This Row],[Qtt]]*TbTradesBinance[[#This Row],[Preço]],AF187+TbTradesBinance[[#This Row],[Qtt]]*TbTradesBinance[[#This Row],[Preço]])),AF187)-IF(TbTradesBinance[[#This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Row],[Tipo]]="DROP"),AF187+TbTradesBinance[[#This Row],[Qtt]],AF187-TbTradesBinance[[#This Row],[Qtt]]),IF(TbTradesBinance[[#This Row],[Tipo]]="BUY",AF187-TbTradesBinance[[#This Row],[Qtt]]*TbTradesBinance[[#This Row],[Preço]],AF187+TbTradesBinance[[#This Row],[Qtt]]*TbTradesBinance[[#This Row],[Preço]])),AF187)-IF(TbTradesBinance[[#This Row],[Moeda da Taxa]]=MID(AF$1,9,5),TbTradesBinance[[#This Row],[Taxa]],0),8)))</f>
        <v>0</v>
      </c>
      <c r="AG188" s="145" cm="1">
        <f t="array" ref="AG188">IF(TbTradesBinance[[#This Row],[Tipo]]="EMPTY",0,AG187+IF(TbTradesBinance[[#This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Row],[Par]]))),$1:$1,0)),-(AF187-AF188)/AF187*AG187),0),0)+IF(TbTradesBinance[[#This Row],[Tipo]]="SELL",IF(ISNUMBER(FIND(MID(AG$1,10,5),TbTradesBinance[[#This Row],[Par]])),IF(FIND(MID(AG$1,10,5),TbTradesBinance[[#This Row],[Par]])=1, -(AF187-AF188)/AF187*AG187,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Row],[Par]])),(-(AF187-AF188)/AF187*AG187)+IF(TbTradesBinance[[#This Row],[Resultado]]&gt;0,0,TbTradesBinance[[#This Row],[Taxa]]),0),0))</f>
        <v>0</v>
      </c>
      <c r="AH188" s="145">
        <f t="shared" si="45"/>
        <v>0</v>
      </c>
      <c r="AI18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Row],[Tipo]]="DROP"),AI187+TbTradesBinance[[#This Row],[Qtt]],AI187-TbTradesBinance[[#This Row],[Qtt]]),IF(TbTradesBinance[[#This Row],[Tipo]]="BUY",AI187-TbTradesBinance[[#This Row],[Qtt]]*TbTradesBinance[[#This Row],[Preço]],AI187+TbTradesBinance[[#This Row],[Qtt]]*TbTradesBinance[[#This Row],[Preço]])),AI187)-IF(TbTradesBinance[[#This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Row],[Tipo]]="DROP"),AI187+TbTradesBinance[[#This Row],[Qtt]],AI187-TbTradesBinance[[#This Row],[Qtt]]),IF(TbTradesBinance[[#This Row],[Tipo]]="BUY",AI187-TbTradesBinance[[#This Row],[Qtt]]*TbTradesBinance[[#This Row],[Preço]],AI187+TbTradesBinance[[#This Row],[Qtt]]*TbTradesBinance[[#This Row],[Preço]])),AI187)-IF(TbTradesBinance[[#This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Row],[Tipo]]="DROP"),AI187+TbTradesBinance[[#This Row],[Qtt]],AI187-TbTradesBinance[[#This Row],[Qtt]]),IF(TbTradesBinance[[#This Row],[Tipo]]="BUY",AI187-TbTradesBinance[[#This Row],[Qtt]]*TbTradesBinance[[#This Row],[Preço]],AI187+TbTradesBinance[[#This Row],[Qtt]]*TbTradesBinance[[#This Row],[Preço]])),AI187)-IF(TbTradesBinance[[#This Row],[Moeda da Taxa]]=MID(AI$1,9,5),TbTradesBinance[[#This Row],[Taxa]],0),8)))</f>
        <v>0</v>
      </c>
      <c r="AJ188" s="145" cm="1">
        <f t="array" ref="AJ188">IF(TbTradesBinance[[#This Row],[Tipo]]="EMPTY",0,AJ187+IF(TbTradesBinance[[#This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Row],[Par]]))),$1:$1,0)),-(AI187-AI188)/AI187*AJ187),0),0)+IF(TbTradesBinance[[#This Row],[Tipo]]="SELL",IF(ISNUMBER(FIND(MID(AJ$1,10,5),TbTradesBinance[[#This Row],[Par]])),IF(FIND(MID(AJ$1,10,5),TbTradesBinance[[#This Row],[Par]])=1, -(AI187-AI188)/AI187*AJ187,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Row],[Par]])),(-(AI187-AI188)/AI187*AJ187)+IF(TbTradesBinance[[#This Row],[Resultado]]&gt;0,0,TbTradesBinance[[#This Row],[Taxa]]),0),0))</f>
        <v>0</v>
      </c>
      <c r="AK188" s="145">
        <f t="shared" si="46"/>
        <v>0</v>
      </c>
      <c r="AL18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Row],[Tipo]]="DROP"),AL187+TbTradesBinance[[#This Row],[Qtt]],AL187-TbTradesBinance[[#This Row],[Qtt]]),IF(TbTradesBinance[[#This Row],[Tipo]]="BUY",AL187-TbTradesBinance[[#This Row],[Qtt]]*TbTradesBinance[[#This Row],[Preço]],AL187+TbTradesBinance[[#This Row],[Qtt]]*TbTradesBinance[[#This Row],[Preço]])),AL187)-IF(TbTradesBinance[[#This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Row],[Tipo]]="DROP"),AL187+TbTradesBinance[[#This Row],[Qtt]],AL187-TbTradesBinance[[#This Row],[Qtt]]),IF(TbTradesBinance[[#This Row],[Tipo]]="BUY",AL187-TbTradesBinance[[#This Row],[Qtt]]*TbTradesBinance[[#This Row],[Preço]],AL187+TbTradesBinance[[#This Row],[Qtt]]*TbTradesBinance[[#This Row],[Preço]])),AL187)-IF(TbTradesBinance[[#This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Row],[Tipo]]="DROP"),AL187+TbTradesBinance[[#This Row],[Qtt]],AL187-TbTradesBinance[[#This Row],[Qtt]]),IF(TbTradesBinance[[#This Row],[Tipo]]="BUY",AL187-TbTradesBinance[[#This Row],[Qtt]]*TbTradesBinance[[#This Row],[Preço]],AL187+TbTradesBinance[[#This Row],[Qtt]]*TbTradesBinance[[#This Row],[Preço]])),AL187)-IF(TbTradesBinance[[#This Row],[Moeda da Taxa]]=MID(AL$1,9,5),TbTradesBinance[[#This Row],[Taxa]],0),8)))</f>
        <v>0</v>
      </c>
      <c r="AM188" s="145" cm="1">
        <f t="array" ref="AM188">IF(TbTradesBinance[[#This Row],[Tipo]]="EMPTY",0,AM187+IF(TbTradesBinance[[#This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Row],[Par]]))),$1:$1,0)),-(AL187-AL188)/AL187*AM187),0),0)+IF(TbTradesBinance[[#This Row],[Tipo]]="SELL",IF(ISNUMBER(FIND(MID(AM$1,10,5),TbTradesBinance[[#This Row],[Par]])),IF(FIND(MID(AM$1,10,5),TbTradesBinance[[#This Row],[Par]])=1, -(AL187-AL188)/AL187*AM187,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Row],[Par]])),(-(AL187-AL188)/AL187*AM187)+IF(TbTradesBinance[[#This Row],[Resultado]]&gt;0,0,TbTradesBinance[[#This Row],[Taxa]]),0),0))</f>
        <v>0</v>
      </c>
      <c r="AN188" s="145">
        <f t="shared" si="47"/>
        <v>0</v>
      </c>
      <c r="AO18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Row],[Tipo]]="DROP"),AO187+TbTradesBinance[[#This Row],[Qtt]],AO187-TbTradesBinance[[#This Row],[Qtt]]),IF(TbTradesBinance[[#This Row],[Tipo]]="BUY",AO187-TbTradesBinance[[#This Row],[Qtt]]*TbTradesBinance[[#This Row],[Preço]],AO187+TbTradesBinance[[#This Row],[Qtt]]*TbTradesBinance[[#This Row],[Preço]])),AO187)-IF(TbTradesBinance[[#This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Row],[Tipo]]="DROP"),AO187+TbTradesBinance[[#This Row],[Qtt]],AO187-TbTradesBinance[[#This Row],[Qtt]]),IF(TbTradesBinance[[#This Row],[Tipo]]="BUY",AO187-TbTradesBinance[[#This Row],[Qtt]]*TbTradesBinance[[#This Row],[Preço]],AO187+TbTradesBinance[[#This Row],[Qtt]]*TbTradesBinance[[#This Row],[Preço]])),AO187)-IF(TbTradesBinance[[#This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Row],[Tipo]]="DROP"),AO187+TbTradesBinance[[#This Row],[Qtt]],AO187-TbTradesBinance[[#This Row],[Qtt]]),IF(TbTradesBinance[[#This Row],[Tipo]]="BUY",AO187-TbTradesBinance[[#This Row],[Qtt]]*TbTradesBinance[[#This Row],[Preço]],AO187+TbTradesBinance[[#This Row],[Qtt]]*TbTradesBinance[[#This Row],[Preço]])),AO187)-IF(TbTradesBinance[[#This Row],[Moeda da Taxa]]=MID(AO$1,9,5),TbTradesBinance[[#This Row],[Taxa]],0),8)))</f>
        <v>3.8363830000000002E-2</v>
      </c>
      <c r="AP188" s="145" cm="1">
        <f t="array" ref="AP188">IF(TbTradesBinance[[#This Row],[Tipo]]="EMPTY",0,AP187+IF(TbTradesBinance[[#This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Row],[Par]]))),$1:$1,0)),-(AO187-AO188)/AO187*AP187),0),0)+IF(TbTradesBinance[[#This Row],[Tipo]]="SELL",IF(ISNUMBER(FIND(MID(AP$1,10,5),TbTradesBinance[[#This Row],[Par]])),IF(FIND(MID(AP$1,10,5),TbTradesBinance[[#This Row],[Par]])=1, -(AO187-AO188)/AO187*AP187,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Row],[Par]])),(-(AO187-AO188)/AO187*AP187)+IF(TbTradesBinance[[#This Row],[Resultado]]&gt;0,0,TbTradesBinance[[#This Row],[Taxa]]),0),0))</f>
        <v>60.349858055862811</v>
      </c>
      <c r="AQ188" s="145">
        <f t="shared" si="48"/>
        <v>1573.0926254199023</v>
      </c>
      <c r="AR18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Row],[Tipo]]="DROP"),AR187+TbTradesBinance[[#This Row],[Qtt]],AR187-TbTradesBinance[[#This Row],[Qtt]]),IF(TbTradesBinance[[#This Row],[Tipo]]="BUY",AR187-TbTradesBinance[[#This Row],[Qtt]]*TbTradesBinance[[#This Row],[Preço]],AR187+TbTradesBinance[[#This Row],[Qtt]]*TbTradesBinance[[#This Row],[Preço]])),AR187)-IF(TbTradesBinance[[#This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Row],[Tipo]]="DROP"),AR187+TbTradesBinance[[#This Row],[Qtt]],AR187-TbTradesBinance[[#This Row],[Qtt]]),IF(TbTradesBinance[[#This Row],[Tipo]]="BUY",AR187-TbTradesBinance[[#This Row],[Qtt]]*TbTradesBinance[[#This Row],[Preço]],AR187+TbTradesBinance[[#This Row],[Qtt]]*TbTradesBinance[[#This Row],[Preço]])),AR187)-IF(TbTradesBinance[[#This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Row],[Tipo]]="DROP"),AR187+TbTradesBinance[[#This Row],[Qtt]],AR187-TbTradesBinance[[#This Row],[Qtt]]),IF(TbTradesBinance[[#This Row],[Tipo]]="BUY",AR187-TbTradesBinance[[#This Row],[Qtt]]*TbTradesBinance[[#This Row],[Preço]],AR187+TbTradesBinance[[#This Row],[Qtt]]*TbTradesBinance[[#This Row],[Preço]])),AR187)-IF(TbTradesBinance[[#This Row],[Moeda da Taxa]]=MID(AR$1,9,5),TbTradesBinance[[#This Row],[Taxa]],0),8)))</f>
        <v>0</v>
      </c>
      <c r="AS188" s="145" cm="1">
        <f t="array" ref="AS188">IF(TbTradesBinance[[#This Row],[Tipo]]="EMPTY",0,AS187+IF(TbTradesBinance[[#This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Row],[Par]]))),$1:$1,0)),-(AR187-AR188)/AR187*AS187),0),0)+IF(TbTradesBinance[[#This Row],[Tipo]]="SELL",IF(ISNUMBER(FIND(MID(AS$1,10,5),TbTradesBinance[[#This Row],[Par]])),IF(FIND(MID(AS$1,10,5),TbTradesBinance[[#This Row],[Par]])=1, -(AR187-AR188)/AR187*AS187,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Row],[Par]])),(-(AR187-AR188)/AR187*AS187)+IF(TbTradesBinance[[#This Row],[Resultado]]&gt;0,0,TbTradesBinance[[#This Row],[Taxa]]),0),0))</f>
        <v>0</v>
      </c>
      <c r="AT188" s="145">
        <f t="shared" si="49"/>
        <v>0</v>
      </c>
      <c r="AU18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Row],[Tipo]]="DROP"),AU187+TbTradesBinance[[#This Row],[Qtt]],AU187-TbTradesBinance[[#This Row],[Qtt]]),IF(TbTradesBinance[[#This Row],[Tipo]]="BUY",AU187-TbTradesBinance[[#This Row],[Qtt]]*TbTradesBinance[[#This Row],[Preço]],AU187+TbTradesBinance[[#This Row],[Qtt]]*TbTradesBinance[[#This Row],[Preço]])),AU187)-IF(TbTradesBinance[[#This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Row],[Tipo]]="DROP"),AU187+TbTradesBinance[[#This Row],[Qtt]],AU187-TbTradesBinance[[#This Row],[Qtt]]),IF(TbTradesBinance[[#This Row],[Tipo]]="BUY",AU187-TbTradesBinance[[#This Row],[Qtt]]*TbTradesBinance[[#This Row],[Preço]],AU187+TbTradesBinance[[#This Row],[Qtt]]*TbTradesBinance[[#This Row],[Preço]])),AU187)-IF(TbTradesBinance[[#This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Row],[Tipo]]="DROP"),AU187+TbTradesBinance[[#This Row],[Qtt]],AU187-TbTradesBinance[[#This Row],[Qtt]]),IF(TbTradesBinance[[#This Row],[Tipo]]="BUY",AU187-TbTradesBinance[[#This Row],[Qtt]]*TbTradesBinance[[#This Row],[Preço]],AU187+TbTradesBinance[[#This Row],[Qtt]]*TbTradesBinance[[#This Row],[Preço]])),AU187)-IF(TbTradesBinance[[#This Row],[Moeda da Taxa]]=MID(AU$1,9,5),TbTradesBinance[[#This Row],[Taxa]],0),8)))</f>
        <v>0.51</v>
      </c>
      <c r="AV188" s="145" cm="1">
        <f t="array" ref="AV188">IF(TbTradesBinance[[#This Row],[Tipo]]="EMPTY",0,AV187+IF(TbTradesBinance[[#This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Row],[Par]]))),$1:$1,0)),-(AU187-AU188)/AU187*AV187),0),0)+IF(TbTradesBinance[[#This Row],[Tipo]]="SELL",IF(ISNUMBER(FIND(MID(AV$1,10,5),TbTradesBinance[[#This Row],[Par]])),IF(FIND(MID(AV$1,10,5),TbTradesBinance[[#This Row],[Par]])=1, -(AU187-AU188)/AU187*AV187,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Row],[Par]])),(-(AU187-AU188)/AU187*AV187)+IF(TbTradesBinance[[#This Row],[Resultado]]&gt;0,0,TbTradesBinance[[#This Row],[Taxa]]),0),0))</f>
        <v>95.466693037374753</v>
      </c>
      <c r="AW188" s="145">
        <f t="shared" si="50"/>
        <v>187.18959419093088</v>
      </c>
      <c r="AX18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Row],[Tipo]]="DROP"),AX187+TbTradesBinance[[#This Row],[Qtt]],AX187-TbTradesBinance[[#This Row],[Qtt]]),IF(TbTradesBinance[[#This Row],[Tipo]]="BUY",AX187-TbTradesBinance[[#This Row],[Qtt]]*TbTradesBinance[[#This Row],[Preço]],AX187+TbTradesBinance[[#This Row],[Qtt]]*TbTradesBinance[[#This Row],[Preço]])),AX187)-IF(TbTradesBinance[[#This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Row],[Tipo]]="DROP"),AX187+TbTradesBinance[[#This Row],[Qtt]],AX187-TbTradesBinance[[#This Row],[Qtt]]),IF(TbTradesBinance[[#This Row],[Tipo]]="BUY",AX187-TbTradesBinance[[#This Row],[Qtt]]*TbTradesBinance[[#This Row],[Preço]],AX187+TbTradesBinance[[#This Row],[Qtt]]*TbTradesBinance[[#This Row],[Preço]])),AX187)-IF(TbTradesBinance[[#This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Row],[Tipo]]="DROP"),AX187+TbTradesBinance[[#This Row],[Qtt]],AX187-TbTradesBinance[[#This Row],[Qtt]]),IF(TbTradesBinance[[#This Row],[Tipo]]="BUY",AX187-TbTradesBinance[[#This Row],[Qtt]]*TbTradesBinance[[#This Row],[Preço]],AX187+TbTradesBinance[[#This Row],[Qtt]]*TbTradesBinance[[#This Row],[Preço]])),AX187)-IF(TbTradesBinance[[#This Row],[Moeda da Taxa]]=MID(AX$1,9,5),TbTradesBinance[[#This Row],[Taxa]],0),8)))</f>
        <v>0.32838000000000001</v>
      </c>
      <c r="AY188" s="145" cm="1">
        <f t="array" ref="AY188">IF(TbTradesBinance[[#This Row],[Tipo]]="EMPTY",0,AY187+IF(TbTradesBinance[[#This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Row],[Par]]))),$1:$1,0)),-(AX187-AX188)/AX187*AY187),0),0)+IF(TbTradesBinance[[#This Row],[Tipo]]="SELL",IF(ISNUMBER(FIND(MID(AY$1,10,5),TbTradesBinance[[#This Row],[Par]])),IF(FIND(MID(AY$1,10,5),TbTradesBinance[[#This Row],[Par]])=1, -(AX187-AX188)/AX187*AY187,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Row],[Par]])),(-(AX187-AX188)/AX187*AY187)+IF(TbTradesBinance[[#This Row],[Resultado]]&gt;0,0,TbTradesBinance[[#This Row],[Taxa]]),0),0))</f>
        <v>61.364116058805678</v>
      </c>
      <c r="AZ188" s="145">
        <f t="shared" si="51"/>
        <v>186.869224857804</v>
      </c>
      <c r="BA18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Row],[Tipo]]="DROP"),BA187+TbTradesBinance[[#This Row],[Qtt]],BA187-TbTradesBinance[[#This Row],[Qtt]]),IF(TbTradesBinance[[#This Row],[Tipo]]="BUY",BA187-TbTradesBinance[[#This Row],[Qtt]]*TbTradesBinance[[#This Row],[Preço]],BA187+TbTradesBinance[[#This Row],[Qtt]]*TbTradesBinance[[#This Row],[Preço]])),BA187)-IF(TbTradesBinance[[#This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Row],[Tipo]]="DROP"),BA187+TbTradesBinance[[#This Row],[Qtt]],BA187-TbTradesBinance[[#This Row],[Qtt]]),IF(TbTradesBinance[[#This Row],[Tipo]]="BUY",BA187-TbTradesBinance[[#This Row],[Qtt]]*TbTradesBinance[[#This Row],[Preço]],BA187+TbTradesBinance[[#This Row],[Qtt]]*TbTradesBinance[[#This Row],[Preço]])),BA187)-IF(TbTradesBinance[[#This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Row],[Tipo]]="DROP"),BA187+TbTradesBinance[[#This Row],[Qtt]],BA187-TbTradesBinance[[#This Row],[Qtt]]),IF(TbTradesBinance[[#This Row],[Tipo]]="BUY",BA187-TbTradesBinance[[#This Row],[Qtt]]*TbTradesBinance[[#This Row],[Preço]],BA187+TbTradesBinance[[#This Row],[Qtt]]*TbTradesBinance[[#This Row],[Preço]])),BA187)-IF(TbTradesBinance[[#This Row],[Moeda da Taxa]]=MID(BA$1,9,5),TbTradesBinance[[#This Row],[Taxa]],0),8)))</f>
        <v>0</v>
      </c>
      <c r="BB188" s="145" cm="1">
        <f t="array" ref="BB188">IF(TbTradesBinance[[#This Row],[Tipo]]="EMPTY",0,BB187+IF(TbTradesBinance[[#This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Row],[Par]]))),$1:$1,0)),-(BA187-BA188)/BA187*BB187),0),0)+IF(TbTradesBinance[[#This Row],[Tipo]]="SELL",IF(ISNUMBER(FIND(MID(BB$1,10,5),TbTradesBinance[[#This Row],[Par]])),IF(FIND(MID(BB$1,10,5),TbTradesBinance[[#This Row],[Par]])=1, -(BA187-BA188)/BA187*BB187,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Row],[Par]])),(-(BA187-BA188)/BA187*BB187)+IF(TbTradesBinance[[#This Row],[Resultado]]&gt;0,0,TbTradesBinance[[#This Row],[Taxa]]),0),0))</f>
        <v>0</v>
      </c>
      <c r="BC188" s="145">
        <f t="shared" si="52"/>
        <v>0</v>
      </c>
      <c r="BD18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Row],[Tipo]]="DROP"),BD187+TbTradesBinance[[#This Row],[Qtt]],BD187-TbTradesBinance[[#This Row],[Qtt]]),IF(TbTradesBinance[[#This Row],[Tipo]]="BUY",BD187-TbTradesBinance[[#This Row],[Qtt]]*TbTradesBinance[[#This Row],[Preço]],BD187+TbTradesBinance[[#This Row],[Qtt]]*TbTradesBinance[[#This Row],[Preço]])),BD187)-IF(TbTradesBinance[[#This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Row],[Tipo]]="DROP"),BD187+TbTradesBinance[[#This Row],[Qtt]],BD187-TbTradesBinance[[#This Row],[Qtt]]),IF(TbTradesBinance[[#This Row],[Tipo]]="BUY",BD187-TbTradesBinance[[#This Row],[Qtt]]*TbTradesBinance[[#This Row],[Preço]],BD187+TbTradesBinance[[#This Row],[Qtt]]*TbTradesBinance[[#This Row],[Preço]])),BD187)-IF(TbTradesBinance[[#This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Row],[Tipo]]="DROP"),BD187+TbTradesBinance[[#This Row],[Qtt]],BD187-TbTradesBinance[[#This Row],[Qtt]]),IF(TbTradesBinance[[#This Row],[Tipo]]="BUY",BD187-TbTradesBinance[[#This Row],[Qtt]]*TbTradesBinance[[#This Row],[Preço]],BD187+TbTradesBinance[[#This Row],[Qtt]]*TbTradesBinance[[#This Row],[Preço]])),BD187)-IF(TbTradesBinance[[#This Row],[Moeda da Taxa]]=MID(BD$1,9,5),TbTradesBinance[[#This Row],[Taxa]],0),8)))</f>
        <v>0</v>
      </c>
      <c r="BE188" s="145" cm="1">
        <f t="array" ref="BE188">IF(TbTradesBinance[[#This Row],[Tipo]]="EMPTY",0,BE187+IF(TbTradesBinance[[#This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Row],[Par]]))),$1:$1,0)),-(BD187-BD188)/BD187*BE187),0),0)+IF(TbTradesBinance[[#This Row],[Tipo]]="SELL",IF(ISNUMBER(FIND(MID(BE$1,10,5),TbTradesBinance[[#This Row],[Par]])),IF(FIND(MID(BE$1,10,5),TbTradesBinance[[#This Row],[Par]])=1, -(BD187-BD188)/BD187*BE187,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Row],[Par]])),(-(BD187-BD188)/BD187*BE187)+IF(TbTradesBinance[[#This Row],[Resultado]]&gt;0,0,TbTradesBinance[[#This Row],[Taxa]]),0),0))</f>
        <v>0</v>
      </c>
      <c r="BF188" s="145">
        <f t="shared" si="53"/>
        <v>0</v>
      </c>
      <c r="BG18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Row],[Tipo]]="DROP"),BG187+TbTradesBinance[[#This Row],[Qtt]],BG187-TbTradesBinance[[#This Row],[Qtt]]),IF(TbTradesBinance[[#This Row],[Tipo]]="BUY",BG187-TbTradesBinance[[#This Row],[Qtt]]*TbTradesBinance[[#This Row],[Preço]],BG187+TbTradesBinance[[#This Row],[Qtt]]*TbTradesBinance[[#This Row],[Preço]])),BG187)-IF(TbTradesBinance[[#This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Row],[Tipo]]="DROP"),BG187+TbTradesBinance[[#This Row],[Qtt]],BG187-TbTradesBinance[[#This Row],[Qtt]]),IF(TbTradesBinance[[#This Row],[Tipo]]="BUY",BG187-TbTradesBinance[[#This Row],[Qtt]]*TbTradesBinance[[#This Row],[Preço]],BG187+TbTradesBinance[[#This Row],[Qtt]]*TbTradesBinance[[#This Row],[Preço]])),BG187)-IF(TbTradesBinance[[#This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Row],[Tipo]]="DROP"),BG187+TbTradesBinance[[#This Row],[Qtt]],BG187-TbTradesBinance[[#This Row],[Qtt]]),IF(TbTradesBinance[[#This Row],[Tipo]]="BUY",BG187-TbTradesBinance[[#This Row],[Qtt]]*TbTradesBinance[[#This Row],[Preço]],BG187+TbTradesBinance[[#This Row],[Qtt]]*TbTradesBinance[[#This Row],[Preço]])),BG187)-IF(TbTradesBinance[[#This Row],[Moeda da Taxa]]=MID(BG$1,9,5),TbTradesBinance[[#This Row],[Taxa]],0),8)))</f>
        <v>0</v>
      </c>
      <c r="BH188" s="145" cm="1">
        <f t="array" ref="BH188">IF(TbTradesBinance[[#This Row],[Tipo]]="EMPTY",0,BH187+IF(TbTradesBinance[[#This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Row],[Par]]))),$1:$1,0)),-(BG187-BG188)/BG187*BH187),0),0)+IF(TbTradesBinance[[#This Row],[Tipo]]="SELL",IF(ISNUMBER(FIND(MID(BH$1,10,5),TbTradesBinance[[#This Row],[Par]])),IF(FIND(MID(BH$1,10,5),TbTradesBinance[[#This Row],[Par]])=1, -(BG187-BG188)/BG187*BH187,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Row],[Par]])),(-(BG187-BG188)/BG187*BH187)+IF(TbTradesBinance[[#This Row],[Resultado]]&gt;0,0,TbTradesBinance[[#This Row],[Taxa]]),0),0))</f>
        <v>0</v>
      </c>
      <c r="BI188" s="145">
        <f t="shared" si="54"/>
        <v>0</v>
      </c>
      <c r="BJ18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Row],[Tipo]]="DROP"),BJ187+TbTradesBinance[[#This Row],[Qtt]],BJ187-TbTradesBinance[[#This Row],[Qtt]]),IF(TbTradesBinance[[#This Row],[Tipo]]="BUY",BJ187-TbTradesBinance[[#This Row],[Qtt]]*TbTradesBinance[[#This Row],[Preço]],BJ187+TbTradesBinance[[#This Row],[Qtt]]*TbTradesBinance[[#This Row],[Preço]])),BJ187)-IF(TbTradesBinance[[#This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Row],[Tipo]]="DROP"),BJ187+TbTradesBinance[[#This Row],[Qtt]],BJ187-TbTradesBinance[[#This Row],[Qtt]]),IF(TbTradesBinance[[#This Row],[Tipo]]="BUY",BJ187-TbTradesBinance[[#This Row],[Qtt]]*TbTradesBinance[[#This Row],[Preço]],BJ187+TbTradesBinance[[#This Row],[Qtt]]*TbTradesBinance[[#This Row],[Preço]])),BJ187)-IF(TbTradesBinance[[#This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Row],[Tipo]]="DROP"),BJ187+TbTradesBinance[[#This Row],[Qtt]],BJ187-TbTradesBinance[[#This Row],[Qtt]]),IF(TbTradesBinance[[#This Row],[Tipo]]="BUY",BJ187-TbTradesBinance[[#This Row],[Qtt]]*TbTradesBinance[[#This Row],[Preço]],BJ187+TbTradesBinance[[#This Row],[Qtt]]*TbTradesBinance[[#This Row],[Preço]])),BJ187)-IF(TbTradesBinance[[#This Row],[Moeda da Taxa]]=MID(BJ$1,9,5),TbTradesBinance[[#This Row],[Taxa]],0),8)))</f>
        <v>0</v>
      </c>
      <c r="BK188" s="145" cm="1">
        <f t="array" ref="BK188">IF(TbTradesBinance[[#This Row],[Tipo]]="EMPTY",0,BK187+IF(TbTradesBinance[[#This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Row],[Par]]))),$1:$1,0)),-(BJ187-BJ188)/BJ187*BK187),0),0)+IF(TbTradesBinance[[#This Row],[Tipo]]="SELL",IF(ISNUMBER(FIND(MID(BK$1,10,5),TbTradesBinance[[#This Row],[Par]])),IF(FIND(MID(BK$1,10,5),TbTradesBinance[[#This Row],[Par]])=1, -(BJ187-BJ188)/BJ187*BK187,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Row],[Par]])),(-(BJ187-BJ188)/BJ187*BK187)+IF(TbTradesBinance[[#This Row],[Resultado]]&gt;0,0,TbTradesBinance[[#This Row],[Taxa]]),0),0))</f>
        <v>0</v>
      </c>
      <c r="BL188" s="145">
        <f t="shared" si="55"/>
        <v>0</v>
      </c>
      <c r="BM18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Row],[Tipo]]="DROP"),BM187+TbTradesBinance[[#This Row],[Qtt]],BM187-TbTradesBinance[[#This Row],[Qtt]]),IF(TbTradesBinance[[#This Row],[Tipo]]="BUY",BM187-TbTradesBinance[[#This Row],[Qtt]]*TbTradesBinance[[#This Row],[Preço]],BM187+TbTradesBinance[[#This Row],[Qtt]]*TbTradesBinance[[#This Row],[Preço]])),BM187)-IF(TbTradesBinance[[#This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Row],[Tipo]]="DROP"),BM187+TbTradesBinance[[#This Row],[Qtt]],BM187-TbTradesBinance[[#This Row],[Qtt]]),IF(TbTradesBinance[[#This Row],[Tipo]]="BUY",BM187-TbTradesBinance[[#This Row],[Qtt]]*TbTradesBinance[[#This Row],[Preço]],BM187+TbTradesBinance[[#This Row],[Qtt]]*TbTradesBinance[[#This Row],[Preço]])),BM187)-IF(TbTradesBinance[[#This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Row],[Tipo]]="DROP"),BM187+TbTradesBinance[[#This Row],[Qtt]],BM187-TbTradesBinance[[#This Row],[Qtt]]),IF(TbTradesBinance[[#This Row],[Tipo]]="BUY",BM187-TbTradesBinance[[#This Row],[Qtt]]*TbTradesBinance[[#This Row],[Preço]],BM187+TbTradesBinance[[#This Row],[Qtt]]*TbTradesBinance[[#This Row],[Preço]])),BM187)-IF(TbTradesBinance[[#This Row],[Moeda da Taxa]]=MID(BM$1,9,5),TbTradesBinance[[#This Row],[Taxa]],0),8)))</f>
        <v>0</v>
      </c>
      <c r="BN188" s="145" cm="1">
        <f t="array" ref="BN188">IF(TbTradesBinance[[#This Row],[Tipo]]="EMPTY",0,BN187+IF(TbTradesBinance[[#This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Row],[Par]]))),$1:$1,0)),-(BM187-BM188)/BM187*BN187),0),0)+IF(TbTradesBinance[[#This Row],[Tipo]]="SELL",IF(ISNUMBER(FIND(MID(BN$1,10,5),TbTradesBinance[[#This Row],[Par]])),IF(FIND(MID(BN$1,10,5),TbTradesBinance[[#This Row],[Par]])=1, -(BM187-BM188)/BM187*BN187,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Row],[Par]])),(-(BM187-BM188)/BM187*BN187)+IF(TbTradesBinance[[#This Row],[Resultado]]&gt;0,0,TbTradesBinance[[#This Row],[Taxa]]),0),0))</f>
        <v>0</v>
      </c>
      <c r="BO188" s="145">
        <f t="shared" si="56"/>
        <v>0</v>
      </c>
    </row>
    <row r="189" spans="2:67" x14ac:dyDescent="0.3">
      <c r="B189" s="51" t="s">
        <v>240</v>
      </c>
      <c r="C189" s="40">
        <f>TRUNC(IF(AND(TbTradesBinance[[#This Row],[Tipo]]="SEND",TbTradesBinance[[#This Row],[Par]]="BRL"),TbTradesBinance[[#This Row],[Qtt]]*(1-P187)-IF(TbTradesBinance[[#This Row],[Moeda da Taxa]]="BRL",TbTradesBinance[[#This Row],[Taxa]],0),0)+IF(AND(TbTradesBinance[[#This Row],[Tipo]]="BURN",TbTradesBinance[[#This Row],[Par]]="BRL"),-TbTradesBinance[[#This Row],[Qtt]]*P187,0),2)</f>
        <v>0</v>
      </c>
      <c r="D189" s="53">
        <v>44353.647800925923</v>
      </c>
      <c r="E189" s="37" t="s">
        <v>60</v>
      </c>
      <c r="F189" s="47" t="s">
        <v>137</v>
      </c>
      <c r="G189" s="38">
        <v>1</v>
      </c>
      <c r="H189" s="38">
        <v>800000</v>
      </c>
      <c r="I189" s="38">
        <v>0</v>
      </c>
      <c r="J189" s="37" t="s">
        <v>60</v>
      </c>
      <c r="K189" s="52">
        <v>6.1</v>
      </c>
      <c r="L189" s="40">
        <f t="shared" si="38"/>
        <v>6.1</v>
      </c>
      <c r="M189" s="40">
        <f>IF(OR(TbTradesBinance[[#This Row],[Tipo]]="BUY",TbTradesBinance[[#This Row],[Tipo]]="RECEIVE",TbTradesBinance[[#This Row],[Tipo]]="DROP"),L189*H189,-L189*H189)</f>
        <v>4880000</v>
      </c>
      <c r="N18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Row],[Tipo]]="DROP"),N188+TbTradesBinance[[#This Row],[Qtt]],N188-TbTradesBinance[[#This Row],[Qtt]]),IF(TbTradesBinance[[#This Row],[Tipo]]="BUY",N188-TbTradesBinance[[#This Row],[Qtt]]*TbTradesBinance[[#This Row],[Preço]],N188+TbTradesBinance[[#This Row],[Qtt]]*TbTradesBinance[[#This Row],[Preço]])),N188)-IF(TbTradesBinance[[#This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Row],[Tipo]]="DROP"),N188+TbTradesBinance[[#This Row],[Qtt]],N188-TbTradesBinance[[#This Row],[Qtt]]),IF(TbTradesBinance[[#This Row],[Tipo]]="BUY",N188-TbTradesBinance[[#This Row],[Qtt]]*TbTradesBinance[[#This Row],[Preço]],N188+TbTradesBinance[[#This Row],[Qtt]]*TbTradesBinance[[#This Row],[Preço]])),N188)-IF(TbTradesBinance[[#This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Row],[Tipo]]="DROP"),N188+TbTradesBinance[[#This Row],[Qtt]],N188-TbTradesBinance[[#This Row],[Qtt]]),IF(TbTradesBinance[[#This Row],[Tipo]]="BUY",N188-TbTradesBinance[[#This Row],[Qtt]]*TbTradesBinance[[#This Row],[Preço]],N188+TbTradesBinance[[#This Row],[Qtt]]*TbTradesBinance[[#This Row],[Preço]])),N188)-IF(TbTradesBinance[[#This Row],[Moeda da Taxa]]=MID(N$1,9,5),TbTradesBinance[[#This Row],[Taxa]],0),8)))</f>
        <v>119745.58804798999</v>
      </c>
      <c r="O189" s="145" cm="1">
        <f t="array" ref="O189">IF(TbTradesBinance[[#This Row],[Tipo]]="EMPTY",0,O188+IF(TbTradesBinance[[#This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Row],[Par]]))),$1:$1,0)),-(N188-N189)/N188*O188),0),0)+IF(TbTradesBinance[[#This Row],[Tipo]]="SELL",IF(ISNUMBER(FIND(MID(O$1,10,5),TbTradesBinance[[#This Row],[Par]])),IF(FIND(MID(O$1,10,5),TbTradesBinance[[#This Row],[Par]])=1, -(N188-N189)/N188*O188,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Row],[Par]])),(-(N188-N189)/N188*O188)+IF(TbTradesBinance[[#This Row],[Resultado]]&gt;0,0,TbTradesBinance[[#This Row],[Taxa]]),0),0))</f>
        <v>119844.14986894446</v>
      </c>
      <c r="P189" s="145">
        <f t="shared" si="39"/>
        <v>1.0008230935482563</v>
      </c>
      <c r="Q18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Row],[Tipo]]="DROP"),Q188+TbTradesBinance[[#This Row],[Qtt]],Q188-TbTradesBinance[[#This Row],[Qtt]]),IF(TbTradesBinance[[#This Row],[Tipo]]="BUY",Q188-TbTradesBinance[[#This Row],[Qtt]]*TbTradesBinance[[#This Row],[Preço]],Q188+TbTradesBinance[[#This Row],[Qtt]]*TbTradesBinance[[#This Row],[Preço]])),Q188)-IF(TbTradesBinance[[#This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Row],[Tipo]]="DROP"),Q188+TbTradesBinance[[#This Row],[Qtt]],Q188-TbTradesBinance[[#This Row],[Qtt]]),IF(TbTradesBinance[[#This Row],[Tipo]]="BUY",Q188-TbTradesBinance[[#This Row],[Qtt]]*TbTradesBinance[[#This Row],[Preço]],Q188+TbTradesBinance[[#This Row],[Qtt]]*TbTradesBinance[[#This Row],[Preço]])),Q188)-IF(TbTradesBinance[[#This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Row],[Tipo]]="DROP"),Q188+TbTradesBinance[[#This Row],[Qtt]],Q188-TbTradesBinance[[#This Row],[Qtt]]),IF(TbTradesBinance[[#This Row],[Tipo]]="BUY",Q188-TbTradesBinance[[#This Row],[Qtt]]*TbTradesBinance[[#This Row],[Preço]],Q188+TbTradesBinance[[#This Row],[Qtt]]*TbTradesBinance[[#This Row],[Preço]])),Q188)-IF(TbTradesBinance[[#This Row],[Moeda da Taxa]]=MID(Q$1,9,5),TbTradesBinance[[#This Row],[Taxa]],0),8)))</f>
        <v>2.8600460000000001E-2</v>
      </c>
      <c r="R189" s="145" cm="1">
        <f t="array" ref="R189">IF(TbTradesBinance[[#This Row],[Tipo]]="EMPTY",0,R188+IF(TbTradesBinance[[#This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Row],[Par]]))),$1:$1,0)),-(Q188-Q189)/Q188*R188),0),0)+IF(TbTradesBinance[[#This Row],[Tipo]]="SELL",IF(ISNUMBER(FIND(MID(R$1,10,5),TbTradesBinance[[#This Row],[Par]])),IF(FIND(MID(R$1,10,5),TbTradesBinance[[#This Row],[Par]])=1, -(Q188-Q189)/Q188*R188,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Row],[Par]])),(-(Q188-Q189)/Q188*R188)+IF(TbTradesBinance[[#This Row],[Resultado]]&gt;0,0,TbTradesBinance[[#This Row],[Taxa]]),0),0))</f>
        <v>0.13390752156915653</v>
      </c>
      <c r="S189" s="145">
        <f t="shared" si="40"/>
        <v>4.6820058687572343</v>
      </c>
      <c r="T18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Row],[Tipo]]="DROP"),T188+TbTradesBinance[[#This Row],[Qtt]],T188-TbTradesBinance[[#This Row],[Qtt]]),IF(TbTradesBinance[[#This Row],[Tipo]]="BUY",T188-TbTradesBinance[[#This Row],[Qtt]]*TbTradesBinance[[#This Row],[Preço]],T188+TbTradesBinance[[#This Row],[Qtt]]*TbTradesBinance[[#This Row],[Preço]])),T188)-IF(TbTradesBinance[[#This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Row],[Tipo]]="DROP"),T188+TbTradesBinance[[#This Row],[Qtt]],T188-TbTradesBinance[[#This Row],[Qtt]]),IF(TbTradesBinance[[#This Row],[Tipo]]="BUY",T188-TbTradesBinance[[#This Row],[Qtt]]*TbTradesBinance[[#This Row],[Preço]],T188+TbTradesBinance[[#This Row],[Qtt]]*TbTradesBinance[[#This Row],[Preço]])),T188)-IF(TbTradesBinance[[#This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Row],[Tipo]]="DROP"),T188+TbTradesBinance[[#This Row],[Qtt]],T188-TbTradesBinance[[#This Row],[Qtt]]),IF(TbTradesBinance[[#This Row],[Tipo]]="BUY",T188-TbTradesBinance[[#This Row],[Qtt]]*TbTradesBinance[[#This Row],[Preço]],T188+TbTradesBinance[[#This Row],[Qtt]]*TbTradesBinance[[#This Row],[Preço]])),T188)-IF(TbTradesBinance[[#This Row],[Moeda da Taxa]]=MID(T$1,9,5),TbTradesBinance[[#This Row],[Taxa]],0),8)))</f>
        <v>101224113.720011</v>
      </c>
      <c r="U189" s="145" cm="1">
        <f t="array" ref="U189">IF(TbTradesBinance[[#This Row],[Tipo]]="EMPTY",0,U188+IF(TbTradesBinance[[#This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Row],[Par]]))),$1:$1,0)),-(T188-T189)/T188*U188),0),0)+IF(TbTradesBinance[[#This Row],[Tipo]]="SELL",IF(ISNUMBER(FIND(MID(U$1,10,5),TbTradesBinance[[#This Row],[Par]])),IF(FIND(MID(U$1,10,5),TbTradesBinance[[#This Row],[Par]])=1, -(T188-T189)/T188*U188,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Row],[Par]])),(-(T188-T189)/T188*U188)+IF(TbTradesBinance[[#This Row],[Resultado]]&gt;0,0,TbTradesBinance[[#This Row],[Taxa]]),0),0))</f>
        <v>617587821.51218998</v>
      </c>
      <c r="V189" s="145">
        <f t="shared" si="41"/>
        <v>6.1011926784605581</v>
      </c>
      <c r="W18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Row],[Tipo]]="DROP"),W188+TbTradesBinance[[#This Row],[Qtt]],W188-TbTradesBinance[[#This Row],[Qtt]]),IF(TbTradesBinance[[#This Row],[Tipo]]="BUY",W188-TbTradesBinance[[#This Row],[Qtt]]*TbTradesBinance[[#This Row],[Preço]],W188+TbTradesBinance[[#This Row],[Qtt]]*TbTradesBinance[[#This Row],[Preço]])),W188)-IF(TbTradesBinance[[#This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Row],[Tipo]]="DROP"),W188+TbTradesBinance[[#This Row],[Qtt]],W188-TbTradesBinance[[#This Row],[Qtt]]),IF(TbTradesBinance[[#This Row],[Tipo]]="BUY",W188-TbTradesBinance[[#This Row],[Qtt]]*TbTradesBinance[[#This Row],[Preço]],W188+TbTradesBinance[[#This Row],[Qtt]]*TbTradesBinance[[#This Row],[Preço]])),W188)-IF(TbTradesBinance[[#This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Row],[Tipo]]="DROP"),W188+TbTradesBinance[[#This Row],[Qtt]],W188-TbTradesBinance[[#This Row],[Qtt]]),IF(TbTradesBinance[[#This Row],[Tipo]]="BUY",W188-TbTradesBinance[[#This Row],[Qtt]]*TbTradesBinance[[#This Row],[Preço]],W188+TbTradesBinance[[#This Row],[Qtt]]*TbTradesBinance[[#This Row],[Preço]])),W188)-IF(TbTradesBinance[[#This Row],[Moeda da Taxa]]=MID(W$1,9,5),TbTradesBinance[[#This Row],[Taxa]],0),8)))</f>
        <v>2.0914990000000001E-2</v>
      </c>
      <c r="X189" s="145" cm="1">
        <f t="array" ref="X189">IF(TbTradesBinance[[#This Row],[Tipo]]="EMPTY",0,X188+IF(TbTradesBinance[[#This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Row],[Par]]))),$1:$1,0)),-(W188-W189)/W188*X188),0),0)+IF(TbTradesBinance[[#This Row],[Tipo]]="SELL",IF(ISNUMBER(FIND(MID(X$1,10,5),TbTradesBinance[[#This Row],[Par]])),IF(FIND(MID(X$1,10,5),TbTradesBinance[[#This Row],[Par]])=1, -(W188-W189)/W188*X188,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Row],[Par]])),(-(W188-W189)/W188*X188)+IF(TbTradesBinance[[#This Row],[Resultado]]&gt;0,0,TbTradesBinance[[#This Row],[Taxa]]),0),0))</f>
        <v>3976.7146103005603</v>
      </c>
      <c r="Y189" s="145">
        <f t="shared" si="42"/>
        <v>190137.05530342401</v>
      </c>
      <c r="Z18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Row],[Tipo]]="DROP"),Z188+TbTradesBinance[[#This Row],[Qtt]],Z188-TbTradesBinance[[#This Row],[Qtt]]),IF(TbTradesBinance[[#This Row],[Tipo]]="BUY",Z188-TbTradesBinance[[#This Row],[Qtt]]*TbTradesBinance[[#This Row],[Preço]],Z188+TbTradesBinance[[#This Row],[Qtt]]*TbTradesBinance[[#This Row],[Preço]])),Z188)-IF(TbTradesBinance[[#This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Row],[Tipo]]="DROP"),Z188+TbTradesBinance[[#This Row],[Qtt]],Z188-TbTradesBinance[[#This Row],[Qtt]]),IF(TbTradesBinance[[#This Row],[Tipo]]="BUY",Z188-TbTradesBinance[[#This Row],[Qtt]]*TbTradesBinance[[#This Row],[Preço]],Z188+TbTradesBinance[[#This Row],[Qtt]]*TbTradesBinance[[#This Row],[Preço]])),Z188)-IF(TbTradesBinance[[#This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Row],[Tipo]]="DROP"),Z188+TbTradesBinance[[#This Row],[Qtt]],Z188-TbTradesBinance[[#This Row],[Qtt]]),IF(TbTradesBinance[[#This Row],[Tipo]]="BUY",Z188-TbTradesBinance[[#This Row],[Qtt]]*TbTradesBinance[[#This Row],[Preço]],Z188+TbTradesBinance[[#This Row],[Qtt]]*TbTradesBinance[[#This Row],[Preço]])),Z188)-IF(TbTradesBinance[[#This Row],[Moeda da Taxa]]=MID(Z$1,9,5),TbTradesBinance[[#This Row],[Taxa]],0),8)))</f>
        <v>0</v>
      </c>
      <c r="AA189" s="145" cm="1">
        <f t="array" ref="AA189">IF(TbTradesBinance[[#This Row],[Tipo]]="EMPTY",0,AA188+IF(TbTradesBinance[[#This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Row],[Par]]))),$1:$1,0)),-(Z188-Z189)/Z188*AA188),0),0)+IF(TbTradesBinance[[#This Row],[Tipo]]="SELL",IF(ISNUMBER(FIND(MID(AA$1,10,5),TbTradesBinance[[#This Row],[Par]])),IF(FIND(MID(AA$1,10,5),TbTradesBinance[[#This Row],[Par]])=1, -(Z188-Z189)/Z188*AA188,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Row],[Par]])),(-(Z188-Z189)/Z188*AA188)+IF(TbTradesBinance[[#This Row],[Resultado]]&gt;0,0,TbTradesBinance[[#This Row],[Taxa]]),0),0))</f>
        <v>0</v>
      </c>
      <c r="AB189" s="145">
        <f t="shared" si="43"/>
        <v>0</v>
      </c>
      <c r="AC18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Row],[Tipo]]="DROP"),AC188+TbTradesBinance[[#This Row],[Qtt]],AC188-TbTradesBinance[[#This Row],[Qtt]]),IF(TbTradesBinance[[#This Row],[Tipo]]="BUY",AC188-TbTradesBinance[[#This Row],[Qtt]]*TbTradesBinance[[#This Row],[Preço]],AC188+TbTradesBinance[[#This Row],[Qtt]]*TbTradesBinance[[#This Row],[Preço]])),AC188)-IF(TbTradesBinance[[#This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Row],[Tipo]]="DROP"),AC188+TbTradesBinance[[#This Row],[Qtt]],AC188-TbTradesBinance[[#This Row],[Qtt]]),IF(TbTradesBinance[[#This Row],[Tipo]]="BUY",AC188-TbTradesBinance[[#This Row],[Qtt]]*TbTradesBinance[[#This Row],[Preço]],AC188+TbTradesBinance[[#This Row],[Qtt]]*TbTradesBinance[[#This Row],[Preço]])),AC188)-IF(TbTradesBinance[[#This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Row],[Tipo]]="DROP"),AC188+TbTradesBinance[[#This Row],[Qtt]],AC188-TbTradesBinance[[#This Row],[Qtt]]),IF(TbTradesBinance[[#This Row],[Tipo]]="BUY",AC188-TbTradesBinance[[#This Row],[Qtt]]*TbTradesBinance[[#This Row],[Preço]],AC188+TbTradesBinance[[#This Row],[Qtt]]*TbTradesBinance[[#This Row],[Preço]])),AC188)-IF(TbTradesBinance[[#This Row],[Moeda da Taxa]]=MID(AC$1,9,5),TbTradesBinance[[#This Row],[Taxa]],0),8)))</f>
        <v>0</v>
      </c>
      <c r="AD189" s="145" cm="1">
        <f t="array" ref="AD189">IF(TbTradesBinance[[#This Row],[Tipo]]="EMPTY",0,AD188+IF(TbTradesBinance[[#This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Row],[Par]]))),$1:$1,0)),-(AC188-AC189)/AC188*AD188),0),0)+IF(TbTradesBinance[[#This Row],[Tipo]]="SELL",IF(ISNUMBER(FIND(MID(AD$1,10,5),TbTradesBinance[[#This Row],[Par]])),IF(FIND(MID(AD$1,10,5),TbTradesBinance[[#This Row],[Par]])=1, -(AC188-AC189)/AC188*AD188,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Row],[Par]])),(-(AC188-AC189)/AC188*AD188)+IF(TbTradesBinance[[#This Row],[Resultado]]&gt;0,0,TbTradesBinance[[#This Row],[Taxa]]),0),0))</f>
        <v>0</v>
      </c>
      <c r="AE189" s="145">
        <f t="shared" si="44"/>
        <v>0</v>
      </c>
      <c r="AF18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Row],[Tipo]]="DROP"),AF188+TbTradesBinance[[#This Row],[Qtt]],AF188-TbTradesBinance[[#This Row],[Qtt]]),IF(TbTradesBinance[[#This Row],[Tipo]]="BUY",AF188-TbTradesBinance[[#This Row],[Qtt]]*TbTradesBinance[[#This Row],[Preço]],AF188+TbTradesBinance[[#This Row],[Qtt]]*TbTradesBinance[[#This Row],[Preço]])),AF188)-IF(TbTradesBinance[[#This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Row],[Tipo]]="DROP"),AF188+TbTradesBinance[[#This Row],[Qtt]],AF188-TbTradesBinance[[#This Row],[Qtt]]),IF(TbTradesBinance[[#This Row],[Tipo]]="BUY",AF188-TbTradesBinance[[#This Row],[Qtt]]*TbTradesBinance[[#This Row],[Preço]],AF188+TbTradesBinance[[#This Row],[Qtt]]*TbTradesBinance[[#This Row],[Preço]])),AF188)-IF(TbTradesBinance[[#This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Row],[Tipo]]="DROP"),AF188+TbTradesBinance[[#This Row],[Qtt]],AF188-TbTradesBinance[[#This Row],[Qtt]]),IF(TbTradesBinance[[#This Row],[Tipo]]="BUY",AF188-TbTradesBinance[[#This Row],[Qtt]]*TbTradesBinance[[#This Row],[Preço]],AF188+TbTradesBinance[[#This Row],[Qtt]]*TbTradesBinance[[#This Row],[Preço]])),AF188)-IF(TbTradesBinance[[#This Row],[Moeda da Taxa]]=MID(AF$1,9,5),TbTradesBinance[[#This Row],[Taxa]],0),8)))</f>
        <v>0</v>
      </c>
      <c r="AG189" s="145" cm="1">
        <f t="array" ref="AG189">IF(TbTradesBinance[[#This Row],[Tipo]]="EMPTY",0,AG188+IF(TbTradesBinance[[#This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Row],[Par]]))),$1:$1,0)),-(AF188-AF189)/AF188*AG188),0),0)+IF(TbTradesBinance[[#This Row],[Tipo]]="SELL",IF(ISNUMBER(FIND(MID(AG$1,10,5),TbTradesBinance[[#This Row],[Par]])),IF(FIND(MID(AG$1,10,5),TbTradesBinance[[#This Row],[Par]])=1, -(AF188-AF189)/AF188*AG188,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Row],[Par]])),(-(AF188-AF189)/AF188*AG188)+IF(TbTradesBinance[[#This Row],[Resultado]]&gt;0,0,TbTradesBinance[[#This Row],[Taxa]]),0),0))</f>
        <v>0</v>
      </c>
      <c r="AH189" s="145">
        <f t="shared" si="45"/>
        <v>0</v>
      </c>
      <c r="AI18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Row],[Tipo]]="DROP"),AI188+TbTradesBinance[[#This Row],[Qtt]],AI188-TbTradesBinance[[#This Row],[Qtt]]),IF(TbTradesBinance[[#This Row],[Tipo]]="BUY",AI188-TbTradesBinance[[#This Row],[Qtt]]*TbTradesBinance[[#This Row],[Preço]],AI188+TbTradesBinance[[#This Row],[Qtt]]*TbTradesBinance[[#This Row],[Preço]])),AI188)-IF(TbTradesBinance[[#This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Row],[Tipo]]="DROP"),AI188+TbTradesBinance[[#This Row],[Qtt]],AI188-TbTradesBinance[[#This Row],[Qtt]]),IF(TbTradesBinance[[#This Row],[Tipo]]="BUY",AI188-TbTradesBinance[[#This Row],[Qtt]]*TbTradesBinance[[#This Row],[Preço]],AI188+TbTradesBinance[[#This Row],[Qtt]]*TbTradesBinance[[#This Row],[Preço]])),AI188)-IF(TbTradesBinance[[#This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Row],[Tipo]]="DROP"),AI188+TbTradesBinance[[#This Row],[Qtt]],AI188-TbTradesBinance[[#This Row],[Qtt]]),IF(TbTradesBinance[[#This Row],[Tipo]]="BUY",AI188-TbTradesBinance[[#This Row],[Qtt]]*TbTradesBinance[[#This Row],[Preço]],AI188+TbTradesBinance[[#This Row],[Qtt]]*TbTradesBinance[[#This Row],[Preço]])),AI188)-IF(TbTradesBinance[[#This Row],[Moeda da Taxa]]=MID(AI$1,9,5),TbTradesBinance[[#This Row],[Taxa]],0),8)))</f>
        <v>0</v>
      </c>
      <c r="AJ189" s="145" cm="1">
        <f t="array" ref="AJ189">IF(TbTradesBinance[[#This Row],[Tipo]]="EMPTY",0,AJ188+IF(TbTradesBinance[[#This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Row],[Par]]))),$1:$1,0)),-(AI188-AI189)/AI188*AJ188),0),0)+IF(TbTradesBinance[[#This Row],[Tipo]]="SELL",IF(ISNUMBER(FIND(MID(AJ$1,10,5),TbTradesBinance[[#This Row],[Par]])),IF(FIND(MID(AJ$1,10,5),TbTradesBinance[[#This Row],[Par]])=1, -(AI188-AI189)/AI188*AJ188,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Row],[Par]])),(-(AI188-AI189)/AI188*AJ188)+IF(TbTradesBinance[[#This Row],[Resultado]]&gt;0,0,TbTradesBinance[[#This Row],[Taxa]]),0),0))</f>
        <v>0</v>
      </c>
      <c r="AK189" s="145">
        <f t="shared" si="46"/>
        <v>0</v>
      </c>
      <c r="AL18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Row],[Tipo]]="DROP"),AL188+TbTradesBinance[[#This Row],[Qtt]],AL188-TbTradesBinance[[#This Row],[Qtt]]),IF(TbTradesBinance[[#This Row],[Tipo]]="BUY",AL188-TbTradesBinance[[#This Row],[Qtt]]*TbTradesBinance[[#This Row],[Preço]],AL188+TbTradesBinance[[#This Row],[Qtt]]*TbTradesBinance[[#This Row],[Preço]])),AL188)-IF(TbTradesBinance[[#This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Row],[Tipo]]="DROP"),AL188+TbTradesBinance[[#This Row],[Qtt]],AL188-TbTradesBinance[[#This Row],[Qtt]]),IF(TbTradesBinance[[#This Row],[Tipo]]="BUY",AL188-TbTradesBinance[[#This Row],[Qtt]]*TbTradesBinance[[#This Row],[Preço]],AL188+TbTradesBinance[[#This Row],[Qtt]]*TbTradesBinance[[#This Row],[Preço]])),AL188)-IF(TbTradesBinance[[#This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Row],[Tipo]]="DROP"),AL188+TbTradesBinance[[#This Row],[Qtt]],AL188-TbTradesBinance[[#This Row],[Qtt]]),IF(TbTradesBinance[[#This Row],[Tipo]]="BUY",AL188-TbTradesBinance[[#This Row],[Qtt]]*TbTradesBinance[[#This Row],[Preço]],AL188+TbTradesBinance[[#This Row],[Qtt]]*TbTradesBinance[[#This Row],[Preço]])),AL188)-IF(TbTradesBinance[[#This Row],[Moeda da Taxa]]=MID(AL$1,9,5),TbTradesBinance[[#This Row],[Taxa]],0),8)))</f>
        <v>0</v>
      </c>
      <c r="AM189" s="145" cm="1">
        <f t="array" ref="AM189">IF(TbTradesBinance[[#This Row],[Tipo]]="EMPTY",0,AM188+IF(TbTradesBinance[[#This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Row],[Par]]))),$1:$1,0)),-(AL188-AL189)/AL188*AM188),0),0)+IF(TbTradesBinance[[#This Row],[Tipo]]="SELL",IF(ISNUMBER(FIND(MID(AM$1,10,5),TbTradesBinance[[#This Row],[Par]])),IF(FIND(MID(AM$1,10,5),TbTradesBinance[[#This Row],[Par]])=1, -(AL188-AL189)/AL188*AM188,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Row],[Par]])),(-(AL188-AL189)/AL188*AM188)+IF(TbTradesBinance[[#This Row],[Resultado]]&gt;0,0,TbTradesBinance[[#This Row],[Taxa]]),0),0))</f>
        <v>0</v>
      </c>
      <c r="AN189" s="145">
        <f t="shared" si="47"/>
        <v>0</v>
      </c>
      <c r="AO18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Row],[Tipo]]="DROP"),AO188+TbTradesBinance[[#This Row],[Qtt]],AO188-TbTradesBinance[[#This Row],[Qtt]]),IF(TbTradesBinance[[#This Row],[Tipo]]="BUY",AO188-TbTradesBinance[[#This Row],[Qtt]]*TbTradesBinance[[#This Row],[Preço]],AO188+TbTradesBinance[[#This Row],[Qtt]]*TbTradesBinance[[#This Row],[Preço]])),AO188)-IF(TbTradesBinance[[#This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Row],[Tipo]]="DROP"),AO188+TbTradesBinance[[#This Row],[Qtt]],AO188-TbTradesBinance[[#This Row],[Qtt]]),IF(TbTradesBinance[[#This Row],[Tipo]]="BUY",AO188-TbTradesBinance[[#This Row],[Qtt]]*TbTradesBinance[[#This Row],[Preço]],AO188+TbTradesBinance[[#This Row],[Qtt]]*TbTradesBinance[[#This Row],[Preço]])),AO188)-IF(TbTradesBinance[[#This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Row],[Tipo]]="DROP"),AO188+TbTradesBinance[[#This Row],[Qtt]],AO188-TbTradesBinance[[#This Row],[Qtt]]),IF(TbTradesBinance[[#This Row],[Tipo]]="BUY",AO188-TbTradesBinance[[#This Row],[Qtt]]*TbTradesBinance[[#This Row],[Preço]],AO188+TbTradesBinance[[#This Row],[Qtt]]*TbTradesBinance[[#This Row],[Preço]])),AO188)-IF(TbTradesBinance[[#This Row],[Moeda da Taxa]]=MID(AO$1,9,5),TbTradesBinance[[#This Row],[Taxa]],0),8)))</f>
        <v>3.8363830000000002E-2</v>
      </c>
      <c r="AP189" s="145" cm="1">
        <f t="array" ref="AP189">IF(TbTradesBinance[[#This Row],[Tipo]]="EMPTY",0,AP188+IF(TbTradesBinance[[#This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Row],[Par]]))),$1:$1,0)),-(AO188-AO189)/AO188*AP188),0),0)+IF(TbTradesBinance[[#This Row],[Tipo]]="SELL",IF(ISNUMBER(FIND(MID(AP$1,10,5),TbTradesBinance[[#This Row],[Par]])),IF(FIND(MID(AP$1,10,5),TbTradesBinance[[#This Row],[Par]])=1, -(AO188-AO189)/AO188*AP188,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Row],[Par]])),(-(AO188-AO189)/AO188*AP188)+IF(TbTradesBinance[[#This Row],[Resultado]]&gt;0,0,TbTradesBinance[[#This Row],[Taxa]]),0),0))</f>
        <v>60.349858055862811</v>
      </c>
      <c r="AQ189" s="145">
        <f t="shared" si="48"/>
        <v>1573.0926254199023</v>
      </c>
      <c r="AR18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Row],[Tipo]]="DROP"),AR188+TbTradesBinance[[#This Row],[Qtt]],AR188-TbTradesBinance[[#This Row],[Qtt]]),IF(TbTradesBinance[[#This Row],[Tipo]]="BUY",AR188-TbTradesBinance[[#This Row],[Qtt]]*TbTradesBinance[[#This Row],[Preço]],AR188+TbTradesBinance[[#This Row],[Qtt]]*TbTradesBinance[[#This Row],[Preço]])),AR188)-IF(TbTradesBinance[[#This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Row],[Tipo]]="DROP"),AR188+TbTradesBinance[[#This Row],[Qtt]],AR188-TbTradesBinance[[#This Row],[Qtt]]),IF(TbTradesBinance[[#This Row],[Tipo]]="BUY",AR188-TbTradesBinance[[#This Row],[Qtt]]*TbTradesBinance[[#This Row],[Preço]],AR188+TbTradesBinance[[#This Row],[Qtt]]*TbTradesBinance[[#This Row],[Preço]])),AR188)-IF(TbTradesBinance[[#This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Row],[Tipo]]="DROP"),AR188+TbTradesBinance[[#This Row],[Qtt]],AR188-TbTradesBinance[[#This Row],[Qtt]]),IF(TbTradesBinance[[#This Row],[Tipo]]="BUY",AR188-TbTradesBinance[[#This Row],[Qtt]]*TbTradesBinance[[#This Row],[Preço]],AR188+TbTradesBinance[[#This Row],[Qtt]]*TbTradesBinance[[#This Row],[Preço]])),AR188)-IF(TbTradesBinance[[#This Row],[Moeda da Taxa]]=MID(AR$1,9,5),TbTradesBinance[[#This Row],[Taxa]],0),8)))</f>
        <v>0</v>
      </c>
      <c r="AS189" s="145" cm="1">
        <f t="array" ref="AS189">IF(TbTradesBinance[[#This Row],[Tipo]]="EMPTY",0,AS188+IF(TbTradesBinance[[#This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Row],[Par]]))),$1:$1,0)),-(AR188-AR189)/AR188*AS188),0),0)+IF(TbTradesBinance[[#This Row],[Tipo]]="SELL",IF(ISNUMBER(FIND(MID(AS$1,10,5),TbTradesBinance[[#This Row],[Par]])),IF(FIND(MID(AS$1,10,5),TbTradesBinance[[#This Row],[Par]])=1, -(AR188-AR189)/AR188*AS188,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Row],[Par]])),(-(AR188-AR189)/AR188*AS188)+IF(TbTradesBinance[[#This Row],[Resultado]]&gt;0,0,TbTradesBinance[[#This Row],[Taxa]]),0),0))</f>
        <v>0</v>
      </c>
      <c r="AT189" s="145">
        <f t="shared" si="49"/>
        <v>0</v>
      </c>
      <c r="AU18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Row],[Tipo]]="DROP"),AU188+TbTradesBinance[[#This Row],[Qtt]],AU188-TbTradesBinance[[#This Row],[Qtt]]),IF(TbTradesBinance[[#This Row],[Tipo]]="BUY",AU188-TbTradesBinance[[#This Row],[Qtt]]*TbTradesBinance[[#This Row],[Preço]],AU188+TbTradesBinance[[#This Row],[Qtt]]*TbTradesBinance[[#This Row],[Preço]])),AU188)-IF(TbTradesBinance[[#This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Row],[Tipo]]="DROP"),AU188+TbTradesBinance[[#This Row],[Qtt]],AU188-TbTradesBinance[[#This Row],[Qtt]]),IF(TbTradesBinance[[#This Row],[Tipo]]="BUY",AU188-TbTradesBinance[[#This Row],[Qtt]]*TbTradesBinance[[#This Row],[Preço]],AU188+TbTradesBinance[[#This Row],[Qtt]]*TbTradesBinance[[#This Row],[Preço]])),AU188)-IF(TbTradesBinance[[#This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Row],[Tipo]]="DROP"),AU188+TbTradesBinance[[#This Row],[Qtt]],AU188-TbTradesBinance[[#This Row],[Qtt]]),IF(TbTradesBinance[[#This Row],[Tipo]]="BUY",AU188-TbTradesBinance[[#This Row],[Qtt]]*TbTradesBinance[[#This Row],[Preço]],AU188+TbTradesBinance[[#This Row],[Qtt]]*TbTradesBinance[[#This Row],[Preço]])),AU188)-IF(TbTradesBinance[[#This Row],[Moeda da Taxa]]=MID(AU$1,9,5),TbTradesBinance[[#This Row],[Taxa]],0),8)))</f>
        <v>0.51</v>
      </c>
      <c r="AV189" s="145" cm="1">
        <f t="array" ref="AV189">IF(TbTradesBinance[[#This Row],[Tipo]]="EMPTY",0,AV188+IF(TbTradesBinance[[#This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Row],[Par]]))),$1:$1,0)),-(AU188-AU189)/AU188*AV188),0),0)+IF(TbTradesBinance[[#This Row],[Tipo]]="SELL",IF(ISNUMBER(FIND(MID(AV$1,10,5),TbTradesBinance[[#This Row],[Par]])),IF(FIND(MID(AV$1,10,5),TbTradesBinance[[#This Row],[Par]])=1, -(AU188-AU189)/AU188*AV188,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Row],[Par]])),(-(AU188-AU189)/AU188*AV188)+IF(TbTradesBinance[[#This Row],[Resultado]]&gt;0,0,TbTradesBinance[[#This Row],[Taxa]]),0),0))</f>
        <v>95.466693037374753</v>
      </c>
      <c r="AW189" s="145">
        <f t="shared" si="50"/>
        <v>187.18959419093088</v>
      </c>
      <c r="AX18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Row],[Tipo]]="DROP"),AX188+TbTradesBinance[[#This Row],[Qtt]],AX188-TbTradesBinance[[#This Row],[Qtt]]),IF(TbTradesBinance[[#This Row],[Tipo]]="BUY",AX188-TbTradesBinance[[#This Row],[Qtt]]*TbTradesBinance[[#This Row],[Preço]],AX188+TbTradesBinance[[#This Row],[Qtt]]*TbTradesBinance[[#This Row],[Preço]])),AX188)-IF(TbTradesBinance[[#This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Row],[Tipo]]="DROP"),AX188+TbTradesBinance[[#This Row],[Qtt]],AX188-TbTradesBinance[[#This Row],[Qtt]]),IF(TbTradesBinance[[#This Row],[Tipo]]="BUY",AX188-TbTradesBinance[[#This Row],[Qtt]]*TbTradesBinance[[#This Row],[Preço]],AX188+TbTradesBinance[[#This Row],[Qtt]]*TbTradesBinance[[#This Row],[Preço]])),AX188)-IF(TbTradesBinance[[#This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Row],[Tipo]]="DROP"),AX188+TbTradesBinance[[#This Row],[Qtt]],AX188-TbTradesBinance[[#This Row],[Qtt]]),IF(TbTradesBinance[[#This Row],[Tipo]]="BUY",AX188-TbTradesBinance[[#This Row],[Qtt]]*TbTradesBinance[[#This Row],[Preço]],AX188+TbTradesBinance[[#This Row],[Qtt]]*TbTradesBinance[[#This Row],[Preço]])),AX188)-IF(TbTradesBinance[[#This Row],[Moeda da Taxa]]=MID(AX$1,9,5),TbTradesBinance[[#This Row],[Taxa]],0),8)))</f>
        <v>0.32838000000000001</v>
      </c>
      <c r="AY189" s="145" cm="1">
        <f t="array" ref="AY189">IF(TbTradesBinance[[#This Row],[Tipo]]="EMPTY",0,AY188+IF(TbTradesBinance[[#This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Row],[Par]]))),$1:$1,0)),-(AX188-AX189)/AX188*AY188),0),0)+IF(TbTradesBinance[[#This Row],[Tipo]]="SELL",IF(ISNUMBER(FIND(MID(AY$1,10,5),TbTradesBinance[[#This Row],[Par]])),IF(FIND(MID(AY$1,10,5),TbTradesBinance[[#This Row],[Par]])=1, -(AX188-AX189)/AX188*AY188,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Row],[Par]])),(-(AX188-AX189)/AX188*AY188)+IF(TbTradesBinance[[#This Row],[Resultado]]&gt;0,0,TbTradesBinance[[#This Row],[Taxa]]),0),0))</f>
        <v>61.364116058805678</v>
      </c>
      <c r="AZ189" s="145">
        <f t="shared" si="51"/>
        <v>186.869224857804</v>
      </c>
      <c r="BA18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Row],[Tipo]]="DROP"),BA188+TbTradesBinance[[#This Row],[Qtt]],BA188-TbTradesBinance[[#This Row],[Qtt]]),IF(TbTradesBinance[[#This Row],[Tipo]]="BUY",BA188-TbTradesBinance[[#This Row],[Qtt]]*TbTradesBinance[[#This Row],[Preço]],BA188+TbTradesBinance[[#This Row],[Qtt]]*TbTradesBinance[[#This Row],[Preço]])),BA188)-IF(TbTradesBinance[[#This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Row],[Tipo]]="DROP"),BA188+TbTradesBinance[[#This Row],[Qtt]],BA188-TbTradesBinance[[#This Row],[Qtt]]),IF(TbTradesBinance[[#This Row],[Tipo]]="BUY",BA188-TbTradesBinance[[#This Row],[Qtt]]*TbTradesBinance[[#This Row],[Preço]],BA188+TbTradesBinance[[#This Row],[Qtt]]*TbTradesBinance[[#This Row],[Preço]])),BA188)-IF(TbTradesBinance[[#This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Row],[Tipo]]="DROP"),BA188+TbTradesBinance[[#This Row],[Qtt]],BA188-TbTradesBinance[[#This Row],[Qtt]]),IF(TbTradesBinance[[#This Row],[Tipo]]="BUY",BA188-TbTradesBinance[[#This Row],[Qtt]]*TbTradesBinance[[#This Row],[Preço]],BA188+TbTradesBinance[[#This Row],[Qtt]]*TbTradesBinance[[#This Row],[Preço]])),BA188)-IF(TbTradesBinance[[#This Row],[Moeda da Taxa]]=MID(BA$1,9,5),TbTradesBinance[[#This Row],[Taxa]],0),8)))</f>
        <v>0</v>
      </c>
      <c r="BB189" s="145" cm="1">
        <f t="array" ref="BB189">IF(TbTradesBinance[[#This Row],[Tipo]]="EMPTY",0,BB188+IF(TbTradesBinance[[#This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Row],[Par]]))),$1:$1,0)),-(BA188-BA189)/BA188*BB188),0),0)+IF(TbTradesBinance[[#This Row],[Tipo]]="SELL",IF(ISNUMBER(FIND(MID(BB$1,10,5),TbTradesBinance[[#This Row],[Par]])),IF(FIND(MID(BB$1,10,5),TbTradesBinance[[#This Row],[Par]])=1, -(BA188-BA189)/BA188*BB188,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Row],[Par]])),(-(BA188-BA189)/BA188*BB188)+IF(TbTradesBinance[[#This Row],[Resultado]]&gt;0,0,TbTradesBinance[[#This Row],[Taxa]]),0),0))</f>
        <v>0</v>
      </c>
      <c r="BC189" s="145">
        <f t="shared" si="52"/>
        <v>0</v>
      </c>
      <c r="BD18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Row],[Tipo]]="DROP"),BD188+TbTradesBinance[[#This Row],[Qtt]],BD188-TbTradesBinance[[#This Row],[Qtt]]),IF(TbTradesBinance[[#This Row],[Tipo]]="BUY",BD188-TbTradesBinance[[#This Row],[Qtt]]*TbTradesBinance[[#This Row],[Preço]],BD188+TbTradesBinance[[#This Row],[Qtt]]*TbTradesBinance[[#This Row],[Preço]])),BD188)-IF(TbTradesBinance[[#This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Row],[Tipo]]="DROP"),BD188+TbTradesBinance[[#This Row],[Qtt]],BD188-TbTradesBinance[[#This Row],[Qtt]]),IF(TbTradesBinance[[#This Row],[Tipo]]="BUY",BD188-TbTradesBinance[[#This Row],[Qtt]]*TbTradesBinance[[#This Row],[Preço]],BD188+TbTradesBinance[[#This Row],[Qtt]]*TbTradesBinance[[#This Row],[Preço]])),BD188)-IF(TbTradesBinance[[#This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Row],[Tipo]]="DROP"),BD188+TbTradesBinance[[#This Row],[Qtt]],BD188-TbTradesBinance[[#This Row],[Qtt]]),IF(TbTradesBinance[[#This Row],[Tipo]]="BUY",BD188-TbTradesBinance[[#This Row],[Qtt]]*TbTradesBinance[[#This Row],[Preço]],BD188+TbTradesBinance[[#This Row],[Qtt]]*TbTradesBinance[[#This Row],[Preço]])),BD188)-IF(TbTradesBinance[[#This Row],[Moeda da Taxa]]=MID(BD$1,9,5),TbTradesBinance[[#This Row],[Taxa]],0),8)))</f>
        <v>0</v>
      </c>
      <c r="BE189" s="145" cm="1">
        <f t="array" ref="BE189">IF(TbTradesBinance[[#This Row],[Tipo]]="EMPTY",0,BE188+IF(TbTradesBinance[[#This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Row],[Par]]))),$1:$1,0)),-(BD188-BD189)/BD188*BE188),0),0)+IF(TbTradesBinance[[#This Row],[Tipo]]="SELL",IF(ISNUMBER(FIND(MID(BE$1,10,5),TbTradesBinance[[#This Row],[Par]])),IF(FIND(MID(BE$1,10,5),TbTradesBinance[[#This Row],[Par]])=1, -(BD188-BD189)/BD188*BE188,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Row],[Par]])),(-(BD188-BD189)/BD188*BE188)+IF(TbTradesBinance[[#This Row],[Resultado]]&gt;0,0,TbTradesBinance[[#This Row],[Taxa]]),0),0))</f>
        <v>0</v>
      </c>
      <c r="BF189" s="145">
        <f t="shared" si="53"/>
        <v>0</v>
      </c>
      <c r="BG18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Row],[Tipo]]="DROP"),BG188+TbTradesBinance[[#This Row],[Qtt]],BG188-TbTradesBinance[[#This Row],[Qtt]]),IF(TbTradesBinance[[#This Row],[Tipo]]="BUY",BG188-TbTradesBinance[[#This Row],[Qtt]]*TbTradesBinance[[#This Row],[Preço]],BG188+TbTradesBinance[[#This Row],[Qtt]]*TbTradesBinance[[#This Row],[Preço]])),BG188)-IF(TbTradesBinance[[#This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Row],[Tipo]]="DROP"),BG188+TbTradesBinance[[#This Row],[Qtt]],BG188-TbTradesBinance[[#This Row],[Qtt]]),IF(TbTradesBinance[[#This Row],[Tipo]]="BUY",BG188-TbTradesBinance[[#This Row],[Qtt]]*TbTradesBinance[[#This Row],[Preço]],BG188+TbTradesBinance[[#This Row],[Qtt]]*TbTradesBinance[[#This Row],[Preço]])),BG188)-IF(TbTradesBinance[[#This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Row],[Tipo]]="DROP"),BG188+TbTradesBinance[[#This Row],[Qtt]],BG188-TbTradesBinance[[#This Row],[Qtt]]),IF(TbTradesBinance[[#This Row],[Tipo]]="BUY",BG188-TbTradesBinance[[#This Row],[Qtt]]*TbTradesBinance[[#This Row],[Preço]],BG188+TbTradesBinance[[#This Row],[Qtt]]*TbTradesBinance[[#This Row],[Preço]])),BG188)-IF(TbTradesBinance[[#This Row],[Moeda da Taxa]]=MID(BG$1,9,5),TbTradesBinance[[#This Row],[Taxa]],0),8)))</f>
        <v>0</v>
      </c>
      <c r="BH189" s="145" cm="1">
        <f t="array" ref="BH189">IF(TbTradesBinance[[#This Row],[Tipo]]="EMPTY",0,BH188+IF(TbTradesBinance[[#This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Row],[Par]]))),$1:$1,0)),-(BG188-BG189)/BG188*BH188),0),0)+IF(TbTradesBinance[[#This Row],[Tipo]]="SELL",IF(ISNUMBER(FIND(MID(BH$1,10,5),TbTradesBinance[[#This Row],[Par]])),IF(FIND(MID(BH$1,10,5),TbTradesBinance[[#This Row],[Par]])=1, -(BG188-BG189)/BG188*BH188,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Row],[Par]])),(-(BG188-BG189)/BG188*BH188)+IF(TbTradesBinance[[#This Row],[Resultado]]&gt;0,0,TbTradesBinance[[#This Row],[Taxa]]),0),0))</f>
        <v>0</v>
      </c>
      <c r="BI189" s="145">
        <f t="shared" si="54"/>
        <v>0</v>
      </c>
      <c r="BJ18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Row],[Tipo]]="DROP"),BJ188+TbTradesBinance[[#This Row],[Qtt]],BJ188-TbTradesBinance[[#This Row],[Qtt]]),IF(TbTradesBinance[[#This Row],[Tipo]]="BUY",BJ188-TbTradesBinance[[#This Row],[Qtt]]*TbTradesBinance[[#This Row],[Preço]],BJ188+TbTradesBinance[[#This Row],[Qtt]]*TbTradesBinance[[#This Row],[Preço]])),BJ188)-IF(TbTradesBinance[[#This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Row],[Tipo]]="DROP"),BJ188+TbTradesBinance[[#This Row],[Qtt]],BJ188-TbTradesBinance[[#This Row],[Qtt]]),IF(TbTradesBinance[[#This Row],[Tipo]]="BUY",BJ188-TbTradesBinance[[#This Row],[Qtt]]*TbTradesBinance[[#This Row],[Preço]],BJ188+TbTradesBinance[[#This Row],[Qtt]]*TbTradesBinance[[#This Row],[Preço]])),BJ188)-IF(TbTradesBinance[[#This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Row],[Tipo]]="DROP"),BJ188+TbTradesBinance[[#This Row],[Qtt]],BJ188-TbTradesBinance[[#This Row],[Qtt]]),IF(TbTradesBinance[[#This Row],[Tipo]]="BUY",BJ188-TbTradesBinance[[#This Row],[Qtt]]*TbTradesBinance[[#This Row],[Preço]],BJ188+TbTradesBinance[[#This Row],[Qtt]]*TbTradesBinance[[#This Row],[Preço]])),BJ188)-IF(TbTradesBinance[[#This Row],[Moeda da Taxa]]=MID(BJ$1,9,5),TbTradesBinance[[#This Row],[Taxa]],0),8)))</f>
        <v>0</v>
      </c>
      <c r="BK189" s="145" cm="1">
        <f t="array" ref="BK189">IF(TbTradesBinance[[#This Row],[Tipo]]="EMPTY",0,BK188+IF(TbTradesBinance[[#This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Row],[Par]]))),$1:$1,0)),-(BJ188-BJ189)/BJ188*BK188),0),0)+IF(TbTradesBinance[[#This Row],[Tipo]]="SELL",IF(ISNUMBER(FIND(MID(BK$1,10,5),TbTradesBinance[[#This Row],[Par]])),IF(FIND(MID(BK$1,10,5),TbTradesBinance[[#This Row],[Par]])=1, -(BJ188-BJ189)/BJ188*BK188,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Row],[Par]])),(-(BJ188-BJ189)/BJ188*BK188)+IF(TbTradesBinance[[#This Row],[Resultado]]&gt;0,0,TbTradesBinance[[#This Row],[Taxa]]),0),0))</f>
        <v>0</v>
      </c>
      <c r="BL189" s="145">
        <f t="shared" si="55"/>
        <v>0</v>
      </c>
      <c r="BM18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Row],[Tipo]]="DROP"),BM188+TbTradesBinance[[#This Row],[Qtt]],BM188-TbTradesBinance[[#This Row],[Qtt]]),IF(TbTradesBinance[[#This Row],[Tipo]]="BUY",BM188-TbTradesBinance[[#This Row],[Qtt]]*TbTradesBinance[[#This Row],[Preço]],BM188+TbTradesBinance[[#This Row],[Qtt]]*TbTradesBinance[[#This Row],[Preço]])),BM188)-IF(TbTradesBinance[[#This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Row],[Tipo]]="DROP"),BM188+TbTradesBinance[[#This Row],[Qtt]],BM188-TbTradesBinance[[#This Row],[Qtt]]),IF(TbTradesBinance[[#This Row],[Tipo]]="BUY",BM188-TbTradesBinance[[#This Row],[Qtt]]*TbTradesBinance[[#This Row],[Preço]],BM188+TbTradesBinance[[#This Row],[Qtt]]*TbTradesBinance[[#This Row],[Preço]])),BM188)-IF(TbTradesBinance[[#This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Row],[Tipo]]="DROP"),BM188+TbTradesBinance[[#This Row],[Qtt]],BM188-TbTradesBinance[[#This Row],[Qtt]]),IF(TbTradesBinance[[#This Row],[Tipo]]="BUY",BM188-TbTradesBinance[[#This Row],[Qtt]]*TbTradesBinance[[#This Row],[Preço]],BM188+TbTradesBinance[[#This Row],[Qtt]]*TbTradesBinance[[#This Row],[Preço]])),BM188)-IF(TbTradesBinance[[#This Row],[Moeda da Taxa]]=MID(BM$1,9,5),TbTradesBinance[[#This Row],[Taxa]],0),8)))</f>
        <v>0</v>
      </c>
      <c r="BN189" s="145" cm="1">
        <f t="array" ref="BN189">IF(TbTradesBinance[[#This Row],[Tipo]]="EMPTY",0,BN188+IF(TbTradesBinance[[#This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Row],[Par]]))),$1:$1,0)),-(BM188-BM189)/BM188*BN188),0),0)+IF(TbTradesBinance[[#This Row],[Tipo]]="SELL",IF(ISNUMBER(FIND(MID(BN$1,10,5),TbTradesBinance[[#This Row],[Par]])),IF(FIND(MID(BN$1,10,5),TbTradesBinance[[#This Row],[Par]])=1, -(BM188-BM189)/BM188*BN188,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Row],[Par]])),(-(BM188-BM189)/BM188*BN188)+IF(TbTradesBinance[[#This Row],[Resultado]]&gt;0,0,TbTradesBinance[[#This Row],[Taxa]]),0),0))</f>
        <v>0</v>
      </c>
      <c r="BO189" s="145">
        <f t="shared" si="56"/>
        <v>0</v>
      </c>
    </row>
    <row r="190" spans="2:67" x14ac:dyDescent="0.3">
      <c r="B190" s="51" t="s">
        <v>241</v>
      </c>
      <c r="C190" s="40">
        <f>TRUNC(IF(AND(TbTradesBinance[[#This Row],[Tipo]]="SEND",TbTradesBinance[[#This Row],[Par]]="BRL"),TbTradesBinance[[#This Row],[Qtt]]*(1-P188)-IF(TbTradesBinance[[#This Row],[Moeda da Taxa]]="BRL",TbTradesBinance[[#This Row],[Taxa]],0),0)+IF(AND(TbTradesBinance[[#This Row],[Tipo]]="BURN",TbTradesBinance[[#This Row],[Par]]="BRL"),-TbTradesBinance[[#This Row],[Qtt]]*P188,0),2)</f>
        <v>0</v>
      </c>
      <c r="D190" s="53">
        <v>44353.647800925923</v>
      </c>
      <c r="E190" s="37" t="s">
        <v>236</v>
      </c>
      <c r="F190" s="47" t="s">
        <v>139</v>
      </c>
      <c r="G190" s="38">
        <v>29837.114000000001</v>
      </c>
      <c r="H190" s="38">
        <v>6.5690000000000002E-3</v>
      </c>
      <c r="I190" s="38">
        <v>4</v>
      </c>
      <c r="J190" s="37" t="s">
        <v>60</v>
      </c>
      <c r="K190" s="52">
        <v>6.1</v>
      </c>
      <c r="L190" s="40">
        <f t="shared" si="38"/>
        <v>182006.39</v>
      </c>
      <c r="M190" s="40">
        <f>IF(OR(TbTradesBinance[[#This Row],[Tipo]]="BUY",TbTradesBinance[[#This Row],[Tipo]]="RECEIVE",TbTradesBinance[[#This Row],[Tipo]]="DROP"),L190*H190,-L190*H190)</f>
        <v>1195.59997591</v>
      </c>
      <c r="N19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Row],[Tipo]]="DROP"),N189+TbTradesBinance[[#This Row],[Qtt]],N189-TbTradesBinance[[#This Row],[Qtt]]),IF(TbTradesBinance[[#This Row],[Tipo]]="BUY",N189-TbTradesBinance[[#This Row],[Qtt]]*TbTradesBinance[[#This Row],[Preço]],N189+TbTradesBinance[[#This Row],[Qtt]]*TbTradesBinance[[#This Row],[Preço]])),N189)-IF(TbTradesBinance[[#This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Row],[Tipo]]="DROP"),N189+TbTradesBinance[[#This Row],[Qtt]],N189-TbTradesBinance[[#This Row],[Qtt]]),IF(TbTradesBinance[[#This Row],[Tipo]]="BUY",N189-TbTradesBinance[[#This Row],[Qtt]]*TbTradesBinance[[#This Row],[Preço]],N189+TbTradesBinance[[#This Row],[Qtt]]*TbTradesBinance[[#This Row],[Preço]])),N189)-IF(TbTradesBinance[[#This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Row],[Tipo]]="DROP"),N189+TbTradesBinance[[#This Row],[Qtt]],N189-TbTradesBinance[[#This Row],[Qtt]]),IF(TbTradesBinance[[#This Row],[Tipo]]="BUY",N189-TbTradesBinance[[#This Row],[Qtt]]*TbTradesBinance[[#This Row],[Preço]],N189+TbTradesBinance[[#This Row],[Qtt]]*TbTradesBinance[[#This Row],[Preço]])),N189)-IF(TbTradesBinance[[#This Row],[Moeda da Taxa]]=MID(N$1,9,5),TbTradesBinance[[#This Row],[Taxa]],0),8)))</f>
        <v>119745.58804798999</v>
      </c>
      <c r="O190" s="145" cm="1">
        <f t="array" ref="O190">IF(TbTradesBinance[[#This Row],[Tipo]]="EMPTY",0,O189+IF(TbTradesBinance[[#This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Row],[Par]]))),$1:$1,0)),-(N189-N190)/N189*O189),0),0)+IF(TbTradesBinance[[#This Row],[Tipo]]="SELL",IF(ISNUMBER(FIND(MID(O$1,10,5),TbTradesBinance[[#This Row],[Par]])),IF(FIND(MID(O$1,10,5),TbTradesBinance[[#This Row],[Par]])=1, -(N189-N190)/N189*O189,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Row],[Par]])),(-(N189-N190)/N189*O189)+IF(TbTradesBinance[[#This Row],[Resultado]]&gt;0,0,TbTradesBinance[[#This Row],[Taxa]]),0),0))</f>
        <v>119844.14986894446</v>
      </c>
      <c r="P190" s="145">
        <f t="shared" si="39"/>
        <v>1.0008230935482563</v>
      </c>
      <c r="Q19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Row],[Tipo]]="DROP"),Q189+TbTradesBinance[[#This Row],[Qtt]],Q189-TbTradesBinance[[#This Row],[Qtt]]),IF(TbTradesBinance[[#This Row],[Tipo]]="BUY",Q189-TbTradesBinance[[#This Row],[Qtt]]*TbTradesBinance[[#This Row],[Preço]],Q189+TbTradesBinance[[#This Row],[Qtt]]*TbTradesBinance[[#This Row],[Preço]])),Q189)-IF(TbTradesBinance[[#This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Row],[Tipo]]="DROP"),Q189+TbTradesBinance[[#This Row],[Qtt]],Q189-TbTradesBinance[[#This Row],[Qtt]]),IF(TbTradesBinance[[#This Row],[Tipo]]="BUY",Q189-TbTradesBinance[[#This Row],[Qtt]]*TbTradesBinance[[#This Row],[Preço]],Q189+TbTradesBinance[[#This Row],[Qtt]]*TbTradesBinance[[#This Row],[Preço]])),Q189)-IF(TbTradesBinance[[#This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Row],[Tipo]]="DROP"),Q189+TbTradesBinance[[#This Row],[Qtt]],Q189-TbTradesBinance[[#This Row],[Qtt]]),IF(TbTradesBinance[[#This Row],[Tipo]]="BUY",Q189-TbTradesBinance[[#This Row],[Qtt]]*TbTradesBinance[[#This Row],[Preço]],Q189+TbTradesBinance[[#This Row],[Qtt]]*TbTradesBinance[[#This Row],[Preço]])),Q189)-IF(TbTradesBinance[[#This Row],[Moeda da Taxa]]=MID(Q$1,9,5),TbTradesBinance[[#This Row],[Taxa]],0),8)))</f>
        <v>2.8600460000000001E-2</v>
      </c>
      <c r="R190" s="145" cm="1">
        <f t="array" ref="R190">IF(TbTradesBinance[[#This Row],[Tipo]]="EMPTY",0,R189+IF(TbTradesBinance[[#This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Row],[Par]]))),$1:$1,0)),-(Q189-Q190)/Q189*R189),0),0)+IF(TbTradesBinance[[#This Row],[Tipo]]="SELL",IF(ISNUMBER(FIND(MID(R$1,10,5),TbTradesBinance[[#This Row],[Par]])),IF(FIND(MID(R$1,10,5),TbTradesBinance[[#This Row],[Par]])=1, -(Q189-Q190)/Q189*R189,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Row],[Par]])),(-(Q189-Q190)/Q189*R189)+IF(TbTradesBinance[[#This Row],[Resultado]]&gt;0,0,TbTradesBinance[[#This Row],[Taxa]]),0),0))</f>
        <v>0.13390752156915653</v>
      </c>
      <c r="S190" s="145">
        <f t="shared" si="40"/>
        <v>4.6820058687572343</v>
      </c>
      <c r="T19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Row],[Tipo]]="DROP"),T189+TbTradesBinance[[#This Row],[Qtt]],T189-TbTradesBinance[[#This Row],[Qtt]]),IF(TbTradesBinance[[#This Row],[Tipo]]="BUY",T189-TbTradesBinance[[#This Row],[Qtt]]*TbTradesBinance[[#This Row],[Preço]],T189+TbTradesBinance[[#This Row],[Qtt]]*TbTradesBinance[[#This Row],[Preço]])),T189)-IF(TbTradesBinance[[#This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Row],[Tipo]]="DROP"),T189+TbTradesBinance[[#This Row],[Qtt]],T189-TbTradesBinance[[#This Row],[Qtt]]),IF(TbTradesBinance[[#This Row],[Tipo]]="BUY",T189-TbTradesBinance[[#This Row],[Qtt]]*TbTradesBinance[[#This Row],[Preço]],T189+TbTradesBinance[[#This Row],[Qtt]]*TbTradesBinance[[#This Row],[Preço]])),T189)-IF(TbTradesBinance[[#This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Row],[Tipo]]="DROP"),T189+TbTradesBinance[[#This Row],[Qtt]],T189-TbTradesBinance[[#This Row],[Qtt]]),IF(TbTradesBinance[[#This Row],[Tipo]]="BUY",T189-TbTradesBinance[[#This Row],[Qtt]]*TbTradesBinance[[#This Row],[Preço]],T189+TbTradesBinance[[#This Row],[Qtt]]*TbTradesBinance[[#This Row],[Preço]])),T189)-IF(TbTradesBinance[[#This Row],[Moeda da Taxa]]=MID(T$1,9,5),TbTradesBinance[[#This Row],[Taxa]],0),8)))</f>
        <v>101223913.720009</v>
      </c>
      <c r="U190" s="145" cm="1">
        <f t="array" ref="U190">IF(TbTradesBinance[[#This Row],[Tipo]]="EMPTY",0,U189+IF(TbTradesBinance[[#This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Row],[Par]]))),$1:$1,0)),-(T189-T190)/T189*U189),0),0)+IF(TbTradesBinance[[#This Row],[Tipo]]="SELL",IF(ISNUMBER(FIND(MID(U$1,10,5),TbTradesBinance[[#This Row],[Par]])),IF(FIND(MID(U$1,10,5),TbTradesBinance[[#This Row],[Par]])=1, -(T189-T190)/T189*U189,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Row],[Par]])),(-(T189-T190)/T189*U189)+IF(TbTradesBinance[[#This Row],[Resultado]]&gt;0,0,TbTradesBinance[[#This Row],[Taxa]]),0),0))</f>
        <v>617586601.27364206</v>
      </c>
      <c r="V190" s="145">
        <f t="shared" si="41"/>
        <v>6.1011926784605572</v>
      </c>
      <c r="W19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Row],[Tipo]]="DROP"),W189+TbTradesBinance[[#This Row],[Qtt]],W189-TbTradesBinance[[#This Row],[Qtt]]),IF(TbTradesBinance[[#This Row],[Tipo]]="BUY",W189-TbTradesBinance[[#This Row],[Qtt]]*TbTradesBinance[[#This Row],[Preço]],W189+TbTradesBinance[[#This Row],[Qtt]]*TbTradesBinance[[#This Row],[Preço]])),W189)-IF(TbTradesBinance[[#This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Row],[Tipo]]="DROP"),W189+TbTradesBinance[[#This Row],[Qtt]],W189-TbTradesBinance[[#This Row],[Qtt]]),IF(TbTradesBinance[[#This Row],[Tipo]]="BUY",W189-TbTradesBinance[[#This Row],[Qtt]]*TbTradesBinance[[#This Row],[Preço]],W189+TbTradesBinance[[#This Row],[Qtt]]*TbTradesBinance[[#This Row],[Preço]])),W189)-IF(TbTradesBinance[[#This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Row],[Tipo]]="DROP"),W189+TbTradesBinance[[#This Row],[Qtt]],W189-TbTradesBinance[[#This Row],[Qtt]]),IF(TbTradesBinance[[#This Row],[Tipo]]="BUY",W189-TbTradesBinance[[#This Row],[Qtt]]*TbTradesBinance[[#This Row],[Preço]],W189+TbTradesBinance[[#This Row],[Qtt]]*TbTradesBinance[[#This Row],[Preço]])),W189)-IF(TbTradesBinance[[#This Row],[Moeda da Taxa]]=MID(W$1,9,5),TbTradesBinance[[#This Row],[Taxa]],0),8)))</f>
        <v>2.748399E-2</v>
      </c>
      <c r="X190" s="145" cm="1">
        <f t="array" ref="X190">IF(TbTradesBinance[[#This Row],[Tipo]]="EMPTY",0,X189+IF(TbTradesBinance[[#This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Row],[Par]]))),$1:$1,0)),-(W189-W190)/W189*X189),0),0)+IF(TbTradesBinance[[#This Row],[Tipo]]="SELL",IF(ISNUMBER(FIND(MID(X$1,10,5),TbTradesBinance[[#This Row],[Par]])),IF(FIND(MID(X$1,10,5),TbTradesBinance[[#This Row],[Par]])=1, -(W189-W190)/W189*X189,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Row],[Par]])),(-(W189-W190)/W189*X189)+IF(TbTradesBinance[[#This Row],[Resultado]]&gt;0,0,TbTradesBinance[[#This Row],[Taxa]]),0),0))</f>
        <v>5196.9531581752626</v>
      </c>
      <c r="Y190" s="145">
        <f t="shared" si="42"/>
        <v>189090.1997190096</v>
      </c>
      <c r="Z19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Row],[Tipo]]="DROP"),Z189+TbTradesBinance[[#This Row],[Qtt]],Z189-TbTradesBinance[[#This Row],[Qtt]]),IF(TbTradesBinance[[#This Row],[Tipo]]="BUY",Z189-TbTradesBinance[[#This Row],[Qtt]]*TbTradesBinance[[#This Row],[Preço]],Z189+TbTradesBinance[[#This Row],[Qtt]]*TbTradesBinance[[#This Row],[Preço]])),Z189)-IF(TbTradesBinance[[#This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Row],[Tipo]]="DROP"),Z189+TbTradesBinance[[#This Row],[Qtt]],Z189-TbTradesBinance[[#This Row],[Qtt]]),IF(TbTradesBinance[[#This Row],[Tipo]]="BUY",Z189-TbTradesBinance[[#This Row],[Qtt]]*TbTradesBinance[[#This Row],[Preço]],Z189+TbTradesBinance[[#This Row],[Qtt]]*TbTradesBinance[[#This Row],[Preço]])),Z189)-IF(TbTradesBinance[[#This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Row],[Tipo]]="DROP"),Z189+TbTradesBinance[[#This Row],[Qtt]],Z189-TbTradesBinance[[#This Row],[Qtt]]),IF(TbTradesBinance[[#This Row],[Tipo]]="BUY",Z189-TbTradesBinance[[#This Row],[Qtt]]*TbTradesBinance[[#This Row],[Preço]],Z189+TbTradesBinance[[#This Row],[Qtt]]*TbTradesBinance[[#This Row],[Preço]])),Z189)-IF(TbTradesBinance[[#This Row],[Moeda da Taxa]]=MID(Z$1,9,5),TbTradesBinance[[#This Row],[Taxa]],0),8)))</f>
        <v>0</v>
      </c>
      <c r="AA190" s="145" cm="1">
        <f t="array" ref="AA190">IF(TbTradesBinance[[#This Row],[Tipo]]="EMPTY",0,AA189+IF(TbTradesBinance[[#This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Row],[Par]]))),$1:$1,0)),-(Z189-Z190)/Z189*AA189),0),0)+IF(TbTradesBinance[[#This Row],[Tipo]]="SELL",IF(ISNUMBER(FIND(MID(AA$1,10,5),TbTradesBinance[[#This Row],[Par]])),IF(FIND(MID(AA$1,10,5),TbTradesBinance[[#This Row],[Par]])=1, -(Z189-Z190)/Z189*AA189,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Row],[Par]])),(-(Z189-Z190)/Z189*AA189)+IF(TbTradesBinance[[#This Row],[Resultado]]&gt;0,0,TbTradesBinance[[#This Row],[Taxa]]),0),0))</f>
        <v>0</v>
      </c>
      <c r="AB190" s="145">
        <f t="shared" si="43"/>
        <v>0</v>
      </c>
      <c r="AC19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Row],[Tipo]]="DROP"),AC189+TbTradesBinance[[#This Row],[Qtt]],AC189-TbTradesBinance[[#This Row],[Qtt]]),IF(TbTradesBinance[[#This Row],[Tipo]]="BUY",AC189-TbTradesBinance[[#This Row],[Qtt]]*TbTradesBinance[[#This Row],[Preço]],AC189+TbTradesBinance[[#This Row],[Qtt]]*TbTradesBinance[[#This Row],[Preço]])),AC189)-IF(TbTradesBinance[[#This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Row],[Tipo]]="DROP"),AC189+TbTradesBinance[[#This Row],[Qtt]],AC189-TbTradesBinance[[#This Row],[Qtt]]),IF(TbTradesBinance[[#This Row],[Tipo]]="BUY",AC189-TbTradesBinance[[#This Row],[Qtt]]*TbTradesBinance[[#This Row],[Preço]],AC189+TbTradesBinance[[#This Row],[Qtt]]*TbTradesBinance[[#This Row],[Preço]])),AC189)-IF(TbTradesBinance[[#This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Row],[Tipo]]="DROP"),AC189+TbTradesBinance[[#This Row],[Qtt]],AC189-TbTradesBinance[[#This Row],[Qtt]]),IF(TbTradesBinance[[#This Row],[Tipo]]="BUY",AC189-TbTradesBinance[[#This Row],[Qtt]]*TbTradesBinance[[#This Row],[Preço]],AC189+TbTradesBinance[[#This Row],[Qtt]]*TbTradesBinance[[#This Row],[Preço]])),AC189)-IF(TbTradesBinance[[#This Row],[Moeda da Taxa]]=MID(AC$1,9,5),TbTradesBinance[[#This Row],[Taxa]],0),8)))</f>
        <v>0</v>
      </c>
      <c r="AD190" s="145" cm="1">
        <f t="array" ref="AD190">IF(TbTradesBinance[[#This Row],[Tipo]]="EMPTY",0,AD189+IF(TbTradesBinance[[#This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Row],[Par]]))),$1:$1,0)),-(AC189-AC190)/AC189*AD189),0),0)+IF(TbTradesBinance[[#This Row],[Tipo]]="SELL",IF(ISNUMBER(FIND(MID(AD$1,10,5),TbTradesBinance[[#This Row],[Par]])),IF(FIND(MID(AD$1,10,5),TbTradesBinance[[#This Row],[Par]])=1, -(AC189-AC190)/AC189*AD189,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Row],[Par]])),(-(AC189-AC190)/AC189*AD189)+IF(TbTradesBinance[[#This Row],[Resultado]]&gt;0,0,TbTradesBinance[[#This Row],[Taxa]]),0),0))</f>
        <v>0</v>
      </c>
      <c r="AE190" s="145">
        <f t="shared" si="44"/>
        <v>0</v>
      </c>
      <c r="AF19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Row],[Tipo]]="DROP"),AF189+TbTradesBinance[[#This Row],[Qtt]],AF189-TbTradesBinance[[#This Row],[Qtt]]),IF(TbTradesBinance[[#This Row],[Tipo]]="BUY",AF189-TbTradesBinance[[#This Row],[Qtt]]*TbTradesBinance[[#This Row],[Preço]],AF189+TbTradesBinance[[#This Row],[Qtt]]*TbTradesBinance[[#This Row],[Preço]])),AF189)-IF(TbTradesBinance[[#This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Row],[Tipo]]="DROP"),AF189+TbTradesBinance[[#This Row],[Qtt]],AF189-TbTradesBinance[[#This Row],[Qtt]]),IF(TbTradesBinance[[#This Row],[Tipo]]="BUY",AF189-TbTradesBinance[[#This Row],[Qtt]]*TbTradesBinance[[#This Row],[Preço]],AF189+TbTradesBinance[[#This Row],[Qtt]]*TbTradesBinance[[#This Row],[Preço]])),AF189)-IF(TbTradesBinance[[#This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Row],[Tipo]]="DROP"),AF189+TbTradesBinance[[#This Row],[Qtt]],AF189-TbTradesBinance[[#This Row],[Qtt]]),IF(TbTradesBinance[[#This Row],[Tipo]]="BUY",AF189-TbTradesBinance[[#This Row],[Qtt]]*TbTradesBinance[[#This Row],[Preço]],AF189+TbTradesBinance[[#This Row],[Qtt]]*TbTradesBinance[[#This Row],[Preço]])),AF189)-IF(TbTradesBinance[[#This Row],[Moeda da Taxa]]=MID(AF$1,9,5),TbTradesBinance[[#This Row],[Taxa]],0),8)))</f>
        <v>0</v>
      </c>
      <c r="AG190" s="145" cm="1">
        <f t="array" ref="AG190">IF(TbTradesBinance[[#This Row],[Tipo]]="EMPTY",0,AG189+IF(TbTradesBinance[[#This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Row],[Par]]))),$1:$1,0)),-(AF189-AF190)/AF189*AG189),0),0)+IF(TbTradesBinance[[#This Row],[Tipo]]="SELL",IF(ISNUMBER(FIND(MID(AG$1,10,5),TbTradesBinance[[#This Row],[Par]])),IF(FIND(MID(AG$1,10,5),TbTradesBinance[[#This Row],[Par]])=1, -(AF189-AF190)/AF189*AG189,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Row],[Par]])),(-(AF189-AF190)/AF189*AG189)+IF(TbTradesBinance[[#This Row],[Resultado]]&gt;0,0,TbTradesBinance[[#This Row],[Taxa]]),0),0))</f>
        <v>0</v>
      </c>
      <c r="AH190" s="145">
        <f t="shared" si="45"/>
        <v>0</v>
      </c>
      <c r="AI19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Row],[Tipo]]="DROP"),AI189+TbTradesBinance[[#This Row],[Qtt]],AI189-TbTradesBinance[[#This Row],[Qtt]]),IF(TbTradesBinance[[#This Row],[Tipo]]="BUY",AI189-TbTradesBinance[[#This Row],[Qtt]]*TbTradesBinance[[#This Row],[Preço]],AI189+TbTradesBinance[[#This Row],[Qtt]]*TbTradesBinance[[#This Row],[Preço]])),AI189)-IF(TbTradesBinance[[#This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Row],[Tipo]]="DROP"),AI189+TbTradesBinance[[#This Row],[Qtt]],AI189-TbTradesBinance[[#This Row],[Qtt]]),IF(TbTradesBinance[[#This Row],[Tipo]]="BUY",AI189-TbTradesBinance[[#This Row],[Qtt]]*TbTradesBinance[[#This Row],[Preço]],AI189+TbTradesBinance[[#This Row],[Qtt]]*TbTradesBinance[[#This Row],[Preço]])),AI189)-IF(TbTradesBinance[[#This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Row],[Tipo]]="DROP"),AI189+TbTradesBinance[[#This Row],[Qtt]],AI189-TbTradesBinance[[#This Row],[Qtt]]),IF(TbTradesBinance[[#This Row],[Tipo]]="BUY",AI189-TbTradesBinance[[#This Row],[Qtt]]*TbTradesBinance[[#This Row],[Preço]],AI189+TbTradesBinance[[#This Row],[Qtt]]*TbTradesBinance[[#This Row],[Preço]])),AI189)-IF(TbTradesBinance[[#This Row],[Moeda da Taxa]]=MID(AI$1,9,5),TbTradesBinance[[#This Row],[Taxa]],0),8)))</f>
        <v>0</v>
      </c>
      <c r="AJ190" s="145" cm="1">
        <f t="array" ref="AJ190">IF(TbTradesBinance[[#This Row],[Tipo]]="EMPTY",0,AJ189+IF(TbTradesBinance[[#This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Row],[Par]]))),$1:$1,0)),-(AI189-AI190)/AI189*AJ189),0),0)+IF(TbTradesBinance[[#This Row],[Tipo]]="SELL",IF(ISNUMBER(FIND(MID(AJ$1,10,5),TbTradesBinance[[#This Row],[Par]])),IF(FIND(MID(AJ$1,10,5),TbTradesBinance[[#This Row],[Par]])=1, -(AI189-AI190)/AI189*AJ189,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Row],[Par]])),(-(AI189-AI190)/AI189*AJ189)+IF(TbTradesBinance[[#This Row],[Resultado]]&gt;0,0,TbTradesBinance[[#This Row],[Taxa]]),0),0))</f>
        <v>0</v>
      </c>
      <c r="AK190" s="145">
        <f t="shared" si="46"/>
        <v>0</v>
      </c>
      <c r="AL19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Row],[Tipo]]="DROP"),AL189+TbTradesBinance[[#This Row],[Qtt]],AL189-TbTradesBinance[[#This Row],[Qtt]]),IF(TbTradesBinance[[#This Row],[Tipo]]="BUY",AL189-TbTradesBinance[[#This Row],[Qtt]]*TbTradesBinance[[#This Row],[Preço]],AL189+TbTradesBinance[[#This Row],[Qtt]]*TbTradesBinance[[#This Row],[Preço]])),AL189)-IF(TbTradesBinance[[#This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Row],[Tipo]]="DROP"),AL189+TbTradesBinance[[#This Row],[Qtt]],AL189-TbTradesBinance[[#This Row],[Qtt]]),IF(TbTradesBinance[[#This Row],[Tipo]]="BUY",AL189-TbTradesBinance[[#This Row],[Qtt]]*TbTradesBinance[[#This Row],[Preço]],AL189+TbTradesBinance[[#This Row],[Qtt]]*TbTradesBinance[[#This Row],[Preço]])),AL189)-IF(TbTradesBinance[[#This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Row],[Tipo]]="DROP"),AL189+TbTradesBinance[[#This Row],[Qtt]],AL189-TbTradesBinance[[#This Row],[Qtt]]),IF(TbTradesBinance[[#This Row],[Tipo]]="BUY",AL189-TbTradesBinance[[#This Row],[Qtt]]*TbTradesBinance[[#This Row],[Preço]],AL189+TbTradesBinance[[#This Row],[Qtt]]*TbTradesBinance[[#This Row],[Preço]])),AL189)-IF(TbTradesBinance[[#This Row],[Moeda da Taxa]]=MID(AL$1,9,5),TbTradesBinance[[#This Row],[Taxa]],0),8)))</f>
        <v>0</v>
      </c>
      <c r="AM190" s="145" cm="1">
        <f t="array" ref="AM190">IF(TbTradesBinance[[#This Row],[Tipo]]="EMPTY",0,AM189+IF(TbTradesBinance[[#This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Row],[Par]]))),$1:$1,0)),-(AL189-AL190)/AL189*AM189),0),0)+IF(TbTradesBinance[[#This Row],[Tipo]]="SELL",IF(ISNUMBER(FIND(MID(AM$1,10,5),TbTradesBinance[[#This Row],[Par]])),IF(FIND(MID(AM$1,10,5),TbTradesBinance[[#This Row],[Par]])=1, -(AL189-AL190)/AL189*AM189,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Row],[Par]])),(-(AL189-AL190)/AL189*AM189)+IF(TbTradesBinance[[#This Row],[Resultado]]&gt;0,0,TbTradesBinance[[#This Row],[Taxa]]),0),0))</f>
        <v>0</v>
      </c>
      <c r="AN190" s="145">
        <f t="shared" si="47"/>
        <v>0</v>
      </c>
      <c r="AO19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Row],[Tipo]]="DROP"),AO189+TbTradesBinance[[#This Row],[Qtt]],AO189-TbTradesBinance[[#This Row],[Qtt]]),IF(TbTradesBinance[[#This Row],[Tipo]]="BUY",AO189-TbTradesBinance[[#This Row],[Qtt]]*TbTradesBinance[[#This Row],[Preço]],AO189+TbTradesBinance[[#This Row],[Qtt]]*TbTradesBinance[[#This Row],[Preço]])),AO189)-IF(TbTradesBinance[[#This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Row],[Tipo]]="DROP"),AO189+TbTradesBinance[[#This Row],[Qtt]],AO189-TbTradesBinance[[#This Row],[Qtt]]),IF(TbTradesBinance[[#This Row],[Tipo]]="BUY",AO189-TbTradesBinance[[#This Row],[Qtt]]*TbTradesBinance[[#This Row],[Preço]],AO189+TbTradesBinance[[#This Row],[Qtt]]*TbTradesBinance[[#This Row],[Preço]])),AO189)-IF(TbTradesBinance[[#This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Row],[Tipo]]="DROP"),AO189+TbTradesBinance[[#This Row],[Qtt]],AO189-TbTradesBinance[[#This Row],[Qtt]]),IF(TbTradesBinance[[#This Row],[Tipo]]="BUY",AO189-TbTradesBinance[[#This Row],[Qtt]]*TbTradesBinance[[#This Row],[Preço]],AO189+TbTradesBinance[[#This Row],[Qtt]]*TbTradesBinance[[#This Row],[Preço]])),AO189)-IF(TbTradesBinance[[#This Row],[Moeda da Taxa]]=MID(AO$1,9,5),TbTradesBinance[[#This Row],[Taxa]],0),8)))</f>
        <v>3.8363830000000002E-2</v>
      </c>
      <c r="AP190" s="145" cm="1">
        <f t="array" ref="AP190">IF(TbTradesBinance[[#This Row],[Tipo]]="EMPTY",0,AP189+IF(TbTradesBinance[[#This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Row],[Par]]))),$1:$1,0)),-(AO189-AO190)/AO189*AP189),0),0)+IF(TbTradesBinance[[#This Row],[Tipo]]="SELL",IF(ISNUMBER(FIND(MID(AP$1,10,5),TbTradesBinance[[#This Row],[Par]])),IF(FIND(MID(AP$1,10,5),TbTradesBinance[[#This Row],[Par]])=1, -(AO189-AO190)/AO189*AP189,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Row],[Par]])),(-(AO189-AO190)/AO189*AP189)+IF(TbTradesBinance[[#This Row],[Resultado]]&gt;0,0,TbTradesBinance[[#This Row],[Taxa]]),0),0))</f>
        <v>60.349858055862811</v>
      </c>
      <c r="AQ190" s="145">
        <f t="shared" si="48"/>
        <v>1573.0926254199023</v>
      </c>
      <c r="AR19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Row],[Tipo]]="DROP"),AR189+TbTradesBinance[[#This Row],[Qtt]],AR189-TbTradesBinance[[#This Row],[Qtt]]),IF(TbTradesBinance[[#This Row],[Tipo]]="BUY",AR189-TbTradesBinance[[#This Row],[Qtt]]*TbTradesBinance[[#This Row],[Preço]],AR189+TbTradesBinance[[#This Row],[Qtt]]*TbTradesBinance[[#This Row],[Preço]])),AR189)-IF(TbTradesBinance[[#This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Row],[Tipo]]="DROP"),AR189+TbTradesBinance[[#This Row],[Qtt]],AR189-TbTradesBinance[[#This Row],[Qtt]]),IF(TbTradesBinance[[#This Row],[Tipo]]="BUY",AR189-TbTradesBinance[[#This Row],[Qtt]]*TbTradesBinance[[#This Row],[Preço]],AR189+TbTradesBinance[[#This Row],[Qtt]]*TbTradesBinance[[#This Row],[Preço]])),AR189)-IF(TbTradesBinance[[#This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Row],[Tipo]]="DROP"),AR189+TbTradesBinance[[#This Row],[Qtt]],AR189-TbTradesBinance[[#This Row],[Qtt]]),IF(TbTradesBinance[[#This Row],[Tipo]]="BUY",AR189-TbTradesBinance[[#This Row],[Qtt]]*TbTradesBinance[[#This Row],[Preço]],AR189+TbTradesBinance[[#This Row],[Qtt]]*TbTradesBinance[[#This Row],[Preço]])),AR189)-IF(TbTradesBinance[[#This Row],[Moeda da Taxa]]=MID(AR$1,9,5),TbTradesBinance[[#This Row],[Taxa]],0),8)))</f>
        <v>0</v>
      </c>
      <c r="AS190" s="145" cm="1">
        <f t="array" ref="AS190">IF(TbTradesBinance[[#This Row],[Tipo]]="EMPTY",0,AS189+IF(TbTradesBinance[[#This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Row],[Par]]))),$1:$1,0)),-(AR189-AR190)/AR189*AS189),0),0)+IF(TbTradesBinance[[#This Row],[Tipo]]="SELL",IF(ISNUMBER(FIND(MID(AS$1,10,5),TbTradesBinance[[#This Row],[Par]])),IF(FIND(MID(AS$1,10,5),TbTradesBinance[[#This Row],[Par]])=1, -(AR189-AR190)/AR189*AS189,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Row],[Par]])),(-(AR189-AR190)/AR189*AS189)+IF(TbTradesBinance[[#This Row],[Resultado]]&gt;0,0,TbTradesBinance[[#This Row],[Taxa]]),0),0))</f>
        <v>0</v>
      </c>
      <c r="AT190" s="145">
        <f t="shared" si="49"/>
        <v>0</v>
      </c>
      <c r="AU19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Row],[Tipo]]="DROP"),AU189+TbTradesBinance[[#This Row],[Qtt]],AU189-TbTradesBinance[[#This Row],[Qtt]]),IF(TbTradesBinance[[#This Row],[Tipo]]="BUY",AU189-TbTradesBinance[[#This Row],[Qtt]]*TbTradesBinance[[#This Row],[Preço]],AU189+TbTradesBinance[[#This Row],[Qtt]]*TbTradesBinance[[#This Row],[Preço]])),AU189)-IF(TbTradesBinance[[#This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Row],[Tipo]]="DROP"),AU189+TbTradesBinance[[#This Row],[Qtt]],AU189-TbTradesBinance[[#This Row],[Qtt]]),IF(TbTradesBinance[[#This Row],[Tipo]]="BUY",AU189-TbTradesBinance[[#This Row],[Qtt]]*TbTradesBinance[[#This Row],[Preço]],AU189+TbTradesBinance[[#This Row],[Qtt]]*TbTradesBinance[[#This Row],[Preço]])),AU189)-IF(TbTradesBinance[[#This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Row],[Tipo]]="DROP"),AU189+TbTradesBinance[[#This Row],[Qtt]],AU189-TbTradesBinance[[#This Row],[Qtt]]),IF(TbTradesBinance[[#This Row],[Tipo]]="BUY",AU189-TbTradesBinance[[#This Row],[Qtt]]*TbTradesBinance[[#This Row],[Preço]],AU189+TbTradesBinance[[#This Row],[Qtt]]*TbTradesBinance[[#This Row],[Preço]])),AU189)-IF(TbTradesBinance[[#This Row],[Moeda da Taxa]]=MID(AU$1,9,5),TbTradesBinance[[#This Row],[Taxa]],0),8)))</f>
        <v>0.51</v>
      </c>
      <c r="AV190" s="145" cm="1">
        <f t="array" ref="AV190">IF(TbTradesBinance[[#This Row],[Tipo]]="EMPTY",0,AV189+IF(TbTradesBinance[[#This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Row],[Par]]))),$1:$1,0)),-(AU189-AU190)/AU189*AV189),0),0)+IF(TbTradesBinance[[#This Row],[Tipo]]="SELL",IF(ISNUMBER(FIND(MID(AV$1,10,5),TbTradesBinance[[#This Row],[Par]])),IF(FIND(MID(AV$1,10,5),TbTradesBinance[[#This Row],[Par]])=1, -(AU189-AU190)/AU189*AV189,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Row],[Par]])),(-(AU189-AU190)/AU189*AV189)+IF(TbTradesBinance[[#This Row],[Resultado]]&gt;0,0,TbTradesBinance[[#This Row],[Taxa]]),0),0))</f>
        <v>95.466693037374753</v>
      </c>
      <c r="AW190" s="145">
        <f t="shared" si="50"/>
        <v>187.18959419093088</v>
      </c>
      <c r="AX19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Row],[Tipo]]="DROP"),AX189+TbTradesBinance[[#This Row],[Qtt]],AX189-TbTradesBinance[[#This Row],[Qtt]]),IF(TbTradesBinance[[#This Row],[Tipo]]="BUY",AX189-TbTradesBinance[[#This Row],[Qtt]]*TbTradesBinance[[#This Row],[Preço]],AX189+TbTradesBinance[[#This Row],[Qtt]]*TbTradesBinance[[#This Row],[Preço]])),AX189)-IF(TbTradesBinance[[#This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Row],[Tipo]]="DROP"),AX189+TbTradesBinance[[#This Row],[Qtt]],AX189-TbTradesBinance[[#This Row],[Qtt]]),IF(TbTradesBinance[[#This Row],[Tipo]]="BUY",AX189-TbTradesBinance[[#This Row],[Qtt]]*TbTradesBinance[[#This Row],[Preço]],AX189+TbTradesBinance[[#This Row],[Qtt]]*TbTradesBinance[[#This Row],[Preço]])),AX189)-IF(TbTradesBinance[[#This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Row],[Tipo]]="DROP"),AX189+TbTradesBinance[[#This Row],[Qtt]],AX189-TbTradesBinance[[#This Row],[Qtt]]),IF(TbTradesBinance[[#This Row],[Tipo]]="BUY",AX189-TbTradesBinance[[#This Row],[Qtt]]*TbTradesBinance[[#This Row],[Preço]],AX189+TbTradesBinance[[#This Row],[Qtt]]*TbTradesBinance[[#This Row],[Preço]])),AX189)-IF(TbTradesBinance[[#This Row],[Moeda da Taxa]]=MID(AX$1,9,5),TbTradesBinance[[#This Row],[Taxa]],0),8)))</f>
        <v>0.32838000000000001</v>
      </c>
      <c r="AY190" s="145" cm="1">
        <f t="array" ref="AY190">IF(TbTradesBinance[[#This Row],[Tipo]]="EMPTY",0,AY189+IF(TbTradesBinance[[#This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Row],[Par]]))),$1:$1,0)),-(AX189-AX190)/AX189*AY189),0),0)+IF(TbTradesBinance[[#This Row],[Tipo]]="SELL",IF(ISNUMBER(FIND(MID(AY$1,10,5),TbTradesBinance[[#This Row],[Par]])),IF(FIND(MID(AY$1,10,5),TbTradesBinance[[#This Row],[Par]])=1, -(AX189-AX190)/AX189*AY189,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Row],[Par]])),(-(AX189-AX190)/AX189*AY189)+IF(TbTradesBinance[[#This Row],[Resultado]]&gt;0,0,TbTradesBinance[[#This Row],[Taxa]]),0),0))</f>
        <v>61.364116058805678</v>
      </c>
      <c r="AZ190" s="145">
        <f t="shared" si="51"/>
        <v>186.869224857804</v>
      </c>
      <c r="BA19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Row],[Tipo]]="DROP"),BA189+TbTradesBinance[[#This Row],[Qtt]],BA189-TbTradesBinance[[#This Row],[Qtt]]),IF(TbTradesBinance[[#This Row],[Tipo]]="BUY",BA189-TbTradesBinance[[#This Row],[Qtt]]*TbTradesBinance[[#This Row],[Preço]],BA189+TbTradesBinance[[#This Row],[Qtt]]*TbTradesBinance[[#This Row],[Preço]])),BA189)-IF(TbTradesBinance[[#This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Row],[Tipo]]="DROP"),BA189+TbTradesBinance[[#This Row],[Qtt]],BA189-TbTradesBinance[[#This Row],[Qtt]]),IF(TbTradesBinance[[#This Row],[Tipo]]="BUY",BA189-TbTradesBinance[[#This Row],[Qtt]]*TbTradesBinance[[#This Row],[Preço]],BA189+TbTradesBinance[[#This Row],[Qtt]]*TbTradesBinance[[#This Row],[Preço]])),BA189)-IF(TbTradesBinance[[#This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Row],[Tipo]]="DROP"),BA189+TbTradesBinance[[#This Row],[Qtt]],BA189-TbTradesBinance[[#This Row],[Qtt]]),IF(TbTradesBinance[[#This Row],[Tipo]]="BUY",BA189-TbTradesBinance[[#This Row],[Qtt]]*TbTradesBinance[[#This Row],[Preço]],BA189+TbTradesBinance[[#This Row],[Qtt]]*TbTradesBinance[[#This Row],[Preço]])),BA189)-IF(TbTradesBinance[[#This Row],[Moeda da Taxa]]=MID(BA$1,9,5),TbTradesBinance[[#This Row],[Taxa]],0),8)))</f>
        <v>0</v>
      </c>
      <c r="BB190" s="145" cm="1">
        <f t="array" ref="BB190">IF(TbTradesBinance[[#This Row],[Tipo]]="EMPTY",0,BB189+IF(TbTradesBinance[[#This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Row],[Par]]))),$1:$1,0)),-(BA189-BA190)/BA189*BB189),0),0)+IF(TbTradesBinance[[#This Row],[Tipo]]="SELL",IF(ISNUMBER(FIND(MID(BB$1,10,5),TbTradesBinance[[#This Row],[Par]])),IF(FIND(MID(BB$1,10,5),TbTradesBinance[[#This Row],[Par]])=1, -(BA189-BA190)/BA189*BB189,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Row],[Par]])),(-(BA189-BA190)/BA189*BB189)+IF(TbTradesBinance[[#This Row],[Resultado]]&gt;0,0,TbTradesBinance[[#This Row],[Taxa]]),0),0))</f>
        <v>0</v>
      </c>
      <c r="BC190" s="145">
        <f t="shared" si="52"/>
        <v>0</v>
      </c>
      <c r="BD19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Row],[Tipo]]="DROP"),BD189+TbTradesBinance[[#This Row],[Qtt]],BD189-TbTradesBinance[[#This Row],[Qtt]]),IF(TbTradesBinance[[#This Row],[Tipo]]="BUY",BD189-TbTradesBinance[[#This Row],[Qtt]]*TbTradesBinance[[#This Row],[Preço]],BD189+TbTradesBinance[[#This Row],[Qtt]]*TbTradesBinance[[#This Row],[Preço]])),BD189)-IF(TbTradesBinance[[#This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Row],[Tipo]]="DROP"),BD189+TbTradesBinance[[#This Row],[Qtt]],BD189-TbTradesBinance[[#This Row],[Qtt]]),IF(TbTradesBinance[[#This Row],[Tipo]]="BUY",BD189-TbTradesBinance[[#This Row],[Qtt]]*TbTradesBinance[[#This Row],[Preço]],BD189+TbTradesBinance[[#This Row],[Qtt]]*TbTradesBinance[[#This Row],[Preço]])),BD189)-IF(TbTradesBinance[[#This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Row],[Tipo]]="DROP"),BD189+TbTradesBinance[[#This Row],[Qtt]],BD189-TbTradesBinance[[#This Row],[Qtt]]),IF(TbTradesBinance[[#This Row],[Tipo]]="BUY",BD189-TbTradesBinance[[#This Row],[Qtt]]*TbTradesBinance[[#This Row],[Preço]],BD189+TbTradesBinance[[#This Row],[Qtt]]*TbTradesBinance[[#This Row],[Preço]])),BD189)-IF(TbTradesBinance[[#This Row],[Moeda da Taxa]]=MID(BD$1,9,5),TbTradesBinance[[#This Row],[Taxa]],0),8)))</f>
        <v>0</v>
      </c>
      <c r="BE190" s="145" cm="1">
        <f t="array" ref="BE190">IF(TbTradesBinance[[#This Row],[Tipo]]="EMPTY",0,BE189+IF(TbTradesBinance[[#This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Row],[Par]]))),$1:$1,0)),-(BD189-BD190)/BD189*BE189),0),0)+IF(TbTradesBinance[[#This Row],[Tipo]]="SELL",IF(ISNUMBER(FIND(MID(BE$1,10,5),TbTradesBinance[[#This Row],[Par]])),IF(FIND(MID(BE$1,10,5),TbTradesBinance[[#This Row],[Par]])=1, -(BD189-BD190)/BD189*BE189,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Row],[Par]])),(-(BD189-BD190)/BD189*BE189)+IF(TbTradesBinance[[#This Row],[Resultado]]&gt;0,0,TbTradesBinance[[#This Row],[Taxa]]),0),0))</f>
        <v>0</v>
      </c>
      <c r="BF190" s="145">
        <f t="shared" si="53"/>
        <v>0</v>
      </c>
      <c r="BG19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Row],[Tipo]]="DROP"),BG189+TbTradesBinance[[#This Row],[Qtt]],BG189-TbTradesBinance[[#This Row],[Qtt]]),IF(TbTradesBinance[[#This Row],[Tipo]]="BUY",BG189-TbTradesBinance[[#This Row],[Qtt]]*TbTradesBinance[[#This Row],[Preço]],BG189+TbTradesBinance[[#This Row],[Qtt]]*TbTradesBinance[[#This Row],[Preço]])),BG189)-IF(TbTradesBinance[[#This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Row],[Tipo]]="DROP"),BG189+TbTradesBinance[[#This Row],[Qtt]],BG189-TbTradesBinance[[#This Row],[Qtt]]),IF(TbTradesBinance[[#This Row],[Tipo]]="BUY",BG189-TbTradesBinance[[#This Row],[Qtt]]*TbTradesBinance[[#This Row],[Preço]],BG189+TbTradesBinance[[#This Row],[Qtt]]*TbTradesBinance[[#This Row],[Preço]])),BG189)-IF(TbTradesBinance[[#This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Row],[Tipo]]="DROP"),BG189+TbTradesBinance[[#This Row],[Qtt]],BG189-TbTradesBinance[[#This Row],[Qtt]]),IF(TbTradesBinance[[#This Row],[Tipo]]="BUY",BG189-TbTradesBinance[[#This Row],[Qtt]]*TbTradesBinance[[#This Row],[Preço]],BG189+TbTradesBinance[[#This Row],[Qtt]]*TbTradesBinance[[#This Row],[Preço]])),BG189)-IF(TbTradesBinance[[#This Row],[Moeda da Taxa]]=MID(BG$1,9,5),TbTradesBinance[[#This Row],[Taxa]],0),8)))</f>
        <v>0</v>
      </c>
      <c r="BH190" s="145" cm="1">
        <f t="array" ref="BH190">IF(TbTradesBinance[[#This Row],[Tipo]]="EMPTY",0,BH189+IF(TbTradesBinance[[#This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Row],[Par]]))),$1:$1,0)),-(BG189-BG190)/BG189*BH189),0),0)+IF(TbTradesBinance[[#This Row],[Tipo]]="SELL",IF(ISNUMBER(FIND(MID(BH$1,10,5),TbTradesBinance[[#This Row],[Par]])),IF(FIND(MID(BH$1,10,5),TbTradesBinance[[#This Row],[Par]])=1, -(BG189-BG190)/BG189*BH189,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Row],[Par]])),(-(BG189-BG190)/BG189*BH189)+IF(TbTradesBinance[[#This Row],[Resultado]]&gt;0,0,TbTradesBinance[[#This Row],[Taxa]]),0),0))</f>
        <v>0</v>
      </c>
      <c r="BI190" s="145">
        <f t="shared" si="54"/>
        <v>0</v>
      </c>
      <c r="BJ19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Row],[Tipo]]="DROP"),BJ189+TbTradesBinance[[#This Row],[Qtt]],BJ189-TbTradesBinance[[#This Row],[Qtt]]),IF(TbTradesBinance[[#This Row],[Tipo]]="BUY",BJ189-TbTradesBinance[[#This Row],[Qtt]]*TbTradesBinance[[#This Row],[Preço]],BJ189+TbTradesBinance[[#This Row],[Qtt]]*TbTradesBinance[[#This Row],[Preço]])),BJ189)-IF(TbTradesBinance[[#This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Row],[Tipo]]="DROP"),BJ189+TbTradesBinance[[#This Row],[Qtt]],BJ189-TbTradesBinance[[#This Row],[Qtt]]),IF(TbTradesBinance[[#This Row],[Tipo]]="BUY",BJ189-TbTradesBinance[[#This Row],[Qtt]]*TbTradesBinance[[#This Row],[Preço]],BJ189+TbTradesBinance[[#This Row],[Qtt]]*TbTradesBinance[[#This Row],[Preço]])),BJ189)-IF(TbTradesBinance[[#This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Row],[Tipo]]="DROP"),BJ189+TbTradesBinance[[#This Row],[Qtt]],BJ189-TbTradesBinance[[#This Row],[Qtt]]),IF(TbTradesBinance[[#This Row],[Tipo]]="BUY",BJ189-TbTradesBinance[[#This Row],[Qtt]]*TbTradesBinance[[#This Row],[Preço]],BJ189+TbTradesBinance[[#This Row],[Qtt]]*TbTradesBinance[[#This Row],[Preço]])),BJ189)-IF(TbTradesBinance[[#This Row],[Moeda da Taxa]]=MID(BJ$1,9,5),TbTradesBinance[[#This Row],[Taxa]],0),8)))</f>
        <v>0</v>
      </c>
      <c r="BK190" s="145" cm="1">
        <f t="array" ref="BK190">IF(TbTradesBinance[[#This Row],[Tipo]]="EMPTY",0,BK189+IF(TbTradesBinance[[#This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Row],[Par]]))),$1:$1,0)),-(BJ189-BJ190)/BJ189*BK189),0),0)+IF(TbTradesBinance[[#This Row],[Tipo]]="SELL",IF(ISNUMBER(FIND(MID(BK$1,10,5),TbTradesBinance[[#This Row],[Par]])),IF(FIND(MID(BK$1,10,5),TbTradesBinance[[#This Row],[Par]])=1, -(BJ189-BJ190)/BJ189*BK189,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Row],[Par]])),(-(BJ189-BJ190)/BJ189*BK189)+IF(TbTradesBinance[[#This Row],[Resultado]]&gt;0,0,TbTradesBinance[[#This Row],[Taxa]]),0),0))</f>
        <v>0</v>
      </c>
      <c r="BL190" s="145">
        <f t="shared" si="55"/>
        <v>0</v>
      </c>
      <c r="BM19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Row],[Tipo]]="DROP"),BM189+TbTradesBinance[[#This Row],[Qtt]],BM189-TbTradesBinance[[#This Row],[Qtt]]),IF(TbTradesBinance[[#This Row],[Tipo]]="BUY",BM189-TbTradesBinance[[#This Row],[Qtt]]*TbTradesBinance[[#This Row],[Preço]],BM189+TbTradesBinance[[#This Row],[Qtt]]*TbTradesBinance[[#This Row],[Preço]])),BM189)-IF(TbTradesBinance[[#This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Row],[Tipo]]="DROP"),BM189+TbTradesBinance[[#This Row],[Qtt]],BM189-TbTradesBinance[[#This Row],[Qtt]]),IF(TbTradesBinance[[#This Row],[Tipo]]="BUY",BM189-TbTradesBinance[[#This Row],[Qtt]]*TbTradesBinance[[#This Row],[Preço]],BM189+TbTradesBinance[[#This Row],[Qtt]]*TbTradesBinance[[#This Row],[Preço]])),BM189)-IF(TbTradesBinance[[#This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Row],[Tipo]]="DROP"),BM189+TbTradesBinance[[#This Row],[Qtt]],BM189-TbTradesBinance[[#This Row],[Qtt]]),IF(TbTradesBinance[[#This Row],[Tipo]]="BUY",BM189-TbTradesBinance[[#This Row],[Qtt]]*TbTradesBinance[[#This Row],[Preço]],BM189+TbTradesBinance[[#This Row],[Qtt]]*TbTradesBinance[[#This Row],[Preço]])),BM189)-IF(TbTradesBinance[[#This Row],[Moeda da Taxa]]=MID(BM$1,9,5),TbTradesBinance[[#This Row],[Taxa]],0),8)))</f>
        <v>0</v>
      </c>
      <c r="BN190" s="145" cm="1">
        <f t="array" ref="BN190">IF(TbTradesBinance[[#This Row],[Tipo]]="EMPTY",0,BN189+IF(TbTradesBinance[[#This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Row],[Par]]))),$1:$1,0)),-(BM189-BM190)/BM189*BN189),0),0)+IF(TbTradesBinance[[#This Row],[Tipo]]="SELL",IF(ISNUMBER(FIND(MID(BN$1,10,5),TbTradesBinance[[#This Row],[Par]])),IF(FIND(MID(BN$1,10,5),TbTradesBinance[[#This Row],[Par]])=1, -(BM189-BM190)/BM189*BN189,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Row],[Par]])),(-(BM189-BM190)/BM189*BN189)+IF(TbTradesBinance[[#This Row],[Resultado]]&gt;0,0,TbTradesBinance[[#This Row],[Taxa]]),0),0))</f>
        <v>0</v>
      </c>
      <c r="BO190" s="145">
        <f t="shared" si="56"/>
        <v>0</v>
      </c>
    </row>
    <row r="191" spans="2:67" x14ac:dyDescent="0.3">
      <c r="B191" s="51"/>
      <c r="C191" s="40">
        <f>TRUNC(IF(AND(TbTradesBinance[[#This Row],[Tipo]]="SEND",TbTradesBinance[[#This Row],[Par]]="BRL"),TbTradesBinance[[#This Row],[Qtt]]*(1-P189)-IF(TbTradesBinance[[#This Row],[Moeda da Taxa]]="BRL",TbTradesBinance[[#This Row],[Taxa]],0),0)+IF(AND(TbTradesBinance[[#This Row],[Tipo]]="BURN",TbTradesBinance[[#This Row],[Par]]="BRL"),-TbTradesBinance[[#This Row],[Qtt]]*P189,0),2)</f>
        <v>0</v>
      </c>
      <c r="D191" s="53">
        <v>44355.636134259257</v>
      </c>
      <c r="E191" s="37" t="s">
        <v>138</v>
      </c>
      <c r="F191" s="47" t="s">
        <v>140</v>
      </c>
      <c r="G191" s="38">
        <v>159741</v>
      </c>
      <c r="H191" s="38">
        <v>1.2643E-2</v>
      </c>
      <c r="I191" s="38">
        <v>2.0196054600000002</v>
      </c>
      <c r="J191" s="37" t="s">
        <v>50</v>
      </c>
      <c r="K191" s="52">
        <v>1</v>
      </c>
      <c r="L191" s="40">
        <f t="shared" si="38"/>
        <v>159741</v>
      </c>
      <c r="M191" s="40">
        <f>IF(OR(TbTradesBinance[[#This Row],[Tipo]]="BUY",TbTradesBinance[[#This Row],[Tipo]]="RECEIVE",TbTradesBinance[[#This Row],[Tipo]]="DROP"),L191*H191,-L191*H191)</f>
        <v>-2019.6054629999999</v>
      </c>
      <c r="N19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Row],[Tipo]]="DROP"),N190+TbTradesBinance[[#This Row],[Qtt]],N190-TbTradesBinance[[#This Row],[Qtt]]),IF(TbTradesBinance[[#This Row],[Tipo]]="BUY",N190-TbTradesBinance[[#This Row],[Qtt]]*TbTradesBinance[[#This Row],[Preço]],N190+TbTradesBinance[[#This Row],[Qtt]]*TbTradesBinance[[#This Row],[Preço]])),N190)-IF(TbTradesBinance[[#This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Row],[Tipo]]="DROP"),N190+TbTradesBinance[[#This Row],[Qtt]],N190-TbTradesBinance[[#This Row],[Qtt]]),IF(TbTradesBinance[[#This Row],[Tipo]]="BUY",N190-TbTradesBinance[[#This Row],[Qtt]]*TbTradesBinance[[#This Row],[Preço]],N190+TbTradesBinance[[#This Row],[Qtt]]*TbTradesBinance[[#This Row],[Preço]])),N190)-IF(TbTradesBinance[[#This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Row],[Tipo]]="DROP"),N190+TbTradesBinance[[#This Row],[Qtt]],N190-TbTradesBinance[[#This Row],[Qtt]]),IF(TbTradesBinance[[#This Row],[Tipo]]="BUY",N190-TbTradesBinance[[#This Row],[Qtt]]*TbTradesBinance[[#This Row],[Preço]],N190+TbTradesBinance[[#This Row],[Qtt]]*TbTradesBinance[[#This Row],[Preço]])),N190)-IF(TbTradesBinance[[#This Row],[Moeda da Taxa]]=MID(N$1,9,5),TbTradesBinance[[#This Row],[Taxa]],0),8)))</f>
        <v>121763.17390553</v>
      </c>
      <c r="O191" s="145" cm="1">
        <f t="array" ref="O191">IF(TbTradesBinance[[#This Row],[Tipo]]="EMPTY",0,O190+IF(TbTradesBinance[[#This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Row],[Par]]))),$1:$1,0)),-(N190-N191)/N190*O190),0),0)+IF(TbTradesBinance[[#This Row],[Tipo]]="SELL",IF(ISNUMBER(FIND(MID(O$1,10,5),TbTradesBinance[[#This Row],[Par]])),IF(FIND(MID(O$1,10,5),TbTradesBinance[[#This Row],[Par]])=1, -(N190-N191)/N190*O190,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Row],[Par]])),(-(N190-N191)/N190*O190)+IF(TbTradesBinance[[#This Row],[Resultado]]&gt;0,0,TbTradesBinance[[#This Row],[Taxa]]),0),0))</f>
        <v>122234.81726399189</v>
      </c>
      <c r="P191" s="145">
        <f t="shared" si="39"/>
        <v>1.0038734482958518</v>
      </c>
      <c r="Q19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Row],[Tipo]]="DROP"),Q190+TbTradesBinance[[#This Row],[Qtt]],Q190-TbTradesBinance[[#This Row],[Qtt]]),IF(TbTradesBinance[[#This Row],[Tipo]]="BUY",Q190-TbTradesBinance[[#This Row],[Qtt]]*TbTradesBinance[[#This Row],[Preço]],Q190+TbTradesBinance[[#This Row],[Qtt]]*TbTradesBinance[[#This Row],[Preço]])),Q190)-IF(TbTradesBinance[[#This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Row],[Tipo]]="DROP"),Q190+TbTradesBinance[[#This Row],[Qtt]],Q190-TbTradesBinance[[#This Row],[Qtt]]),IF(TbTradesBinance[[#This Row],[Tipo]]="BUY",Q190-TbTradesBinance[[#This Row],[Qtt]]*TbTradesBinance[[#This Row],[Preço]],Q190+TbTradesBinance[[#This Row],[Qtt]]*TbTradesBinance[[#This Row],[Preço]])),Q190)-IF(TbTradesBinance[[#This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Row],[Tipo]]="DROP"),Q190+TbTradesBinance[[#This Row],[Qtt]],Q190-TbTradesBinance[[#This Row],[Qtt]]),IF(TbTradesBinance[[#This Row],[Tipo]]="BUY",Q190-TbTradesBinance[[#This Row],[Qtt]]*TbTradesBinance[[#This Row],[Preço]],Q190+TbTradesBinance[[#This Row],[Qtt]]*TbTradesBinance[[#This Row],[Preço]])),Q190)-IF(TbTradesBinance[[#This Row],[Moeda da Taxa]]=MID(Q$1,9,5),TbTradesBinance[[#This Row],[Taxa]],0),8)))</f>
        <v>2.8600460000000001E-2</v>
      </c>
      <c r="R191" s="145" cm="1">
        <f t="array" ref="R191">IF(TbTradesBinance[[#This Row],[Tipo]]="EMPTY",0,R190+IF(TbTradesBinance[[#This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Row],[Par]]))),$1:$1,0)),-(Q190-Q191)/Q190*R190),0),0)+IF(TbTradesBinance[[#This Row],[Tipo]]="SELL",IF(ISNUMBER(FIND(MID(R$1,10,5),TbTradesBinance[[#This Row],[Par]])),IF(FIND(MID(R$1,10,5),TbTradesBinance[[#This Row],[Par]])=1, -(Q190-Q191)/Q190*R190,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Row],[Par]])),(-(Q190-Q191)/Q190*R190)+IF(TbTradesBinance[[#This Row],[Resultado]]&gt;0,0,TbTradesBinance[[#This Row],[Taxa]]),0),0))</f>
        <v>0.13390752156915653</v>
      </c>
      <c r="S191" s="145">
        <f t="shared" si="40"/>
        <v>4.6820058687572343</v>
      </c>
      <c r="T19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Row],[Tipo]]="DROP"),T190+TbTradesBinance[[#This Row],[Qtt]],T190-TbTradesBinance[[#This Row],[Qtt]]),IF(TbTradesBinance[[#This Row],[Tipo]]="BUY",T190-TbTradesBinance[[#This Row],[Qtt]]*TbTradesBinance[[#This Row],[Preço]],T190+TbTradesBinance[[#This Row],[Qtt]]*TbTradesBinance[[#This Row],[Preço]])),T190)-IF(TbTradesBinance[[#This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Row],[Tipo]]="DROP"),T190+TbTradesBinance[[#This Row],[Qtt]],T190-TbTradesBinance[[#This Row],[Qtt]]),IF(TbTradesBinance[[#This Row],[Tipo]]="BUY",T190-TbTradesBinance[[#This Row],[Qtt]]*TbTradesBinance[[#This Row],[Preço]],T190+TbTradesBinance[[#This Row],[Qtt]]*TbTradesBinance[[#This Row],[Preço]])),T190)-IF(TbTradesBinance[[#This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Row],[Tipo]]="DROP"),T190+TbTradesBinance[[#This Row],[Qtt]],T190-TbTradesBinance[[#This Row],[Qtt]]),IF(TbTradesBinance[[#This Row],[Tipo]]="BUY",T190-TbTradesBinance[[#This Row],[Qtt]]*TbTradesBinance[[#This Row],[Preço]],T190+TbTradesBinance[[#This Row],[Qtt]]*TbTradesBinance[[#This Row],[Preço]])),T190)-IF(TbTradesBinance[[#This Row],[Moeda da Taxa]]=MID(T$1,9,5),TbTradesBinance[[#This Row],[Taxa]],0),8)))</f>
        <v>101223913.720009</v>
      </c>
      <c r="U191" s="145" cm="1">
        <f t="array" ref="U191">IF(TbTradesBinance[[#This Row],[Tipo]]="EMPTY",0,U190+IF(TbTradesBinance[[#This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Row],[Par]]))),$1:$1,0)),-(T190-T191)/T190*U190),0),0)+IF(TbTradesBinance[[#This Row],[Tipo]]="SELL",IF(ISNUMBER(FIND(MID(U$1,10,5),TbTradesBinance[[#This Row],[Par]])),IF(FIND(MID(U$1,10,5),TbTradesBinance[[#This Row],[Par]])=1, -(T190-T191)/T190*U190,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Row],[Par]])),(-(T190-T191)/T190*U190)+IF(TbTradesBinance[[#This Row],[Resultado]]&gt;0,0,TbTradesBinance[[#This Row],[Taxa]]),0),0))</f>
        <v>617586601.27364206</v>
      </c>
      <c r="V191" s="145">
        <f t="shared" si="41"/>
        <v>6.1011926784605572</v>
      </c>
      <c r="W19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Row],[Tipo]]="DROP"),W190+TbTradesBinance[[#This Row],[Qtt]],W190-TbTradesBinance[[#This Row],[Qtt]]),IF(TbTradesBinance[[#This Row],[Tipo]]="BUY",W190-TbTradesBinance[[#This Row],[Qtt]]*TbTradesBinance[[#This Row],[Preço]],W190+TbTradesBinance[[#This Row],[Qtt]]*TbTradesBinance[[#This Row],[Preço]])),W190)-IF(TbTradesBinance[[#This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Row],[Tipo]]="DROP"),W190+TbTradesBinance[[#This Row],[Qtt]],W190-TbTradesBinance[[#This Row],[Qtt]]),IF(TbTradesBinance[[#This Row],[Tipo]]="BUY",W190-TbTradesBinance[[#This Row],[Qtt]]*TbTradesBinance[[#This Row],[Preço]],W190+TbTradesBinance[[#This Row],[Qtt]]*TbTradesBinance[[#This Row],[Preço]])),W190)-IF(TbTradesBinance[[#This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Row],[Tipo]]="DROP"),W190+TbTradesBinance[[#This Row],[Qtt]],W190-TbTradesBinance[[#This Row],[Qtt]]),IF(TbTradesBinance[[#This Row],[Tipo]]="BUY",W190-TbTradesBinance[[#This Row],[Qtt]]*TbTradesBinance[[#This Row],[Preço]],W190+TbTradesBinance[[#This Row],[Qtt]]*TbTradesBinance[[#This Row],[Preço]])),W190)-IF(TbTradesBinance[[#This Row],[Moeda da Taxa]]=MID(W$1,9,5),TbTradesBinance[[#This Row],[Taxa]],0),8)))</f>
        <v>1.484099E-2</v>
      </c>
      <c r="X191" s="145" cm="1">
        <f t="array" ref="X191">IF(TbTradesBinance[[#This Row],[Tipo]]="EMPTY",0,X190+IF(TbTradesBinance[[#This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Row],[Par]]))),$1:$1,0)),-(W190-W191)/W190*X190),0),0)+IF(TbTradesBinance[[#This Row],[Tipo]]="SELL",IF(ISNUMBER(FIND(MID(X$1,10,5),TbTradesBinance[[#This Row],[Par]])),IF(FIND(MID(X$1,10,5),TbTradesBinance[[#This Row],[Par]])=1, -(W190-W191)/W190*X190,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Row],[Par]])),(-(W190-W191)/W190*X190)+IF(TbTradesBinance[[#This Row],[Resultado]]&gt;0,0,TbTradesBinance[[#This Row],[Taxa]]),0),0))</f>
        <v>2806.2857631278243</v>
      </c>
      <c r="Y191" s="145">
        <f t="shared" si="42"/>
        <v>189090.1997190096</v>
      </c>
      <c r="Z19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Row],[Tipo]]="DROP"),Z190+TbTradesBinance[[#This Row],[Qtt]],Z190-TbTradesBinance[[#This Row],[Qtt]]),IF(TbTradesBinance[[#This Row],[Tipo]]="BUY",Z190-TbTradesBinance[[#This Row],[Qtt]]*TbTradesBinance[[#This Row],[Preço]],Z190+TbTradesBinance[[#This Row],[Qtt]]*TbTradesBinance[[#This Row],[Preço]])),Z190)-IF(TbTradesBinance[[#This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Row],[Tipo]]="DROP"),Z190+TbTradesBinance[[#This Row],[Qtt]],Z190-TbTradesBinance[[#This Row],[Qtt]]),IF(TbTradesBinance[[#This Row],[Tipo]]="BUY",Z190-TbTradesBinance[[#This Row],[Qtt]]*TbTradesBinance[[#This Row],[Preço]],Z190+TbTradesBinance[[#This Row],[Qtt]]*TbTradesBinance[[#This Row],[Preço]])),Z190)-IF(TbTradesBinance[[#This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Row],[Tipo]]="DROP"),Z190+TbTradesBinance[[#This Row],[Qtt]],Z190-TbTradesBinance[[#This Row],[Qtt]]),IF(TbTradesBinance[[#This Row],[Tipo]]="BUY",Z190-TbTradesBinance[[#This Row],[Qtt]]*TbTradesBinance[[#This Row],[Preço]],Z190+TbTradesBinance[[#This Row],[Qtt]]*TbTradesBinance[[#This Row],[Preço]])),Z190)-IF(TbTradesBinance[[#This Row],[Moeda da Taxa]]=MID(Z$1,9,5),TbTradesBinance[[#This Row],[Taxa]],0),8)))</f>
        <v>0</v>
      </c>
      <c r="AA191" s="145" cm="1">
        <f t="array" ref="AA191">IF(TbTradesBinance[[#This Row],[Tipo]]="EMPTY",0,AA190+IF(TbTradesBinance[[#This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Row],[Par]]))),$1:$1,0)),-(Z190-Z191)/Z190*AA190),0),0)+IF(TbTradesBinance[[#This Row],[Tipo]]="SELL",IF(ISNUMBER(FIND(MID(AA$1,10,5),TbTradesBinance[[#This Row],[Par]])),IF(FIND(MID(AA$1,10,5),TbTradesBinance[[#This Row],[Par]])=1, -(Z190-Z191)/Z190*AA190,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Row],[Par]])),(-(Z190-Z191)/Z190*AA190)+IF(TbTradesBinance[[#This Row],[Resultado]]&gt;0,0,TbTradesBinance[[#This Row],[Taxa]]),0),0))</f>
        <v>0</v>
      </c>
      <c r="AB191" s="145">
        <f t="shared" si="43"/>
        <v>0</v>
      </c>
      <c r="AC19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Row],[Tipo]]="DROP"),AC190+TbTradesBinance[[#This Row],[Qtt]],AC190-TbTradesBinance[[#This Row],[Qtt]]),IF(TbTradesBinance[[#This Row],[Tipo]]="BUY",AC190-TbTradesBinance[[#This Row],[Qtt]]*TbTradesBinance[[#This Row],[Preço]],AC190+TbTradesBinance[[#This Row],[Qtt]]*TbTradesBinance[[#This Row],[Preço]])),AC190)-IF(TbTradesBinance[[#This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Row],[Tipo]]="DROP"),AC190+TbTradesBinance[[#This Row],[Qtt]],AC190-TbTradesBinance[[#This Row],[Qtt]]),IF(TbTradesBinance[[#This Row],[Tipo]]="BUY",AC190-TbTradesBinance[[#This Row],[Qtt]]*TbTradesBinance[[#This Row],[Preço]],AC190+TbTradesBinance[[#This Row],[Qtt]]*TbTradesBinance[[#This Row],[Preço]])),AC190)-IF(TbTradesBinance[[#This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Row],[Tipo]]="DROP"),AC190+TbTradesBinance[[#This Row],[Qtt]],AC190-TbTradesBinance[[#This Row],[Qtt]]),IF(TbTradesBinance[[#This Row],[Tipo]]="BUY",AC190-TbTradesBinance[[#This Row],[Qtt]]*TbTradesBinance[[#This Row],[Preço]],AC190+TbTradesBinance[[#This Row],[Qtt]]*TbTradesBinance[[#This Row],[Preço]])),AC190)-IF(TbTradesBinance[[#This Row],[Moeda da Taxa]]=MID(AC$1,9,5),TbTradesBinance[[#This Row],[Taxa]],0),8)))</f>
        <v>0</v>
      </c>
      <c r="AD191" s="145" cm="1">
        <f t="array" ref="AD191">IF(TbTradesBinance[[#This Row],[Tipo]]="EMPTY",0,AD190+IF(TbTradesBinance[[#This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Row],[Par]]))),$1:$1,0)),-(AC190-AC191)/AC190*AD190),0),0)+IF(TbTradesBinance[[#This Row],[Tipo]]="SELL",IF(ISNUMBER(FIND(MID(AD$1,10,5),TbTradesBinance[[#This Row],[Par]])),IF(FIND(MID(AD$1,10,5),TbTradesBinance[[#This Row],[Par]])=1, -(AC190-AC191)/AC190*AD190,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Row],[Par]])),(-(AC190-AC191)/AC190*AD190)+IF(TbTradesBinance[[#This Row],[Resultado]]&gt;0,0,TbTradesBinance[[#This Row],[Taxa]]),0),0))</f>
        <v>0</v>
      </c>
      <c r="AE191" s="145">
        <f t="shared" si="44"/>
        <v>0</v>
      </c>
      <c r="AF19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Row],[Tipo]]="DROP"),AF190+TbTradesBinance[[#This Row],[Qtt]],AF190-TbTradesBinance[[#This Row],[Qtt]]),IF(TbTradesBinance[[#This Row],[Tipo]]="BUY",AF190-TbTradesBinance[[#This Row],[Qtt]]*TbTradesBinance[[#This Row],[Preço]],AF190+TbTradesBinance[[#This Row],[Qtt]]*TbTradesBinance[[#This Row],[Preço]])),AF190)-IF(TbTradesBinance[[#This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Row],[Tipo]]="DROP"),AF190+TbTradesBinance[[#This Row],[Qtt]],AF190-TbTradesBinance[[#This Row],[Qtt]]),IF(TbTradesBinance[[#This Row],[Tipo]]="BUY",AF190-TbTradesBinance[[#This Row],[Qtt]]*TbTradesBinance[[#This Row],[Preço]],AF190+TbTradesBinance[[#This Row],[Qtt]]*TbTradesBinance[[#This Row],[Preço]])),AF190)-IF(TbTradesBinance[[#This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Row],[Tipo]]="DROP"),AF190+TbTradesBinance[[#This Row],[Qtt]],AF190-TbTradesBinance[[#This Row],[Qtt]]),IF(TbTradesBinance[[#This Row],[Tipo]]="BUY",AF190-TbTradesBinance[[#This Row],[Qtt]]*TbTradesBinance[[#This Row],[Preço]],AF190+TbTradesBinance[[#This Row],[Qtt]]*TbTradesBinance[[#This Row],[Preço]])),AF190)-IF(TbTradesBinance[[#This Row],[Moeda da Taxa]]=MID(AF$1,9,5),TbTradesBinance[[#This Row],[Taxa]],0),8)))</f>
        <v>0</v>
      </c>
      <c r="AG191" s="145" cm="1">
        <f t="array" ref="AG191">IF(TbTradesBinance[[#This Row],[Tipo]]="EMPTY",0,AG190+IF(TbTradesBinance[[#This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Row],[Par]]))),$1:$1,0)),-(AF190-AF191)/AF190*AG190),0),0)+IF(TbTradesBinance[[#This Row],[Tipo]]="SELL",IF(ISNUMBER(FIND(MID(AG$1,10,5),TbTradesBinance[[#This Row],[Par]])),IF(FIND(MID(AG$1,10,5),TbTradesBinance[[#This Row],[Par]])=1, -(AF190-AF191)/AF190*AG190,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Row],[Par]])),(-(AF190-AF191)/AF190*AG190)+IF(TbTradesBinance[[#This Row],[Resultado]]&gt;0,0,TbTradesBinance[[#This Row],[Taxa]]),0),0))</f>
        <v>0</v>
      </c>
      <c r="AH191" s="145">
        <f t="shared" si="45"/>
        <v>0</v>
      </c>
      <c r="AI19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Row],[Tipo]]="DROP"),AI190+TbTradesBinance[[#This Row],[Qtt]],AI190-TbTradesBinance[[#This Row],[Qtt]]),IF(TbTradesBinance[[#This Row],[Tipo]]="BUY",AI190-TbTradesBinance[[#This Row],[Qtt]]*TbTradesBinance[[#This Row],[Preço]],AI190+TbTradesBinance[[#This Row],[Qtt]]*TbTradesBinance[[#This Row],[Preço]])),AI190)-IF(TbTradesBinance[[#This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Row],[Tipo]]="DROP"),AI190+TbTradesBinance[[#This Row],[Qtt]],AI190-TbTradesBinance[[#This Row],[Qtt]]),IF(TbTradesBinance[[#This Row],[Tipo]]="BUY",AI190-TbTradesBinance[[#This Row],[Qtt]]*TbTradesBinance[[#This Row],[Preço]],AI190+TbTradesBinance[[#This Row],[Qtt]]*TbTradesBinance[[#This Row],[Preço]])),AI190)-IF(TbTradesBinance[[#This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Row],[Tipo]]="DROP"),AI190+TbTradesBinance[[#This Row],[Qtt]],AI190-TbTradesBinance[[#This Row],[Qtt]]),IF(TbTradesBinance[[#This Row],[Tipo]]="BUY",AI190-TbTradesBinance[[#This Row],[Qtt]]*TbTradesBinance[[#This Row],[Preço]],AI190+TbTradesBinance[[#This Row],[Qtt]]*TbTradesBinance[[#This Row],[Preço]])),AI190)-IF(TbTradesBinance[[#This Row],[Moeda da Taxa]]=MID(AI$1,9,5),TbTradesBinance[[#This Row],[Taxa]],0),8)))</f>
        <v>0</v>
      </c>
      <c r="AJ191" s="145" cm="1">
        <f t="array" ref="AJ191">IF(TbTradesBinance[[#This Row],[Tipo]]="EMPTY",0,AJ190+IF(TbTradesBinance[[#This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Row],[Par]]))),$1:$1,0)),-(AI190-AI191)/AI190*AJ190),0),0)+IF(TbTradesBinance[[#This Row],[Tipo]]="SELL",IF(ISNUMBER(FIND(MID(AJ$1,10,5),TbTradesBinance[[#This Row],[Par]])),IF(FIND(MID(AJ$1,10,5),TbTradesBinance[[#This Row],[Par]])=1, -(AI190-AI191)/AI190*AJ190,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Row],[Par]])),(-(AI190-AI191)/AI190*AJ190)+IF(TbTradesBinance[[#This Row],[Resultado]]&gt;0,0,TbTradesBinance[[#This Row],[Taxa]]),0),0))</f>
        <v>0</v>
      </c>
      <c r="AK191" s="145">
        <f t="shared" si="46"/>
        <v>0</v>
      </c>
      <c r="AL19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Row],[Tipo]]="DROP"),AL190+TbTradesBinance[[#This Row],[Qtt]],AL190-TbTradesBinance[[#This Row],[Qtt]]),IF(TbTradesBinance[[#This Row],[Tipo]]="BUY",AL190-TbTradesBinance[[#This Row],[Qtt]]*TbTradesBinance[[#This Row],[Preço]],AL190+TbTradesBinance[[#This Row],[Qtt]]*TbTradesBinance[[#This Row],[Preço]])),AL190)-IF(TbTradesBinance[[#This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Row],[Tipo]]="DROP"),AL190+TbTradesBinance[[#This Row],[Qtt]],AL190-TbTradesBinance[[#This Row],[Qtt]]),IF(TbTradesBinance[[#This Row],[Tipo]]="BUY",AL190-TbTradesBinance[[#This Row],[Qtt]]*TbTradesBinance[[#This Row],[Preço]],AL190+TbTradesBinance[[#This Row],[Qtt]]*TbTradesBinance[[#This Row],[Preço]])),AL190)-IF(TbTradesBinance[[#This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Row],[Tipo]]="DROP"),AL190+TbTradesBinance[[#This Row],[Qtt]],AL190-TbTradesBinance[[#This Row],[Qtt]]),IF(TbTradesBinance[[#This Row],[Tipo]]="BUY",AL190-TbTradesBinance[[#This Row],[Qtt]]*TbTradesBinance[[#This Row],[Preço]],AL190+TbTradesBinance[[#This Row],[Qtt]]*TbTradesBinance[[#This Row],[Preço]])),AL190)-IF(TbTradesBinance[[#This Row],[Moeda da Taxa]]=MID(AL$1,9,5),TbTradesBinance[[#This Row],[Taxa]],0),8)))</f>
        <v>0</v>
      </c>
      <c r="AM191" s="145" cm="1">
        <f t="array" ref="AM191">IF(TbTradesBinance[[#This Row],[Tipo]]="EMPTY",0,AM190+IF(TbTradesBinance[[#This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Row],[Par]]))),$1:$1,0)),-(AL190-AL191)/AL190*AM190),0),0)+IF(TbTradesBinance[[#This Row],[Tipo]]="SELL",IF(ISNUMBER(FIND(MID(AM$1,10,5),TbTradesBinance[[#This Row],[Par]])),IF(FIND(MID(AM$1,10,5),TbTradesBinance[[#This Row],[Par]])=1, -(AL190-AL191)/AL190*AM190,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Row],[Par]])),(-(AL190-AL191)/AL190*AM190)+IF(TbTradesBinance[[#This Row],[Resultado]]&gt;0,0,TbTradesBinance[[#This Row],[Taxa]]),0),0))</f>
        <v>0</v>
      </c>
      <c r="AN191" s="145">
        <f t="shared" si="47"/>
        <v>0</v>
      </c>
      <c r="AO19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Row],[Tipo]]="DROP"),AO190+TbTradesBinance[[#This Row],[Qtt]],AO190-TbTradesBinance[[#This Row],[Qtt]]),IF(TbTradesBinance[[#This Row],[Tipo]]="BUY",AO190-TbTradesBinance[[#This Row],[Qtt]]*TbTradesBinance[[#This Row],[Preço]],AO190+TbTradesBinance[[#This Row],[Qtt]]*TbTradesBinance[[#This Row],[Preço]])),AO190)-IF(TbTradesBinance[[#This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Row],[Tipo]]="DROP"),AO190+TbTradesBinance[[#This Row],[Qtt]],AO190-TbTradesBinance[[#This Row],[Qtt]]),IF(TbTradesBinance[[#This Row],[Tipo]]="BUY",AO190-TbTradesBinance[[#This Row],[Qtt]]*TbTradesBinance[[#This Row],[Preço]],AO190+TbTradesBinance[[#This Row],[Qtt]]*TbTradesBinance[[#This Row],[Preço]])),AO190)-IF(TbTradesBinance[[#This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Row],[Tipo]]="DROP"),AO190+TbTradesBinance[[#This Row],[Qtt]],AO190-TbTradesBinance[[#This Row],[Qtt]]),IF(TbTradesBinance[[#This Row],[Tipo]]="BUY",AO190-TbTradesBinance[[#This Row],[Qtt]]*TbTradesBinance[[#This Row],[Preço]],AO190+TbTradesBinance[[#This Row],[Qtt]]*TbTradesBinance[[#This Row],[Preço]])),AO190)-IF(TbTradesBinance[[#This Row],[Moeda da Taxa]]=MID(AO$1,9,5),TbTradesBinance[[#This Row],[Taxa]],0),8)))</f>
        <v>3.8363830000000002E-2</v>
      </c>
      <c r="AP191" s="145" cm="1">
        <f t="array" ref="AP191">IF(TbTradesBinance[[#This Row],[Tipo]]="EMPTY",0,AP190+IF(TbTradesBinance[[#This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Row],[Par]]))),$1:$1,0)),-(AO190-AO191)/AO190*AP190),0),0)+IF(TbTradesBinance[[#This Row],[Tipo]]="SELL",IF(ISNUMBER(FIND(MID(AP$1,10,5),TbTradesBinance[[#This Row],[Par]])),IF(FIND(MID(AP$1,10,5),TbTradesBinance[[#This Row],[Par]])=1, -(AO190-AO191)/AO190*AP190,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Row],[Par]])),(-(AO190-AO191)/AO190*AP190)+IF(TbTradesBinance[[#This Row],[Resultado]]&gt;0,0,TbTradesBinance[[#This Row],[Taxa]]),0),0))</f>
        <v>60.349858055862811</v>
      </c>
      <c r="AQ191" s="145">
        <f t="shared" si="48"/>
        <v>1573.0926254199023</v>
      </c>
      <c r="AR19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Row],[Tipo]]="DROP"),AR190+TbTradesBinance[[#This Row],[Qtt]],AR190-TbTradesBinance[[#This Row],[Qtt]]),IF(TbTradesBinance[[#This Row],[Tipo]]="BUY",AR190-TbTradesBinance[[#This Row],[Qtt]]*TbTradesBinance[[#This Row],[Preço]],AR190+TbTradesBinance[[#This Row],[Qtt]]*TbTradesBinance[[#This Row],[Preço]])),AR190)-IF(TbTradesBinance[[#This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Row],[Tipo]]="DROP"),AR190+TbTradesBinance[[#This Row],[Qtt]],AR190-TbTradesBinance[[#This Row],[Qtt]]),IF(TbTradesBinance[[#This Row],[Tipo]]="BUY",AR190-TbTradesBinance[[#This Row],[Qtt]]*TbTradesBinance[[#This Row],[Preço]],AR190+TbTradesBinance[[#This Row],[Qtt]]*TbTradesBinance[[#This Row],[Preço]])),AR190)-IF(TbTradesBinance[[#This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Row],[Tipo]]="DROP"),AR190+TbTradesBinance[[#This Row],[Qtt]],AR190-TbTradesBinance[[#This Row],[Qtt]]),IF(TbTradesBinance[[#This Row],[Tipo]]="BUY",AR190-TbTradesBinance[[#This Row],[Qtt]]*TbTradesBinance[[#This Row],[Preço]],AR190+TbTradesBinance[[#This Row],[Qtt]]*TbTradesBinance[[#This Row],[Preço]])),AR190)-IF(TbTradesBinance[[#This Row],[Moeda da Taxa]]=MID(AR$1,9,5),TbTradesBinance[[#This Row],[Taxa]],0),8)))</f>
        <v>0</v>
      </c>
      <c r="AS191" s="145" cm="1">
        <f t="array" ref="AS191">IF(TbTradesBinance[[#This Row],[Tipo]]="EMPTY",0,AS190+IF(TbTradesBinance[[#This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Row],[Par]]))),$1:$1,0)),-(AR190-AR191)/AR190*AS190),0),0)+IF(TbTradesBinance[[#This Row],[Tipo]]="SELL",IF(ISNUMBER(FIND(MID(AS$1,10,5),TbTradesBinance[[#This Row],[Par]])),IF(FIND(MID(AS$1,10,5),TbTradesBinance[[#This Row],[Par]])=1, -(AR190-AR191)/AR190*AS190,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Row],[Par]])),(-(AR190-AR191)/AR190*AS190)+IF(TbTradesBinance[[#This Row],[Resultado]]&gt;0,0,TbTradesBinance[[#This Row],[Taxa]]),0),0))</f>
        <v>0</v>
      </c>
      <c r="AT191" s="145">
        <f t="shared" si="49"/>
        <v>0</v>
      </c>
      <c r="AU19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Row],[Tipo]]="DROP"),AU190+TbTradesBinance[[#This Row],[Qtt]],AU190-TbTradesBinance[[#This Row],[Qtt]]),IF(TbTradesBinance[[#This Row],[Tipo]]="BUY",AU190-TbTradesBinance[[#This Row],[Qtt]]*TbTradesBinance[[#This Row],[Preço]],AU190+TbTradesBinance[[#This Row],[Qtt]]*TbTradesBinance[[#This Row],[Preço]])),AU190)-IF(TbTradesBinance[[#This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Row],[Tipo]]="DROP"),AU190+TbTradesBinance[[#This Row],[Qtt]],AU190-TbTradesBinance[[#This Row],[Qtt]]),IF(TbTradesBinance[[#This Row],[Tipo]]="BUY",AU190-TbTradesBinance[[#This Row],[Qtt]]*TbTradesBinance[[#This Row],[Preço]],AU190+TbTradesBinance[[#This Row],[Qtt]]*TbTradesBinance[[#This Row],[Preço]])),AU190)-IF(TbTradesBinance[[#This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Row],[Tipo]]="DROP"),AU190+TbTradesBinance[[#This Row],[Qtt]],AU190-TbTradesBinance[[#This Row],[Qtt]]),IF(TbTradesBinance[[#This Row],[Tipo]]="BUY",AU190-TbTradesBinance[[#This Row],[Qtt]]*TbTradesBinance[[#This Row],[Preço]],AU190+TbTradesBinance[[#This Row],[Qtt]]*TbTradesBinance[[#This Row],[Preço]])),AU190)-IF(TbTradesBinance[[#This Row],[Moeda da Taxa]]=MID(AU$1,9,5),TbTradesBinance[[#This Row],[Taxa]],0),8)))</f>
        <v>0.51</v>
      </c>
      <c r="AV191" s="145" cm="1">
        <f t="array" ref="AV191">IF(TbTradesBinance[[#This Row],[Tipo]]="EMPTY",0,AV190+IF(TbTradesBinance[[#This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Row],[Par]]))),$1:$1,0)),-(AU190-AU191)/AU190*AV190),0),0)+IF(TbTradesBinance[[#This Row],[Tipo]]="SELL",IF(ISNUMBER(FIND(MID(AV$1,10,5),TbTradesBinance[[#This Row],[Par]])),IF(FIND(MID(AV$1,10,5),TbTradesBinance[[#This Row],[Par]])=1, -(AU190-AU191)/AU190*AV190,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Row],[Par]])),(-(AU190-AU191)/AU190*AV190)+IF(TbTradesBinance[[#This Row],[Resultado]]&gt;0,0,TbTradesBinance[[#This Row],[Taxa]]),0),0))</f>
        <v>95.466693037374753</v>
      </c>
      <c r="AW191" s="145">
        <f t="shared" si="50"/>
        <v>187.18959419093088</v>
      </c>
      <c r="AX19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Row],[Tipo]]="DROP"),AX190+TbTradesBinance[[#This Row],[Qtt]],AX190-TbTradesBinance[[#This Row],[Qtt]]),IF(TbTradesBinance[[#This Row],[Tipo]]="BUY",AX190-TbTradesBinance[[#This Row],[Qtt]]*TbTradesBinance[[#This Row],[Preço]],AX190+TbTradesBinance[[#This Row],[Qtt]]*TbTradesBinance[[#This Row],[Preço]])),AX190)-IF(TbTradesBinance[[#This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Row],[Tipo]]="DROP"),AX190+TbTradesBinance[[#This Row],[Qtt]],AX190-TbTradesBinance[[#This Row],[Qtt]]),IF(TbTradesBinance[[#This Row],[Tipo]]="BUY",AX190-TbTradesBinance[[#This Row],[Qtt]]*TbTradesBinance[[#This Row],[Preço]],AX190+TbTradesBinance[[#This Row],[Qtt]]*TbTradesBinance[[#This Row],[Preço]])),AX190)-IF(TbTradesBinance[[#This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Row],[Tipo]]="DROP"),AX190+TbTradesBinance[[#This Row],[Qtt]],AX190-TbTradesBinance[[#This Row],[Qtt]]),IF(TbTradesBinance[[#This Row],[Tipo]]="BUY",AX190-TbTradesBinance[[#This Row],[Qtt]]*TbTradesBinance[[#This Row],[Preço]],AX190+TbTradesBinance[[#This Row],[Qtt]]*TbTradesBinance[[#This Row],[Preço]])),AX190)-IF(TbTradesBinance[[#This Row],[Moeda da Taxa]]=MID(AX$1,9,5),TbTradesBinance[[#This Row],[Taxa]],0),8)))</f>
        <v>0.32838000000000001</v>
      </c>
      <c r="AY191" s="145" cm="1">
        <f t="array" ref="AY191">IF(TbTradesBinance[[#This Row],[Tipo]]="EMPTY",0,AY190+IF(TbTradesBinance[[#This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Row],[Par]]))),$1:$1,0)),-(AX190-AX191)/AX190*AY190),0),0)+IF(TbTradesBinance[[#This Row],[Tipo]]="SELL",IF(ISNUMBER(FIND(MID(AY$1,10,5),TbTradesBinance[[#This Row],[Par]])),IF(FIND(MID(AY$1,10,5),TbTradesBinance[[#This Row],[Par]])=1, -(AX190-AX191)/AX190*AY190,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Row],[Par]])),(-(AX190-AX191)/AX190*AY190)+IF(TbTradesBinance[[#This Row],[Resultado]]&gt;0,0,TbTradesBinance[[#This Row],[Taxa]]),0),0))</f>
        <v>61.364116058805678</v>
      </c>
      <c r="AZ191" s="145">
        <f t="shared" si="51"/>
        <v>186.869224857804</v>
      </c>
      <c r="BA19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Row],[Tipo]]="DROP"),BA190+TbTradesBinance[[#This Row],[Qtt]],BA190-TbTradesBinance[[#This Row],[Qtt]]),IF(TbTradesBinance[[#This Row],[Tipo]]="BUY",BA190-TbTradesBinance[[#This Row],[Qtt]]*TbTradesBinance[[#This Row],[Preço]],BA190+TbTradesBinance[[#This Row],[Qtt]]*TbTradesBinance[[#This Row],[Preço]])),BA190)-IF(TbTradesBinance[[#This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Row],[Tipo]]="DROP"),BA190+TbTradesBinance[[#This Row],[Qtt]],BA190-TbTradesBinance[[#This Row],[Qtt]]),IF(TbTradesBinance[[#This Row],[Tipo]]="BUY",BA190-TbTradesBinance[[#This Row],[Qtt]]*TbTradesBinance[[#This Row],[Preço]],BA190+TbTradesBinance[[#This Row],[Qtt]]*TbTradesBinance[[#This Row],[Preço]])),BA190)-IF(TbTradesBinance[[#This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Row],[Tipo]]="DROP"),BA190+TbTradesBinance[[#This Row],[Qtt]],BA190-TbTradesBinance[[#This Row],[Qtt]]),IF(TbTradesBinance[[#This Row],[Tipo]]="BUY",BA190-TbTradesBinance[[#This Row],[Qtt]]*TbTradesBinance[[#This Row],[Preço]],BA190+TbTradesBinance[[#This Row],[Qtt]]*TbTradesBinance[[#This Row],[Preço]])),BA190)-IF(TbTradesBinance[[#This Row],[Moeda da Taxa]]=MID(BA$1,9,5),TbTradesBinance[[#This Row],[Taxa]],0),8)))</f>
        <v>0</v>
      </c>
      <c r="BB191" s="145" cm="1">
        <f t="array" ref="BB191">IF(TbTradesBinance[[#This Row],[Tipo]]="EMPTY",0,BB190+IF(TbTradesBinance[[#This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Row],[Par]]))),$1:$1,0)),-(BA190-BA191)/BA190*BB190),0),0)+IF(TbTradesBinance[[#This Row],[Tipo]]="SELL",IF(ISNUMBER(FIND(MID(BB$1,10,5),TbTradesBinance[[#This Row],[Par]])),IF(FIND(MID(BB$1,10,5),TbTradesBinance[[#This Row],[Par]])=1, -(BA190-BA191)/BA190*BB190,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Row],[Par]])),(-(BA190-BA191)/BA190*BB190)+IF(TbTradesBinance[[#This Row],[Resultado]]&gt;0,0,TbTradesBinance[[#This Row],[Taxa]]),0),0))</f>
        <v>0</v>
      </c>
      <c r="BC191" s="145">
        <f t="shared" si="52"/>
        <v>0</v>
      </c>
      <c r="BD19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Row],[Tipo]]="DROP"),BD190+TbTradesBinance[[#This Row],[Qtt]],BD190-TbTradesBinance[[#This Row],[Qtt]]),IF(TbTradesBinance[[#This Row],[Tipo]]="BUY",BD190-TbTradesBinance[[#This Row],[Qtt]]*TbTradesBinance[[#This Row],[Preço]],BD190+TbTradesBinance[[#This Row],[Qtt]]*TbTradesBinance[[#This Row],[Preço]])),BD190)-IF(TbTradesBinance[[#This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Row],[Tipo]]="DROP"),BD190+TbTradesBinance[[#This Row],[Qtt]],BD190-TbTradesBinance[[#This Row],[Qtt]]),IF(TbTradesBinance[[#This Row],[Tipo]]="BUY",BD190-TbTradesBinance[[#This Row],[Qtt]]*TbTradesBinance[[#This Row],[Preço]],BD190+TbTradesBinance[[#This Row],[Qtt]]*TbTradesBinance[[#This Row],[Preço]])),BD190)-IF(TbTradesBinance[[#This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Row],[Tipo]]="DROP"),BD190+TbTradesBinance[[#This Row],[Qtt]],BD190-TbTradesBinance[[#This Row],[Qtt]]),IF(TbTradesBinance[[#This Row],[Tipo]]="BUY",BD190-TbTradesBinance[[#This Row],[Qtt]]*TbTradesBinance[[#This Row],[Preço]],BD190+TbTradesBinance[[#This Row],[Qtt]]*TbTradesBinance[[#This Row],[Preço]])),BD190)-IF(TbTradesBinance[[#This Row],[Moeda da Taxa]]=MID(BD$1,9,5),TbTradesBinance[[#This Row],[Taxa]],0),8)))</f>
        <v>0</v>
      </c>
      <c r="BE191" s="145" cm="1">
        <f t="array" ref="BE191">IF(TbTradesBinance[[#This Row],[Tipo]]="EMPTY",0,BE190+IF(TbTradesBinance[[#This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Row],[Par]]))),$1:$1,0)),-(BD190-BD191)/BD190*BE190),0),0)+IF(TbTradesBinance[[#This Row],[Tipo]]="SELL",IF(ISNUMBER(FIND(MID(BE$1,10,5),TbTradesBinance[[#This Row],[Par]])),IF(FIND(MID(BE$1,10,5),TbTradesBinance[[#This Row],[Par]])=1, -(BD190-BD191)/BD190*BE190,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Row],[Par]])),(-(BD190-BD191)/BD190*BE190)+IF(TbTradesBinance[[#This Row],[Resultado]]&gt;0,0,TbTradesBinance[[#This Row],[Taxa]]),0),0))</f>
        <v>0</v>
      </c>
      <c r="BF191" s="145">
        <f t="shared" si="53"/>
        <v>0</v>
      </c>
      <c r="BG19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Row],[Tipo]]="DROP"),BG190+TbTradesBinance[[#This Row],[Qtt]],BG190-TbTradesBinance[[#This Row],[Qtt]]),IF(TbTradesBinance[[#This Row],[Tipo]]="BUY",BG190-TbTradesBinance[[#This Row],[Qtt]]*TbTradesBinance[[#This Row],[Preço]],BG190+TbTradesBinance[[#This Row],[Qtt]]*TbTradesBinance[[#This Row],[Preço]])),BG190)-IF(TbTradesBinance[[#This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Row],[Tipo]]="DROP"),BG190+TbTradesBinance[[#This Row],[Qtt]],BG190-TbTradesBinance[[#This Row],[Qtt]]),IF(TbTradesBinance[[#This Row],[Tipo]]="BUY",BG190-TbTradesBinance[[#This Row],[Qtt]]*TbTradesBinance[[#This Row],[Preço]],BG190+TbTradesBinance[[#This Row],[Qtt]]*TbTradesBinance[[#This Row],[Preço]])),BG190)-IF(TbTradesBinance[[#This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Row],[Tipo]]="DROP"),BG190+TbTradesBinance[[#This Row],[Qtt]],BG190-TbTradesBinance[[#This Row],[Qtt]]),IF(TbTradesBinance[[#This Row],[Tipo]]="BUY",BG190-TbTradesBinance[[#This Row],[Qtt]]*TbTradesBinance[[#This Row],[Preço]],BG190+TbTradesBinance[[#This Row],[Qtt]]*TbTradesBinance[[#This Row],[Preço]])),BG190)-IF(TbTradesBinance[[#This Row],[Moeda da Taxa]]=MID(BG$1,9,5),TbTradesBinance[[#This Row],[Taxa]],0),8)))</f>
        <v>0</v>
      </c>
      <c r="BH191" s="145" cm="1">
        <f t="array" ref="BH191">IF(TbTradesBinance[[#This Row],[Tipo]]="EMPTY",0,BH190+IF(TbTradesBinance[[#This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Row],[Par]]))),$1:$1,0)),-(BG190-BG191)/BG190*BH190),0),0)+IF(TbTradesBinance[[#This Row],[Tipo]]="SELL",IF(ISNUMBER(FIND(MID(BH$1,10,5),TbTradesBinance[[#This Row],[Par]])),IF(FIND(MID(BH$1,10,5),TbTradesBinance[[#This Row],[Par]])=1, -(BG190-BG191)/BG190*BH190,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Row],[Par]])),(-(BG190-BG191)/BG190*BH190)+IF(TbTradesBinance[[#This Row],[Resultado]]&gt;0,0,TbTradesBinance[[#This Row],[Taxa]]),0),0))</f>
        <v>0</v>
      </c>
      <c r="BI191" s="145">
        <f t="shared" si="54"/>
        <v>0</v>
      </c>
      <c r="BJ19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Row],[Tipo]]="DROP"),BJ190+TbTradesBinance[[#This Row],[Qtt]],BJ190-TbTradesBinance[[#This Row],[Qtt]]),IF(TbTradesBinance[[#This Row],[Tipo]]="BUY",BJ190-TbTradesBinance[[#This Row],[Qtt]]*TbTradesBinance[[#This Row],[Preço]],BJ190+TbTradesBinance[[#This Row],[Qtt]]*TbTradesBinance[[#This Row],[Preço]])),BJ190)-IF(TbTradesBinance[[#This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Row],[Tipo]]="DROP"),BJ190+TbTradesBinance[[#This Row],[Qtt]],BJ190-TbTradesBinance[[#This Row],[Qtt]]),IF(TbTradesBinance[[#This Row],[Tipo]]="BUY",BJ190-TbTradesBinance[[#This Row],[Qtt]]*TbTradesBinance[[#This Row],[Preço]],BJ190+TbTradesBinance[[#This Row],[Qtt]]*TbTradesBinance[[#This Row],[Preço]])),BJ190)-IF(TbTradesBinance[[#This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Row],[Tipo]]="DROP"),BJ190+TbTradesBinance[[#This Row],[Qtt]],BJ190-TbTradesBinance[[#This Row],[Qtt]]),IF(TbTradesBinance[[#This Row],[Tipo]]="BUY",BJ190-TbTradesBinance[[#This Row],[Qtt]]*TbTradesBinance[[#This Row],[Preço]],BJ190+TbTradesBinance[[#This Row],[Qtt]]*TbTradesBinance[[#This Row],[Preço]])),BJ190)-IF(TbTradesBinance[[#This Row],[Moeda da Taxa]]=MID(BJ$1,9,5),TbTradesBinance[[#This Row],[Taxa]],0),8)))</f>
        <v>0</v>
      </c>
      <c r="BK191" s="145" cm="1">
        <f t="array" ref="BK191">IF(TbTradesBinance[[#This Row],[Tipo]]="EMPTY",0,BK190+IF(TbTradesBinance[[#This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Row],[Par]]))),$1:$1,0)),-(BJ190-BJ191)/BJ190*BK190),0),0)+IF(TbTradesBinance[[#This Row],[Tipo]]="SELL",IF(ISNUMBER(FIND(MID(BK$1,10,5),TbTradesBinance[[#This Row],[Par]])),IF(FIND(MID(BK$1,10,5),TbTradesBinance[[#This Row],[Par]])=1, -(BJ190-BJ191)/BJ190*BK190,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Row],[Par]])),(-(BJ190-BJ191)/BJ190*BK190)+IF(TbTradesBinance[[#This Row],[Resultado]]&gt;0,0,TbTradesBinance[[#This Row],[Taxa]]),0),0))</f>
        <v>0</v>
      </c>
      <c r="BL191" s="145">
        <f t="shared" si="55"/>
        <v>0</v>
      </c>
      <c r="BM19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Row],[Tipo]]="DROP"),BM190+TbTradesBinance[[#This Row],[Qtt]],BM190-TbTradesBinance[[#This Row],[Qtt]]),IF(TbTradesBinance[[#This Row],[Tipo]]="BUY",BM190-TbTradesBinance[[#This Row],[Qtt]]*TbTradesBinance[[#This Row],[Preço]],BM190+TbTradesBinance[[#This Row],[Qtt]]*TbTradesBinance[[#This Row],[Preço]])),BM190)-IF(TbTradesBinance[[#This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Row],[Tipo]]="DROP"),BM190+TbTradesBinance[[#This Row],[Qtt]],BM190-TbTradesBinance[[#This Row],[Qtt]]),IF(TbTradesBinance[[#This Row],[Tipo]]="BUY",BM190-TbTradesBinance[[#This Row],[Qtt]]*TbTradesBinance[[#This Row],[Preço]],BM190+TbTradesBinance[[#This Row],[Qtt]]*TbTradesBinance[[#This Row],[Preço]])),BM190)-IF(TbTradesBinance[[#This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Row],[Tipo]]="DROP"),BM190+TbTradesBinance[[#This Row],[Qtt]],BM190-TbTradesBinance[[#This Row],[Qtt]]),IF(TbTradesBinance[[#This Row],[Tipo]]="BUY",BM190-TbTradesBinance[[#This Row],[Qtt]]*TbTradesBinance[[#This Row],[Preço]],BM190+TbTradesBinance[[#This Row],[Qtt]]*TbTradesBinance[[#This Row],[Preço]])),BM190)-IF(TbTradesBinance[[#This Row],[Moeda da Taxa]]=MID(BM$1,9,5),TbTradesBinance[[#This Row],[Taxa]],0),8)))</f>
        <v>0</v>
      </c>
      <c r="BN191" s="145" cm="1">
        <f t="array" ref="BN191">IF(TbTradesBinance[[#This Row],[Tipo]]="EMPTY",0,BN190+IF(TbTradesBinance[[#This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Row],[Par]]))),$1:$1,0)),-(BM190-BM191)/BM190*BN190),0),0)+IF(TbTradesBinance[[#This Row],[Tipo]]="SELL",IF(ISNUMBER(FIND(MID(BN$1,10,5),TbTradesBinance[[#This Row],[Par]])),IF(FIND(MID(BN$1,10,5),TbTradesBinance[[#This Row],[Par]])=1, -(BM190-BM191)/BM190*BN190,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Row],[Par]])),(-(BM190-BM191)/BM190*BN190)+IF(TbTradesBinance[[#This Row],[Resultado]]&gt;0,0,TbTradesBinance[[#This Row],[Taxa]]),0),0))</f>
        <v>0</v>
      </c>
      <c r="BO191" s="145">
        <f t="shared" si="56"/>
        <v>0</v>
      </c>
    </row>
    <row r="192" spans="2:67" x14ac:dyDescent="0.3">
      <c r="B192" s="51"/>
      <c r="C192" s="40">
        <f>TRUNC(IF(AND(TbTradesBinance[[#This Row],[Tipo]]="SEND",TbTradesBinance[[#This Row],[Par]]="BRL"),TbTradesBinance[[#This Row],[Qtt]]*(1-P190)-IF(TbTradesBinance[[#This Row],[Moeda da Taxa]]="BRL",TbTradesBinance[[#This Row],[Taxa]],0),0)+IF(AND(TbTradesBinance[[#This Row],[Tipo]]="BURN",TbTradesBinance[[#This Row],[Par]]="BRL"),-TbTradesBinance[[#This Row],[Qtt]]*P190,0),2)</f>
        <v>0</v>
      </c>
      <c r="D192" s="53">
        <v>44355.636134259257</v>
      </c>
      <c r="E192" s="37" t="s">
        <v>138</v>
      </c>
      <c r="F192" s="47" t="s">
        <v>140</v>
      </c>
      <c r="G192" s="38">
        <v>159791</v>
      </c>
      <c r="H192" s="38">
        <v>6.2579999999999997E-3</v>
      </c>
      <c r="I192" s="38">
        <v>0.99997208000000004</v>
      </c>
      <c r="J192" s="37" t="s">
        <v>50</v>
      </c>
      <c r="K192" s="52">
        <v>1</v>
      </c>
      <c r="L192" s="40">
        <f t="shared" si="38"/>
        <v>159791</v>
      </c>
      <c r="M192" s="40">
        <f>IF(OR(TbTradesBinance[[#This Row],[Tipo]]="BUY",TbTradesBinance[[#This Row],[Tipo]]="RECEIVE",TbTradesBinance[[#This Row],[Tipo]]="DROP"),L192*H192,-L192*H192)</f>
        <v>-999.9720779999999</v>
      </c>
      <c r="N19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Row],[Tipo]]="DROP"),N191+TbTradesBinance[[#This Row],[Qtt]],N191-TbTradesBinance[[#This Row],[Qtt]]),IF(TbTradesBinance[[#This Row],[Tipo]]="BUY",N191-TbTradesBinance[[#This Row],[Qtt]]*TbTradesBinance[[#This Row],[Preço]],N191+TbTradesBinance[[#This Row],[Qtt]]*TbTradesBinance[[#This Row],[Preço]])),N191)-IF(TbTradesBinance[[#This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Row],[Tipo]]="DROP"),N191+TbTradesBinance[[#This Row],[Qtt]],N191-TbTradesBinance[[#This Row],[Qtt]]),IF(TbTradesBinance[[#This Row],[Tipo]]="BUY",N191-TbTradesBinance[[#This Row],[Qtt]]*TbTradesBinance[[#This Row],[Preço]],N191+TbTradesBinance[[#This Row],[Qtt]]*TbTradesBinance[[#This Row],[Preço]])),N191)-IF(TbTradesBinance[[#This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Row],[Tipo]]="DROP"),N191+TbTradesBinance[[#This Row],[Qtt]],N191-TbTradesBinance[[#This Row],[Qtt]]),IF(TbTradesBinance[[#This Row],[Tipo]]="BUY",N191-TbTradesBinance[[#This Row],[Qtt]]*TbTradesBinance[[#This Row],[Preço]],N191+TbTradesBinance[[#This Row],[Qtt]]*TbTradesBinance[[#This Row],[Preço]])),N191)-IF(TbTradesBinance[[#This Row],[Moeda da Taxa]]=MID(N$1,9,5),TbTradesBinance[[#This Row],[Taxa]],0),8)))</f>
        <v>122762.14601144999</v>
      </c>
      <c r="O192" s="145" cm="1">
        <f t="array" ref="O192">IF(TbTradesBinance[[#This Row],[Tipo]]="EMPTY",0,O191+IF(TbTradesBinance[[#This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Row],[Par]]))),$1:$1,0)),-(N191-N192)/N191*O191),0),0)+IF(TbTradesBinance[[#This Row],[Tipo]]="SELL",IF(ISNUMBER(FIND(MID(O$1,10,5),TbTradesBinance[[#This Row],[Par]])),IF(FIND(MID(O$1,10,5),TbTradesBinance[[#This Row],[Par]])=1, -(N191-N192)/N191*O191,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Row],[Par]])),(-(N191-N192)/N191*O191)+IF(TbTradesBinance[[#This Row],[Resultado]]&gt;0,0,TbTradesBinance[[#This Row],[Taxa]]),0),0))</f>
        <v>123418.14373383345</v>
      </c>
      <c r="P192" s="145">
        <f t="shared" si="39"/>
        <v>1.0053436482148355</v>
      </c>
      <c r="Q19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Row],[Tipo]]="DROP"),Q191+TbTradesBinance[[#This Row],[Qtt]],Q191-TbTradesBinance[[#This Row],[Qtt]]),IF(TbTradesBinance[[#This Row],[Tipo]]="BUY",Q191-TbTradesBinance[[#This Row],[Qtt]]*TbTradesBinance[[#This Row],[Preço]],Q191+TbTradesBinance[[#This Row],[Qtt]]*TbTradesBinance[[#This Row],[Preço]])),Q191)-IF(TbTradesBinance[[#This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Row],[Tipo]]="DROP"),Q191+TbTradesBinance[[#This Row],[Qtt]],Q191-TbTradesBinance[[#This Row],[Qtt]]),IF(TbTradesBinance[[#This Row],[Tipo]]="BUY",Q191-TbTradesBinance[[#This Row],[Qtt]]*TbTradesBinance[[#This Row],[Preço]],Q191+TbTradesBinance[[#This Row],[Qtt]]*TbTradesBinance[[#This Row],[Preço]])),Q191)-IF(TbTradesBinance[[#This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Row],[Tipo]]="DROP"),Q191+TbTradesBinance[[#This Row],[Qtt]],Q191-TbTradesBinance[[#This Row],[Qtt]]),IF(TbTradesBinance[[#This Row],[Tipo]]="BUY",Q191-TbTradesBinance[[#This Row],[Qtt]]*TbTradesBinance[[#This Row],[Preço]],Q191+TbTradesBinance[[#This Row],[Qtt]]*TbTradesBinance[[#This Row],[Preço]])),Q191)-IF(TbTradesBinance[[#This Row],[Moeda da Taxa]]=MID(Q$1,9,5),TbTradesBinance[[#This Row],[Taxa]],0),8)))</f>
        <v>2.8600460000000001E-2</v>
      </c>
      <c r="R192" s="145" cm="1">
        <f t="array" ref="R192">IF(TbTradesBinance[[#This Row],[Tipo]]="EMPTY",0,R191+IF(TbTradesBinance[[#This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Row],[Par]]))),$1:$1,0)),-(Q191-Q192)/Q191*R191),0),0)+IF(TbTradesBinance[[#This Row],[Tipo]]="SELL",IF(ISNUMBER(FIND(MID(R$1,10,5),TbTradesBinance[[#This Row],[Par]])),IF(FIND(MID(R$1,10,5),TbTradesBinance[[#This Row],[Par]])=1, -(Q191-Q192)/Q191*R191,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Row],[Par]])),(-(Q191-Q192)/Q191*R191)+IF(TbTradesBinance[[#This Row],[Resultado]]&gt;0,0,TbTradesBinance[[#This Row],[Taxa]]),0),0))</f>
        <v>0.13390752156915653</v>
      </c>
      <c r="S192" s="145">
        <f t="shared" si="40"/>
        <v>4.6820058687572343</v>
      </c>
      <c r="T19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Row],[Tipo]]="DROP"),T191+TbTradesBinance[[#This Row],[Qtt]],T191-TbTradesBinance[[#This Row],[Qtt]]),IF(TbTradesBinance[[#This Row],[Tipo]]="BUY",T191-TbTradesBinance[[#This Row],[Qtt]]*TbTradesBinance[[#This Row],[Preço]],T191+TbTradesBinance[[#This Row],[Qtt]]*TbTradesBinance[[#This Row],[Preço]])),T191)-IF(TbTradesBinance[[#This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Row],[Tipo]]="DROP"),T191+TbTradesBinance[[#This Row],[Qtt]],T191-TbTradesBinance[[#This Row],[Qtt]]),IF(TbTradesBinance[[#This Row],[Tipo]]="BUY",T191-TbTradesBinance[[#This Row],[Qtt]]*TbTradesBinance[[#This Row],[Preço]],T191+TbTradesBinance[[#This Row],[Qtt]]*TbTradesBinance[[#This Row],[Preço]])),T191)-IF(TbTradesBinance[[#This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Row],[Tipo]]="DROP"),T191+TbTradesBinance[[#This Row],[Qtt]],T191-TbTradesBinance[[#This Row],[Qtt]]),IF(TbTradesBinance[[#This Row],[Tipo]]="BUY",T191-TbTradesBinance[[#This Row],[Qtt]]*TbTradesBinance[[#This Row],[Preço]],T191+TbTradesBinance[[#This Row],[Qtt]]*TbTradesBinance[[#This Row],[Preço]])),T191)-IF(TbTradesBinance[[#This Row],[Moeda da Taxa]]=MID(T$1,9,5),TbTradesBinance[[#This Row],[Taxa]],0),8)))</f>
        <v>101223913.720009</v>
      </c>
      <c r="U192" s="145" cm="1">
        <f t="array" ref="U192">IF(TbTradesBinance[[#This Row],[Tipo]]="EMPTY",0,U191+IF(TbTradesBinance[[#This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Row],[Par]]))),$1:$1,0)),-(T191-T192)/T191*U191),0),0)+IF(TbTradesBinance[[#This Row],[Tipo]]="SELL",IF(ISNUMBER(FIND(MID(U$1,10,5),TbTradesBinance[[#This Row],[Par]])),IF(FIND(MID(U$1,10,5),TbTradesBinance[[#This Row],[Par]])=1, -(T191-T192)/T191*U191,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Row],[Par]])),(-(T191-T192)/T191*U191)+IF(TbTradesBinance[[#This Row],[Resultado]]&gt;0,0,TbTradesBinance[[#This Row],[Taxa]]),0),0))</f>
        <v>617586601.27364206</v>
      </c>
      <c r="V192" s="145">
        <f t="shared" si="41"/>
        <v>6.1011926784605572</v>
      </c>
      <c r="W19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Row],[Tipo]]="DROP"),W191+TbTradesBinance[[#This Row],[Qtt]],W191-TbTradesBinance[[#This Row],[Qtt]]),IF(TbTradesBinance[[#This Row],[Tipo]]="BUY",W191-TbTradesBinance[[#This Row],[Qtt]]*TbTradesBinance[[#This Row],[Preço]],W191+TbTradesBinance[[#This Row],[Qtt]]*TbTradesBinance[[#This Row],[Preço]])),W191)-IF(TbTradesBinance[[#This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Row],[Tipo]]="DROP"),W191+TbTradesBinance[[#This Row],[Qtt]],W191-TbTradesBinance[[#This Row],[Qtt]]),IF(TbTradesBinance[[#This Row],[Tipo]]="BUY",W191-TbTradesBinance[[#This Row],[Qtt]]*TbTradesBinance[[#This Row],[Preço]],W191+TbTradesBinance[[#This Row],[Qtt]]*TbTradesBinance[[#This Row],[Preço]])),W191)-IF(TbTradesBinance[[#This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Row],[Tipo]]="DROP"),W191+TbTradesBinance[[#This Row],[Qtt]],W191-TbTradesBinance[[#This Row],[Qtt]]),IF(TbTradesBinance[[#This Row],[Tipo]]="BUY",W191-TbTradesBinance[[#This Row],[Qtt]]*TbTradesBinance[[#This Row],[Preço]],W191+TbTradesBinance[[#This Row],[Qtt]]*TbTradesBinance[[#This Row],[Preço]])),W191)-IF(TbTradesBinance[[#This Row],[Moeda da Taxa]]=MID(W$1,9,5),TbTradesBinance[[#This Row],[Taxa]],0),8)))</f>
        <v>8.5829900000000004E-3</v>
      </c>
      <c r="X192" s="145" cm="1">
        <f t="array" ref="X192">IF(TbTradesBinance[[#This Row],[Tipo]]="EMPTY",0,X191+IF(TbTradesBinance[[#This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Row],[Par]]))),$1:$1,0)),-(W191-W192)/W191*X191),0),0)+IF(TbTradesBinance[[#This Row],[Tipo]]="SELL",IF(ISNUMBER(FIND(MID(X$1,10,5),TbTradesBinance[[#This Row],[Par]])),IF(FIND(MID(X$1,10,5),TbTradesBinance[[#This Row],[Par]])=1, -(W191-W192)/W191*X191,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Row],[Par]])),(-(W191-W192)/W191*X191)+IF(TbTradesBinance[[#This Row],[Resultado]]&gt;0,0,TbTradesBinance[[#This Row],[Taxa]]),0),0))</f>
        <v>1622.9592932862622</v>
      </c>
      <c r="Y192" s="145">
        <f t="shared" si="42"/>
        <v>189090.1997190096</v>
      </c>
      <c r="Z19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Row],[Tipo]]="DROP"),Z191+TbTradesBinance[[#This Row],[Qtt]],Z191-TbTradesBinance[[#This Row],[Qtt]]),IF(TbTradesBinance[[#This Row],[Tipo]]="BUY",Z191-TbTradesBinance[[#This Row],[Qtt]]*TbTradesBinance[[#This Row],[Preço]],Z191+TbTradesBinance[[#This Row],[Qtt]]*TbTradesBinance[[#This Row],[Preço]])),Z191)-IF(TbTradesBinance[[#This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Row],[Tipo]]="DROP"),Z191+TbTradesBinance[[#This Row],[Qtt]],Z191-TbTradesBinance[[#This Row],[Qtt]]),IF(TbTradesBinance[[#This Row],[Tipo]]="BUY",Z191-TbTradesBinance[[#This Row],[Qtt]]*TbTradesBinance[[#This Row],[Preço]],Z191+TbTradesBinance[[#This Row],[Qtt]]*TbTradesBinance[[#This Row],[Preço]])),Z191)-IF(TbTradesBinance[[#This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Row],[Tipo]]="DROP"),Z191+TbTradesBinance[[#This Row],[Qtt]],Z191-TbTradesBinance[[#This Row],[Qtt]]),IF(TbTradesBinance[[#This Row],[Tipo]]="BUY",Z191-TbTradesBinance[[#This Row],[Qtt]]*TbTradesBinance[[#This Row],[Preço]],Z191+TbTradesBinance[[#This Row],[Qtt]]*TbTradesBinance[[#This Row],[Preço]])),Z191)-IF(TbTradesBinance[[#This Row],[Moeda da Taxa]]=MID(Z$1,9,5),TbTradesBinance[[#This Row],[Taxa]],0),8)))</f>
        <v>0</v>
      </c>
      <c r="AA192" s="145" cm="1">
        <f t="array" ref="AA192">IF(TbTradesBinance[[#This Row],[Tipo]]="EMPTY",0,AA191+IF(TbTradesBinance[[#This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Row],[Par]]))),$1:$1,0)),-(Z191-Z192)/Z191*AA191),0),0)+IF(TbTradesBinance[[#This Row],[Tipo]]="SELL",IF(ISNUMBER(FIND(MID(AA$1,10,5),TbTradesBinance[[#This Row],[Par]])),IF(FIND(MID(AA$1,10,5),TbTradesBinance[[#This Row],[Par]])=1, -(Z191-Z192)/Z191*AA191,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Row],[Par]])),(-(Z191-Z192)/Z191*AA191)+IF(TbTradesBinance[[#This Row],[Resultado]]&gt;0,0,TbTradesBinance[[#This Row],[Taxa]]),0),0))</f>
        <v>0</v>
      </c>
      <c r="AB192" s="145">
        <f t="shared" si="43"/>
        <v>0</v>
      </c>
      <c r="AC19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Row],[Tipo]]="DROP"),AC191+TbTradesBinance[[#This Row],[Qtt]],AC191-TbTradesBinance[[#This Row],[Qtt]]),IF(TbTradesBinance[[#This Row],[Tipo]]="BUY",AC191-TbTradesBinance[[#This Row],[Qtt]]*TbTradesBinance[[#This Row],[Preço]],AC191+TbTradesBinance[[#This Row],[Qtt]]*TbTradesBinance[[#This Row],[Preço]])),AC191)-IF(TbTradesBinance[[#This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Row],[Tipo]]="DROP"),AC191+TbTradesBinance[[#This Row],[Qtt]],AC191-TbTradesBinance[[#This Row],[Qtt]]),IF(TbTradesBinance[[#This Row],[Tipo]]="BUY",AC191-TbTradesBinance[[#This Row],[Qtt]]*TbTradesBinance[[#This Row],[Preço]],AC191+TbTradesBinance[[#This Row],[Qtt]]*TbTradesBinance[[#This Row],[Preço]])),AC191)-IF(TbTradesBinance[[#This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Row],[Tipo]]="DROP"),AC191+TbTradesBinance[[#This Row],[Qtt]],AC191-TbTradesBinance[[#This Row],[Qtt]]),IF(TbTradesBinance[[#This Row],[Tipo]]="BUY",AC191-TbTradesBinance[[#This Row],[Qtt]]*TbTradesBinance[[#This Row],[Preço]],AC191+TbTradesBinance[[#This Row],[Qtt]]*TbTradesBinance[[#This Row],[Preço]])),AC191)-IF(TbTradesBinance[[#This Row],[Moeda da Taxa]]=MID(AC$1,9,5),TbTradesBinance[[#This Row],[Taxa]],0),8)))</f>
        <v>0</v>
      </c>
      <c r="AD192" s="145" cm="1">
        <f t="array" ref="AD192">IF(TbTradesBinance[[#This Row],[Tipo]]="EMPTY",0,AD191+IF(TbTradesBinance[[#This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Row],[Par]]))),$1:$1,0)),-(AC191-AC192)/AC191*AD191),0),0)+IF(TbTradesBinance[[#This Row],[Tipo]]="SELL",IF(ISNUMBER(FIND(MID(AD$1,10,5),TbTradesBinance[[#This Row],[Par]])),IF(FIND(MID(AD$1,10,5),TbTradesBinance[[#This Row],[Par]])=1, -(AC191-AC192)/AC191*AD191,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Row],[Par]])),(-(AC191-AC192)/AC191*AD191)+IF(TbTradesBinance[[#This Row],[Resultado]]&gt;0,0,TbTradesBinance[[#This Row],[Taxa]]),0),0))</f>
        <v>0</v>
      </c>
      <c r="AE192" s="145">
        <f t="shared" si="44"/>
        <v>0</v>
      </c>
      <c r="AF19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Row],[Tipo]]="DROP"),AF191+TbTradesBinance[[#This Row],[Qtt]],AF191-TbTradesBinance[[#This Row],[Qtt]]),IF(TbTradesBinance[[#This Row],[Tipo]]="BUY",AF191-TbTradesBinance[[#This Row],[Qtt]]*TbTradesBinance[[#This Row],[Preço]],AF191+TbTradesBinance[[#This Row],[Qtt]]*TbTradesBinance[[#This Row],[Preço]])),AF191)-IF(TbTradesBinance[[#This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Row],[Tipo]]="DROP"),AF191+TbTradesBinance[[#This Row],[Qtt]],AF191-TbTradesBinance[[#This Row],[Qtt]]),IF(TbTradesBinance[[#This Row],[Tipo]]="BUY",AF191-TbTradesBinance[[#This Row],[Qtt]]*TbTradesBinance[[#This Row],[Preço]],AF191+TbTradesBinance[[#This Row],[Qtt]]*TbTradesBinance[[#This Row],[Preço]])),AF191)-IF(TbTradesBinance[[#This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Row],[Tipo]]="DROP"),AF191+TbTradesBinance[[#This Row],[Qtt]],AF191-TbTradesBinance[[#This Row],[Qtt]]),IF(TbTradesBinance[[#This Row],[Tipo]]="BUY",AF191-TbTradesBinance[[#This Row],[Qtt]]*TbTradesBinance[[#This Row],[Preço]],AF191+TbTradesBinance[[#This Row],[Qtt]]*TbTradesBinance[[#This Row],[Preço]])),AF191)-IF(TbTradesBinance[[#This Row],[Moeda da Taxa]]=MID(AF$1,9,5),TbTradesBinance[[#This Row],[Taxa]],0),8)))</f>
        <v>0</v>
      </c>
      <c r="AG192" s="145" cm="1">
        <f t="array" ref="AG192">IF(TbTradesBinance[[#This Row],[Tipo]]="EMPTY",0,AG191+IF(TbTradesBinance[[#This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Row],[Par]]))),$1:$1,0)),-(AF191-AF192)/AF191*AG191),0),0)+IF(TbTradesBinance[[#This Row],[Tipo]]="SELL",IF(ISNUMBER(FIND(MID(AG$1,10,5),TbTradesBinance[[#This Row],[Par]])),IF(FIND(MID(AG$1,10,5),TbTradesBinance[[#This Row],[Par]])=1, -(AF191-AF192)/AF191*AG191,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Row],[Par]])),(-(AF191-AF192)/AF191*AG191)+IF(TbTradesBinance[[#This Row],[Resultado]]&gt;0,0,TbTradesBinance[[#This Row],[Taxa]]),0),0))</f>
        <v>0</v>
      </c>
      <c r="AH192" s="145">
        <f t="shared" si="45"/>
        <v>0</v>
      </c>
      <c r="AI19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Row],[Tipo]]="DROP"),AI191+TbTradesBinance[[#This Row],[Qtt]],AI191-TbTradesBinance[[#This Row],[Qtt]]),IF(TbTradesBinance[[#This Row],[Tipo]]="BUY",AI191-TbTradesBinance[[#This Row],[Qtt]]*TbTradesBinance[[#This Row],[Preço]],AI191+TbTradesBinance[[#This Row],[Qtt]]*TbTradesBinance[[#This Row],[Preço]])),AI191)-IF(TbTradesBinance[[#This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Row],[Tipo]]="DROP"),AI191+TbTradesBinance[[#This Row],[Qtt]],AI191-TbTradesBinance[[#This Row],[Qtt]]),IF(TbTradesBinance[[#This Row],[Tipo]]="BUY",AI191-TbTradesBinance[[#This Row],[Qtt]]*TbTradesBinance[[#This Row],[Preço]],AI191+TbTradesBinance[[#This Row],[Qtt]]*TbTradesBinance[[#This Row],[Preço]])),AI191)-IF(TbTradesBinance[[#This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Row],[Tipo]]="DROP"),AI191+TbTradesBinance[[#This Row],[Qtt]],AI191-TbTradesBinance[[#This Row],[Qtt]]),IF(TbTradesBinance[[#This Row],[Tipo]]="BUY",AI191-TbTradesBinance[[#This Row],[Qtt]]*TbTradesBinance[[#This Row],[Preço]],AI191+TbTradesBinance[[#This Row],[Qtt]]*TbTradesBinance[[#This Row],[Preço]])),AI191)-IF(TbTradesBinance[[#This Row],[Moeda da Taxa]]=MID(AI$1,9,5),TbTradesBinance[[#This Row],[Taxa]],0),8)))</f>
        <v>0</v>
      </c>
      <c r="AJ192" s="145" cm="1">
        <f t="array" ref="AJ192">IF(TbTradesBinance[[#This Row],[Tipo]]="EMPTY",0,AJ191+IF(TbTradesBinance[[#This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Row],[Par]]))),$1:$1,0)),-(AI191-AI192)/AI191*AJ191),0),0)+IF(TbTradesBinance[[#This Row],[Tipo]]="SELL",IF(ISNUMBER(FIND(MID(AJ$1,10,5),TbTradesBinance[[#This Row],[Par]])),IF(FIND(MID(AJ$1,10,5),TbTradesBinance[[#This Row],[Par]])=1, -(AI191-AI192)/AI191*AJ191,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Row],[Par]])),(-(AI191-AI192)/AI191*AJ191)+IF(TbTradesBinance[[#This Row],[Resultado]]&gt;0,0,TbTradesBinance[[#This Row],[Taxa]]),0),0))</f>
        <v>0</v>
      </c>
      <c r="AK192" s="145">
        <f t="shared" si="46"/>
        <v>0</v>
      </c>
      <c r="AL19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Row],[Tipo]]="DROP"),AL191+TbTradesBinance[[#This Row],[Qtt]],AL191-TbTradesBinance[[#This Row],[Qtt]]),IF(TbTradesBinance[[#This Row],[Tipo]]="BUY",AL191-TbTradesBinance[[#This Row],[Qtt]]*TbTradesBinance[[#This Row],[Preço]],AL191+TbTradesBinance[[#This Row],[Qtt]]*TbTradesBinance[[#This Row],[Preço]])),AL191)-IF(TbTradesBinance[[#This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Row],[Tipo]]="DROP"),AL191+TbTradesBinance[[#This Row],[Qtt]],AL191-TbTradesBinance[[#This Row],[Qtt]]),IF(TbTradesBinance[[#This Row],[Tipo]]="BUY",AL191-TbTradesBinance[[#This Row],[Qtt]]*TbTradesBinance[[#This Row],[Preço]],AL191+TbTradesBinance[[#This Row],[Qtt]]*TbTradesBinance[[#This Row],[Preço]])),AL191)-IF(TbTradesBinance[[#This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Row],[Tipo]]="DROP"),AL191+TbTradesBinance[[#This Row],[Qtt]],AL191-TbTradesBinance[[#This Row],[Qtt]]),IF(TbTradesBinance[[#This Row],[Tipo]]="BUY",AL191-TbTradesBinance[[#This Row],[Qtt]]*TbTradesBinance[[#This Row],[Preço]],AL191+TbTradesBinance[[#This Row],[Qtt]]*TbTradesBinance[[#This Row],[Preço]])),AL191)-IF(TbTradesBinance[[#This Row],[Moeda da Taxa]]=MID(AL$1,9,5),TbTradesBinance[[#This Row],[Taxa]],0),8)))</f>
        <v>0</v>
      </c>
      <c r="AM192" s="145" cm="1">
        <f t="array" ref="AM192">IF(TbTradesBinance[[#This Row],[Tipo]]="EMPTY",0,AM191+IF(TbTradesBinance[[#This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Row],[Par]]))),$1:$1,0)),-(AL191-AL192)/AL191*AM191),0),0)+IF(TbTradesBinance[[#This Row],[Tipo]]="SELL",IF(ISNUMBER(FIND(MID(AM$1,10,5),TbTradesBinance[[#This Row],[Par]])),IF(FIND(MID(AM$1,10,5),TbTradesBinance[[#This Row],[Par]])=1, -(AL191-AL192)/AL191*AM191,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Row],[Par]])),(-(AL191-AL192)/AL191*AM191)+IF(TbTradesBinance[[#This Row],[Resultado]]&gt;0,0,TbTradesBinance[[#This Row],[Taxa]]),0),0))</f>
        <v>0</v>
      </c>
      <c r="AN192" s="145">
        <f t="shared" si="47"/>
        <v>0</v>
      </c>
      <c r="AO19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Row],[Tipo]]="DROP"),AO191+TbTradesBinance[[#This Row],[Qtt]],AO191-TbTradesBinance[[#This Row],[Qtt]]),IF(TbTradesBinance[[#This Row],[Tipo]]="BUY",AO191-TbTradesBinance[[#This Row],[Qtt]]*TbTradesBinance[[#This Row],[Preço]],AO191+TbTradesBinance[[#This Row],[Qtt]]*TbTradesBinance[[#This Row],[Preço]])),AO191)-IF(TbTradesBinance[[#This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Row],[Tipo]]="DROP"),AO191+TbTradesBinance[[#This Row],[Qtt]],AO191-TbTradesBinance[[#This Row],[Qtt]]),IF(TbTradesBinance[[#This Row],[Tipo]]="BUY",AO191-TbTradesBinance[[#This Row],[Qtt]]*TbTradesBinance[[#This Row],[Preço]],AO191+TbTradesBinance[[#This Row],[Qtt]]*TbTradesBinance[[#This Row],[Preço]])),AO191)-IF(TbTradesBinance[[#This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Row],[Tipo]]="DROP"),AO191+TbTradesBinance[[#This Row],[Qtt]],AO191-TbTradesBinance[[#This Row],[Qtt]]),IF(TbTradesBinance[[#This Row],[Tipo]]="BUY",AO191-TbTradesBinance[[#This Row],[Qtt]]*TbTradesBinance[[#This Row],[Preço]],AO191+TbTradesBinance[[#This Row],[Qtt]]*TbTradesBinance[[#This Row],[Preço]])),AO191)-IF(TbTradesBinance[[#This Row],[Moeda da Taxa]]=MID(AO$1,9,5),TbTradesBinance[[#This Row],[Taxa]],0),8)))</f>
        <v>3.8363830000000002E-2</v>
      </c>
      <c r="AP192" s="145" cm="1">
        <f t="array" ref="AP192">IF(TbTradesBinance[[#This Row],[Tipo]]="EMPTY",0,AP191+IF(TbTradesBinance[[#This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Row],[Par]]))),$1:$1,0)),-(AO191-AO192)/AO191*AP191),0),0)+IF(TbTradesBinance[[#This Row],[Tipo]]="SELL",IF(ISNUMBER(FIND(MID(AP$1,10,5),TbTradesBinance[[#This Row],[Par]])),IF(FIND(MID(AP$1,10,5),TbTradesBinance[[#This Row],[Par]])=1, -(AO191-AO192)/AO191*AP191,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Row],[Par]])),(-(AO191-AO192)/AO191*AP191)+IF(TbTradesBinance[[#This Row],[Resultado]]&gt;0,0,TbTradesBinance[[#This Row],[Taxa]]),0),0))</f>
        <v>60.349858055862811</v>
      </c>
      <c r="AQ192" s="145">
        <f t="shared" si="48"/>
        <v>1573.0926254199023</v>
      </c>
      <c r="AR19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Row],[Tipo]]="DROP"),AR191+TbTradesBinance[[#This Row],[Qtt]],AR191-TbTradesBinance[[#This Row],[Qtt]]),IF(TbTradesBinance[[#This Row],[Tipo]]="BUY",AR191-TbTradesBinance[[#This Row],[Qtt]]*TbTradesBinance[[#This Row],[Preço]],AR191+TbTradesBinance[[#This Row],[Qtt]]*TbTradesBinance[[#This Row],[Preço]])),AR191)-IF(TbTradesBinance[[#This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Row],[Tipo]]="DROP"),AR191+TbTradesBinance[[#This Row],[Qtt]],AR191-TbTradesBinance[[#This Row],[Qtt]]),IF(TbTradesBinance[[#This Row],[Tipo]]="BUY",AR191-TbTradesBinance[[#This Row],[Qtt]]*TbTradesBinance[[#This Row],[Preço]],AR191+TbTradesBinance[[#This Row],[Qtt]]*TbTradesBinance[[#This Row],[Preço]])),AR191)-IF(TbTradesBinance[[#This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Row],[Tipo]]="DROP"),AR191+TbTradesBinance[[#This Row],[Qtt]],AR191-TbTradesBinance[[#This Row],[Qtt]]),IF(TbTradesBinance[[#This Row],[Tipo]]="BUY",AR191-TbTradesBinance[[#This Row],[Qtt]]*TbTradesBinance[[#This Row],[Preço]],AR191+TbTradesBinance[[#This Row],[Qtt]]*TbTradesBinance[[#This Row],[Preço]])),AR191)-IF(TbTradesBinance[[#This Row],[Moeda da Taxa]]=MID(AR$1,9,5),TbTradesBinance[[#This Row],[Taxa]],0),8)))</f>
        <v>0</v>
      </c>
      <c r="AS192" s="145" cm="1">
        <f t="array" ref="AS192">IF(TbTradesBinance[[#This Row],[Tipo]]="EMPTY",0,AS191+IF(TbTradesBinance[[#This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Row],[Par]]))),$1:$1,0)),-(AR191-AR192)/AR191*AS191),0),0)+IF(TbTradesBinance[[#This Row],[Tipo]]="SELL",IF(ISNUMBER(FIND(MID(AS$1,10,5),TbTradesBinance[[#This Row],[Par]])),IF(FIND(MID(AS$1,10,5),TbTradesBinance[[#This Row],[Par]])=1, -(AR191-AR192)/AR191*AS191,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Row],[Par]])),(-(AR191-AR192)/AR191*AS191)+IF(TbTradesBinance[[#This Row],[Resultado]]&gt;0,0,TbTradesBinance[[#This Row],[Taxa]]),0),0))</f>
        <v>0</v>
      </c>
      <c r="AT192" s="145">
        <f t="shared" si="49"/>
        <v>0</v>
      </c>
      <c r="AU19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Row],[Tipo]]="DROP"),AU191+TbTradesBinance[[#This Row],[Qtt]],AU191-TbTradesBinance[[#This Row],[Qtt]]),IF(TbTradesBinance[[#This Row],[Tipo]]="BUY",AU191-TbTradesBinance[[#This Row],[Qtt]]*TbTradesBinance[[#This Row],[Preço]],AU191+TbTradesBinance[[#This Row],[Qtt]]*TbTradesBinance[[#This Row],[Preço]])),AU191)-IF(TbTradesBinance[[#This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Row],[Tipo]]="DROP"),AU191+TbTradesBinance[[#This Row],[Qtt]],AU191-TbTradesBinance[[#This Row],[Qtt]]),IF(TbTradesBinance[[#This Row],[Tipo]]="BUY",AU191-TbTradesBinance[[#This Row],[Qtt]]*TbTradesBinance[[#This Row],[Preço]],AU191+TbTradesBinance[[#This Row],[Qtt]]*TbTradesBinance[[#This Row],[Preço]])),AU191)-IF(TbTradesBinance[[#This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Row],[Tipo]]="DROP"),AU191+TbTradesBinance[[#This Row],[Qtt]],AU191-TbTradesBinance[[#This Row],[Qtt]]),IF(TbTradesBinance[[#This Row],[Tipo]]="BUY",AU191-TbTradesBinance[[#This Row],[Qtt]]*TbTradesBinance[[#This Row],[Preço]],AU191+TbTradesBinance[[#This Row],[Qtt]]*TbTradesBinance[[#This Row],[Preço]])),AU191)-IF(TbTradesBinance[[#This Row],[Moeda da Taxa]]=MID(AU$1,9,5),TbTradesBinance[[#This Row],[Taxa]],0),8)))</f>
        <v>0.51</v>
      </c>
      <c r="AV192" s="145" cm="1">
        <f t="array" ref="AV192">IF(TbTradesBinance[[#This Row],[Tipo]]="EMPTY",0,AV191+IF(TbTradesBinance[[#This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Row],[Par]]))),$1:$1,0)),-(AU191-AU192)/AU191*AV191),0),0)+IF(TbTradesBinance[[#This Row],[Tipo]]="SELL",IF(ISNUMBER(FIND(MID(AV$1,10,5),TbTradesBinance[[#This Row],[Par]])),IF(FIND(MID(AV$1,10,5),TbTradesBinance[[#This Row],[Par]])=1, -(AU191-AU192)/AU191*AV191,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Row],[Par]])),(-(AU191-AU192)/AU191*AV191)+IF(TbTradesBinance[[#This Row],[Resultado]]&gt;0,0,TbTradesBinance[[#This Row],[Taxa]]),0),0))</f>
        <v>95.466693037374753</v>
      </c>
      <c r="AW192" s="145">
        <f t="shared" si="50"/>
        <v>187.18959419093088</v>
      </c>
      <c r="AX19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Row],[Tipo]]="DROP"),AX191+TbTradesBinance[[#This Row],[Qtt]],AX191-TbTradesBinance[[#This Row],[Qtt]]),IF(TbTradesBinance[[#This Row],[Tipo]]="BUY",AX191-TbTradesBinance[[#This Row],[Qtt]]*TbTradesBinance[[#This Row],[Preço]],AX191+TbTradesBinance[[#This Row],[Qtt]]*TbTradesBinance[[#This Row],[Preço]])),AX191)-IF(TbTradesBinance[[#This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Row],[Tipo]]="DROP"),AX191+TbTradesBinance[[#This Row],[Qtt]],AX191-TbTradesBinance[[#This Row],[Qtt]]),IF(TbTradesBinance[[#This Row],[Tipo]]="BUY",AX191-TbTradesBinance[[#This Row],[Qtt]]*TbTradesBinance[[#This Row],[Preço]],AX191+TbTradesBinance[[#This Row],[Qtt]]*TbTradesBinance[[#This Row],[Preço]])),AX191)-IF(TbTradesBinance[[#This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Row],[Tipo]]="DROP"),AX191+TbTradesBinance[[#This Row],[Qtt]],AX191-TbTradesBinance[[#This Row],[Qtt]]),IF(TbTradesBinance[[#This Row],[Tipo]]="BUY",AX191-TbTradesBinance[[#This Row],[Qtt]]*TbTradesBinance[[#This Row],[Preço]],AX191+TbTradesBinance[[#This Row],[Qtt]]*TbTradesBinance[[#This Row],[Preço]])),AX191)-IF(TbTradesBinance[[#This Row],[Moeda da Taxa]]=MID(AX$1,9,5),TbTradesBinance[[#This Row],[Taxa]],0),8)))</f>
        <v>0.32838000000000001</v>
      </c>
      <c r="AY192" s="145" cm="1">
        <f t="array" ref="AY192">IF(TbTradesBinance[[#This Row],[Tipo]]="EMPTY",0,AY191+IF(TbTradesBinance[[#This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Row],[Par]]))),$1:$1,0)),-(AX191-AX192)/AX191*AY191),0),0)+IF(TbTradesBinance[[#This Row],[Tipo]]="SELL",IF(ISNUMBER(FIND(MID(AY$1,10,5),TbTradesBinance[[#This Row],[Par]])),IF(FIND(MID(AY$1,10,5),TbTradesBinance[[#This Row],[Par]])=1, -(AX191-AX192)/AX191*AY191,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Row],[Par]])),(-(AX191-AX192)/AX191*AY191)+IF(TbTradesBinance[[#This Row],[Resultado]]&gt;0,0,TbTradesBinance[[#This Row],[Taxa]]),0),0))</f>
        <v>61.364116058805678</v>
      </c>
      <c r="AZ192" s="145">
        <f t="shared" si="51"/>
        <v>186.869224857804</v>
      </c>
      <c r="BA19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Row],[Tipo]]="DROP"),BA191+TbTradesBinance[[#This Row],[Qtt]],BA191-TbTradesBinance[[#This Row],[Qtt]]),IF(TbTradesBinance[[#This Row],[Tipo]]="BUY",BA191-TbTradesBinance[[#This Row],[Qtt]]*TbTradesBinance[[#This Row],[Preço]],BA191+TbTradesBinance[[#This Row],[Qtt]]*TbTradesBinance[[#This Row],[Preço]])),BA191)-IF(TbTradesBinance[[#This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Row],[Tipo]]="DROP"),BA191+TbTradesBinance[[#This Row],[Qtt]],BA191-TbTradesBinance[[#This Row],[Qtt]]),IF(TbTradesBinance[[#This Row],[Tipo]]="BUY",BA191-TbTradesBinance[[#This Row],[Qtt]]*TbTradesBinance[[#This Row],[Preço]],BA191+TbTradesBinance[[#This Row],[Qtt]]*TbTradesBinance[[#This Row],[Preço]])),BA191)-IF(TbTradesBinance[[#This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Row],[Tipo]]="DROP"),BA191+TbTradesBinance[[#This Row],[Qtt]],BA191-TbTradesBinance[[#This Row],[Qtt]]),IF(TbTradesBinance[[#This Row],[Tipo]]="BUY",BA191-TbTradesBinance[[#This Row],[Qtt]]*TbTradesBinance[[#This Row],[Preço]],BA191+TbTradesBinance[[#This Row],[Qtt]]*TbTradesBinance[[#This Row],[Preço]])),BA191)-IF(TbTradesBinance[[#This Row],[Moeda da Taxa]]=MID(BA$1,9,5),TbTradesBinance[[#This Row],[Taxa]],0),8)))</f>
        <v>0</v>
      </c>
      <c r="BB192" s="145" cm="1">
        <f t="array" ref="BB192">IF(TbTradesBinance[[#This Row],[Tipo]]="EMPTY",0,BB191+IF(TbTradesBinance[[#This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Row],[Par]]))),$1:$1,0)),-(BA191-BA192)/BA191*BB191),0),0)+IF(TbTradesBinance[[#This Row],[Tipo]]="SELL",IF(ISNUMBER(FIND(MID(BB$1,10,5),TbTradesBinance[[#This Row],[Par]])),IF(FIND(MID(BB$1,10,5),TbTradesBinance[[#This Row],[Par]])=1, -(BA191-BA192)/BA191*BB191,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Row],[Par]])),(-(BA191-BA192)/BA191*BB191)+IF(TbTradesBinance[[#This Row],[Resultado]]&gt;0,0,TbTradesBinance[[#This Row],[Taxa]]),0),0))</f>
        <v>0</v>
      </c>
      <c r="BC192" s="145">
        <f t="shared" si="52"/>
        <v>0</v>
      </c>
      <c r="BD19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Row],[Tipo]]="DROP"),BD191+TbTradesBinance[[#This Row],[Qtt]],BD191-TbTradesBinance[[#This Row],[Qtt]]),IF(TbTradesBinance[[#This Row],[Tipo]]="BUY",BD191-TbTradesBinance[[#This Row],[Qtt]]*TbTradesBinance[[#This Row],[Preço]],BD191+TbTradesBinance[[#This Row],[Qtt]]*TbTradesBinance[[#This Row],[Preço]])),BD191)-IF(TbTradesBinance[[#This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Row],[Tipo]]="DROP"),BD191+TbTradesBinance[[#This Row],[Qtt]],BD191-TbTradesBinance[[#This Row],[Qtt]]),IF(TbTradesBinance[[#This Row],[Tipo]]="BUY",BD191-TbTradesBinance[[#This Row],[Qtt]]*TbTradesBinance[[#This Row],[Preço]],BD191+TbTradesBinance[[#This Row],[Qtt]]*TbTradesBinance[[#This Row],[Preço]])),BD191)-IF(TbTradesBinance[[#This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Row],[Tipo]]="DROP"),BD191+TbTradesBinance[[#This Row],[Qtt]],BD191-TbTradesBinance[[#This Row],[Qtt]]),IF(TbTradesBinance[[#This Row],[Tipo]]="BUY",BD191-TbTradesBinance[[#This Row],[Qtt]]*TbTradesBinance[[#This Row],[Preço]],BD191+TbTradesBinance[[#This Row],[Qtt]]*TbTradesBinance[[#This Row],[Preço]])),BD191)-IF(TbTradesBinance[[#This Row],[Moeda da Taxa]]=MID(BD$1,9,5),TbTradesBinance[[#This Row],[Taxa]],0),8)))</f>
        <v>0</v>
      </c>
      <c r="BE192" s="145" cm="1">
        <f t="array" ref="BE192">IF(TbTradesBinance[[#This Row],[Tipo]]="EMPTY",0,BE191+IF(TbTradesBinance[[#This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Row],[Par]]))),$1:$1,0)),-(BD191-BD192)/BD191*BE191),0),0)+IF(TbTradesBinance[[#This Row],[Tipo]]="SELL",IF(ISNUMBER(FIND(MID(BE$1,10,5),TbTradesBinance[[#This Row],[Par]])),IF(FIND(MID(BE$1,10,5),TbTradesBinance[[#This Row],[Par]])=1, -(BD191-BD192)/BD191*BE191,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Row],[Par]])),(-(BD191-BD192)/BD191*BE191)+IF(TbTradesBinance[[#This Row],[Resultado]]&gt;0,0,TbTradesBinance[[#This Row],[Taxa]]),0),0))</f>
        <v>0</v>
      </c>
      <c r="BF192" s="145">
        <f t="shared" si="53"/>
        <v>0</v>
      </c>
      <c r="BG19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Row],[Tipo]]="DROP"),BG191+TbTradesBinance[[#This Row],[Qtt]],BG191-TbTradesBinance[[#This Row],[Qtt]]),IF(TbTradesBinance[[#This Row],[Tipo]]="BUY",BG191-TbTradesBinance[[#This Row],[Qtt]]*TbTradesBinance[[#This Row],[Preço]],BG191+TbTradesBinance[[#This Row],[Qtt]]*TbTradesBinance[[#This Row],[Preço]])),BG191)-IF(TbTradesBinance[[#This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Row],[Tipo]]="DROP"),BG191+TbTradesBinance[[#This Row],[Qtt]],BG191-TbTradesBinance[[#This Row],[Qtt]]),IF(TbTradesBinance[[#This Row],[Tipo]]="BUY",BG191-TbTradesBinance[[#This Row],[Qtt]]*TbTradesBinance[[#This Row],[Preço]],BG191+TbTradesBinance[[#This Row],[Qtt]]*TbTradesBinance[[#This Row],[Preço]])),BG191)-IF(TbTradesBinance[[#This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Row],[Tipo]]="DROP"),BG191+TbTradesBinance[[#This Row],[Qtt]],BG191-TbTradesBinance[[#This Row],[Qtt]]),IF(TbTradesBinance[[#This Row],[Tipo]]="BUY",BG191-TbTradesBinance[[#This Row],[Qtt]]*TbTradesBinance[[#This Row],[Preço]],BG191+TbTradesBinance[[#This Row],[Qtt]]*TbTradesBinance[[#This Row],[Preço]])),BG191)-IF(TbTradesBinance[[#This Row],[Moeda da Taxa]]=MID(BG$1,9,5),TbTradesBinance[[#This Row],[Taxa]],0),8)))</f>
        <v>0</v>
      </c>
      <c r="BH192" s="145" cm="1">
        <f t="array" ref="BH192">IF(TbTradesBinance[[#This Row],[Tipo]]="EMPTY",0,BH191+IF(TbTradesBinance[[#This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Row],[Par]]))),$1:$1,0)),-(BG191-BG192)/BG191*BH191),0),0)+IF(TbTradesBinance[[#This Row],[Tipo]]="SELL",IF(ISNUMBER(FIND(MID(BH$1,10,5),TbTradesBinance[[#This Row],[Par]])),IF(FIND(MID(BH$1,10,5),TbTradesBinance[[#This Row],[Par]])=1, -(BG191-BG192)/BG191*BH191,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Row],[Par]])),(-(BG191-BG192)/BG191*BH191)+IF(TbTradesBinance[[#This Row],[Resultado]]&gt;0,0,TbTradesBinance[[#This Row],[Taxa]]),0),0))</f>
        <v>0</v>
      </c>
      <c r="BI192" s="145">
        <f t="shared" si="54"/>
        <v>0</v>
      </c>
      <c r="BJ19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Row],[Tipo]]="DROP"),BJ191+TbTradesBinance[[#This Row],[Qtt]],BJ191-TbTradesBinance[[#This Row],[Qtt]]),IF(TbTradesBinance[[#This Row],[Tipo]]="BUY",BJ191-TbTradesBinance[[#This Row],[Qtt]]*TbTradesBinance[[#This Row],[Preço]],BJ191+TbTradesBinance[[#This Row],[Qtt]]*TbTradesBinance[[#This Row],[Preço]])),BJ191)-IF(TbTradesBinance[[#This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Row],[Tipo]]="DROP"),BJ191+TbTradesBinance[[#This Row],[Qtt]],BJ191-TbTradesBinance[[#This Row],[Qtt]]),IF(TbTradesBinance[[#This Row],[Tipo]]="BUY",BJ191-TbTradesBinance[[#This Row],[Qtt]]*TbTradesBinance[[#This Row],[Preço]],BJ191+TbTradesBinance[[#This Row],[Qtt]]*TbTradesBinance[[#This Row],[Preço]])),BJ191)-IF(TbTradesBinance[[#This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Row],[Tipo]]="DROP"),BJ191+TbTradesBinance[[#This Row],[Qtt]],BJ191-TbTradesBinance[[#This Row],[Qtt]]),IF(TbTradesBinance[[#This Row],[Tipo]]="BUY",BJ191-TbTradesBinance[[#This Row],[Qtt]]*TbTradesBinance[[#This Row],[Preço]],BJ191+TbTradesBinance[[#This Row],[Qtt]]*TbTradesBinance[[#This Row],[Preço]])),BJ191)-IF(TbTradesBinance[[#This Row],[Moeda da Taxa]]=MID(BJ$1,9,5),TbTradesBinance[[#This Row],[Taxa]],0),8)))</f>
        <v>0</v>
      </c>
      <c r="BK192" s="145" cm="1">
        <f t="array" ref="BK192">IF(TbTradesBinance[[#This Row],[Tipo]]="EMPTY",0,BK191+IF(TbTradesBinance[[#This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Row],[Par]]))),$1:$1,0)),-(BJ191-BJ192)/BJ191*BK191),0),0)+IF(TbTradesBinance[[#This Row],[Tipo]]="SELL",IF(ISNUMBER(FIND(MID(BK$1,10,5),TbTradesBinance[[#This Row],[Par]])),IF(FIND(MID(BK$1,10,5),TbTradesBinance[[#This Row],[Par]])=1, -(BJ191-BJ192)/BJ191*BK191,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Row],[Par]])),(-(BJ191-BJ192)/BJ191*BK191)+IF(TbTradesBinance[[#This Row],[Resultado]]&gt;0,0,TbTradesBinance[[#This Row],[Taxa]]),0),0))</f>
        <v>0</v>
      </c>
      <c r="BL192" s="145">
        <f t="shared" si="55"/>
        <v>0</v>
      </c>
      <c r="BM19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Row],[Tipo]]="DROP"),BM191+TbTradesBinance[[#This Row],[Qtt]],BM191-TbTradesBinance[[#This Row],[Qtt]]),IF(TbTradesBinance[[#This Row],[Tipo]]="BUY",BM191-TbTradesBinance[[#This Row],[Qtt]]*TbTradesBinance[[#This Row],[Preço]],BM191+TbTradesBinance[[#This Row],[Qtt]]*TbTradesBinance[[#This Row],[Preço]])),BM191)-IF(TbTradesBinance[[#This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Row],[Tipo]]="DROP"),BM191+TbTradesBinance[[#This Row],[Qtt]],BM191-TbTradesBinance[[#This Row],[Qtt]]),IF(TbTradesBinance[[#This Row],[Tipo]]="BUY",BM191-TbTradesBinance[[#This Row],[Qtt]]*TbTradesBinance[[#This Row],[Preço]],BM191+TbTradesBinance[[#This Row],[Qtt]]*TbTradesBinance[[#This Row],[Preço]])),BM191)-IF(TbTradesBinance[[#This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Row],[Tipo]]="DROP"),BM191+TbTradesBinance[[#This Row],[Qtt]],BM191-TbTradesBinance[[#This Row],[Qtt]]),IF(TbTradesBinance[[#This Row],[Tipo]]="BUY",BM191-TbTradesBinance[[#This Row],[Qtt]]*TbTradesBinance[[#This Row],[Preço]],BM191+TbTradesBinance[[#This Row],[Qtt]]*TbTradesBinance[[#This Row],[Preço]])),BM191)-IF(TbTradesBinance[[#This Row],[Moeda da Taxa]]=MID(BM$1,9,5),TbTradesBinance[[#This Row],[Taxa]],0),8)))</f>
        <v>0</v>
      </c>
      <c r="BN192" s="145" cm="1">
        <f t="array" ref="BN192">IF(TbTradesBinance[[#This Row],[Tipo]]="EMPTY",0,BN191+IF(TbTradesBinance[[#This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Row],[Par]]))),$1:$1,0)),-(BM191-BM192)/BM191*BN191),0),0)+IF(TbTradesBinance[[#This Row],[Tipo]]="SELL",IF(ISNUMBER(FIND(MID(BN$1,10,5),TbTradesBinance[[#This Row],[Par]])),IF(FIND(MID(BN$1,10,5),TbTradesBinance[[#This Row],[Par]])=1, -(BM191-BM192)/BM191*BN191,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Row],[Par]])),(-(BM191-BM192)/BM191*BN191)+IF(TbTradesBinance[[#This Row],[Resultado]]&gt;0,0,TbTradesBinance[[#This Row],[Taxa]]),0),0))</f>
        <v>0</v>
      </c>
      <c r="BO192" s="145">
        <f t="shared" si="56"/>
        <v>0</v>
      </c>
    </row>
    <row r="193" spans="2:67" x14ac:dyDescent="0.3">
      <c r="B193" s="51"/>
      <c r="C193" s="40">
        <f>TRUNC(IF(AND(TbTradesBinance[[#This Row],[Tipo]]="SEND",TbTradesBinance[[#This Row],[Par]]="BRL"),TbTradesBinance[[#This Row],[Qtt]]*(1-P191)-IF(TbTradesBinance[[#This Row],[Moeda da Taxa]]="BRL",TbTradesBinance[[#This Row],[Taxa]],0),0)+IF(AND(TbTradesBinance[[#This Row],[Tipo]]="BURN",TbTradesBinance[[#This Row],[Par]]="BRL"),-TbTradesBinance[[#This Row],[Qtt]]*P191,0),2)</f>
        <v>0</v>
      </c>
      <c r="D193" s="53">
        <v>44355.636134259257</v>
      </c>
      <c r="E193" s="37" t="s">
        <v>138</v>
      </c>
      <c r="F193" s="47" t="s">
        <v>140</v>
      </c>
      <c r="G193" s="38">
        <v>159800</v>
      </c>
      <c r="H193" s="38">
        <v>2.0000000000000002E-5</v>
      </c>
      <c r="I193" s="38">
        <v>1.44E-6</v>
      </c>
      <c r="J193" s="37" t="s">
        <v>45</v>
      </c>
      <c r="K193" s="52">
        <v>1</v>
      </c>
      <c r="L193" s="40">
        <f t="shared" si="38"/>
        <v>159800</v>
      </c>
      <c r="M193" s="40">
        <f>IF(OR(TbTradesBinance[[#This Row],[Tipo]]="BUY",TbTradesBinance[[#This Row],[Tipo]]="RECEIVE",TbTradesBinance[[#This Row],[Tipo]]="DROP"),L193*H193,-L193*H193)</f>
        <v>-3.1960000000000002</v>
      </c>
      <c r="N19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Row],[Tipo]]="DROP"),N192+TbTradesBinance[[#This Row],[Qtt]],N192-TbTradesBinance[[#This Row],[Qtt]]),IF(TbTradesBinance[[#This Row],[Tipo]]="BUY",N192-TbTradesBinance[[#This Row],[Qtt]]*TbTradesBinance[[#This Row],[Preço]],N192+TbTradesBinance[[#This Row],[Qtt]]*TbTradesBinance[[#This Row],[Preço]])),N192)-IF(TbTradesBinance[[#This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Row],[Tipo]]="DROP"),N192+TbTradesBinance[[#This Row],[Qtt]],N192-TbTradesBinance[[#This Row],[Qtt]]),IF(TbTradesBinance[[#This Row],[Tipo]]="BUY",N192-TbTradesBinance[[#This Row],[Qtt]]*TbTradesBinance[[#This Row],[Preço]],N192+TbTradesBinance[[#This Row],[Qtt]]*TbTradesBinance[[#This Row],[Preço]])),N192)-IF(TbTradesBinance[[#This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Row],[Tipo]]="DROP"),N192+TbTradesBinance[[#This Row],[Qtt]],N192-TbTradesBinance[[#This Row],[Qtt]]),IF(TbTradesBinance[[#This Row],[Tipo]]="BUY",N192-TbTradesBinance[[#This Row],[Qtt]]*TbTradesBinance[[#This Row],[Preço]],N192+TbTradesBinance[[#This Row],[Qtt]]*TbTradesBinance[[#This Row],[Preço]])),N192)-IF(TbTradesBinance[[#This Row],[Moeda da Taxa]]=MID(N$1,9,5),TbTradesBinance[[#This Row],[Taxa]],0),8)))</f>
        <v>122765.34201145</v>
      </c>
      <c r="O193" s="145" cm="1">
        <f t="array" ref="O193">IF(TbTradesBinance[[#This Row],[Tipo]]="EMPTY",0,O192+IF(TbTradesBinance[[#This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Row],[Par]]))),$1:$1,0)),-(N192-N193)/N192*O192),0),0)+IF(TbTradesBinance[[#This Row],[Tipo]]="SELL",IF(ISNUMBER(FIND(MID(O$1,10,5),TbTradesBinance[[#This Row],[Par]])),IF(FIND(MID(O$1,10,5),TbTradesBinance[[#This Row],[Par]])=1, -(N192-N193)/N192*O192,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Row],[Par]])),(-(N192-N193)/N192*O192)+IF(TbTradesBinance[[#This Row],[Resultado]]&gt;0,0,TbTradesBinance[[#This Row],[Taxa]]),0),0))</f>
        <v>123421.92553782783</v>
      </c>
      <c r="P193" s="145">
        <f t="shared" si="39"/>
        <v>1.0053482808390384</v>
      </c>
      <c r="Q19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Row],[Tipo]]="DROP"),Q192+TbTradesBinance[[#This Row],[Qtt]],Q192-TbTradesBinance[[#This Row],[Qtt]]),IF(TbTradesBinance[[#This Row],[Tipo]]="BUY",Q192-TbTradesBinance[[#This Row],[Qtt]]*TbTradesBinance[[#This Row],[Preço]],Q192+TbTradesBinance[[#This Row],[Qtt]]*TbTradesBinance[[#This Row],[Preço]])),Q192)-IF(TbTradesBinance[[#This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Row],[Tipo]]="DROP"),Q192+TbTradesBinance[[#This Row],[Qtt]],Q192-TbTradesBinance[[#This Row],[Qtt]]),IF(TbTradesBinance[[#This Row],[Tipo]]="BUY",Q192-TbTradesBinance[[#This Row],[Qtt]]*TbTradesBinance[[#This Row],[Preço]],Q192+TbTradesBinance[[#This Row],[Qtt]]*TbTradesBinance[[#This Row],[Preço]])),Q192)-IF(TbTradesBinance[[#This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Row],[Tipo]]="DROP"),Q192+TbTradesBinance[[#This Row],[Qtt]],Q192-TbTradesBinance[[#This Row],[Qtt]]),IF(TbTradesBinance[[#This Row],[Tipo]]="BUY",Q192-TbTradesBinance[[#This Row],[Qtt]]*TbTradesBinance[[#This Row],[Preço]],Q192+TbTradesBinance[[#This Row],[Qtt]]*TbTradesBinance[[#This Row],[Preço]])),Q192)-IF(TbTradesBinance[[#This Row],[Moeda da Taxa]]=MID(Q$1,9,5),TbTradesBinance[[#This Row],[Taxa]],0),8)))</f>
        <v>2.8600460000000001E-2</v>
      </c>
      <c r="R193" s="145" cm="1">
        <f t="array" ref="R193">IF(TbTradesBinance[[#This Row],[Tipo]]="EMPTY",0,R192+IF(TbTradesBinance[[#This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Row],[Par]]))),$1:$1,0)),-(Q192-Q193)/Q192*R192),0),0)+IF(TbTradesBinance[[#This Row],[Tipo]]="SELL",IF(ISNUMBER(FIND(MID(R$1,10,5),TbTradesBinance[[#This Row],[Par]])),IF(FIND(MID(R$1,10,5),TbTradesBinance[[#This Row],[Par]])=1, -(Q192-Q193)/Q192*R192,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Row],[Par]])),(-(Q192-Q193)/Q192*R192)+IF(TbTradesBinance[[#This Row],[Resultado]]&gt;0,0,TbTradesBinance[[#This Row],[Taxa]]),0),0))</f>
        <v>0.13390752156915653</v>
      </c>
      <c r="S193" s="145">
        <f t="shared" si="40"/>
        <v>4.6820058687572343</v>
      </c>
      <c r="T19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Row],[Tipo]]="DROP"),T192+TbTradesBinance[[#This Row],[Qtt]],T192-TbTradesBinance[[#This Row],[Qtt]]),IF(TbTradesBinance[[#This Row],[Tipo]]="BUY",T192-TbTradesBinance[[#This Row],[Qtt]]*TbTradesBinance[[#This Row],[Preço]],T192+TbTradesBinance[[#This Row],[Qtt]]*TbTradesBinance[[#This Row],[Preço]])),T192)-IF(TbTradesBinance[[#This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Row],[Tipo]]="DROP"),T192+TbTradesBinance[[#This Row],[Qtt]],T192-TbTradesBinance[[#This Row],[Qtt]]),IF(TbTradesBinance[[#This Row],[Tipo]]="BUY",T192-TbTradesBinance[[#This Row],[Qtt]]*TbTradesBinance[[#This Row],[Preço]],T192+TbTradesBinance[[#This Row],[Qtt]]*TbTradesBinance[[#This Row],[Preço]])),T192)-IF(TbTradesBinance[[#This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Row],[Tipo]]="DROP"),T192+TbTradesBinance[[#This Row],[Qtt]],T192-TbTradesBinance[[#This Row],[Qtt]]),IF(TbTradesBinance[[#This Row],[Tipo]]="BUY",T192-TbTradesBinance[[#This Row],[Qtt]]*TbTradesBinance[[#This Row],[Preço]],T192+TbTradesBinance[[#This Row],[Qtt]]*TbTradesBinance[[#This Row],[Preço]])),T192)-IF(TbTradesBinance[[#This Row],[Moeda da Taxa]]=MID(T$1,9,5),TbTradesBinance[[#This Row],[Taxa]],0),8)))</f>
        <v>101223913.720009</v>
      </c>
      <c r="U193" s="145" cm="1">
        <f t="array" ref="U193">IF(TbTradesBinance[[#This Row],[Tipo]]="EMPTY",0,U192+IF(TbTradesBinance[[#This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Row],[Par]]))),$1:$1,0)),-(T192-T193)/T192*U192),0),0)+IF(TbTradesBinance[[#This Row],[Tipo]]="SELL",IF(ISNUMBER(FIND(MID(U$1,10,5),TbTradesBinance[[#This Row],[Par]])),IF(FIND(MID(U$1,10,5),TbTradesBinance[[#This Row],[Par]])=1, -(T192-T193)/T192*U192,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Row],[Par]])),(-(T192-T193)/T192*U192)+IF(TbTradesBinance[[#This Row],[Resultado]]&gt;0,0,TbTradesBinance[[#This Row],[Taxa]]),0),0))</f>
        <v>617586601.27364206</v>
      </c>
      <c r="V193" s="145">
        <f t="shared" si="41"/>
        <v>6.1011926784605572</v>
      </c>
      <c r="W19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Row],[Tipo]]="DROP"),W192+TbTradesBinance[[#This Row],[Qtt]],W192-TbTradesBinance[[#This Row],[Qtt]]),IF(TbTradesBinance[[#This Row],[Tipo]]="BUY",W192-TbTradesBinance[[#This Row],[Qtt]]*TbTradesBinance[[#This Row],[Preço]],W192+TbTradesBinance[[#This Row],[Qtt]]*TbTradesBinance[[#This Row],[Preço]])),W192)-IF(TbTradesBinance[[#This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Row],[Tipo]]="DROP"),W192+TbTradesBinance[[#This Row],[Qtt]],W192-TbTradesBinance[[#This Row],[Qtt]]),IF(TbTradesBinance[[#This Row],[Tipo]]="BUY",W192-TbTradesBinance[[#This Row],[Qtt]]*TbTradesBinance[[#This Row],[Preço]],W192+TbTradesBinance[[#This Row],[Qtt]]*TbTradesBinance[[#This Row],[Preço]])),W192)-IF(TbTradesBinance[[#This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Row],[Tipo]]="DROP"),W192+TbTradesBinance[[#This Row],[Qtt]],W192-TbTradesBinance[[#This Row],[Qtt]]),IF(TbTradesBinance[[#This Row],[Tipo]]="BUY",W192-TbTradesBinance[[#This Row],[Qtt]]*TbTradesBinance[[#This Row],[Preço]],W192+TbTradesBinance[[#This Row],[Qtt]]*TbTradesBinance[[#This Row],[Preço]])),W192)-IF(TbTradesBinance[[#This Row],[Moeda da Taxa]]=MID(W$1,9,5),TbTradesBinance[[#This Row],[Taxa]],0),8)))</f>
        <v>8.5629899999999995E-3</v>
      </c>
      <c r="X193" s="145" cm="1">
        <f t="array" ref="X193">IF(TbTradesBinance[[#This Row],[Tipo]]="EMPTY",0,X192+IF(TbTradesBinance[[#This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Row],[Par]]))),$1:$1,0)),-(W192-W193)/W192*X192),0),0)+IF(TbTradesBinance[[#This Row],[Tipo]]="SELL",IF(ISNUMBER(FIND(MID(X$1,10,5),TbTradesBinance[[#This Row],[Par]])),IF(FIND(MID(X$1,10,5),TbTradesBinance[[#This Row],[Par]])=1, -(W192-W193)/W192*X192,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Row],[Par]])),(-(W192-W193)/W192*X192)+IF(TbTradesBinance[[#This Row],[Resultado]]&gt;0,0,TbTradesBinance[[#This Row],[Taxa]]),0),0))</f>
        <v>1619.1774892918818</v>
      </c>
      <c r="Y193" s="145">
        <f t="shared" si="42"/>
        <v>189090.19971900957</v>
      </c>
      <c r="Z19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Row],[Tipo]]="DROP"),Z192+TbTradesBinance[[#This Row],[Qtt]],Z192-TbTradesBinance[[#This Row],[Qtt]]),IF(TbTradesBinance[[#This Row],[Tipo]]="BUY",Z192-TbTradesBinance[[#This Row],[Qtt]]*TbTradesBinance[[#This Row],[Preço]],Z192+TbTradesBinance[[#This Row],[Qtt]]*TbTradesBinance[[#This Row],[Preço]])),Z192)-IF(TbTradesBinance[[#This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Row],[Tipo]]="DROP"),Z192+TbTradesBinance[[#This Row],[Qtt]],Z192-TbTradesBinance[[#This Row],[Qtt]]),IF(TbTradesBinance[[#This Row],[Tipo]]="BUY",Z192-TbTradesBinance[[#This Row],[Qtt]]*TbTradesBinance[[#This Row],[Preço]],Z192+TbTradesBinance[[#This Row],[Qtt]]*TbTradesBinance[[#This Row],[Preço]])),Z192)-IF(TbTradesBinance[[#This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Row],[Tipo]]="DROP"),Z192+TbTradesBinance[[#This Row],[Qtt]],Z192-TbTradesBinance[[#This Row],[Qtt]]),IF(TbTradesBinance[[#This Row],[Tipo]]="BUY",Z192-TbTradesBinance[[#This Row],[Qtt]]*TbTradesBinance[[#This Row],[Preço]],Z192+TbTradesBinance[[#This Row],[Qtt]]*TbTradesBinance[[#This Row],[Preço]])),Z192)-IF(TbTradesBinance[[#This Row],[Moeda da Taxa]]=MID(Z$1,9,5),TbTradesBinance[[#This Row],[Taxa]],0),8)))</f>
        <v>0</v>
      </c>
      <c r="AA193" s="145" cm="1">
        <f t="array" ref="AA193">IF(TbTradesBinance[[#This Row],[Tipo]]="EMPTY",0,AA192+IF(TbTradesBinance[[#This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Row],[Par]]))),$1:$1,0)),-(Z192-Z193)/Z192*AA192),0),0)+IF(TbTradesBinance[[#This Row],[Tipo]]="SELL",IF(ISNUMBER(FIND(MID(AA$1,10,5),TbTradesBinance[[#This Row],[Par]])),IF(FIND(MID(AA$1,10,5),TbTradesBinance[[#This Row],[Par]])=1, -(Z192-Z193)/Z192*AA192,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Row],[Par]])),(-(Z192-Z193)/Z192*AA192)+IF(TbTradesBinance[[#This Row],[Resultado]]&gt;0,0,TbTradesBinance[[#This Row],[Taxa]]),0),0))</f>
        <v>0</v>
      </c>
      <c r="AB193" s="145">
        <f t="shared" si="43"/>
        <v>0</v>
      </c>
      <c r="AC19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Row],[Tipo]]="DROP"),AC192+TbTradesBinance[[#This Row],[Qtt]],AC192-TbTradesBinance[[#This Row],[Qtt]]),IF(TbTradesBinance[[#This Row],[Tipo]]="BUY",AC192-TbTradesBinance[[#This Row],[Qtt]]*TbTradesBinance[[#This Row],[Preço]],AC192+TbTradesBinance[[#This Row],[Qtt]]*TbTradesBinance[[#This Row],[Preço]])),AC192)-IF(TbTradesBinance[[#This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Row],[Tipo]]="DROP"),AC192+TbTradesBinance[[#This Row],[Qtt]],AC192-TbTradesBinance[[#This Row],[Qtt]]),IF(TbTradesBinance[[#This Row],[Tipo]]="BUY",AC192-TbTradesBinance[[#This Row],[Qtt]]*TbTradesBinance[[#This Row],[Preço]],AC192+TbTradesBinance[[#This Row],[Qtt]]*TbTradesBinance[[#This Row],[Preço]])),AC192)-IF(TbTradesBinance[[#This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Row],[Tipo]]="DROP"),AC192+TbTradesBinance[[#This Row],[Qtt]],AC192-TbTradesBinance[[#This Row],[Qtt]]),IF(TbTradesBinance[[#This Row],[Tipo]]="BUY",AC192-TbTradesBinance[[#This Row],[Qtt]]*TbTradesBinance[[#This Row],[Preço]],AC192+TbTradesBinance[[#This Row],[Qtt]]*TbTradesBinance[[#This Row],[Preço]])),AC192)-IF(TbTradesBinance[[#This Row],[Moeda da Taxa]]=MID(AC$1,9,5),TbTradesBinance[[#This Row],[Taxa]],0),8)))</f>
        <v>0</v>
      </c>
      <c r="AD193" s="145" cm="1">
        <f t="array" ref="AD193">IF(TbTradesBinance[[#This Row],[Tipo]]="EMPTY",0,AD192+IF(TbTradesBinance[[#This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Row],[Par]]))),$1:$1,0)),-(AC192-AC193)/AC192*AD192),0),0)+IF(TbTradesBinance[[#This Row],[Tipo]]="SELL",IF(ISNUMBER(FIND(MID(AD$1,10,5),TbTradesBinance[[#This Row],[Par]])),IF(FIND(MID(AD$1,10,5),TbTradesBinance[[#This Row],[Par]])=1, -(AC192-AC193)/AC192*AD192,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Row],[Par]])),(-(AC192-AC193)/AC192*AD192)+IF(TbTradesBinance[[#This Row],[Resultado]]&gt;0,0,TbTradesBinance[[#This Row],[Taxa]]),0),0))</f>
        <v>0</v>
      </c>
      <c r="AE193" s="145">
        <f t="shared" si="44"/>
        <v>0</v>
      </c>
      <c r="AF19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Row],[Tipo]]="DROP"),AF192+TbTradesBinance[[#This Row],[Qtt]],AF192-TbTradesBinance[[#This Row],[Qtt]]),IF(TbTradesBinance[[#This Row],[Tipo]]="BUY",AF192-TbTradesBinance[[#This Row],[Qtt]]*TbTradesBinance[[#This Row],[Preço]],AF192+TbTradesBinance[[#This Row],[Qtt]]*TbTradesBinance[[#This Row],[Preço]])),AF192)-IF(TbTradesBinance[[#This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Row],[Tipo]]="DROP"),AF192+TbTradesBinance[[#This Row],[Qtt]],AF192-TbTradesBinance[[#This Row],[Qtt]]),IF(TbTradesBinance[[#This Row],[Tipo]]="BUY",AF192-TbTradesBinance[[#This Row],[Qtt]]*TbTradesBinance[[#This Row],[Preço]],AF192+TbTradesBinance[[#This Row],[Qtt]]*TbTradesBinance[[#This Row],[Preço]])),AF192)-IF(TbTradesBinance[[#This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Row],[Tipo]]="DROP"),AF192+TbTradesBinance[[#This Row],[Qtt]],AF192-TbTradesBinance[[#This Row],[Qtt]]),IF(TbTradesBinance[[#This Row],[Tipo]]="BUY",AF192-TbTradesBinance[[#This Row],[Qtt]]*TbTradesBinance[[#This Row],[Preço]],AF192+TbTradesBinance[[#This Row],[Qtt]]*TbTradesBinance[[#This Row],[Preço]])),AF192)-IF(TbTradesBinance[[#This Row],[Moeda da Taxa]]=MID(AF$1,9,5),TbTradesBinance[[#This Row],[Taxa]],0),8)))</f>
        <v>0</v>
      </c>
      <c r="AG193" s="145" cm="1">
        <f t="array" ref="AG193">IF(TbTradesBinance[[#This Row],[Tipo]]="EMPTY",0,AG192+IF(TbTradesBinance[[#This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Row],[Par]]))),$1:$1,0)),-(AF192-AF193)/AF192*AG192),0),0)+IF(TbTradesBinance[[#This Row],[Tipo]]="SELL",IF(ISNUMBER(FIND(MID(AG$1,10,5),TbTradesBinance[[#This Row],[Par]])),IF(FIND(MID(AG$1,10,5),TbTradesBinance[[#This Row],[Par]])=1, -(AF192-AF193)/AF192*AG192,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Row],[Par]])),(-(AF192-AF193)/AF192*AG192)+IF(TbTradesBinance[[#This Row],[Resultado]]&gt;0,0,TbTradesBinance[[#This Row],[Taxa]]),0),0))</f>
        <v>0</v>
      </c>
      <c r="AH193" s="145">
        <f t="shared" si="45"/>
        <v>0</v>
      </c>
      <c r="AI19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Row],[Tipo]]="DROP"),AI192+TbTradesBinance[[#This Row],[Qtt]],AI192-TbTradesBinance[[#This Row],[Qtt]]),IF(TbTradesBinance[[#This Row],[Tipo]]="BUY",AI192-TbTradesBinance[[#This Row],[Qtt]]*TbTradesBinance[[#This Row],[Preço]],AI192+TbTradesBinance[[#This Row],[Qtt]]*TbTradesBinance[[#This Row],[Preço]])),AI192)-IF(TbTradesBinance[[#This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Row],[Tipo]]="DROP"),AI192+TbTradesBinance[[#This Row],[Qtt]],AI192-TbTradesBinance[[#This Row],[Qtt]]),IF(TbTradesBinance[[#This Row],[Tipo]]="BUY",AI192-TbTradesBinance[[#This Row],[Qtt]]*TbTradesBinance[[#This Row],[Preço]],AI192+TbTradesBinance[[#This Row],[Qtt]]*TbTradesBinance[[#This Row],[Preço]])),AI192)-IF(TbTradesBinance[[#This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Row],[Tipo]]="DROP"),AI192+TbTradesBinance[[#This Row],[Qtt]],AI192-TbTradesBinance[[#This Row],[Qtt]]),IF(TbTradesBinance[[#This Row],[Tipo]]="BUY",AI192-TbTradesBinance[[#This Row],[Qtt]]*TbTradesBinance[[#This Row],[Preço]],AI192+TbTradesBinance[[#This Row],[Qtt]]*TbTradesBinance[[#This Row],[Preço]])),AI192)-IF(TbTradesBinance[[#This Row],[Moeda da Taxa]]=MID(AI$1,9,5),TbTradesBinance[[#This Row],[Taxa]],0),8)))</f>
        <v>0</v>
      </c>
      <c r="AJ193" s="145" cm="1">
        <f t="array" ref="AJ193">IF(TbTradesBinance[[#This Row],[Tipo]]="EMPTY",0,AJ192+IF(TbTradesBinance[[#This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Row],[Par]]))),$1:$1,0)),-(AI192-AI193)/AI192*AJ192),0),0)+IF(TbTradesBinance[[#This Row],[Tipo]]="SELL",IF(ISNUMBER(FIND(MID(AJ$1,10,5),TbTradesBinance[[#This Row],[Par]])),IF(FIND(MID(AJ$1,10,5),TbTradesBinance[[#This Row],[Par]])=1, -(AI192-AI193)/AI192*AJ192,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Row],[Par]])),(-(AI192-AI193)/AI192*AJ192)+IF(TbTradesBinance[[#This Row],[Resultado]]&gt;0,0,TbTradesBinance[[#This Row],[Taxa]]),0),0))</f>
        <v>0</v>
      </c>
      <c r="AK193" s="145">
        <f t="shared" si="46"/>
        <v>0</v>
      </c>
      <c r="AL19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Row],[Tipo]]="DROP"),AL192+TbTradesBinance[[#This Row],[Qtt]],AL192-TbTradesBinance[[#This Row],[Qtt]]),IF(TbTradesBinance[[#This Row],[Tipo]]="BUY",AL192-TbTradesBinance[[#This Row],[Qtt]]*TbTradesBinance[[#This Row],[Preço]],AL192+TbTradesBinance[[#This Row],[Qtt]]*TbTradesBinance[[#This Row],[Preço]])),AL192)-IF(TbTradesBinance[[#This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Row],[Tipo]]="DROP"),AL192+TbTradesBinance[[#This Row],[Qtt]],AL192-TbTradesBinance[[#This Row],[Qtt]]),IF(TbTradesBinance[[#This Row],[Tipo]]="BUY",AL192-TbTradesBinance[[#This Row],[Qtt]]*TbTradesBinance[[#This Row],[Preço]],AL192+TbTradesBinance[[#This Row],[Qtt]]*TbTradesBinance[[#This Row],[Preço]])),AL192)-IF(TbTradesBinance[[#This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Row],[Tipo]]="DROP"),AL192+TbTradesBinance[[#This Row],[Qtt]],AL192-TbTradesBinance[[#This Row],[Qtt]]),IF(TbTradesBinance[[#This Row],[Tipo]]="BUY",AL192-TbTradesBinance[[#This Row],[Qtt]]*TbTradesBinance[[#This Row],[Preço]],AL192+TbTradesBinance[[#This Row],[Qtt]]*TbTradesBinance[[#This Row],[Preço]])),AL192)-IF(TbTradesBinance[[#This Row],[Moeda da Taxa]]=MID(AL$1,9,5),TbTradesBinance[[#This Row],[Taxa]],0),8)))</f>
        <v>0</v>
      </c>
      <c r="AM193" s="145" cm="1">
        <f t="array" ref="AM193">IF(TbTradesBinance[[#This Row],[Tipo]]="EMPTY",0,AM192+IF(TbTradesBinance[[#This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Row],[Par]]))),$1:$1,0)),-(AL192-AL193)/AL192*AM192),0),0)+IF(TbTradesBinance[[#This Row],[Tipo]]="SELL",IF(ISNUMBER(FIND(MID(AM$1,10,5),TbTradesBinance[[#This Row],[Par]])),IF(FIND(MID(AM$1,10,5),TbTradesBinance[[#This Row],[Par]])=1, -(AL192-AL193)/AL192*AM192,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Row],[Par]])),(-(AL192-AL193)/AL192*AM192)+IF(TbTradesBinance[[#This Row],[Resultado]]&gt;0,0,TbTradesBinance[[#This Row],[Taxa]]),0),0))</f>
        <v>0</v>
      </c>
      <c r="AN193" s="145">
        <f t="shared" si="47"/>
        <v>0</v>
      </c>
      <c r="AO19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Row],[Tipo]]="DROP"),AO192+TbTradesBinance[[#This Row],[Qtt]],AO192-TbTradesBinance[[#This Row],[Qtt]]),IF(TbTradesBinance[[#This Row],[Tipo]]="BUY",AO192-TbTradesBinance[[#This Row],[Qtt]]*TbTradesBinance[[#This Row],[Preço]],AO192+TbTradesBinance[[#This Row],[Qtt]]*TbTradesBinance[[#This Row],[Preço]])),AO192)-IF(TbTradesBinance[[#This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Row],[Tipo]]="DROP"),AO192+TbTradesBinance[[#This Row],[Qtt]],AO192-TbTradesBinance[[#This Row],[Qtt]]),IF(TbTradesBinance[[#This Row],[Tipo]]="BUY",AO192-TbTradesBinance[[#This Row],[Qtt]]*TbTradesBinance[[#This Row],[Preço]],AO192+TbTradesBinance[[#This Row],[Qtt]]*TbTradesBinance[[#This Row],[Preço]])),AO192)-IF(TbTradesBinance[[#This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Row],[Tipo]]="DROP"),AO192+TbTradesBinance[[#This Row],[Qtt]],AO192-TbTradesBinance[[#This Row],[Qtt]]),IF(TbTradesBinance[[#This Row],[Tipo]]="BUY",AO192-TbTradesBinance[[#This Row],[Qtt]]*TbTradesBinance[[#This Row],[Preço]],AO192+TbTradesBinance[[#This Row],[Qtt]]*TbTradesBinance[[#This Row],[Preço]])),AO192)-IF(TbTradesBinance[[#This Row],[Moeda da Taxa]]=MID(AO$1,9,5),TbTradesBinance[[#This Row],[Taxa]],0),8)))</f>
        <v>3.8362390000000003E-2</v>
      </c>
      <c r="AP193" s="145" cm="1">
        <f t="array" ref="AP193">IF(TbTradesBinance[[#This Row],[Tipo]]="EMPTY",0,AP192+IF(TbTradesBinance[[#This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Row],[Par]]))),$1:$1,0)),-(AO192-AO193)/AO192*AP192),0),0)+IF(TbTradesBinance[[#This Row],[Tipo]]="SELL",IF(ISNUMBER(FIND(MID(AP$1,10,5),TbTradesBinance[[#This Row],[Par]])),IF(FIND(MID(AP$1,10,5),TbTradesBinance[[#This Row],[Par]])=1, -(AO192-AO193)/AO192*AP192,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Row],[Par]])),(-(AO192-AO193)/AO192*AP192)+IF(TbTradesBinance[[#This Row],[Resultado]]&gt;0,0,TbTradesBinance[[#This Row],[Taxa]]),0),0))</f>
        <v>60.349858055862811</v>
      </c>
      <c r="AQ193" s="145">
        <f t="shared" si="48"/>
        <v>1573.1516742273566</v>
      </c>
      <c r="AR19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Row],[Tipo]]="DROP"),AR192+TbTradesBinance[[#This Row],[Qtt]],AR192-TbTradesBinance[[#This Row],[Qtt]]),IF(TbTradesBinance[[#This Row],[Tipo]]="BUY",AR192-TbTradesBinance[[#This Row],[Qtt]]*TbTradesBinance[[#This Row],[Preço]],AR192+TbTradesBinance[[#This Row],[Qtt]]*TbTradesBinance[[#This Row],[Preço]])),AR192)-IF(TbTradesBinance[[#This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Row],[Tipo]]="DROP"),AR192+TbTradesBinance[[#This Row],[Qtt]],AR192-TbTradesBinance[[#This Row],[Qtt]]),IF(TbTradesBinance[[#This Row],[Tipo]]="BUY",AR192-TbTradesBinance[[#This Row],[Qtt]]*TbTradesBinance[[#This Row],[Preço]],AR192+TbTradesBinance[[#This Row],[Qtt]]*TbTradesBinance[[#This Row],[Preço]])),AR192)-IF(TbTradesBinance[[#This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Row],[Tipo]]="DROP"),AR192+TbTradesBinance[[#This Row],[Qtt]],AR192-TbTradesBinance[[#This Row],[Qtt]]),IF(TbTradesBinance[[#This Row],[Tipo]]="BUY",AR192-TbTradesBinance[[#This Row],[Qtt]]*TbTradesBinance[[#This Row],[Preço]],AR192+TbTradesBinance[[#This Row],[Qtt]]*TbTradesBinance[[#This Row],[Preço]])),AR192)-IF(TbTradesBinance[[#This Row],[Moeda da Taxa]]=MID(AR$1,9,5),TbTradesBinance[[#This Row],[Taxa]],0),8)))</f>
        <v>0</v>
      </c>
      <c r="AS193" s="145" cm="1">
        <f t="array" ref="AS193">IF(TbTradesBinance[[#This Row],[Tipo]]="EMPTY",0,AS192+IF(TbTradesBinance[[#This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Row],[Par]]))),$1:$1,0)),-(AR192-AR193)/AR192*AS192),0),0)+IF(TbTradesBinance[[#This Row],[Tipo]]="SELL",IF(ISNUMBER(FIND(MID(AS$1,10,5),TbTradesBinance[[#This Row],[Par]])),IF(FIND(MID(AS$1,10,5),TbTradesBinance[[#This Row],[Par]])=1, -(AR192-AR193)/AR192*AS192,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Row],[Par]])),(-(AR192-AR193)/AR192*AS192)+IF(TbTradesBinance[[#This Row],[Resultado]]&gt;0,0,TbTradesBinance[[#This Row],[Taxa]]),0),0))</f>
        <v>0</v>
      </c>
      <c r="AT193" s="145">
        <f t="shared" si="49"/>
        <v>0</v>
      </c>
      <c r="AU19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Row],[Tipo]]="DROP"),AU192+TbTradesBinance[[#This Row],[Qtt]],AU192-TbTradesBinance[[#This Row],[Qtt]]),IF(TbTradesBinance[[#This Row],[Tipo]]="BUY",AU192-TbTradesBinance[[#This Row],[Qtt]]*TbTradesBinance[[#This Row],[Preço]],AU192+TbTradesBinance[[#This Row],[Qtt]]*TbTradesBinance[[#This Row],[Preço]])),AU192)-IF(TbTradesBinance[[#This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Row],[Tipo]]="DROP"),AU192+TbTradesBinance[[#This Row],[Qtt]],AU192-TbTradesBinance[[#This Row],[Qtt]]),IF(TbTradesBinance[[#This Row],[Tipo]]="BUY",AU192-TbTradesBinance[[#This Row],[Qtt]]*TbTradesBinance[[#This Row],[Preço]],AU192+TbTradesBinance[[#This Row],[Qtt]]*TbTradesBinance[[#This Row],[Preço]])),AU192)-IF(TbTradesBinance[[#This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Row],[Tipo]]="DROP"),AU192+TbTradesBinance[[#This Row],[Qtt]],AU192-TbTradesBinance[[#This Row],[Qtt]]),IF(TbTradesBinance[[#This Row],[Tipo]]="BUY",AU192-TbTradesBinance[[#This Row],[Qtt]]*TbTradesBinance[[#This Row],[Preço]],AU192+TbTradesBinance[[#This Row],[Qtt]]*TbTradesBinance[[#This Row],[Preço]])),AU192)-IF(TbTradesBinance[[#This Row],[Moeda da Taxa]]=MID(AU$1,9,5),TbTradesBinance[[#This Row],[Taxa]],0),8)))</f>
        <v>0.51</v>
      </c>
      <c r="AV193" s="145" cm="1">
        <f t="array" ref="AV193">IF(TbTradesBinance[[#This Row],[Tipo]]="EMPTY",0,AV192+IF(TbTradesBinance[[#This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Row],[Par]]))),$1:$1,0)),-(AU192-AU193)/AU192*AV192),0),0)+IF(TbTradesBinance[[#This Row],[Tipo]]="SELL",IF(ISNUMBER(FIND(MID(AV$1,10,5),TbTradesBinance[[#This Row],[Par]])),IF(FIND(MID(AV$1,10,5),TbTradesBinance[[#This Row],[Par]])=1, -(AU192-AU193)/AU192*AV192,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Row],[Par]])),(-(AU192-AU193)/AU192*AV192)+IF(TbTradesBinance[[#This Row],[Resultado]]&gt;0,0,TbTradesBinance[[#This Row],[Taxa]]),0),0))</f>
        <v>95.466693037374753</v>
      </c>
      <c r="AW193" s="145">
        <f t="shared" si="50"/>
        <v>187.18959419093088</v>
      </c>
      <c r="AX19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Row],[Tipo]]="DROP"),AX192+TbTradesBinance[[#This Row],[Qtt]],AX192-TbTradesBinance[[#This Row],[Qtt]]),IF(TbTradesBinance[[#This Row],[Tipo]]="BUY",AX192-TbTradesBinance[[#This Row],[Qtt]]*TbTradesBinance[[#This Row],[Preço]],AX192+TbTradesBinance[[#This Row],[Qtt]]*TbTradesBinance[[#This Row],[Preço]])),AX192)-IF(TbTradesBinance[[#This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Row],[Tipo]]="DROP"),AX192+TbTradesBinance[[#This Row],[Qtt]],AX192-TbTradesBinance[[#This Row],[Qtt]]),IF(TbTradesBinance[[#This Row],[Tipo]]="BUY",AX192-TbTradesBinance[[#This Row],[Qtt]]*TbTradesBinance[[#This Row],[Preço]],AX192+TbTradesBinance[[#This Row],[Qtt]]*TbTradesBinance[[#This Row],[Preço]])),AX192)-IF(TbTradesBinance[[#This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Row],[Tipo]]="DROP"),AX192+TbTradesBinance[[#This Row],[Qtt]],AX192-TbTradesBinance[[#This Row],[Qtt]]),IF(TbTradesBinance[[#This Row],[Tipo]]="BUY",AX192-TbTradesBinance[[#This Row],[Qtt]]*TbTradesBinance[[#This Row],[Preço]],AX192+TbTradesBinance[[#This Row],[Qtt]]*TbTradesBinance[[#This Row],[Preço]])),AX192)-IF(TbTradesBinance[[#This Row],[Moeda da Taxa]]=MID(AX$1,9,5),TbTradesBinance[[#This Row],[Taxa]],0),8)))</f>
        <v>0.32838000000000001</v>
      </c>
      <c r="AY193" s="145" cm="1">
        <f t="array" ref="AY193">IF(TbTradesBinance[[#This Row],[Tipo]]="EMPTY",0,AY192+IF(TbTradesBinance[[#This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Row],[Par]]))),$1:$1,0)),-(AX192-AX193)/AX192*AY192),0),0)+IF(TbTradesBinance[[#This Row],[Tipo]]="SELL",IF(ISNUMBER(FIND(MID(AY$1,10,5),TbTradesBinance[[#This Row],[Par]])),IF(FIND(MID(AY$1,10,5),TbTradesBinance[[#This Row],[Par]])=1, -(AX192-AX193)/AX192*AY192,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Row],[Par]])),(-(AX192-AX193)/AX192*AY192)+IF(TbTradesBinance[[#This Row],[Resultado]]&gt;0,0,TbTradesBinance[[#This Row],[Taxa]]),0),0))</f>
        <v>61.364116058805678</v>
      </c>
      <c r="AZ193" s="145">
        <f t="shared" si="51"/>
        <v>186.869224857804</v>
      </c>
      <c r="BA19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Row],[Tipo]]="DROP"),BA192+TbTradesBinance[[#This Row],[Qtt]],BA192-TbTradesBinance[[#This Row],[Qtt]]),IF(TbTradesBinance[[#This Row],[Tipo]]="BUY",BA192-TbTradesBinance[[#This Row],[Qtt]]*TbTradesBinance[[#This Row],[Preço]],BA192+TbTradesBinance[[#This Row],[Qtt]]*TbTradesBinance[[#This Row],[Preço]])),BA192)-IF(TbTradesBinance[[#This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Row],[Tipo]]="DROP"),BA192+TbTradesBinance[[#This Row],[Qtt]],BA192-TbTradesBinance[[#This Row],[Qtt]]),IF(TbTradesBinance[[#This Row],[Tipo]]="BUY",BA192-TbTradesBinance[[#This Row],[Qtt]]*TbTradesBinance[[#This Row],[Preço]],BA192+TbTradesBinance[[#This Row],[Qtt]]*TbTradesBinance[[#This Row],[Preço]])),BA192)-IF(TbTradesBinance[[#This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Row],[Tipo]]="DROP"),BA192+TbTradesBinance[[#This Row],[Qtt]],BA192-TbTradesBinance[[#This Row],[Qtt]]),IF(TbTradesBinance[[#This Row],[Tipo]]="BUY",BA192-TbTradesBinance[[#This Row],[Qtt]]*TbTradesBinance[[#This Row],[Preço]],BA192+TbTradesBinance[[#This Row],[Qtt]]*TbTradesBinance[[#This Row],[Preço]])),BA192)-IF(TbTradesBinance[[#This Row],[Moeda da Taxa]]=MID(BA$1,9,5),TbTradesBinance[[#This Row],[Taxa]],0),8)))</f>
        <v>0</v>
      </c>
      <c r="BB193" s="145" cm="1">
        <f t="array" ref="BB193">IF(TbTradesBinance[[#This Row],[Tipo]]="EMPTY",0,BB192+IF(TbTradesBinance[[#This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Row],[Par]]))),$1:$1,0)),-(BA192-BA193)/BA192*BB192),0),0)+IF(TbTradesBinance[[#This Row],[Tipo]]="SELL",IF(ISNUMBER(FIND(MID(BB$1,10,5),TbTradesBinance[[#This Row],[Par]])),IF(FIND(MID(BB$1,10,5),TbTradesBinance[[#This Row],[Par]])=1, -(BA192-BA193)/BA192*BB192,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Row],[Par]])),(-(BA192-BA193)/BA192*BB192)+IF(TbTradesBinance[[#This Row],[Resultado]]&gt;0,0,TbTradesBinance[[#This Row],[Taxa]]),0),0))</f>
        <v>0</v>
      </c>
      <c r="BC193" s="145">
        <f t="shared" si="52"/>
        <v>0</v>
      </c>
      <c r="BD19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Row],[Tipo]]="DROP"),BD192+TbTradesBinance[[#This Row],[Qtt]],BD192-TbTradesBinance[[#This Row],[Qtt]]),IF(TbTradesBinance[[#This Row],[Tipo]]="BUY",BD192-TbTradesBinance[[#This Row],[Qtt]]*TbTradesBinance[[#This Row],[Preço]],BD192+TbTradesBinance[[#This Row],[Qtt]]*TbTradesBinance[[#This Row],[Preço]])),BD192)-IF(TbTradesBinance[[#This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Row],[Tipo]]="DROP"),BD192+TbTradesBinance[[#This Row],[Qtt]],BD192-TbTradesBinance[[#This Row],[Qtt]]),IF(TbTradesBinance[[#This Row],[Tipo]]="BUY",BD192-TbTradesBinance[[#This Row],[Qtt]]*TbTradesBinance[[#This Row],[Preço]],BD192+TbTradesBinance[[#This Row],[Qtt]]*TbTradesBinance[[#This Row],[Preço]])),BD192)-IF(TbTradesBinance[[#This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Row],[Tipo]]="DROP"),BD192+TbTradesBinance[[#This Row],[Qtt]],BD192-TbTradesBinance[[#This Row],[Qtt]]),IF(TbTradesBinance[[#This Row],[Tipo]]="BUY",BD192-TbTradesBinance[[#This Row],[Qtt]]*TbTradesBinance[[#This Row],[Preço]],BD192+TbTradesBinance[[#This Row],[Qtt]]*TbTradesBinance[[#This Row],[Preço]])),BD192)-IF(TbTradesBinance[[#This Row],[Moeda da Taxa]]=MID(BD$1,9,5),TbTradesBinance[[#This Row],[Taxa]],0),8)))</f>
        <v>0</v>
      </c>
      <c r="BE193" s="145" cm="1">
        <f t="array" ref="BE193">IF(TbTradesBinance[[#This Row],[Tipo]]="EMPTY",0,BE192+IF(TbTradesBinance[[#This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Row],[Par]]))),$1:$1,0)),-(BD192-BD193)/BD192*BE192),0),0)+IF(TbTradesBinance[[#This Row],[Tipo]]="SELL",IF(ISNUMBER(FIND(MID(BE$1,10,5),TbTradesBinance[[#This Row],[Par]])),IF(FIND(MID(BE$1,10,5),TbTradesBinance[[#This Row],[Par]])=1, -(BD192-BD193)/BD192*BE192,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Row],[Par]])),(-(BD192-BD193)/BD192*BE192)+IF(TbTradesBinance[[#This Row],[Resultado]]&gt;0,0,TbTradesBinance[[#This Row],[Taxa]]),0),0))</f>
        <v>0</v>
      </c>
      <c r="BF193" s="145">
        <f t="shared" si="53"/>
        <v>0</v>
      </c>
      <c r="BG19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Row],[Tipo]]="DROP"),BG192+TbTradesBinance[[#This Row],[Qtt]],BG192-TbTradesBinance[[#This Row],[Qtt]]),IF(TbTradesBinance[[#This Row],[Tipo]]="BUY",BG192-TbTradesBinance[[#This Row],[Qtt]]*TbTradesBinance[[#This Row],[Preço]],BG192+TbTradesBinance[[#This Row],[Qtt]]*TbTradesBinance[[#This Row],[Preço]])),BG192)-IF(TbTradesBinance[[#This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Row],[Tipo]]="DROP"),BG192+TbTradesBinance[[#This Row],[Qtt]],BG192-TbTradesBinance[[#This Row],[Qtt]]),IF(TbTradesBinance[[#This Row],[Tipo]]="BUY",BG192-TbTradesBinance[[#This Row],[Qtt]]*TbTradesBinance[[#This Row],[Preço]],BG192+TbTradesBinance[[#This Row],[Qtt]]*TbTradesBinance[[#This Row],[Preço]])),BG192)-IF(TbTradesBinance[[#This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Row],[Tipo]]="DROP"),BG192+TbTradesBinance[[#This Row],[Qtt]],BG192-TbTradesBinance[[#This Row],[Qtt]]),IF(TbTradesBinance[[#This Row],[Tipo]]="BUY",BG192-TbTradesBinance[[#This Row],[Qtt]]*TbTradesBinance[[#This Row],[Preço]],BG192+TbTradesBinance[[#This Row],[Qtt]]*TbTradesBinance[[#This Row],[Preço]])),BG192)-IF(TbTradesBinance[[#This Row],[Moeda da Taxa]]=MID(BG$1,9,5),TbTradesBinance[[#This Row],[Taxa]],0),8)))</f>
        <v>0</v>
      </c>
      <c r="BH193" s="145" cm="1">
        <f t="array" ref="BH193">IF(TbTradesBinance[[#This Row],[Tipo]]="EMPTY",0,BH192+IF(TbTradesBinance[[#This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Row],[Par]]))),$1:$1,0)),-(BG192-BG193)/BG192*BH192),0),0)+IF(TbTradesBinance[[#This Row],[Tipo]]="SELL",IF(ISNUMBER(FIND(MID(BH$1,10,5),TbTradesBinance[[#This Row],[Par]])),IF(FIND(MID(BH$1,10,5),TbTradesBinance[[#This Row],[Par]])=1, -(BG192-BG193)/BG192*BH192,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Row],[Par]])),(-(BG192-BG193)/BG192*BH192)+IF(TbTradesBinance[[#This Row],[Resultado]]&gt;0,0,TbTradesBinance[[#This Row],[Taxa]]),0),0))</f>
        <v>0</v>
      </c>
      <c r="BI193" s="145">
        <f t="shared" si="54"/>
        <v>0</v>
      </c>
      <c r="BJ19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Row],[Tipo]]="DROP"),BJ192+TbTradesBinance[[#This Row],[Qtt]],BJ192-TbTradesBinance[[#This Row],[Qtt]]),IF(TbTradesBinance[[#This Row],[Tipo]]="BUY",BJ192-TbTradesBinance[[#This Row],[Qtt]]*TbTradesBinance[[#This Row],[Preço]],BJ192+TbTradesBinance[[#This Row],[Qtt]]*TbTradesBinance[[#This Row],[Preço]])),BJ192)-IF(TbTradesBinance[[#This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Row],[Tipo]]="DROP"),BJ192+TbTradesBinance[[#This Row],[Qtt]],BJ192-TbTradesBinance[[#This Row],[Qtt]]),IF(TbTradesBinance[[#This Row],[Tipo]]="BUY",BJ192-TbTradesBinance[[#This Row],[Qtt]]*TbTradesBinance[[#This Row],[Preço]],BJ192+TbTradesBinance[[#This Row],[Qtt]]*TbTradesBinance[[#This Row],[Preço]])),BJ192)-IF(TbTradesBinance[[#This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Row],[Tipo]]="DROP"),BJ192+TbTradesBinance[[#This Row],[Qtt]],BJ192-TbTradesBinance[[#This Row],[Qtt]]),IF(TbTradesBinance[[#This Row],[Tipo]]="BUY",BJ192-TbTradesBinance[[#This Row],[Qtt]]*TbTradesBinance[[#This Row],[Preço]],BJ192+TbTradesBinance[[#This Row],[Qtt]]*TbTradesBinance[[#This Row],[Preço]])),BJ192)-IF(TbTradesBinance[[#This Row],[Moeda da Taxa]]=MID(BJ$1,9,5),TbTradesBinance[[#This Row],[Taxa]],0),8)))</f>
        <v>0</v>
      </c>
      <c r="BK193" s="145" cm="1">
        <f t="array" ref="BK193">IF(TbTradesBinance[[#This Row],[Tipo]]="EMPTY",0,BK192+IF(TbTradesBinance[[#This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Row],[Par]]))),$1:$1,0)),-(BJ192-BJ193)/BJ192*BK192),0),0)+IF(TbTradesBinance[[#This Row],[Tipo]]="SELL",IF(ISNUMBER(FIND(MID(BK$1,10,5),TbTradesBinance[[#This Row],[Par]])),IF(FIND(MID(BK$1,10,5),TbTradesBinance[[#This Row],[Par]])=1, -(BJ192-BJ193)/BJ192*BK192,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Row],[Par]])),(-(BJ192-BJ193)/BJ192*BK192)+IF(TbTradesBinance[[#This Row],[Resultado]]&gt;0,0,TbTradesBinance[[#This Row],[Taxa]]),0),0))</f>
        <v>0</v>
      </c>
      <c r="BL193" s="145">
        <f t="shared" si="55"/>
        <v>0</v>
      </c>
      <c r="BM19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Row],[Tipo]]="DROP"),BM192+TbTradesBinance[[#This Row],[Qtt]],BM192-TbTradesBinance[[#This Row],[Qtt]]),IF(TbTradesBinance[[#This Row],[Tipo]]="BUY",BM192-TbTradesBinance[[#This Row],[Qtt]]*TbTradesBinance[[#This Row],[Preço]],BM192+TbTradesBinance[[#This Row],[Qtt]]*TbTradesBinance[[#This Row],[Preço]])),BM192)-IF(TbTradesBinance[[#This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Row],[Tipo]]="DROP"),BM192+TbTradesBinance[[#This Row],[Qtt]],BM192-TbTradesBinance[[#This Row],[Qtt]]),IF(TbTradesBinance[[#This Row],[Tipo]]="BUY",BM192-TbTradesBinance[[#This Row],[Qtt]]*TbTradesBinance[[#This Row],[Preço]],BM192+TbTradesBinance[[#This Row],[Qtt]]*TbTradesBinance[[#This Row],[Preço]])),BM192)-IF(TbTradesBinance[[#This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Row],[Tipo]]="DROP"),BM192+TbTradesBinance[[#This Row],[Qtt]],BM192-TbTradesBinance[[#This Row],[Qtt]]),IF(TbTradesBinance[[#This Row],[Tipo]]="BUY",BM192-TbTradesBinance[[#This Row],[Qtt]]*TbTradesBinance[[#This Row],[Preço]],BM192+TbTradesBinance[[#This Row],[Qtt]]*TbTradesBinance[[#This Row],[Preço]])),BM192)-IF(TbTradesBinance[[#This Row],[Moeda da Taxa]]=MID(BM$1,9,5),TbTradesBinance[[#This Row],[Taxa]],0),8)))</f>
        <v>0</v>
      </c>
      <c r="BN193" s="145" cm="1">
        <f t="array" ref="BN193">IF(TbTradesBinance[[#This Row],[Tipo]]="EMPTY",0,BN192+IF(TbTradesBinance[[#This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Row],[Par]]))),$1:$1,0)),-(BM192-BM193)/BM192*BN192),0),0)+IF(TbTradesBinance[[#This Row],[Tipo]]="SELL",IF(ISNUMBER(FIND(MID(BN$1,10,5),TbTradesBinance[[#This Row],[Par]])),IF(FIND(MID(BN$1,10,5),TbTradesBinance[[#This Row],[Par]])=1, -(BM192-BM193)/BM192*BN192,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Row],[Par]])),(-(BM192-BM193)/BM192*BN192)+IF(TbTradesBinance[[#This Row],[Resultado]]&gt;0,0,TbTradesBinance[[#This Row],[Taxa]]),0),0))</f>
        <v>0</v>
      </c>
      <c r="BO193" s="145">
        <f t="shared" si="56"/>
        <v>0</v>
      </c>
    </row>
    <row r="194" spans="2:67" x14ac:dyDescent="0.3">
      <c r="B194" s="51"/>
      <c r="C194" s="40">
        <f>TRUNC(IF(AND(TbTradesBinance[[#This Row],[Tipo]]="SEND",TbTradesBinance[[#This Row],[Par]]="BRL"),TbTradesBinance[[#This Row],[Qtt]]*(1-P192)-IF(TbTradesBinance[[#This Row],[Moeda da Taxa]]="BRL",TbTradesBinance[[#This Row],[Taxa]],0),0)+IF(AND(TbTradesBinance[[#This Row],[Tipo]]="BURN",TbTradesBinance[[#This Row],[Par]]="BRL"),-TbTradesBinance[[#This Row],[Qtt]]*P192,0),2)</f>
        <v>0</v>
      </c>
      <c r="D194" s="53">
        <v>44355.636134259257</v>
      </c>
      <c r="E194" s="37" t="s">
        <v>138</v>
      </c>
      <c r="F194" s="47" t="s">
        <v>140</v>
      </c>
      <c r="G194" s="38">
        <v>159780</v>
      </c>
      <c r="H194" s="38">
        <v>7.8799999999999996E-4</v>
      </c>
      <c r="I194" s="38">
        <v>0.12590663999999999</v>
      </c>
      <c r="J194" s="37" t="s">
        <v>50</v>
      </c>
      <c r="K194" s="52">
        <v>1</v>
      </c>
      <c r="L194" s="40">
        <f t="shared" ref="L194:L213" si="57">TRUNC(K194*G194,2)</f>
        <v>159780</v>
      </c>
      <c r="M194" s="40">
        <f>IF(OR(TbTradesBinance[[#This Row],[Tipo]]="BUY",TbTradesBinance[[#This Row],[Tipo]]="RECEIVE",TbTradesBinance[[#This Row],[Tipo]]="DROP"),L194*H194,-L194*H194)</f>
        <v>-125.90664</v>
      </c>
      <c r="N19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Row],[Tipo]]="DROP"),N193+TbTradesBinance[[#This Row],[Qtt]],N193-TbTradesBinance[[#This Row],[Qtt]]),IF(TbTradesBinance[[#This Row],[Tipo]]="BUY",N193-TbTradesBinance[[#This Row],[Qtt]]*TbTradesBinance[[#This Row],[Preço]],N193+TbTradesBinance[[#This Row],[Qtt]]*TbTradesBinance[[#This Row],[Preço]])),N193)-IF(TbTradesBinance[[#This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Row],[Tipo]]="DROP"),N193+TbTradesBinance[[#This Row],[Qtt]],N193-TbTradesBinance[[#This Row],[Qtt]]),IF(TbTradesBinance[[#This Row],[Tipo]]="BUY",N193-TbTradesBinance[[#This Row],[Qtt]]*TbTradesBinance[[#This Row],[Preço]],N193+TbTradesBinance[[#This Row],[Qtt]]*TbTradesBinance[[#This Row],[Preço]])),N193)-IF(TbTradesBinance[[#This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Row],[Tipo]]="DROP"),N193+TbTradesBinance[[#This Row],[Qtt]],N193-TbTradesBinance[[#This Row],[Qtt]]),IF(TbTradesBinance[[#This Row],[Tipo]]="BUY",N193-TbTradesBinance[[#This Row],[Qtt]]*TbTradesBinance[[#This Row],[Preço]],N193+TbTradesBinance[[#This Row],[Qtt]]*TbTradesBinance[[#This Row],[Preço]])),N193)-IF(TbTradesBinance[[#This Row],[Moeda da Taxa]]=MID(N$1,9,5),TbTradesBinance[[#This Row],[Taxa]],0),8)))</f>
        <v>122891.12274481</v>
      </c>
      <c r="O194" s="145" cm="1">
        <f t="array" ref="O194">IF(TbTradesBinance[[#This Row],[Tipo]]="EMPTY",0,O193+IF(TbTradesBinance[[#This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Row],[Par]]))),$1:$1,0)),-(N193-N194)/N193*O193),0),0)+IF(TbTradesBinance[[#This Row],[Tipo]]="SELL",IF(ISNUMBER(FIND(MID(O$1,10,5),TbTradesBinance[[#This Row],[Par]])),IF(FIND(MID(O$1,10,5),TbTradesBinance[[#This Row],[Par]])=1, -(N193-N194)/N193*O193,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Row],[Par]])),(-(N193-N194)/N193*O193)+IF(TbTradesBinance[[#This Row],[Resultado]]&gt;0,0,TbTradesBinance[[#This Row],[Taxa]]),0),0))</f>
        <v>123570.92861520642</v>
      </c>
      <c r="P194" s="145">
        <f t="shared" ref="P194:P211" si="58">IF(N194=0,0,O194/N194)</f>
        <v>1.0055317736156424</v>
      </c>
      <c r="Q19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Row],[Tipo]]="DROP"),Q193+TbTradesBinance[[#This Row],[Qtt]],Q193-TbTradesBinance[[#This Row],[Qtt]]),IF(TbTradesBinance[[#This Row],[Tipo]]="BUY",Q193-TbTradesBinance[[#This Row],[Qtt]]*TbTradesBinance[[#This Row],[Preço]],Q193+TbTradesBinance[[#This Row],[Qtt]]*TbTradesBinance[[#This Row],[Preço]])),Q193)-IF(TbTradesBinance[[#This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Row],[Tipo]]="DROP"),Q193+TbTradesBinance[[#This Row],[Qtt]],Q193-TbTradesBinance[[#This Row],[Qtt]]),IF(TbTradesBinance[[#This Row],[Tipo]]="BUY",Q193-TbTradesBinance[[#This Row],[Qtt]]*TbTradesBinance[[#This Row],[Preço]],Q193+TbTradesBinance[[#This Row],[Qtt]]*TbTradesBinance[[#This Row],[Preço]])),Q193)-IF(TbTradesBinance[[#This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Row],[Tipo]]="DROP"),Q193+TbTradesBinance[[#This Row],[Qtt]],Q193-TbTradesBinance[[#This Row],[Qtt]]),IF(TbTradesBinance[[#This Row],[Tipo]]="BUY",Q193-TbTradesBinance[[#This Row],[Qtt]]*TbTradesBinance[[#This Row],[Preço]],Q193+TbTradesBinance[[#This Row],[Qtt]]*TbTradesBinance[[#This Row],[Preço]])),Q193)-IF(TbTradesBinance[[#This Row],[Moeda da Taxa]]=MID(Q$1,9,5),TbTradesBinance[[#This Row],[Taxa]],0),8)))</f>
        <v>2.8600460000000001E-2</v>
      </c>
      <c r="R194" s="145" cm="1">
        <f t="array" ref="R194">IF(TbTradesBinance[[#This Row],[Tipo]]="EMPTY",0,R193+IF(TbTradesBinance[[#This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Row],[Par]]))),$1:$1,0)),-(Q193-Q194)/Q193*R193),0),0)+IF(TbTradesBinance[[#This Row],[Tipo]]="SELL",IF(ISNUMBER(FIND(MID(R$1,10,5),TbTradesBinance[[#This Row],[Par]])),IF(FIND(MID(R$1,10,5),TbTradesBinance[[#This Row],[Par]])=1, -(Q193-Q194)/Q193*R193,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Row],[Par]])),(-(Q193-Q194)/Q193*R193)+IF(TbTradesBinance[[#This Row],[Resultado]]&gt;0,0,TbTradesBinance[[#This Row],[Taxa]]),0),0))</f>
        <v>0.13390752156915653</v>
      </c>
      <c r="S194" s="145">
        <f t="shared" ref="S194:S211" si="59">IF(Q194=0,0,R194/Q194)</f>
        <v>4.6820058687572343</v>
      </c>
      <c r="T19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Row],[Tipo]]="DROP"),T193+TbTradesBinance[[#This Row],[Qtt]],T193-TbTradesBinance[[#This Row],[Qtt]]),IF(TbTradesBinance[[#This Row],[Tipo]]="BUY",T193-TbTradesBinance[[#This Row],[Qtt]]*TbTradesBinance[[#This Row],[Preço]],T193+TbTradesBinance[[#This Row],[Qtt]]*TbTradesBinance[[#This Row],[Preço]])),T193)-IF(TbTradesBinance[[#This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Row],[Tipo]]="DROP"),T193+TbTradesBinance[[#This Row],[Qtt]],T193-TbTradesBinance[[#This Row],[Qtt]]),IF(TbTradesBinance[[#This Row],[Tipo]]="BUY",T193-TbTradesBinance[[#This Row],[Qtt]]*TbTradesBinance[[#This Row],[Preço]],T193+TbTradesBinance[[#This Row],[Qtt]]*TbTradesBinance[[#This Row],[Preço]])),T193)-IF(TbTradesBinance[[#This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Row],[Tipo]]="DROP"),T193+TbTradesBinance[[#This Row],[Qtt]],T193-TbTradesBinance[[#This Row],[Qtt]]),IF(TbTradesBinance[[#This Row],[Tipo]]="BUY",T193-TbTradesBinance[[#This Row],[Qtt]]*TbTradesBinance[[#This Row],[Preço]],T193+TbTradesBinance[[#This Row],[Qtt]]*TbTradesBinance[[#This Row],[Preço]])),T193)-IF(TbTradesBinance[[#This Row],[Moeda da Taxa]]=MID(T$1,9,5),TbTradesBinance[[#This Row],[Taxa]],0),8)))</f>
        <v>101223913.720009</v>
      </c>
      <c r="U194" s="145" cm="1">
        <f t="array" ref="U194">IF(TbTradesBinance[[#This Row],[Tipo]]="EMPTY",0,U193+IF(TbTradesBinance[[#This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Row],[Par]]))),$1:$1,0)),-(T193-T194)/T193*U193),0),0)+IF(TbTradesBinance[[#This Row],[Tipo]]="SELL",IF(ISNUMBER(FIND(MID(U$1,10,5),TbTradesBinance[[#This Row],[Par]])),IF(FIND(MID(U$1,10,5),TbTradesBinance[[#This Row],[Par]])=1, -(T193-T194)/T193*U193,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Row],[Par]])),(-(T193-T194)/T193*U193)+IF(TbTradesBinance[[#This Row],[Resultado]]&gt;0,0,TbTradesBinance[[#This Row],[Taxa]]),0),0))</f>
        <v>617586601.27364206</v>
      </c>
      <c r="V194" s="145">
        <f t="shared" ref="V194:V211" si="60">IF(T194=0,0,U194/T194)</f>
        <v>6.1011926784605572</v>
      </c>
      <c r="W19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Row],[Tipo]]="DROP"),W193+TbTradesBinance[[#This Row],[Qtt]],W193-TbTradesBinance[[#This Row],[Qtt]]),IF(TbTradesBinance[[#This Row],[Tipo]]="BUY",W193-TbTradesBinance[[#This Row],[Qtt]]*TbTradesBinance[[#This Row],[Preço]],W193+TbTradesBinance[[#This Row],[Qtt]]*TbTradesBinance[[#This Row],[Preço]])),W193)-IF(TbTradesBinance[[#This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Row],[Tipo]]="DROP"),W193+TbTradesBinance[[#This Row],[Qtt]],W193-TbTradesBinance[[#This Row],[Qtt]]),IF(TbTradesBinance[[#This Row],[Tipo]]="BUY",W193-TbTradesBinance[[#This Row],[Qtt]]*TbTradesBinance[[#This Row],[Preço]],W193+TbTradesBinance[[#This Row],[Qtt]]*TbTradesBinance[[#This Row],[Preço]])),W193)-IF(TbTradesBinance[[#This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Row],[Tipo]]="DROP"),W193+TbTradesBinance[[#This Row],[Qtt]],W193-TbTradesBinance[[#This Row],[Qtt]]),IF(TbTradesBinance[[#This Row],[Tipo]]="BUY",W193-TbTradesBinance[[#This Row],[Qtt]]*TbTradesBinance[[#This Row],[Preço]],W193+TbTradesBinance[[#This Row],[Qtt]]*TbTradesBinance[[#This Row],[Preço]])),W193)-IF(TbTradesBinance[[#This Row],[Moeda da Taxa]]=MID(W$1,9,5),TbTradesBinance[[#This Row],[Taxa]],0),8)))</f>
        <v>7.7749899999999999E-3</v>
      </c>
      <c r="X194" s="145" cm="1">
        <f t="array" ref="X194">IF(TbTradesBinance[[#This Row],[Tipo]]="EMPTY",0,X193+IF(TbTradesBinance[[#This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Row],[Par]]))),$1:$1,0)),-(W193-W194)/W193*X193),0),0)+IF(TbTradesBinance[[#This Row],[Tipo]]="SELL",IF(ISNUMBER(FIND(MID(X$1,10,5),TbTradesBinance[[#This Row],[Par]])),IF(FIND(MID(X$1,10,5),TbTradesBinance[[#This Row],[Par]])=1, -(W193-W194)/W193*X193,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Row],[Par]])),(-(W193-W194)/W193*X193)+IF(TbTradesBinance[[#This Row],[Resultado]]&gt;0,0,TbTradesBinance[[#This Row],[Taxa]]),0),0))</f>
        <v>1470.1744119133023</v>
      </c>
      <c r="Y194" s="145">
        <f t="shared" ref="Y194:Y211" si="61">IF(W194=0,0,X194/W194)</f>
        <v>189090.19971900957</v>
      </c>
      <c r="Z19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Row],[Tipo]]="DROP"),Z193+TbTradesBinance[[#This Row],[Qtt]],Z193-TbTradesBinance[[#This Row],[Qtt]]),IF(TbTradesBinance[[#This Row],[Tipo]]="BUY",Z193-TbTradesBinance[[#This Row],[Qtt]]*TbTradesBinance[[#This Row],[Preço]],Z193+TbTradesBinance[[#This Row],[Qtt]]*TbTradesBinance[[#This Row],[Preço]])),Z193)-IF(TbTradesBinance[[#This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Row],[Tipo]]="DROP"),Z193+TbTradesBinance[[#This Row],[Qtt]],Z193-TbTradesBinance[[#This Row],[Qtt]]),IF(TbTradesBinance[[#This Row],[Tipo]]="BUY",Z193-TbTradesBinance[[#This Row],[Qtt]]*TbTradesBinance[[#This Row],[Preço]],Z193+TbTradesBinance[[#This Row],[Qtt]]*TbTradesBinance[[#This Row],[Preço]])),Z193)-IF(TbTradesBinance[[#This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Row],[Tipo]]="DROP"),Z193+TbTradesBinance[[#This Row],[Qtt]],Z193-TbTradesBinance[[#This Row],[Qtt]]),IF(TbTradesBinance[[#This Row],[Tipo]]="BUY",Z193-TbTradesBinance[[#This Row],[Qtt]]*TbTradesBinance[[#This Row],[Preço]],Z193+TbTradesBinance[[#This Row],[Qtt]]*TbTradesBinance[[#This Row],[Preço]])),Z193)-IF(TbTradesBinance[[#This Row],[Moeda da Taxa]]=MID(Z$1,9,5),TbTradesBinance[[#This Row],[Taxa]],0),8)))</f>
        <v>0</v>
      </c>
      <c r="AA194" s="145" cm="1">
        <f t="array" ref="AA194">IF(TbTradesBinance[[#This Row],[Tipo]]="EMPTY",0,AA193+IF(TbTradesBinance[[#This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Row],[Par]]))),$1:$1,0)),-(Z193-Z194)/Z193*AA193),0),0)+IF(TbTradesBinance[[#This Row],[Tipo]]="SELL",IF(ISNUMBER(FIND(MID(AA$1,10,5),TbTradesBinance[[#This Row],[Par]])),IF(FIND(MID(AA$1,10,5),TbTradesBinance[[#This Row],[Par]])=1, -(Z193-Z194)/Z193*AA193,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Row],[Par]])),(-(Z193-Z194)/Z193*AA193)+IF(TbTradesBinance[[#This Row],[Resultado]]&gt;0,0,TbTradesBinance[[#This Row],[Taxa]]),0),0))</f>
        <v>0</v>
      </c>
      <c r="AB194" s="145">
        <f t="shared" ref="AB194:AB211" si="62">IF(Z194=0,0,AA194/Z194)</f>
        <v>0</v>
      </c>
      <c r="AC19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Row],[Tipo]]="DROP"),AC193+TbTradesBinance[[#This Row],[Qtt]],AC193-TbTradesBinance[[#This Row],[Qtt]]),IF(TbTradesBinance[[#This Row],[Tipo]]="BUY",AC193-TbTradesBinance[[#This Row],[Qtt]]*TbTradesBinance[[#This Row],[Preço]],AC193+TbTradesBinance[[#This Row],[Qtt]]*TbTradesBinance[[#This Row],[Preço]])),AC193)-IF(TbTradesBinance[[#This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Row],[Tipo]]="DROP"),AC193+TbTradesBinance[[#This Row],[Qtt]],AC193-TbTradesBinance[[#This Row],[Qtt]]),IF(TbTradesBinance[[#This Row],[Tipo]]="BUY",AC193-TbTradesBinance[[#This Row],[Qtt]]*TbTradesBinance[[#This Row],[Preço]],AC193+TbTradesBinance[[#This Row],[Qtt]]*TbTradesBinance[[#This Row],[Preço]])),AC193)-IF(TbTradesBinance[[#This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Row],[Tipo]]="DROP"),AC193+TbTradesBinance[[#This Row],[Qtt]],AC193-TbTradesBinance[[#This Row],[Qtt]]),IF(TbTradesBinance[[#This Row],[Tipo]]="BUY",AC193-TbTradesBinance[[#This Row],[Qtt]]*TbTradesBinance[[#This Row],[Preço]],AC193+TbTradesBinance[[#This Row],[Qtt]]*TbTradesBinance[[#This Row],[Preço]])),AC193)-IF(TbTradesBinance[[#This Row],[Moeda da Taxa]]=MID(AC$1,9,5),TbTradesBinance[[#This Row],[Taxa]],0),8)))</f>
        <v>0</v>
      </c>
      <c r="AD194" s="145" cm="1">
        <f t="array" ref="AD194">IF(TbTradesBinance[[#This Row],[Tipo]]="EMPTY",0,AD193+IF(TbTradesBinance[[#This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Row],[Par]]))),$1:$1,0)),-(AC193-AC194)/AC193*AD193),0),0)+IF(TbTradesBinance[[#This Row],[Tipo]]="SELL",IF(ISNUMBER(FIND(MID(AD$1,10,5),TbTradesBinance[[#This Row],[Par]])),IF(FIND(MID(AD$1,10,5),TbTradesBinance[[#This Row],[Par]])=1, -(AC193-AC194)/AC193*AD193,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Row],[Par]])),(-(AC193-AC194)/AC193*AD193)+IF(TbTradesBinance[[#This Row],[Resultado]]&gt;0,0,TbTradesBinance[[#This Row],[Taxa]]),0),0))</f>
        <v>0</v>
      </c>
      <c r="AE194" s="145">
        <f t="shared" ref="AE194:AE211" si="63">IF(AC194=0,0,AD194/AC194)</f>
        <v>0</v>
      </c>
      <c r="AF19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Row],[Tipo]]="DROP"),AF193+TbTradesBinance[[#This Row],[Qtt]],AF193-TbTradesBinance[[#This Row],[Qtt]]),IF(TbTradesBinance[[#This Row],[Tipo]]="BUY",AF193-TbTradesBinance[[#This Row],[Qtt]]*TbTradesBinance[[#This Row],[Preço]],AF193+TbTradesBinance[[#This Row],[Qtt]]*TbTradesBinance[[#This Row],[Preço]])),AF193)-IF(TbTradesBinance[[#This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Row],[Tipo]]="DROP"),AF193+TbTradesBinance[[#This Row],[Qtt]],AF193-TbTradesBinance[[#This Row],[Qtt]]),IF(TbTradesBinance[[#This Row],[Tipo]]="BUY",AF193-TbTradesBinance[[#This Row],[Qtt]]*TbTradesBinance[[#This Row],[Preço]],AF193+TbTradesBinance[[#This Row],[Qtt]]*TbTradesBinance[[#This Row],[Preço]])),AF193)-IF(TbTradesBinance[[#This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Row],[Tipo]]="DROP"),AF193+TbTradesBinance[[#This Row],[Qtt]],AF193-TbTradesBinance[[#This Row],[Qtt]]),IF(TbTradesBinance[[#This Row],[Tipo]]="BUY",AF193-TbTradesBinance[[#This Row],[Qtt]]*TbTradesBinance[[#This Row],[Preço]],AF193+TbTradesBinance[[#This Row],[Qtt]]*TbTradesBinance[[#This Row],[Preço]])),AF193)-IF(TbTradesBinance[[#This Row],[Moeda da Taxa]]=MID(AF$1,9,5),TbTradesBinance[[#This Row],[Taxa]],0),8)))</f>
        <v>0</v>
      </c>
      <c r="AG194" s="145" cm="1">
        <f t="array" ref="AG194">IF(TbTradesBinance[[#This Row],[Tipo]]="EMPTY",0,AG193+IF(TbTradesBinance[[#This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Row],[Par]]))),$1:$1,0)),-(AF193-AF194)/AF193*AG193),0),0)+IF(TbTradesBinance[[#This Row],[Tipo]]="SELL",IF(ISNUMBER(FIND(MID(AG$1,10,5),TbTradesBinance[[#This Row],[Par]])),IF(FIND(MID(AG$1,10,5),TbTradesBinance[[#This Row],[Par]])=1, -(AF193-AF194)/AF193*AG193,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Row],[Par]])),(-(AF193-AF194)/AF193*AG193)+IF(TbTradesBinance[[#This Row],[Resultado]]&gt;0,0,TbTradesBinance[[#This Row],[Taxa]]),0),0))</f>
        <v>0</v>
      </c>
      <c r="AH194" s="145">
        <f t="shared" ref="AH194:AH211" si="64">IF(AF194=0,0,AG194/AF194)</f>
        <v>0</v>
      </c>
      <c r="AI19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Row],[Tipo]]="DROP"),AI193+TbTradesBinance[[#This Row],[Qtt]],AI193-TbTradesBinance[[#This Row],[Qtt]]),IF(TbTradesBinance[[#This Row],[Tipo]]="BUY",AI193-TbTradesBinance[[#This Row],[Qtt]]*TbTradesBinance[[#This Row],[Preço]],AI193+TbTradesBinance[[#This Row],[Qtt]]*TbTradesBinance[[#This Row],[Preço]])),AI193)-IF(TbTradesBinance[[#This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Row],[Tipo]]="DROP"),AI193+TbTradesBinance[[#This Row],[Qtt]],AI193-TbTradesBinance[[#This Row],[Qtt]]),IF(TbTradesBinance[[#This Row],[Tipo]]="BUY",AI193-TbTradesBinance[[#This Row],[Qtt]]*TbTradesBinance[[#This Row],[Preço]],AI193+TbTradesBinance[[#This Row],[Qtt]]*TbTradesBinance[[#This Row],[Preço]])),AI193)-IF(TbTradesBinance[[#This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Row],[Tipo]]="DROP"),AI193+TbTradesBinance[[#This Row],[Qtt]],AI193-TbTradesBinance[[#This Row],[Qtt]]),IF(TbTradesBinance[[#This Row],[Tipo]]="BUY",AI193-TbTradesBinance[[#This Row],[Qtt]]*TbTradesBinance[[#This Row],[Preço]],AI193+TbTradesBinance[[#This Row],[Qtt]]*TbTradesBinance[[#This Row],[Preço]])),AI193)-IF(TbTradesBinance[[#This Row],[Moeda da Taxa]]=MID(AI$1,9,5),TbTradesBinance[[#This Row],[Taxa]],0),8)))</f>
        <v>0</v>
      </c>
      <c r="AJ194" s="145" cm="1">
        <f t="array" ref="AJ194">IF(TbTradesBinance[[#This Row],[Tipo]]="EMPTY",0,AJ193+IF(TbTradesBinance[[#This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Row],[Par]]))),$1:$1,0)),-(AI193-AI194)/AI193*AJ193),0),0)+IF(TbTradesBinance[[#This Row],[Tipo]]="SELL",IF(ISNUMBER(FIND(MID(AJ$1,10,5),TbTradesBinance[[#This Row],[Par]])),IF(FIND(MID(AJ$1,10,5),TbTradesBinance[[#This Row],[Par]])=1, -(AI193-AI194)/AI193*AJ193,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Row],[Par]])),(-(AI193-AI194)/AI193*AJ193)+IF(TbTradesBinance[[#This Row],[Resultado]]&gt;0,0,TbTradesBinance[[#This Row],[Taxa]]),0),0))</f>
        <v>0</v>
      </c>
      <c r="AK194" s="145">
        <f t="shared" ref="AK194:AK211" si="65">IF(AI194=0,0,AJ194/AI194)</f>
        <v>0</v>
      </c>
      <c r="AL19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Row],[Tipo]]="DROP"),AL193+TbTradesBinance[[#This Row],[Qtt]],AL193-TbTradesBinance[[#This Row],[Qtt]]),IF(TbTradesBinance[[#This Row],[Tipo]]="BUY",AL193-TbTradesBinance[[#This Row],[Qtt]]*TbTradesBinance[[#This Row],[Preço]],AL193+TbTradesBinance[[#This Row],[Qtt]]*TbTradesBinance[[#This Row],[Preço]])),AL193)-IF(TbTradesBinance[[#This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Row],[Tipo]]="DROP"),AL193+TbTradesBinance[[#This Row],[Qtt]],AL193-TbTradesBinance[[#This Row],[Qtt]]),IF(TbTradesBinance[[#This Row],[Tipo]]="BUY",AL193-TbTradesBinance[[#This Row],[Qtt]]*TbTradesBinance[[#This Row],[Preço]],AL193+TbTradesBinance[[#This Row],[Qtt]]*TbTradesBinance[[#This Row],[Preço]])),AL193)-IF(TbTradesBinance[[#This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Row],[Tipo]]="DROP"),AL193+TbTradesBinance[[#This Row],[Qtt]],AL193-TbTradesBinance[[#This Row],[Qtt]]),IF(TbTradesBinance[[#This Row],[Tipo]]="BUY",AL193-TbTradesBinance[[#This Row],[Qtt]]*TbTradesBinance[[#This Row],[Preço]],AL193+TbTradesBinance[[#This Row],[Qtt]]*TbTradesBinance[[#This Row],[Preço]])),AL193)-IF(TbTradesBinance[[#This Row],[Moeda da Taxa]]=MID(AL$1,9,5),TbTradesBinance[[#This Row],[Taxa]],0),8)))</f>
        <v>0</v>
      </c>
      <c r="AM194" s="145" cm="1">
        <f t="array" ref="AM194">IF(TbTradesBinance[[#This Row],[Tipo]]="EMPTY",0,AM193+IF(TbTradesBinance[[#This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Row],[Par]]))),$1:$1,0)),-(AL193-AL194)/AL193*AM193),0),0)+IF(TbTradesBinance[[#This Row],[Tipo]]="SELL",IF(ISNUMBER(FIND(MID(AM$1,10,5),TbTradesBinance[[#This Row],[Par]])),IF(FIND(MID(AM$1,10,5),TbTradesBinance[[#This Row],[Par]])=1, -(AL193-AL194)/AL193*AM193,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Row],[Par]])),(-(AL193-AL194)/AL193*AM193)+IF(TbTradesBinance[[#This Row],[Resultado]]&gt;0,0,TbTradesBinance[[#This Row],[Taxa]]),0),0))</f>
        <v>0</v>
      </c>
      <c r="AN194" s="145">
        <f t="shared" ref="AN194:AN211" si="66">IF(AL194=0,0,AM194/AL194)</f>
        <v>0</v>
      </c>
      <c r="AO19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Row],[Tipo]]="DROP"),AO193+TbTradesBinance[[#This Row],[Qtt]],AO193-TbTradesBinance[[#This Row],[Qtt]]),IF(TbTradesBinance[[#This Row],[Tipo]]="BUY",AO193-TbTradesBinance[[#This Row],[Qtt]]*TbTradesBinance[[#This Row],[Preço]],AO193+TbTradesBinance[[#This Row],[Qtt]]*TbTradesBinance[[#This Row],[Preço]])),AO193)-IF(TbTradesBinance[[#This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Row],[Tipo]]="DROP"),AO193+TbTradesBinance[[#This Row],[Qtt]],AO193-TbTradesBinance[[#This Row],[Qtt]]),IF(TbTradesBinance[[#This Row],[Tipo]]="BUY",AO193-TbTradesBinance[[#This Row],[Qtt]]*TbTradesBinance[[#This Row],[Preço]],AO193+TbTradesBinance[[#This Row],[Qtt]]*TbTradesBinance[[#This Row],[Preço]])),AO193)-IF(TbTradesBinance[[#This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Row],[Tipo]]="DROP"),AO193+TbTradesBinance[[#This Row],[Qtt]],AO193-TbTradesBinance[[#This Row],[Qtt]]),IF(TbTradesBinance[[#This Row],[Tipo]]="BUY",AO193-TbTradesBinance[[#This Row],[Qtt]]*TbTradesBinance[[#This Row],[Preço]],AO193+TbTradesBinance[[#This Row],[Qtt]]*TbTradesBinance[[#This Row],[Preço]])),AO193)-IF(TbTradesBinance[[#This Row],[Moeda da Taxa]]=MID(AO$1,9,5),TbTradesBinance[[#This Row],[Taxa]],0),8)))</f>
        <v>3.8362390000000003E-2</v>
      </c>
      <c r="AP194" s="145" cm="1">
        <f t="array" ref="AP194">IF(TbTradesBinance[[#This Row],[Tipo]]="EMPTY",0,AP193+IF(TbTradesBinance[[#This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Row],[Par]]))),$1:$1,0)),-(AO193-AO194)/AO193*AP193),0),0)+IF(TbTradesBinance[[#This Row],[Tipo]]="SELL",IF(ISNUMBER(FIND(MID(AP$1,10,5),TbTradesBinance[[#This Row],[Par]])),IF(FIND(MID(AP$1,10,5),TbTradesBinance[[#This Row],[Par]])=1, -(AO193-AO194)/AO193*AP193,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Row],[Par]])),(-(AO193-AO194)/AO193*AP193)+IF(TbTradesBinance[[#This Row],[Resultado]]&gt;0,0,TbTradesBinance[[#This Row],[Taxa]]),0),0))</f>
        <v>60.349858055862811</v>
      </c>
      <c r="AQ194" s="145">
        <f t="shared" ref="AQ194:AQ211" si="67">IF(AO194=0,0,AP194/AO194)</f>
        <v>1573.1516742273566</v>
      </c>
      <c r="AR19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Row],[Tipo]]="DROP"),AR193+TbTradesBinance[[#This Row],[Qtt]],AR193-TbTradesBinance[[#This Row],[Qtt]]),IF(TbTradesBinance[[#This Row],[Tipo]]="BUY",AR193-TbTradesBinance[[#This Row],[Qtt]]*TbTradesBinance[[#This Row],[Preço]],AR193+TbTradesBinance[[#This Row],[Qtt]]*TbTradesBinance[[#This Row],[Preço]])),AR193)-IF(TbTradesBinance[[#This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Row],[Tipo]]="DROP"),AR193+TbTradesBinance[[#This Row],[Qtt]],AR193-TbTradesBinance[[#This Row],[Qtt]]),IF(TbTradesBinance[[#This Row],[Tipo]]="BUY",AR193-TbTradesBinance[[#This Row],[Qtt]]*TbTradesBinance[[#This Row],[Preço]],AR193+TbTradesBinance[[#This Row],[Qtt]]*TbTradesBinance[[#This Row],[Preço]])),AR193)-IF(TbTradesBinance[[#This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Row],[Tipo]]="DROP"),AR193+TbTradesBinance[[#This Row],[Qtt]],AR193-TbTradesBinance[[#This Row],[Qtt]]),IF(TbTradesBinance[[#This Row],[Tipo]]="BUY",AR193-TbTradesBinance[[#This Row],[Qtt]]*TbTradesBinance[[#This Row],[Preço]],AR193+TbTradesBinance[[#This Row],[Qtt]]*TbTradesBinance[[#This Row],[Preço]])),AR193)-IF(TbTradesBinance[[#This Row],[Moeda da Taxa]]=MID(AR$1,9,5),TbTradesBinance[[#This Row],[Taxa]],0),8)))</f>
        <v>0</v>
      </c>
      <c r="AS194" s="145" cm="1">
        <f t="array" ref="AS194">IF(TbTradesBinance[[#This Row],[Tipo]]="EMPTY",0,AS193+IF(TbTradesBinance[[#This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Row],[Par]]))),$1:$1,0)),-(AR193-AR194)/AR193*AS193),0),0)+IF(TbTradesBinance[[#This Row],[Tipo]]="SELL",IF(ISNUMBER(FIND(MID(AS$1,10,5),TbTradesBinance[[#This Row],[Par]])),IF(FIND(MID(AS$1,10,5),TbTradesBinance[[#This Row],[Par]])=1, -(AR193-AR194)/AR193*AS193,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Row],[Par]])),(-(AR193-AR194)/AR193*AS193)+IF(TbTradesBinance[[#This Row],[Resultado]]&gt;0,0,TbTradesBinance[[#This Row],[Taxa]]),0),0))</f>
        <v>0</v>
      </c>
      <c r="AT194" s="145">
        <f t="shared" ref="AT194:AT211" si="68">IF(AR194=0,0,AS194/AR194)</f>
        <v>0</v>
      </c>
      <c r="AU19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Row],[Tipo]]="DROP"),AU193+TbTradesBinance[[#This Row],[Qtt]],AU193-TbTradesBinance[[#This Row],[Qtt]]),IF(TbTradesBinance[[#This Row],[Tipo]]="BUY",AU193-TbTradesBinance[[#This Row],[Qtt]]*TbTradesBinance[[#This Row],[Preço]],AU193+TbTradesBinance[[#This Row],[Qtt]]*TbTradesBinance[[#This Row],[Preço]])),AU193)-IF(TbTradesBinance[[#This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Row],[Tipo]]="DROP"),AU193+TbTradesBinance[[#This Row],[Qtt]],AU193-TbTradesBinance[[#This Row],[Qtt]]),IF(TbTradesBinance[[#This Row],[Tipo]]="BUY",AU193-TbTradesBinance[[#This Row],[Qtt]]*TbTradesBinance[[#This Row],[Preço]],AU193+TbTradesBinance[[#This Row],[Qtt]]*TbTradesBinance[[#This Row],[Preço]])),AU193)-IF(TbTradesBinance[[#This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Row],[Tipo]]="DROP"),AU193+TbTradesBinance[[#This Row],[Qtt]],AU193-TbTradesBinance[[#This Row],[Qtt]]),IF(TbTradesBinance[[#This Row],[Tipo]]="BUY",AU193-TbTradesBinance[[#This Row],[Qtt]]*TbTradesBinance[[#This Row],[Preço]],AU193+TbTradesBinance[[#This Row],[Qtt]]*TbTradesBinance[[#This Row],[Preço]])),AU193)-IF(TbTradesBinance[[#This Row],[Moeda da Taxa]]=MID(AU$1,9,5),TbTradesBinance[[#This Row],[Taxa]],0),8)))</f>
        <v>0.51</v>
      </c>
      <c r="AV194" s="145" cm="1">
        <f t="array" ref="AV194">IF(TbTradesBinance[[#This Row],[Tipo]]="EMPTY",0,AV193+IF(TbTradesBinance[[#This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Row],[Par]]))),$1:$1,0)),-(AU193-AU194)/AU193*AV193),0),0)+IF(TbTradesBinance[[#This Row],[Tipo]]="SELL",IF(ISNUMBER(FIND(MID(AV$1,10,5),TbTradesBinance[[#This Row],[Par]])),IF(FIND(MID(AV$1,10,5),TbTradesBinance[[#This Row],[Par]])=1, -(AU193-AU194)/AU193*AV193,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Row],[Par]])),(-(AU193-AU194)/AU193*AV193)+IF(TbTradesBinance[[#This Row],[Resultado]]&gt;0,0,TbTradesBinance[[#This Row],[Taxa]]),0),0))</f>
        <v>95.466693037374753</v>
      </c>
      <c r="AW194" s="145">
        <f t="shared" ref="AW194:AW211" si="69">IF(AU194=0,0,AV194/AU194)</f>
        <v>187.18959419093088</v>
      </c>
      <c r="AX19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Row],[Tipo]]="DROP"),AX193+TbTradesBinance[[#This Row],[Qtt]],AX193-TbTradesBinance[[#This Row],[Qtt]]),IF(TbTradesBinance[[#This Row],[Tipo]]="BUY",AX193-TbTradesBinance[[#This Row],[Qtt]]*TbTradesBinance[[#This Row],[Preço]],AX193+TbTradesBinance[[#This Row],[Qtt]]*TbTradesBinance[[#This Row],[Preço]])),AX193)-IF(TbTradesBinance[[#This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Row],[Tipo]]="DROP"),AX193+TbTradesBinance[[#This Row],[Qtt]],AX193-TbTradesBinance[[#This Row],[Qtt]]),IF(TbTradesBinance[[#This Row],[Tipo]]="BUY",AX193-TbTradesBinance[[#This Row],[Qtt]]*TbTradesBinance[[#This Row],[Preço]],AX193+TbTradesBinance[[#This Row],[Qtt]]*TbTradesBinance[[#This Row],[Preço]])),AX193)-IF(TbTradesBinance[[#This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Row],[Tipo]]="DROP"),AX193+TbTradesBinance[[#This Row],[Qtt]],AX193-TbTradesBinance[[#This Row],[Qtt]]),IF(TbTradesBinance[[#This Row],[Tipo]]="BUY",AX193-TbTradesBinance[[#This Row],[Qtt]]*TbTradesBinance[[#This Row],[Preço]],AX193+TbTradesBinance[[#This Row],[Qtt]]*TbTradesBinance[[#This Row],[Preço]])),AX193)-IF(TbTradesBinance[[#This Row],[Moeda da Taxa]]=MID(AX$1,9,5),TbTradesBinance[[#This Row],[Taxa]],0),8)))</f>
        <v>0.32838000000000001</v>
      </c>
      <c r="AY194" s="145" cm="1">
        <f t="array" ref="AY194">IF(TbTradesBinance[[#This Row],[Tipo]]="EMPTY",0,AY193+IF(TbTradesBinance[[#This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Row],[Par]]))),$1:$1,0)),-(AX193-AX194)/AX193*AY193),0),0)+IF(TbTradesBinance[[#This Row],[Tipo]]="SELL",IF(ISNUMBER(FIND(MID(AY$1,10,5),TbTradesBinance[[#This Row],[Par]])),IF(FIND(MID(AY$1,10,5),TbTradesBinance[[#This Row],[Par]])=1, -(AX193-AX194)/AX193*AY193,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Row],[Par]])),(-(AX193-AX194)/AX193*AY193)+IF(TbTradesBinance[[#This Row],[Resultado]]&gt;0,0,TbTradesBinance[[#This Row],[Taxa]]),0),0))</f>
        <v>61.364116058805678</v>
      </c>
      <c r="AZ194" s="145">
        <f t="shared" ref="AZ194:AZ211" si="70">IF(AX194=0,0,AY194/AX194)</f>
        <v>186.869224857804</v>
      </c>
      <c r="BA19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Row],[Tipo]]="DROP"),BA193+TbTradesBinance[[#This Row],[Qtt]],BA193-TbTradesBinance[[#This Row],[Qtt]]),IF(TbTradesBinance[[#This Row],[Tipo]]="BUY",BA193-TbTradesBinance[[#This Row],[Qtt]]*TbTradesBinance[[#This Row],[Preço]],BA193+TbTradesBinance[[#This Row],[Qtt]]*TbTradesBinance[[#This Row],[Preço]])),BA193)-IF(TbTradesBinance[[#This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Row],[Tipo]]="DROP"),BA193+TbTradesBinance[[#This Row],[Qtt]],BA193-TbTradesBinance[[#This Row],[Qtt]]),IF(TbTradesBinance[[#This Row],[Tipo]]="BUY",BA193-TbTradesBinance[[#This Row],[Qtt]]*TbTradesBinance[[#This Row],[Preço]],BA193+TbTradesBinance[[#This Row],[Qtt]]*TbTradesBinance[[#This Row],[Preço]])),BA193)-IF(TbTradesBinance[[#This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Row],[Tipo]]="DROP"),BA193+TbTradesBinance[[#This Row],[Qtt]],BA193-TbTradesBinance[[#This Row],[Qtt]]),IF(TbTradesBinance[[#This Row],[Tipo]]="BUY",BA193-TbTradesBinance[[#This Row],[Qtt]]*TbTradesBinance[[#This Row],[Preço]],BA193+TbTradesBinance[[#This Row],[Qtt]]*TbTradesBinance[[#This Row],[Preço]])),BA193)-IF(TbTradesBinance[[#This Row],[Moeda da Taxa]]=MID(BA$1,9,5),TbTradesBinance[[#This Row],[Taxa]],0),8)))</f>
        <v>0</v>
      </c>
      <c r="BB194" s="145" cm="1">
        <f t="array" ref="BB194">IF(TbTradesBinance[[#This Row],[Tipo]]="EMPTY",0,BB193+IF(TbTradesBinance[[#This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Row],[Par]]))),$1:$1,0)),-(BA193-BA194)/BA193*BB193),0),0)+IF(TbTradesBinance[[#This Row],[Tipo]]="SELL",IF(ISNUMBER(FIND(MID(BB$1,10,5),TbTradesBinance[[#This Row],[Par]])),IF(FIND(MID(BB$1,10,5),TbTradesBinance[[#This Row],[Par]])=1, -(BA193-BA194)/BA193*BB193,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Row],[Par]])),(-(BA193-BA194)/BA193*BB193)+IF(TbTradesBinance[[#This Row],[Resultado]]&gt;0,0,TbTradesBinance[[#This Row],[Taxa]]),0),0))</f>
        <v>0</v>
      </c>
      <c r="BC194" s="145">
        <f t="shared" ref="BC194:BC211" si="71">IF(BA194=0,0,BB194/BA194)</f>
        <v>0</v>
      </c>
      <c r="BD19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Row],[Tipo]]="DROP"),BD193+TbTradesBinance[[#This Row],[Qtt]],BD193-TbTradesBinance[[#This Row],[Qtt]]),IF(TbTradesBinance[[#This Row],[Tipo]]="BUY",BD193-TbTradesBinance[[#This Row],[Qtt]]*TbTradesBinance[[#This Row],[Preço]],BD193+TbTradesBinance[[#This Row],[Qtt]]*TbTradesBinance[[#This Row],[Preço]])),BD193)-IF(TbTradesBinance[[#This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Row],[Tipo]]="DROP"),BD193+TbTradesBinance[[#This Row],[Qtt]],BD193-TbTradesBinance[[#This Row],[Qtt]]),IF(TbTradesBinance[[#This Row],[Tipo]]="BUY",BD193-TbTradesBinance[[#This Row],[Qtt]]*TbTradesBinance[[#This Row],[Preço]],BD193+TbTradesBinance[[#This Row],[Qtt]]*TbTradesBinance[[#This Row],[Preço]])),BD193)-IF(TbTradesBinance[[#This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Row],[Tipo]]="DROP"),BD193+TbTradesBinance[[#This Row],[Qtt]],BD193-TbTradesBinance[[#This Row],[Qtt]]),IF(TbTradesBinance[[#This Row],[Tipo]]="BUY",BD193-TbTradesBinance[[#This Row],[Qtt]]*TbTradesBinance[[#This Row],[Preço]],BD193+TbTradesBinance[[#This Row],[Qtt]]*TbTradesBinance[[#This Row],[Preço]])),BD193)-IF(TbTradesBinance[[#This Row],[Moeda da Taxa]]=MID(BD$1,9,5),TbTradesBinance[[#This Row],[Taxa]],0),8)))</f>
        <v>0</v>
      </c>
      <c r="BE194" s="145" cm="1">
        <f t="array" ref="BE194">IF(TbTradesBinance[[#This Row],[Tipo]]="EMPTY",0,BE193+IF(TbTradesBinance[[#This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Row],[Par]]))),$1:$1,0)),-(BD193-BD194)/BD193*BE193),0),0)+IF(TbTradesBinance[[#This Row],[Tipo]]="SELL",IF(ISNUMBER(FIND(MID(BE$1,10,5),TbTradesBinance[[#This Row],[Par]])),IF(FIND(MID(BE$1,10,5),TbTradesBinance[[#This Row],[Par]])=1, -(BD193-BD194)/BD193*BE193,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Row],[Par]])),(-(BD193-BD194)/BD193*BE193)+IF(TbTradesBinance[[#This Row],[Resultado]]&gt;0,0,TbTradesBinance[[#This Row],[Taxa]]),0),0))</f>
        <v>0</v>
      </c>
      <c r="BF194" s="145">
        <f t="shared" ref="BF194:BF211" si="72">IF(BD194=0,0,BE194/BD194)</f>
        <v>0</v>
      </c>
      <c r="BG19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Row],[Tipo]]="DROP"),BG193+TbTradesBinance[[#This Row],[Qtt]],BG193-TbTradesBinance[[#This Row],[Qtt]]),IF(TbTradesBinance[[#This Row],[Tipo]]="BUY",BG193-TbTradesBinance[[#This Row],[Qtt]]*TbTradesBinance[[#This Row],[Preço]],BG193+TbTradesBinance[[#This Row],[Qtt]]*TbTradesBinance[[#This Row],[Preço]])),BG193)-IF(TbTradesBinance[[#This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Row],[Tipo]]="DROP"),BG193+TbTradesBinance[[#This Row],[Qtt]],BG193-TbTradesBinance[[#This Row],[Qtt]]),IF(TbTradesBinance[[#This Row],[Tipo]]="BUY",BG193-TbTradesBinance[[#This Row],[Qtt]]*TbTradesBinance[[#This Row],[Preço]],BG193+TbTradesBinance[[#This Row],[Qtt]]*TbTradesBinance[[#This Row],[Preço]])),BG193)-IF(TbTradesBinance[[#This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Row],[Tipo]]="DROP"),BG193+TbTradesBinance[[#This Row],[Qtt]],BG193-TbTradesBinance[[#This Row],[Qtt]]),IF(TbTradesBinance[[#This Row],[Tipo]]="BUY",BG193-TbTradesBinance[[#This Row],[Qtt]]*TbTradesBinance[[#This Row],[Preço]],BG193+TbTradesBinance[[#This Row],[Qtt]]*TbTradesBinance[[#This Row],[Preço]])),BG193)-IF(TbTradesBinance[[#This Row],[Moeda da Taxa]]=MID(BG$1,9,5),TbTradesBinance[[#This Row],[Taxa]],0),8)))</f>
        <v>0</v>
      </c>
      <c r="BH194" s="145" cm="1">
        <f t="array" ref="BH194">IF(TbTradesBinance[[#This Row],[Tipo]]="EMPTY",0,BH193+IF(TbTradesBinance[[#This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Row],[Par]]))),$1:$1,0)),-(BG193-BG194)/BG193*BH193),0),0)+IF(TbTradesBinance[[#This Row],[Tipo]]="SELL",IF(ISNUMBER(FIND(MID(BH$1,10,5),TbTradesBinance[[#This Row],[Par]])),IF(FIND(MID(BH$1,10,5),TbTradesBinance[[#This Row],[Par]])=1, -(BG193-BG194)/BG193*BH193,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Row],[Par]])),(-(BG193-BG194)/BG193*BH193)+IF(TbTradesBinance[[#This Row],[Resultado]]&gt;0,0,TbTradesBinance[[#This Row],[Taxa]]),0),0))</f>
        <v>0</v>
      </c>
      <c r="BI194" s="145">
        <f t="shared" ref="BI194:BI211" si="73">IF(BG194=0,0,BH194/BG194)</f>
        <v>0</v>
      </c>
      <c r="BJ19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Row],[Tipo]]="DROP"),BJ193+TbTradesBinance[[#This Row],[Qtt]],BJ193-TbTradesBinance[[#This Row],[Qtt]]),IF(TbTradesBinance[[#This Row],[Tipo]]="BUY",BJ193-TbTradesBinance[[#This Row],[Qtt]]*TbTradesBinance[[#This Row],[Preço]],BJ193+TbTradesBinance[[#This Row],[Qtt]]*TbTradesBinance[[#This Row],[Preço]])),BJ193)-IF(TbTradesBinance[[#This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Row],[Tipo]]="DROP"),BJ193+TbTradesBinance[[#This Row],[Qtt]],BJ193-TbTradesBinance[[#This Row],[Qtt]]),IF(TbTradesBinance[[#This Row],[Tipo]]="BUY",BJ193-TbTradesBinance[[#This Row],[Qtt]]*TbTradesBinance[[#This Row],[Preço]],BJ193+TbTradesBinance[[#This Row],[Qtt]]*TbTradesBinance[[#This Row],[Preço]])),BJ193)-IF(TbTradesBinance[[#This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Row],[Tipo]]="DROP"),BJ193+TbTradesBinance[[#This Row],[Qtt]],BJ193-TbTradesBinance[[#This Row],[Qtt]]),IF(TbTradesBinance[[#This Row],[Tipo]]="BUY",BJ193-TbTradesBinance[[#This Row],[Qtt]]*TbTradesBinance[[#This Row],[Preço]],BJ193+TbTradesBinance[[#This Row],[Qtt]]*TbTradesBinance[[#This Row],[Preço]])),BJ193)-IF(TbTradesBinance[[#This Row],[Moeda da Taxa]]=MID(BJ$1,9,5),TbTradesBinance[[#This Row],[Taxa]],0),8)))</f>
        <v>0</v>
      </c>
      <c r="BK194" s="145" cm="1">
        <f t="array" ref="BK194">IF(TbTradesBinance[[#This Row],[Tipo]]="EMPTY",0,BK193+IF(TbTradesBinance[[#This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Row],[Par]]))),$1:$1,0)),-(BJ193-BJ194)/BJ193*BK193),0),0)+IF(TbTradesBinance[[#This Row],[Tipo]]="SELL",IF(ISNUMBER(FIND(MID(BK$1,10,5),TbTradesBinance[[#This Row],[Par]])),IF(FIND(MID(BK$1,10,5),TbTradesBinance[[#This Row],[Par]])=1, -(BJ193-BJ194)/BJ193*BK193,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Row],[Par]])),(-(BJ193-BJ194)/BJ193*BK193)+IF(TbTradesBinance[[#This Row],[Resultado]]&gt;0,0,TbTradesBinance[[#This Row],[Taxa]]),0),0))</f>
        <v>0</v>
      </c>
      <c r="BL194" s="145">
        <f t="shared" ref="BL194:BL211" si="74">IF(BJ194=0,0,BK194/BJ194)</f>
        <v>0</v>
      </c>
      <c r="BM19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Row],[Tipo]]="DROP"),BM193+TbTradesBinance[[#This Row],[Qtt]],BM193-TbTradesBinance[[#This Row],[Qtt]]),IF(TbTradesBinance[[#This Row],[Tipo]]="BUY",BM193-TbTradesBinance[[#This Row],[Qtt]]*TbTradesBinance[[#This Row],[Preço]],BM193+TbTradesBinance[[#This Row],[Qtt]]*TbTradesBinance[[#This Row],[Preço]])),BM193)-IF(TbTradesBinance[[#This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Row],[Tipo]]="DROP"),BM193+TbTradesBinance[[#This Row],[Qtt]],BM193-TbTradesBinance[[#This Row],[Qtt]]),IF(TbTradesBinance[[#This Row],[Tipo]]="BUY",BM193-TbTradesBinance[[#This Row],[Qtt]]*TbTradesBinance[[#This Row],[Preço]],BM193+TbTradesBinance[[#This Row],[Qtt]]*TbTradesBinance[[#This Row],[Preço]])),BM193)-IF(TbTradesBinance[[#This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Row],[Tipo]]="DROP"),BM193+TbTradesBinance[[#This Row],[Qtt]],BM193-TbTradesBinance[[#This Row],[Qtt]]),IF(TbTradesBinance[[#This Row],[Tipo]]="BUY",BM193-TbTradesBinance[[#This Row],[Qtt]]*TbTradesBinance[[#This Row],[Preço]],BM193+TbTradesBinance[[#This Row],[Qtt]]*TbTradesBinance[[#This Row],[Preço]])),BM193)-IF(TbTradesBinance[[#This Row],[Moeda da Taxa]]=MID(BM$1,9,5),TbTradesBinance[[#This Row],[Taxa]],0),8)))</f>
        <v>0</v>
      </c>
      <c r="BN194" s="145" cm="1">
        <f t="array" ref="BN194">IF(TbTradesBinance[[#This Row],[Tipo]]="EMPTY",0,BN193+IF(TbTradesBinance[[#This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Row],[Par]]))),$1:$1,0)),-(BM193-BM194)/BM193*BN193),0),0)+IF(TbTradesBinance[[#This Row],[Tipo]]="SELL",IF(ISNUMBER(FIND(MID(BN$1,10,5),TbTradesBinance[[#This Row],[Par]])),IF(FIND(MID(BN$1,10,5),TbTradesBinance[[#This Row],[Par]])=1, -(BM193-BM194)/BM193*BN193,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Row],[Par]])),(-(BM193-BM194)/BM193*BN193)+IF(TbTradesBinance[[#This Row],[Resultado]]&gt;0,0,TbTradesBinance[[#This Row],[Taxa]]),0),0))</f>
        <v>0</v>
      </c>
      <c r="BO194" s="145">
        <f t="shared" ref="BO194:BO211" si="75">IF(BM194=0,0,BN194/BM194)</f>
        <v>0</v>
      </c>
    </row>
    <row r="195" spans="2:67" x14ac:dyDescent="0.3">
      <c r="B195" s="51"/>
      <c r="C195" s="40">
        <f>TRUNC(IF(AND(TbTradesBinance[[#This Row],[Tipo]]="SEND",TbTradesBinance[[#This Row],[Par]]="BRL"),TbTradesBinance[[#This Row],[Qtt]]*(1-P193)-IF(TbTradesBinance[[#This Row],[Moeda da Taxa]]="BRL",TbTradesBinance[[#This Row],[Taxa]],0),0)+IF(AND(TbTradesBinance[[#This Row],[Tipo]]="BURN",TbTradesBinance[[#This Row],[Par]]="BRL"),-TbTradesBinance[[#This Row],[Qtt]]*P193,0),2)</f>
        <v>0</v>
      </c>
      <c r="D195" s="53">
        <v>44356.941770833335</v>
      </c>
      <c r="E195" s="37" t="s">
        <v>249</v>
      </c>
      <c r="F195" s="47" t="s">
        <v>140</v>
      </c>
      <c r="G195" s="38">
        <v>37100</v>
      </c>
      <c r="H195" s="38">
        <v>6.7759999999999999E-3</v>
      </c>
      <c r="I195" s="38">
        <v>0.25138959999999999</v>
      </c>
      <c r="J195" s="37" t="s">
        <v>42</v>
      </c>
      <c r="K195" s="52">
        <v>5.069</v>
      </c>
      <c r="L195" s="40">
        <f t="shared" si="57"/>
        <v>188059.9</v>
      </c>
      <c r="M195" s="40">
        <f>IF(OR(TbTradesBinance[[#This Row],[Tipo]]="BUY",TbTradesBinance[[#This Row],[Tipo]]="RECEIVE",TbTradesBinance[[#This Row],[Tipo]]="DROP"),L195*H195,-L195*H195)</f>
        <v>-1274.2938824</v>
      </c>
      <c r="N19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Row],[Tipo]]="DROP"),N194+TbTradesBinance[[#This Row],[Qtt]],N194-TbTradesBinance[[#This Row],[Qtt]]),IF(TbTradesBinance[[#This Row],[Tipo]]="BUY",N194-TbTradesBinance[[#This Row],[Qtt]]*TbTradesBinance[[#This Row],[Preço]],N194+TbTradesBinance[[#This Row],[Qtt]]*TbTradesBinance[[#This Row],[Preço]])),N194)-IF(TbTradesBinance[[#This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Row],[Tipo]]="DROP"),N194+TbTradesBinance[[#This Row],[Qtt]],N194-TbTradesBinance[[#This Row],[Qtt]]),IF(TbTradesBinance[[#This Row],[Tipo]]="BUY",N194-TbTradesBinance[[#This Row],[Qtt]]*TbTradesBinance[[#This Row],[Preço]],N194+TbTradesBinance[[#This Row],[Qtt]]*TbTradesBinance[[#This Row],[Preço]])),N194)-IF(TbTradesBinance[[#This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Row],[Tipo]]="DROP"),N194+TbTradesBinance[[#This Row],[Qtt]],N194-TbTradesBinance[[#This Row],[Qtt]]),IF(TbTradesBinance[[#This Row],[Tipo]]="BUY",N194-TbTradesBinance[[#This Row],[Qtt]]*TbTradesBinance[[#This Row],[Preço]],N194+TbTradesBinance[[#This Row],[Qtt]]*TbTradesBinance[[#This Row],[Preço]])),N194)-IF(TbTradesBinance[[#This Row],[Moeda da Taxa]]=MID(N$1,9,5),TbTradesBinance[[#This Row],[Taxa]],0),8)))</f>
        <v>122891.12274481</v>
      </c>
      <c r="O195" s="145" cm="1">
        <f t="array" ref="O195">IF(TbTradesBinance[[#This Row],[Tipo]]="EMPTY",0,O194+IF(TbTradesBinance[[#This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Row],[Par]]))),$1:$1,0)),-(N194-N195)/N194*O194),0),0)+IF(TbTradesBinance[[#This Row],[Tipo]]="SELL",IF(ISNUMBER(FIND(MID(O$1,10,5),TbTradesBinance[[#This Row],[Par]])),IF(FIND(MID(O$1,10,5),TbTradesBinance[[#This Row],[Par]])=1, -(N194-N195)/N194*O194,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Row],[Par]])),(-(N194-N195)/N194*O194)+IF(TbTradesBinance[[#This Row],[Resultado]]&gt;0,0,TbTradesBinance[[#This Row],[Taxa]]),0),0))</f>
        <v>123570.92861520642</v>
      </c>
      <c r="P195" s="145">
        <f t="shared" si="58"/>
        <v>1.0055317736156424</v>
      </c>
      <c r="Q19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Row],[Tipo]]="DROP"),Q194+TbTradesBinance[[#This Row],[Qtt]],Q194-TbTradesBinance[[#This Row],[Qtt]]),IF(TbTradesBinance[[#This Row],[Tipo]]="BUY",Q194-TbTradesBinance[[#This Row],[Qtt]]*TbTradesBinance[[#This Row],[Preço]],Q194+TbTradesBinance[[#This Row],[Qtt]]*TbTradesBinance[[#This Row],[Preço]])),Q194)-IF(TbTradesBinance[[#This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Row],[Tipo]]="DROP"),Q194+TbTradesBinance[[#This Row],[Qtt]],Q194-TbTradesBinance[[#This Row],[Qtt]]),IF(TbTradesBinance[[#This Row],[Tipo]]="BUY",Q194-TbTradesBinance[[#This Row],[Qtt]]*TbTradesBinance[[#This Row],[Preço]],Q194+TbTradesBinance[[#This Row],[Qtt]]*TbTradesBinance[[#This Row],[Preço]])),Q194)-IF(TbTradesBinance[[#This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Row],[Tipo]]="DROP"),Q194+TbTradesBinance[[#This Row],[Qtt]],Q194-TbTradesBinance[[#This Row],[Qtt]]),IF(TbTradesBinance[[#This Row],[Tipo]]="BUY",Q194-TbTradesBinance[[#This Row],[Qtt]]*TbTradesBinance[[#This Row],[Preço]],Q194+TbTradesBinance[[#This Row],[Qtt]]*TbTradesBinance[[#This Row],[Preço]])),Q194)-IF(TbTradesBinance[[#This Row],[Moeda da Taxa]]=MID(Q$1,9,5),TbTradesBinance[[#This Row],[Taxa]],0),8)))</f>
        <v>251.16681086</v>
      </c>
      <c r="R195" s="145" cm="1">
        <f t="array" ref="R195">IF(TbTradesBinance[[#This Row],[Tipo]]="EMPTY",0,R194+IF(TbTradesBinance[[#This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Row],[Par]]))),$1:$1,0)),-(Q194-Q195)/Q194*R194),0),0)+IF(TbTradesBinance[[#This Row],[Tipo]]="SELL",IF(ISNUMBER(FIND(MID(R$1,10,5),TbTradesBinance[[#This Row],[Par]])),IF(FIND(MID(R$1,10,5),TbTradesBinance[[#This Row],[Par]])=1, -(Q194-Q195)/Q194*R194,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Row],[Par]])),(-(Q194-Q195)/Q194*R194)+IF(TbTradesBinance[[#This Row],[Resultado]]&gt;0,0,TbTradesBinance[[#This Row],[Taxa]]),0),0))</f>
        <v>1281.4091008175781</v>
      </c>
      <c r="S195" s="145">
        <f t="shared" si="59"/>
        <v>5.1018249442671531</v>
      </c>
      <c r="T19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Row],[Tipo]]="DROP"),T194+TbTradesBinance[[#This Row],[Qtt]],T194-TbTradesBinance[[#This Row],[Qtt]]),IF(TbTradesBinance[[#This Row],[Tipo]]="BUY",T194-TbTradesBinance[[#This Row],[Qtt]]*TbTradesBinance[[#This Row],[Preço]],T194+TbTradesBinance[[#This Row],[Qtt]]*TbTradesBinance[[#This Row],[Preço]])),T194)-IF(TbTradesBinance[[#This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Row],[Tipo]]="DROP"),T194+TbTradesBinance[[#This Row],[Qtt]],T194-TbTradesBinance[[#This Row],[Qtt]]),IF(TbTradesBinance[[#This Row],[Tipo]]="BUY",T194-TbTradesBinance[[#This Row],[Qtt]]*TbTradesBinance[[#This Row],[Preço]],T194+TbTradesBinance[[#This Row],[Qtt]]*TbTradesBinance[[#This Row],[Preço]])),T194)-IF(TbTradesBinance[[#This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Row],[Tipo]]="DROP"),T194+TbTradesBinance[[#This Row],[Qtt]],T194-TbTradesBinance[[#This Row],[Qtt]]),IF(TbTradesBinance[[#This Row],[Tipo]]="BUY",T194-TbTradesBinance[[#This Row],[Qtt]]*TbTradesBinance[[#This Row],[Preço]],T194+TbTradesBinance[[#This Row],[Qtt]]*TbTradesBinance[[#This Row],[Preço]])),T194)-IF(TbTradesBinance[[#This Row],[Moeda da Taxa]]=MID(T$1,9,5),TbTradesBinance[[#This Row],[Taxa]],0),8)))</f>
        <v>101223913.720009</v>
      </c>
      <c r="U195" s="145" cm="1">
        <f t="array" ref="U195">IF(TbTradesBinance[[#This Row],[Tipo]]="EMPTY",0,U194+IF(TbTradesBinance[[#This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Row],[Par]]))),$1:$1,0)),-(T194-T195)/T194*U194),0),0)+IF(TbTradesBinance[[#This Row],[Tipo]]="SELL",IF(ISNUMBER(FIND(MID(U$1,10,5),TbTradesBinance[[#This Row],[Par]])),IF(FIND(MID(U$1,10,5),TbTradesBinance[[#This Row],[Par]])=1, -(T194-T195)/T194*U194,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Row],[Par]])),(-(T194-T195)/T194*U194)+IF(TbTradesBinance[[#This Row],[Resultado]]&gt;0,0,TbTradesBinance[[#This Row],[Taxa]]),0),0))</f>
        <v>617586601.27364206</v>
      </c>
      <c r="V195" s="145">
        <f t="shared" si="60"/>
        <v>6.1011926784605572</v>
      </c>
      <c r="W19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Row],[Tipo]]="DROP"),W194+TbTradesBinance[[#This Row],[Qtt]],W194-TbTradesBinance[[#This Row],[Qtt]]),IF(TbTradesBinance[[#This Row],[Tipo]]="BUY",W194-TbTradesBinance[[#This Row],[Qtt]]*TbTradesBinance[[#This Row],[Preço]],W194+TbTradesBinance[[#This Row],[Qtt]]*TbTradesBinance[[#This Row],[Preço]])),W194)-IF(TbTradesBinance[[#This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Row],[Tipo]]="DROP"),W194+TbTradesBinance[[#This Row],[Qtt]],W194-TbTradesBinance[[#This Row],[Qtt]]),IF(TbTradesBinance[[#This Row],[Tipo]]="BUY",W194-TbTradesBinance[[#This Row],[Qtt]]*TbTradesBinance[[#This Row],[Preço]],W194+TbTradesBinance[[#This Row],[Qtt]]*TbTradesBinance[[#This Row],[Preço]])),W194)-IF(TbTradesBinance[[#This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Row],[Tipo]]="DROP"),W194+TbTradesBinance[[#This Row],[Qtt]],W194-TbTradesBinance[[#This Row],[Qtt]]),IF(TbTradesBinance[[#This Row],[Tipo]]="BUY",W194-TbTradesBinance[[#This Row],[Qtt]]*TbTradesBinance[[#This Row],[Preço]],W194+TbTradesBinance[[#This Row],[Qtt]]*TbTradesBinance[[#This Row],[Preço]])),W194)-IF(TbTradesBinance[[#This Row],[Moeda da Taxa]]=MID(W$1,9,5),TbTradesBinance[[#This Row],[Taxa]],0),8)))</f>
        <v>9.9898999999999995E-4</v>
      </c>
      <c r="X195" s="145" cm="1">
        <f t="array" ref="X195">IF(TbTradesBinance[[#This Row],[Tipo]]="EMPTY",0,X194+IF(TbTradesBinance[[#This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Row],[Par]]))),$1:$1,0)),-(W194-W195)/W194*X194),0),0)+IF(TbTradesBinance[[#This Row],[Tipo]]="SELL",IF(ISNUMBER(FIND(MID(X$1,10,5),TbTradesBinance[[#This Row],[Par]])),IF(FIND(MID(X$1,10,5),TbTradesBinance[[#This Row],[Par]])=1, -(W194-W195)/W194*X194,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Row],[Par]])),(-(W194-W195)/W194*X194)+IF(TbTradesBinance[[#This Row],[Resultado]]&gt;0,0,TbTradesBinance[[#This Row],[Taxa]]),0),0))</f>
        <v>188.8992186172934</v>
      </c>
      <c r="Y195" s="145">
        <f t="shared" si="61"/>
        <v>189090.1997190096</v>
      </c>
      <c r="Z19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Row],[Tipo]]="DROP"),Z194+TbTradesBinance[[#This Row],[Qtt]],Z194-TbTradesBinance[[#This Row],[Qtt]]),IF(TbTradesBinance[[#This Row],[Tipo]]="BUY",Z194-TbTradesBinance[[#This Row],[Qtt]]*TbTradesBinance[[#This Row],[Preço]],Z194+TbTradesBinance[[#This Row],[Qtt]]*TbTradesBinance[[#This Row],[Preço]])),Z194)-IF(TbTradesBinance[[#This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Row],[Tipo]]="DROP"),Z194+TbTradesBinance[[#This Row],[Qtt]],Z194-TbTradesBinance[[#This Row],[Qtt]]),IF(TbTradesBinance[[#This Row],[Tipo]]="BUY",Z194-TbTradesBinance[[#This Row],[Qtt]]*TbTradesBinance[[#This Row],[Preço]],Z194+TbTradesBinance[[#This Row],[Qtt]]*TbTradesBinance[[#This Row],[Preço]])),Z194)-IF(TbTradesBinance[[#This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Row],[Tipo]]="DROP"),Z194+TbTradesBinance[[#This Row],[Qtt]],Z194-TbTradesBinance[[#This Row],[Qtt]]),IF(TbTradesBinance[[#This Row],[Tipo]]="BUY",Z194-TbTradesBinance[[#This Row],[Qtt]]*TbTradesBinance[[#This Row],[Preço]],Z194+TbTradesBinance[[#This Row],[Qtt]]*TbTradesBinance[[#This Row],[Preço]])),Z194)-IF(TbTradesBinance[[#This Row],[Moeda da Taxa]]=MID(Z$1,9,5),TbTradesBinance[[#This Row],[Taxa]],0),8)))</f>
        <v>0</v>
      </c>
      <c r="AA195" s="145" cm="1">
        <f t="array" ref="AA195">IF(TbTradesBinance[[#This Row],[Tipo]]="EMPTY",0,AA194+IF(TbTradesBinance[[#This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Row],[Par]]))),$1:$1,0)),-(Z194-Z195)/Z194*AA194),0),0)+IF(TbTradesBinance[[#This Row],[Tipo]]="SELL",IF(ISNUMBER(FIND(MID(AA$1,10,5),TbTradesBinance[[#This Row],[Par]])),IF(FIND(MID(AA$1,10,5),TbTradesBinance[[#This Row],[Par]])=1, -(Z194-Z195)/Z194*AA194,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Row],[Par]])),(-(Z194-Z195)/Z194*AA194)+IF(TbTradesBinance[[#This Row],[Resultado]]&gt;0,0,TbTradesBinance[[#This Row],[Taxa]]),0),0))</f>
        <v>0</v>
      </c>
      <c r="AB195" s="145">
        <f t="shared" si="62"/>
        <v>0</v>
      </c>
      <c r="AC19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Row],[Tipo]]="DROP"),AC194+TbTradesBinance[[#This Row],[Qtt]],AC194-TbTradesBinance[[#This Row],[Qtt]]),IF(TbTradesBinance[[#This Row],[Tipo]]="BUY",AC194-TbTradesBinance[[#This Row],[Qtt]]*TbTradesBinance[[#This Row],[Preço]],AC194+TbTradesBinance[[#This Row],[Qtt]]*TbTradesBinance[[#This Row],[Preço]])),AC194)-IF(TbTradesBinance[[#This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Row],[Tipo]]="DROP"),AC194+TbTradesBinance[[#This Row],[Qtt]],AC194-TbTradesBinance[[#This Row],[Qtt]]),IF(TbTradesBinance[[#This Row],[Tipo]]="BUY",AC194-TbTradesBinance[[#This Row],[Qtt]]*TbTradesBinance[[#This Row],[Preço]],AC194+TbTradesBinance[[#This Row],[Qtt]]*TbTradesBinance[[#This Row],[Preço]])),AC194)-IF(TbTradesBinance[[#This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Row],[Tipo]]="DROP"),AC194+TbTradesBinance[[#This Row],[Qtt]],AC194-TbTradesBinance[[#This Row],[Qtt]]),IF(TbTradesBinance[[#This Row],[Tipo]]="BUY",AC194-TbTradesBinance[[#This Row],[Qtt]]*TbTradesBinance[[#This Row],[Preço]],AC194+TbTradesBinance[[#This Row],[Qtt]]*TbTradesBinance[[#This Row],[Preço]])),AC194)-IF(TbTradesBinance[[#This Row],[Moeda da Taxa]]=MID(AC$1,9,5),TbTradesBinance[[#This Row],[Taxa]],0),8)))</f>
        <v>0</v>
      </c>
      <c r="AD195" s="145" cm="1">
        <f t="array" ref="AD195">IF(TbTradesBinance[[#This Row],[Tipo]]="EMPTY",0,AD194+IF(TbTradesBinance[[#This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Row],[Par]]))),$1:$1,0)),-(AC194-AC195)/AC194*AD194),0),0)+IF(TbTradesBinance[[#This Row],[Tipo]]="SELL",IF(ISNUMBER(FIND(MID(AD$1,10,5),TbTradesBinance[[#This Row],[Par]])),IF(FIND(MID(AD$1,10,5),TbTradesBinance[[#This Row],[Par]])=1, -(AC194-AC195)/AC194*AD194,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Row],[Par]])),(-(AC194-AC195)/AC194*AD194)+IF(TbTradesBinance[[#This Row],[Resultado]]&gt;0,0,TbTradesBinance[[#This Row],[Taxa]]),0),0))</f>
        <v>0</v>
      </c>
      <c r="AE195" s="145">
        <f t="shared" si="63"/>
        <v>0</v>
      </c>
      <c r="AF19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Row],[Tipo]]="DROP"),AF194+TbTradesBinance[[#This Row],[Qtt]],AF194-TbTradesBinance[[#This Row],[Qtt]]),IF(TbTradesBinance[[#This Row],[Tipo]]="BUY",AF194-TbTradesBinance[[#This Row],[Qtt]]*TbTradesBinance[[#This Row],[Preço]],AF194+TbTradesBinance[[#This Row],[Qtt]]*TbTradesBinance[[#This Row],[Preço]])),AF194)-IF(TbTradesBinance[[#This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Row],[Tipo]]="DROP"),AF194+TbTradesBinance[[#This Row],[Qtt]],AF194-TbTradesBinance[[#This Row],[Qtt]]),IF(TbTradesBinance[[#This Row],[Tipo]]="BUY",AF194-TbTradesBinance[[#This Row],[Qtt]]*TbTradesBinance[[#This Row],[Preço]],AF194+TbTradesBinance[[#This Row],[Qtt]]*TbTradesBinance[[#This Row],[Preço]])),AF194)-IF(TbTradesBinance[[#This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Row],[Tipo]]="DROP"),AF194+TbTradesBinance[[#This Row],[Qtt]],AF194-TbTradesBinance[[#This Row],[Qtt]]),IF(TbTradesBinance[[#This Row],[Tipo]]="BUY",AF194-TbTradesBinance[[#This Row],[Qtt]]*TbTradesBinance[[#This Row],[Preço]],AF194+TbTradesBinance[[#This Row],[Qtt]]*TbTradesBinance[[#This Row],[Preço]])),AF194)-IF(TbTradesBinance[[#This Row],[Moeda da Taxa]]=MID(AF$1,9,5),TbTradesBinance[[#This Row],[Taxa]],0),8)))</f>
        <v>0</v>
      </c>
      <c r="AG195" s="145" cm="1">
        <f t="array" ref="AG195">IF(TbTradesBinance[[#This Row],[Tipo]]="EMPTY",0,AG194+IF(TbTradesBinance[[#This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Row],[Par]]))),$1:$1,0)),-(AF194-AF195)/AF194*AG194),0),0)+IF(TbTradesBinance[[#This Row],[Tipo]]="SELL",IF(ISNUMBER(FIND(MID(AG$1,10,5),TbTradesBinance[[#This Row],[Par]])),IF(FIND(MID(AG$1,10,5),TbTradesBinance[[#This Row],[Par]])=1, -(AF194-AF195)/AF194*AG194,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Row],[Par]])),(-(AF194-AF195)/AF194*AG194)+IF(TbTradesBinance[[#This Row],[Resultado]]&gt;0,0,TbTradesBinance[[#This Row],[Taxa]]),0),0))</f>
        <v>0</v>
      </c>
      <c r="AH195" s="145">
        <f t="shared" si="64"/>
        <v>0</v>
      </c>
      <c r="AI19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Row],[Tipo]]="DROP"),AI194+TbTradesBinance[[#This Row],[Qtt]],AI194-TbTradesBinance[[#This Row],[Qtt]]),IF(TbTradesBinance[[#This Row],[Tipo]]="BUY",AI194-TbTradesBinance[[#This Row],[Qtt]]*TbTradesBinance[[#This Row],[Preço]],AI194+TbTradesBinance[[#This Row],[Qtt]]*TbTradesBinance[[#This Row],[Preço]])),AI194)-IF(TbTradesBinance[[#This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Row],[Tipo]]="DROP"),AI194+TbTradesBinance[[#This Row],[Qtt]],AI194-TbTradesBinance[[#This Row],[Qtt]]),IF(TbTradesBinance[[#This Row],[Tipo]]="BUY",AI194-TbTradesBinance[[#This Row],[Qtt]]*TbTradesBinance[[#This Row],[Preço]],AI194+TbTradesBinance[[#This Row],[Qtt]]*TbTradesBinance[[#This Row],[Preço]])),AI194)-IF(TbTradesBinance[[#This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Row],[Tipo]]="DROP"),AI194+TbTradesBinance[[#This Row],[Qtt]],AI194-TbTradesBinance[[#This Row],[Qtt]]),IF(TbTradesBinance[[#This Row],[Tipo]]="BUY",AI194-TbTradesBinance[[#This Row],[Qtt]]*TbTradesBinance[[#This Row],[Preço]],AI194+TbTradesBinance[[#This Row],[Qtt]]*TbTradesBinance[[#This Row],[Preço]])),AI194)-IF(TbTradesBinance[[#This Row],[Moeda da Taxa]]=MID(AI$1,9,5),TbTradesBinance[[#This Row],[Taxa]],0),8)))</f>
        <v>0</v>
      </c>
      <c r="AJ195" s="145" cm="1">
        <f t="array" ref="AJ195">IF(TbTradesBinance[[#This Row],[Tipo]]="EMPTY",0,AJ194+IF(TbTradesBinance[[#This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Row],[Par]]))),$1:$1,0)),-(AI194-AI195)/AI194*AJ194),0),0)+IF(TbTradesBinance[[#This Row],[Tipo]]="SELL",IF(ISNUMBER(FIND(MID(AJ$1,10,5),TbTradesBinance[[#This Row],[Par]])),IF(FIND(MID(AJ$1,10,5),TbTradesBinance[[#This Row],[Par]])=1, -(AI194-AI195)/AI194*AJ194,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Row],[Par]])),(-(AI194-AI195)/AI194*AJ194)+IF(TbTradesBinance[[#This Row],[Resultado]]&gt;0,0,TbTradesBinance[[#This Row],[Taxa]]),0),0))</f>
        <v>0</v>
      </c>
      <c r="AK195" s="145">
        <f t="shared" si="65"/>
        <v>0</v>
      </c>
      <c r="AL19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Row],[Tipo]]="DROP"),AL194+TbTradesBinance[[#This Row],[Qtt]],AL194-TbTradesBinance[[#This Row],[Qtt]]),IF(TbTradesBinance[[#This Row],[Tipo]]="BUY",AL194-TbTradesBinance[[#This Row],[Qtt]]*TbTradesBinance[[#This Row],[Preço]],AL194+TbTradesBinance[[#This Row],[Qtt]]*TbTradesBinance[[#This Row],[Preço]])),AL194)-IF(TbTradesBinance[[#This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Row],[Tipo]]="DROP"),AL194+TbTradesBinance[[#This Row],[Qtt]],AL194-TbTradesBinance[[#This Row],[Qtt]]),IF(TbTradesBinance[[#This Row],[Tipo]]="BUY",AL194-TbTradesBinance[[#This Row],[Qtt]]*TbTradesBinance[[#This Row],[Preço]],AL194+TbTradesBinance[[#This Row],[Qtt]]*TbTradesBinance[[#This Row],[Preço]])),AL194)-IF(TbTradesBinance[[#This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Row],[Tipo]]="DROP"),AL194+TbTradesBinance[[#This Row],[Qtt]],AL194-TbTradesBinance[[#This Row],[Qtt]]),IF(TbTradesBinance[[#This Row],[Tipo]]="BUY",AL194-TbTradesBinance[[#This Row],[Qtt]]*TbTradesBinance[[#This Row],[Preço]],AL194+TbTradesBinance[[#This Row],[Qtt]]*TbTradesBinance[[#This Row],[Preço]])),AL194)-IF(TbTradesBinance[[#This Row],[Moeda da Taxa]]=MID(AL$1,9,5),TbTradesBinance[[#This Row],[Taxa]],0),8)))</f>
        <v>0</v>
      </c>
      <c r="AM195" s="145" cm="1">
        <f t="array" ref="AM195">IF(TbTradesBinance[[#This Row],[Tipo]]="EMPTY",0,AM194+IF(TbTradesBinance[[#This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Row],[Par]]))),$1:$1,0)),-(AL194-AL195)/AL194*AM194),0),0)+IF(TbTradesBinance[[#This Row],[Tipo]]="SELL",IF(ISNUMBER(FIND(MID(AM$1,10,5),TbTradesBinance[[#This Row],[Par]])),IF(FIND(MID(AM$1,10,5),TbTradesBinance[[#This Row],[Par]])=1, -(AL194-AL195)/AL194*AM194,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Row],[Par]])),(-(AL194-AL195)/AL194*AM194)+IF(TbTradesBinance[[#This Row],[Resultado]]&gt;0,0,TbTradesBinance[[#This Row],[Taxa]]),0),0))</f>
        <v>0</v>
      </c>
      <c r="AN195" s="145">
        <f t="shared" si="66"/>
        <v>0</v>
      </c>
      <c r="AO19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Row],[Tipo]]="DROP"),AO194+TbTradesBinance[[#This Row],[Qtt]],AO194-TbTradesBinance[[#This Row],[Qtt]]),IF(TbTradesBinance[[#This Row],[Tipo]]="BUY",AO194-TbTradesBinance[[#This Row],[Qtt]]*TbTradesBinance[[#This Row],[Preço]],AO194+TbTradesBinance[[#This Row],[Qtt]]*TbTradesBinance[[#This Row],[Preço]])),AO194)-IF(TbTradesBinance[[#This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Row],[Tipo]]="DROP"),AO194+TbTradesBinance[[#This Row],[Qtt]],AO194-TbTradesBinance[[#This Row],[Qtt]]),IF(TbTradesBinance[[#This Row],[Tipo]]="BUY",AO194-TbTradesBinance[[#This Row],[Qtt]]*TbTradesBinance[[#This Row],[Preço]],AO194+TbTradesBinance[[#This Row],[Qtt]]*TbTradesBinance[[#This Row],[Preço]])),AO194)-IF(TbTradesBinance[[#This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Row],[Tipo]]="DROP"),AO194+TbTradesBinance[[#This Row],[Qtt]],AO194-TbTradesBinance[[#This Row],[Qtt]]),IF(TbTradesBinance[[#This Row],[Tipo]]="BUY",AO194-TbTradesBinance[[#This Row],[Qtt]]*TbTradesBinance[[#This Row],[Preço]],AO194+TbTradesBinance[[#This Row],[Qtt]]*TbTradesBinance[[#This Row],[Preço]])),AO194)-IF(TbTradesBinance[[#This Row],[Moeda da Taxa]]=MID(AO$1,9,5),TbTradesBinance[[#This Row],[Taxa]],0),8)))</f>
        <v>3.8362390000000003E-2</v>
      </c>
      <c r="AP195" s="145" cm="1">
        <f t="array" ref="AP195">IF(TbTradesBinance[[#This Row],[Tipo]]="EMPTY",0,AP194+IF(TbTradesBinance[[#This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Row],[Par]]))),$1:$1,0)),-(AO194-AO195)/AO194*AP194),0),0)+IF(TbTradesBinance[[#This Row],[Tipo]]="SELL",IF(ISNUMBER(FIND(MID(AP$1,10,5),TbTradesBinance[[#This Row],[Par]])),IF(FIND(MID(AP$1,10,5),TbTradesBinance[[#This Row],[Par]])=1, -(AO194-AO195)/AO194*AP194,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Row],[Par]])),(-(AO194-AO195)/AO194*AP194)+IF(TbTradesBinance[[#This Row],[Resultado]]&gt;0,0,TbTradesBinance[[#This Row],[Taxa]]),0),0))</f>
        <v>60.349858055862811</v>
      </c>
      <c r="AQ195" s="145">
        <f t="shared" si="67"/>
        <v>1573.1516742273566</v>
      </c>
      <c r="AR19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Row],[Tipo]]="DROP"),AR194+TbTradesBinance[[#This Row],[Qtt]],AR194-TbTradesBinance[[#This Row],[Qtt]]),IF(TbTradesBinance[[#This Row],[Tipo]]="BUY",AR194-TbTradesBinance[[#This Row],[Qtt]]*TbTradesBinance[[#This Row],[Preço]],AR194+TbTradesBinance[[#This Row],[Qtt]]*TbTradesBinance[[#This Row],[Preço]])),AR194)-IF(TbTradesBinance[[#This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Row],[Tipo]]="DROP"),AR194+TbTradesBinance[[#This Row],[Qtt]],AR194-TbTradesBinance[[#This Row],[Qtt]]),IF(TbTradesBinance[[#This Row],[Tipo]]="BUY",AR194-TbTradesBinance[[#This Row],[Qtt]]*TbTradesBinance[[#This Row],[Preço]],AR194+TbTradesBinance[[#This Row],[Qtt]]*TbTradesBinance[[#This Row],[Preço]])),AR194)-IF(TbTradesBinance[[#This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Row],[Tipo]]="DROP"),AR194+TbTradesBinance[[#This Row],[Qtt]],AR194-TbTradesBinance[[#This Row],[Qtt]]),IF(TbTradesBinance[[#This Row],[Tipo]]="BUY",AR194-TbTradesBinance[[#This Row],[Qtt]]*TbTradesBinance[[#This Row],[Preço]],AR194+TbTradesBinance[[#This Row],[Qtt]]*TbTradesBinance[[#This Row],[Preço]])),AR194)-IF(TbTradesBinance[[#This Row],[Moeda da Taxa]]=MID(AR$1,9,5),TbTradesBinance[[#This Row],[Taxa]],0),8)))</f>
        <v>0</v>
      </c>
      <c r="AS195" s="145" cm="1">
        <f t="array" ref="AS195">IF(TbTradesBinance[[#This Row],[Tipo]]="EMPTY",0,AS194+IF(TbTradesBinance[[#This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Row],[Par]]))),$1:$1,0)),-(AR194-AR195)/AR194*AS194),0),0)+IF(TbTradesBinance[[#This Row],[Tipo]]="SELL",IF(ISNUMBER(FIND(MID(AS$1,10,5),TbTradesBinance[[#This Row],[Par]])),IF(FIND(MID(AS$1,10,5),TbTradesBinance[[#This Row],[Par]])=1, -(AR194-AR195)/AR194*AS194,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Row],[Par]])),(-(AR194-AR195)/AR194*AS194)+IF(TbTradesBinance[[#This Row],[Resultado]]&gt;0,0,TbTradesBinance[[#This Row],[Taxa]]),0),0))</f>
        <v>0</v>
      </c>
      <c r="AT195" s="145">
        <f t="shared" si="68"/>
        <v>0</v>
      </c>
      <c r="AU19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Row],[Tipo]]="DROP"),AU194+TbTradesBinance[[#This Row],[Qtt]],AU194-TbTradesBinance[[#This Row],[Qtt]]),IF(TbTradesBinance[[#This Row],[Tipo]]="BUY",AU194-TbTradesBinance[[#This Row],[Qtt]]*TbTradesBinance[[#This Row],[Preço]],AU194+TbTradesBinance[[#This Row],[Qtt]]*TbTradesBinance[[#This Row],[Preço]])),AU194)-IF(TbTradesBinance[[#This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Row],[Tipo]]="DROP"),AU194+TbTradesBinance[[#This Row],[Qtt]],AU194-TbTradesBinance[[#This Row],[Qtt]]),IF(TbTradesBinance[[#This Row],[Tipo]]="BUY",AU194-TbTradesBinance[[#This Row],[Qtt]]*TbTradesBinance[[#This Row],[Preço]],AU194+TbTradesBinance[[#This Row],[Qtt]]*TbTradesBinance[[#This Row],[Preço]])),AU194)-IF(TbTradesBinance[[#This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Row],[Tipo]]="DROP"),AU194+TbTradesBinance[[#This Row],[Qtt]],AU194-TbTradesBinance[[#This Row],[Qtt]]),IF(TbTradesBinance[[#This Row],[Tipo]]="BUY",AU194-TbTradesBinance[[#This Row],[Qtt]]*TbTradesBinance[[#This Row],[Preço]],AU194+TbTradesBinance[[#This Row],[Qtt]]*TbTradesBinance[[#This Row],[Preço]])),AU194)-IF(TbTradesBinance[[#This Row],[Moeda da Taxa]]=MID(AU$1,9,5),TbTradesBinance[[#This Row],[Taxa]],0),8)))</f>
        <v>0.51</v>
      </c>
      <c r="AV195" s="145" cm="1">
        <f t="array" ref="AV195">IF(TbTradesBinance[[#This Row],[Tipo]]="EMPTY",0,AV194+IF(TbTradesBinance[[#This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Row],[Par]]))),$1:$1,0)),-(AU194-AU195)/AU194*AV194),0),0)+IF(TbTradesBinance[[#This Row],[Tipo]]="SELL",IF(ISNUMBER(FIND(MID(AV$1,10,5),TbTradesBinance[[#This Row],[Par]])),IF(FIND(MID(AV$1,10,5),TbTradesBinance[[#This Row],[Par]])=1, -(AU194-AU195)/AU194*AV194,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Row],[Par]])),(-(AU194-AU195)/AU194*AV194)+IF(TbTradesBinance[[#This Row],[Resultado]]&gt;0,0,TbTradesBinance[[#This Row],[Taxa]]),0),0))</f>
        <v>95.466693037374753</v>
      </c>
      <c r="AW195" s="145">
        <f t="shared" si="69"/>
        <v>187.18959419093088</v>
      </c>
      <c r="AX19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Row],[Tipo]]="DROP"),AX194+TbTradesBinance[[#This Row],[Qtt]],AX194-TbTradesBinance[[#This Row],[Qtt]]),IF(TbTradesBinance[[#This Row],[Tipo]]="BUY",AX194-TbTradesBinance[[#This Row],[Qtt]]*TbTradesBinance[[#This Row],[Preço]],AX194+TbTradesBinance[[#This Row],[Qtt]]*TbTradesBinance[[#This Row],[Preço]])),AX194)-IF(TbTradesBinance[[#This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Row],[Tipo]]="DROP"),AX194+TbTradesBinance[[#This Row],[Qtt]],AX194-TbTradesBinance[[#This Row],[Qtt]]),IF(TbTradesBinance[[#This Row],[Tipo]]="BUY",AX194-TbTradesBinance[[#This Row],[Qtt]]*TbTradesBinance[[#This Row],[Preço]],AX194+TbTradesBinance[[#This Row],[Qtt]]*TbTradesBinance[[#This Row],[Preço]])),AX194)-IF(TbTradesBinance[[#This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Row],[Tipo]]="DROP"),AX194+TbTradesBinance[[#This Row],[Qtt]],AX194-TbTradesBinance[[#This Row],[Qtt]]),IF(TbTradesBinance[[#This Row],[Tipo]]="BUY",AX194-TbTradesBinance[[#This Row],[Qtt]]*TbTradesBinance[[#This Row],[Preço]],AX194+TbTradesBinance[[#This Row],[Qtt]]*TbTradesBinance[[#This Row],[Preço]])),AX194)-IF(TbTradesBinance[[#This Row],[Moeda da Taxa]]=MID(AX$1,9,5),TbTradesBinance[[#This Row],[Taxa]],0),8)))</f>
        <v>0.32838000000000001</v>
      </c>
      <c r="AY195" s="145" cm="1">
        <f t="array" ref="AY195">IF(TbTradesBinance[[#This Row],[Tipo]]="EMPTY",0,AY194+IF(TbTradesBinance[[#This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Row],[Par]]))),$1:$1,0)),-(AX194-AX195)/AX194*AY194),0),0)+IF(TbTradesBinance[[#This Row],[Tipo]]="SELL",IF(ISNUMBER(FIND(MID(AY$1,10,5),TbTradesBinance[[#This Row],[Par]])),IF(FIND(MID(AY$1,10,5),TbTradesBinance[[#This Row],[Par]])=1, -(AX194-AX195)/AX194*AY194,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Row],[Par]])),(-(AX194-AX195)/AX194*AY194)+IF(TbTradesBinance[[#This Row],[Resultado]]&gt;0,0,TbTradesBinance[[#This Row],[Taxa]]),0),0))</f>
        <v>61.364116058805678</v>
      </c>
      <c r="AZ195" s="145">
        <f t="shared" si="70"/>
        <v>186.869224857804</v>
      </c>
      <c r="BA19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Row],[Tipo]]="DROP"),BA194+TbTradesBinance[[#This Row],[Qtt]],BA194-TbTradesBinance[[#This Row],[Qtt]]),IF(TbTradesBinance[[#This Row],[Tipo]]="BUY",BA194-TbTradesBinance[[#This Row],[Qtt]]*TbTradesBinance[[#This Row],[Preço]],BA194+TbTradesBinance[[#This Row],[Qtt]]*TbTradesBinance[[#This Row],[Preço]])),BA194)-IF(TbTradesBinance[[#This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Row],[Tipo]]="DROP"),BA194+TbTradesBinance[[#This Row],[Qtt]],BA194-TbTradesBinance[[#This Row],[Qtt]]),IF(TbTradesBinance[[#This Row],[Tipo]]="BUY",BA194-TbTradesBinance[[#This Row],[Qtt]]*TbTradesBinance[[#This Row],[Preço]],BA194+TbTradesBinance[[#This Row],[Qtt]]*TbTradesBinance[[#This Row],[Preço]])),BA194)-IF(TbTradesBinance[[#This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Row],[Tipo]]="DROP"),BA194+TbTradesBinance[[#This Row],[Qtt]],BA194-TbTradesBinance[[#This Row],[Qtt]]),IF(TbTradesBinance[[#This Row],[Tipo]]="BUY",BA194-TbTradesBinance[[#This Row],[Qtt]]*TbTradesBinance[[#This Row],[Preço]],BA194+TbTradesBinance[[#This Row],[Qtt]]*TbTradesBinance[[#This Row],[Preço]])),BA194)-IF(TbTradesBinance[[#This Row],[Moeda da Taxa]]=MID(BA$1,9,5),TbTradesBinance[[#This Row],[Taxa]],0),8)))</f>
        <v>0</v>
      </c>
      <c r="BB195" s="145" cm="1">
        <f t="array" ref="BB195">IF(TbTradesBinance[[#This Row],[Tipo]]="EMPTY",0,BB194+IF(TbTradesBinance[[#This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Row],[Par]]))),$1:$1,0)),-(BA194-BA195)/BA194*BB194),0),0)+IF(TbTradesBinance[[#This Row],[Tipo]]="SELL",IF(ISNUMBER(FIND(MID(BB$1,10,5),TbTradesBinance[[#This Row],[Par]])),IF(FIND(MID(BB$1,10,5),TbTradesBinance[[#This Row],[Par]])=1, -(BA194-BA195)/BA194*BB194,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Row],[Par]])),(-(BA194-BA195)/BA194*BB194)+IF(TbTradesBinance[[#This Row],[Resultado]]&gt;0,0,TbTradesBinance[[#This Row],[Taxa]]),0),0))</f>
        <v>0</v>
      </c>
      <c r="BC195" s="145">
        <f t="shared" si="71"/>
        <v>0</v>
      </c>
      <c r="BD19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Row],[Tipo]]="DROP"),BD194+TbTradesBinance[[#This Row],[Qtt]],BD194-TbTradesBinance[[#This Row],[Qtt]]),IF(TbTradesBinance[[#This Row],[Tipo]]="BUY",BD194-TbTradesBinance[[#This Row],[Qtt]]*TbTradesBinance[[#This Row],[Preço]],BD194+TbTradesBinance[[#This Row],[Qtt]]*TbTradesBinance[[#This Row],[Preço]])),BD194)-IF(TbTradesBinance[[#This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Row],[Tipo]]="DROP"),BD194+TbTradesBinance[[#This Row],[Qtt]],BD194-TbTradesBinance[[#This Row],[Qtt]]),IF(TbTradesBinance[[#This Row],[Tipo]]="BUY",BD194-TbTradesBinance[[#This Row],[Qtt]]*TbTradesBinance[[#This Row],[Preço]],BD194+TbTradesBinance[[#This Row],[Qtt]]*TbTradesBinance[[#This Row],[Preço]])),BD194)-IF(TbTradesBinance[[#This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Row],[Tipo]]="DROP"),BD194+TbTradesBinance[[#This Row],[Qtt]],BD194-TbTradesBinance[[#This Row],[Qtt]]),IF(TbTradesBinance[[#This Row],[Tipo]]="BUY",BD194-TbTradesBinance[[#This Row],[Qtt]]*TbTradesBinance[[#This Row],[Preço]],BD194+TbTradesBinance[[#This Row],[Qtt]]*TbTradesBinance[[#This Row],[Preço]])),BD194)-IF(TbTradesBinance[[#This Row],[Moeda da Taxa]]=MID(BD$1,9,5),TbTradesBinance[[#This Row],[Taxa]],0),8)))</f>
        <v>0</v>
      </c>
      <c r="BE195" s="145" cm="1">
        <f t="array" ref="BE195">IF(TbTradesBinance[[#This Row],[Tipo]]="EMPTY",0,BE194+IF(TbTradesBinance[[#This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Row],[Par]]))),$1:$1,0)),-(BD194-BD195)/BD194*BE194),0),0)+IF(TbTradesBinance[[#This Row],[Tipo]]="SELL",IF(ISNUMBER(FIND(MID(BE$1,10,5),TbTradesBinance[[#This Row],[Par]])),IF(FIND(MID(BE$1,10,5),TbTradesBinance[[#This Row],[Par]])=1, -(BD194-BD195)/BD194*BE194,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Row],[Par]])),(-(BD194-BD195)/BD194*BE194)+IF(TbTradesBinance[[#This Row],[Resultado]]&gt;0,0,TbTradesBinance[[#This Row],[Taxa]]),0),0))</f>
        <v>0</v>
      </c>
      <c r="BF195" s="145">
        <f t="shared" si="72"/>
        <v>0</v>
      </c>
      <c r="BG19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Row],[Tipo]]="DROP"),BG194+TbTradesBinance[[#This Row],[Qtt]],BG194-TbTradesBinance[[#This Row],[Qtt]]),IF(TbTradesBinance[[#This Row],[Tipo]]="BUY",BG194-TbTradesBinance[[#This Row],[Qtt]]*TbTradesBinance[[#This Row],[Preço]],BG194+TbTradesBinance[[#This Row],[Qtt]]*TbTradesBinance[[#This Row],[Preço]])),BG194)-IF(TbTradesBinance[[#This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Row],[Tipo]]="DROP"),BG194+TbTradesBinance[[#This Row],[Qtt]],BG194-TbTradesBinance[[#This Row],[Qtt]]),IF(TbTradesBinance[[#This Row],[Tipo]]="BUY",BG194-TbTradesBinance[[#This Row],[Qtt]]*TbTradesBinance[[#This Row],[Preço]],BG194+TbTradesBinance[[#This Row],[Qtt]]*TbTradesBinance[[#This Row],[Preço]])),BG194)-IF(TbTradesBinance[[#This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Row],[Tipo]]="DROP"),BG194+TbTradesBinance[[#This Row],[Qtt]],BG194-TbTradesBinance[[#This Row],[Qtt]]),IF(TbTradesBinance[[#This Row],[Tipo]]="BUY",BG194-TbTradesBinance[[#This Row],[Qtt]]*TbTradesBinance[[#This Row],[Preço]],BG194+TbTradesBinance[[#This Row],[Qtt]]*TbTradesBinance[[#This Row],[Preço]])),BG194)-IF(TbTradesBinance[[#This Row],[Moeda da Taxa]]=MID(BG$1,9,5),TbTradesBinance[[#This Row],[Taxa]],0),8)))</f>
        <v>0</v>
      </c>
      <c r="BH195" s="145" cm="1">
        <f t="array" ref="BH195">IF(TbTradesBinance[[#This Row],[Tipo]]="EMPTY",0,BH194+IF(TbTradesBinance[[#This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Row],[Par]]))),$1:$1,0)),-(BG194-BG195)/BG194*BH194),0),0)+IF(TbTradesBinance[[#This Row],[Tipo]]="SELL",IF(ISNUMBER(FIND(MID(BH$1,10,5),TbTradesBinance[[#This Row],[Par]])),IF(FIND(MID(BH$1,10,5),TbTradesBinance[[#This Row],[Par]])=1, -(BG194-BG195)/BG194*BH194,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Row],[Par]])),(-(BG194-BG195)/BG194*BH194)+IF(TbTradesBinance[[#This Row],[Resultado]]&gt;0,0,TbTradesBinance[[#This Row],[Taxa]]),0),0))</f>
        <v>0</v>
      </c>
      <c r="BI195" s="145">
        <f t="shared" si="73"/>
        <v>0</v>
      </c>
      <c r="BJ19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Row],[Tipo]]="DROP"),BJ194+TbTradesBinance[[#This Row],[Qtt]],BJ194-TbTradesBinance[[#This Row],[Qtt]]),IF(TbTradesBinance[[#This Row],[Tipo]]="BUY",BJ194-TbTradesBinance[[#This Row],[Qtt]]*TbTradesBinance[[#This Row],[Preço]],BJ194+TbTradesBinance[[#This Row],[Qtt]]*TbTradesBinance[[#This Row],[Preço]])),BJ194)-IF(TbTradesBinance[[#This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Row],[Tipo]]="DROP"),BJ194+TbTradesBinance[[#This Row],[Qtt]],BJ194-TbTradesBinance[[#This Row],[Qtt]]),IF(TbTradesBinance[[#This Row],[Tipo]]="BUY",BJ194-TbTradesBinance[[#This Row],[Qtt]]*TbTradesBinance[[#This Row],[Preço]],BJ194+TbTradesBinance[[#This Row],[Qtt]]*TbTradesBinance[[#This Row],[Preço]])),BJ194)-IF(TbTradesBinance[[#This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Row],[Tipo]]="DROP"),BJ194+TbTradesBinance[[#This Row],[Qtt]],BJ194-TbTradesBinance[[#This Row],[Qtt]]),IF(TbTradesBinance[[#This Row],[Tipo]]="BUY",BJ194-TbTradesBinance[[#This Row],[Qtt]]*TbTradesBinance[[#This Row],[Preço]],BJ194+TbTradesBinance[[#This Row],[Qtt]]*TbTradesBinance[[#This Row],[Preço]])),BJ194)-IF(TbTradesBinance[[#This Row],[Moeda da Taxa]]=MID(BJ$1,9,5),TbTradesBinance[[#This Row],[Taxa]],0),8)))</f>
        <v>0</v>
      </c>
      <c r="BK195" s="145" cm="1">
        <f t="array" ref="BK195">IF(TbTradesBinance[[#This Row],[Tipo]]="EMPTY",0,BK194+IF(TbTradesBinance[[#This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Row],[Par]]))),$1:$1,0)),-(BJ194-BJ195)/BJ194*BK194),0),0)+IF(TbTradesBinance[[#This Row],[Tipo]]="SELL",IF(ISNUMBER(FIND(MID(BK$1,10,5),TbTradesBinance[[#This Row],[Par]])),IF(FIND(MID(BK$1,10,5),TbTradesBinance[[#This Row],[Par]])=1, -(BJ194-BJ195)/BJ194*BK194,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Row],[Par]])),(-(BJ194-BJ195)/BJ194*BK194)+IF(TbTradesBinance[[#This Row],[Resultado]]&gt;0,0,TbTradesBinance[[#This Row],[Taxa]]),0),0))</f>
        <v>0</v>
      </c>
      <c r="BL195" s="145">
        <f t="shared" si="74"/>
        <v>0</v>
      </c>
      <c r="BM19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Row],[Tipo]]="DROP"),BM194+TbTradesBinance[[#This Row],[Qtt]],BM194-TbTradesBinance[[#This Row],[Qtt]]),IF(TbTradesBinance[[#This Row],[Tipo]]="BUY",BM194-TbTradesBinance[[#This Row],[Qtt]]*TbTradesBinance[[#This Row],[Preço]],BM194+TbTradesBinance[[#This Row],[Qtt]]*TbTradesBinance[[#This Row],[Preço]])),BM194)-IF(TbTradesBinance[[#This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Row],[Tipo]]="DROP"),BM194+TbTradesBinance[[#This Row],[Qtt]],BM194-TbTradesBinance[[#This Row],[Qtt]]),IF(TbTradesBinance[[#This Row],[Tipo]]="BUY",BM194-TbTradesBinance[[#This Row],[Qtt]]*TbTradesBinance[[#This Row],[Preço]],BM194+TbTradesBinance[[#This Row],[Qtt]]*TbTradesBinance[[#This Row],[Preço]])),BM194)-IF(TbTradesBinance[[#This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Row],[Tipo]]="DROP"),BM194+TbTradesBinance[[#This Row],[Qtt]],BM194-TbTradesBinance[[#This Row],[Qtt]]),IF(TbTradesBinance[[#This Row],[Tipo]]="BUY",BM194-TbTradesBinance[[#This Row],[Qtt]]*TbTradesBinance[[#This Row],[Preço]],BM194+TbTradesBinance[[#This Row],[Qtt]]*TbTradesBinance[[#This Row],[Preço]])),BM194)-IF(TbTradesBinance[[#This Row],[Moeda da Taxa]]=MID(BM$1,9,5),TbTradesBinance[[#This Row],[Taxa]],0),8)))</f>
        <v>0</v>
      </c>
      <c r="BN195" s="145" cm="1">
        <f t="array" ref="BN195">IF(TbTradesBinance[[#This Row],[Tipo]]="EMPTY",0,BN194+IF(TbTradesBinance[[#This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Row],[Par]]))),$1:$1,0)),-(BM194-BM195)/BM194*BN194),0),0)+IF(TbTradesBinance[[#This Row],[Tipo]]="SELL",IF(ISNUMBER(FIND(MID(BN$1,10,5),TbTradesBinance[[#This Row],[Par]])),IF(FIND(MID(BN$1,10,5),TbTradesBinance[[#This Row],[Par]])=1, -(BM194-BM195)/BM194*BN194,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Row],[Par]])),(-(BM194-BM195)/BM194*BN194)+IF(TbTradesBinance[[#This Row],[Resultado]]&gt;0,0,TbTradesBinance[[#This Row],[Taxa]]),0),0))</f>
        <v>0</v>
      </c>
      <c r="BO195" s="145">
        <f t="shared" si="75"/>
        <v>0</v>
      </c>
    </row>
    <row r="196" spans="2:67" x14ac:dyDescent="0.3">
      <c r="B196" s="51"/>
      <c r="C196" s="40">
        <f>TRUNC(IF(AND(TbTradesBinance[[#This Row],[Tipo]]="SEND",TbTradesBinance[[#This Row],[Par]]="BRL"),TbTradesBinance[[#This Row],[Qtt]]*(1-P194)-IF(TbTradesBinance[[#This Row],[Moeda da Taxa]]="BRL",TbTradesBinance[[#This Row],[Taxa]],0),0)+IF(AND(TbTradesBinance[[#This Row],[Tipo]]="BURN",TbTradesBinance[[#This Row],[Par]]="BRL"),-TbTradesBinance[[#This Row],[Qtt]]*P194,0),2)</f>
        <v>0</v>
      </c>
      <c r="D196" s="53">
        <v>44357.418946759259</v>
      </c>
      <c r="E196" s="37" t="s">
        <v>138</v>
      </c>
      <c r="F196" s="47" t="s">
        <v>140</v>
      </c>
      <c r="G196" s="38">
        <v>194000</v>
      </c>
      <c r="H196" s="38">
        <v>5.0699999999999996E-4</v>
      </c>
      <c r="I196" s="38">
        <v>9.8358000000000001E-2</v>
      </c>
      <c r="J196" s="37" t="s">
        <v>50</v>
      </c>
      <c r="K196" s="52">
        <v>1</v>
      </c>
      <c r="L196" s="40">
        <f t="shared" si="57"/>
        <v>194000</v>
      </c>
      <c r="M196" s="40">
        <f>IF(OR(TbTradesBinance[[#This Row],[Tipo]]="BUY",TbTradesBinance[[#This Row],[Tipo]]="RECEIVE",TbTradesBinance[[#This Row],[Tipo]]="DROP"),L196*H196,-L196*H196)</f>
        <v>-98.35799999999999</v>
      </c>
      <c r="N19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Row],[Tipo]]="DROP"),N195+TbTradesBinance[[#This Row],[Qtt]],N195-TbTradesBinance[[#This Row],[Qtt]]),IF(TbTradesBinance[[#This Row],[Tipo]]="BUY",N195-TbTradesBinance[[#This Row],[Qtt]]*TbTradesBinance[[#This Row],[Preço]],N195+TbTradesBinance[[#This Row],[Qtt]]*TbTradesBinance[[#This Row],[Preço]])),N195)-IF(TbTradesBinance[[#This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Row],[Tipo]]="DROP"),N195+TbTradesBinance[[#This Row],[Qtt]],N195-TbTradesBinance[[#This Row],[Qtt]]),IF(TbTradesBinance[[#This Row],[Tipo]]="BUY",N195-TbTradesBinance[[#This Row],[Qtt]]*TbTradesBinance[[#This Row],[Preço]],N195+TbTradesBinance[[#This Row],[Qtt]]*TbTradesBinance[[#This Row],[Preço]])),N195)-IF(TbTradesBinance[[#This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Row],[Tipo]]="DROP"),N195+TbTradesBinance[[#This Row],[Qtt]],N195-TbTradesBinance[[#This Row],[Qtt]]),IF(TbTradesBinance[[#This Row],[Tipo]]="BUY",N195-TbTradesBinance[[#This Row],[Qtt]]*TbTradesBinance[[#This Row],[Preço]],N195+TbTradesBinance[[#This Row],[Qtt]]*TbTradesBinance[[#This Row],[Preço]])),N195)-IF(TbTradesBinance[[#This Row],[Moeda da Taxa]]=MID(N$1,9,5),TbTradesBinance[[#This Row],[Taxa]],0),8)))</f>
        <v>122989.38238681</v>
      </c>
      <c r="O196" s="145" cm="1">
        <f t="array" ref="O196">IF(TbTradesBinance[[#This Row],[Tipo]]="EMPTY",0,O195+IF(TbTradesBinance[[#This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Row],[Par]]))),$1:$1,0)),-(N195-N196)/N195*O195),0),0)+IF(TbTradesBinance[[#This Row],[Tipo]]="SELL",IF(ISNUMBER(FIND(MID(O$1,10,5),TbTradesBinance[[#This Row],[Par]])),IF(FIND(MID(O$1,10,5),TbTradesBinance[[#This Row],[Par]])=1, -(N195-N196)/N195*O195,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Row],[Par]])),(-(N195-N196)/N195*O195)+IF(TbTradesBinance[[#This Row],[Resultado]]&gt;0,0,TbTradesBinance[[#This Row],[Taxa]]),0),0))</f>
        <v>123666.79734646395</v>
      </c>
      <c r="P196" s="145">
        <f t="shared" si="58"/>
        <v>1.0055079141508609</v>
      </c>
      <c r="Q19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Row],[Tipo]]="DROP"),Q195+TbTradesBinance[[#This Row],[Qtt]],Q195-TbTradesBinance[[#This Row],[Qtt]]),IF(TbTradesBinance[[#This Row],[Tipo]]="BUY",Q195-TbTradesBinance[[#This Row],[Qtt]]*TbTradesBinance[[#This Row],[Preço]],Q195+TbTradesBinance[[#This Row],[Qtt]]*TbTradesBinance[[#This Row],[Preço]])),Q195)-IF(TbTradesBinance[[#This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Row],[Tipo]]="DROP"),Q195+TbTradesBinance[[#This Row],[Qtt]],Q195-TbTradesBinance[[#This Row],[Qtt]]),IF(TbTradesBinance[[#This Row],[Tipo]]="BUY",Q195-TbTradesBinance[[#This Row],[Qtt]]*TbTradesBinance[[#This Row],[Preço]],Q195+TbTradesBinance[[#This Row],[Qtt]]*TbTradesBinance[[#This Row],[Preço]])),Q195)-IF(TbTradesBinance[[#This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Row],[Tipo]]="DROP"),Q195+TbTradesBinance[[#This Row],[Qtt]],Q195-TbTradesBinance[[#This Row],[Qtt]]),IF(TbTradesBinance[[#This Row],[Tipo]]="BUY",Q195-TbTradesBinance[[#This Row],[Qtt]]*TbTradesBinance[[#This Row],[Preço]],Q195+TbTradesBinance[[#This Row],[Qtt]]*TbTradesBinance[[#This Row],[Preço]])),Q195)-IF(TbTradesBinance[[#This Row],[Moeda da Taxa]]=MID(Q$1,9,5),TbTradesBinance[[#This Row],[Taxa]],0),8)))</f>
        <v>251.16681086</v>
      </c>
      <c r="R196" s="145" cm="1">
        <f t="array" ref="R196">IF(TbTradesBinance[[#This Row],[Tipo]]="EMPTY",0,R195+IF(TbTradesBinance[[#This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Row],[Par]]))),$1:$1,0)),-(Q195-Q196)/Q195*R195),0),0)+IF(TbTradesBinance[[#This Row],[Tipo]]="SELL",IF(ISNUMBER(FIND(MID(R$1,10,5),TbTradesBinance[[#This Row],[Par]])),IF(FIND(MID(R$1,10,5),TbTradesBinance[[#This Row],[Par]])=1, -(Q195-Q196)/Q195*R195,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Row],[Par]])),(-(Q195-Q196)/Q195*R195)+IF(TbTradesBinance[[#This Row],[Resultado]]&gt;0,0,TbTradesBinance[[#This Row],[Taxa]]),0),0))</f>
        <v>1281.4091008175781</v>
      </c>
      <c r="S196" s="145">
        <f t="shared" si="59"/>
        <v>5.1018249442671531</v>
      </c>
      <c r="T19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Row],[Tipo]]="DROP"),T195+TbTradesBinance[[#This Row],[Qtt]],T195-TbTradesBinance[[#This Row],[Qtt]]),IF(TbTradesBinance[[#This Row],[Tipo]]="BUY",T195-TbTradesBinance[[#This Row],[Qtt]]*TbTradesBinance[[#This Row],[Preço]],T195+TbTradesBinance[[#This Row],[Qtt]]*TbTradesBinance[[#This Row],[Preço]])),T195)-IF(TbTradesBinance[[#This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Row],[Tipo]]="DROP"),T195+TbTradesBinance[[#This Row],[Qtt]],T195-TbTradesBinance[[#This Row],[Qtt]]),IF(TbTradesBinance[[#This Row],[Tipo]]="BUY",T195-TbTradesBinance[[#This Row],[Qtt]]*TbTradesBinance[[#This Row],[Preço]],T195+TbTradesBinance[[#This Row],[Qtt]]*TbTradesBinance[[#This Row],[Preço]])),T195)-IF(TbTradesBinance[[#This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Row],[Tipo]]="DROP"),T195+TbTradesBinance[[#This Row],[Qtt]],T195-TbTradesBinance[[#This Row],[Qtt]]),IF(TbTradesBinance[[#This Row],[Tipo]]="BUY",T195-TbTradesBinance[[#This Row],[Qtt]]*TbTradesBinance[[#This Row],[Preço]],T195+TbTradesBinance[[#This Row],[Qtt]]*TbTradesBinance[[#This Row],[Preço]])),T195)-IF(TbTradesBinance[[#This Row],[Moeda da Taxa]]=MID(T$1,9,5),TbTradesBinance[[#This Row],[Taxa]],0),8)))</f>
        <v>101223913.720009</v>
      </c>
      <c r="U196" s="145" cm="1">
        <f t="array" ref="U196">IF(TbTradesBinance[[#This Row],[Tipo]]="EMPTY",0,U195+IF(TbTradesBinance[[#This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Row],[Par]]))),$1:$1,0)),-(T195-T196)/T195*U195),0),0)+IF(TbTradesBinance[[#This Row],[Tipo]]="SELL",IF(ISNUMBER(FIND(MID(U$1,10,5),TbTradesBinance[[#This Row],[Par]])),IF(FIND(MID(U$1,10,5),TbTradesBinance[[#This Row],[Par]])=1, -(T195-T196)/T195*U195,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Row],[Par]])),(-(T195-T196)/T195*U195)+IF(TbTradesBinance[[#This Row],[Resultado]]&gt;0,0,TbTradesBinance[[#This Row],[Taxa]]),0),0))</f>
        <v>617586601.27364206</v>
      </c>
      <c r="V196" s="145">
        <f t="shared" si="60"/>
        <v>6.1011926784605572</v>
      </c>
      <c r="W19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Row],[Tipo]]="DROP"),W195+TbTradesBinance[[#This Row],[Qtt]],W195-TbTradesBinance[[#This Row],[Qtt]]),IF(TbTradesBinance[[#This Row],[Tipo]]="BUY",W195-TbTradesBinance[[#This Row],[Qtt]]*TbTradesBinance[[#This Row],[Preço]],W195+TbTradesBinance[[#This Row],[Qtt]]*TbTradesBinance[[#This Row],[Preço]])),W195)-IF(TbTradesBinance[[#This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Row],[Tipo]]="DROP"),W195+TbTradesBinance[[#This Row],[Qtt]],W195-TbTradesBinance[[#This Row],[Qtt]]),IF(TbTradesBinance[[#This Row],[Tipo]]="BUY",W195-TbTradesBinance[[#This Row],[Qtt]]*TbTradesBinance[[#This Row],[Preço]],W195+TbTradesBinance[[#This Row],[Qtt]]*TbTradesBinance[[#This Row],[Preço]])),W195)-IF(TbTradesBinance[[#This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Row],[Tipo]]="DROP"),W195+TbTradesBinance[[#This Row],[Qtt]],W195-TbTradesBinance[[#This Row],[Qtt]]),IF(TbTradesBinance[[#This Row],[Tipo]]="BUY",W195-TbTradesBinance[[#This Row],[Qtt]]*TbTradesBinance[[#This Row],[Preço]],W195+TbTradesBinance[[#This Row],[Qtt]]*TbTradesBinance[[#This Row],[Preço]])),W195)-IF(TbTradesBinance[[#This Row],[Moeda da Taxa]]=MID(W$1,9,5),TbTradesBinance[[#This Row],[Taxa]],0),8)))</f>
        <v>4.9198999999999998E-4</v>
      </c>
      <c r="X196" s="145" cm="1">
        <f t="array" ref="X196">IF(TbTradesBinance[[#This Row],[Tipo]]="EMPTY",0,X195+IF(TbTradesBinance[[#This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Row],[Par]]))),$1:$1,0)),-(W195-W196)/W195*X195),0),0)+IF(TbTradesBinance[[#This Row],[Tipo]]="SELL",IF(ISNUMBER(FIND(MID(X$1,10,5),TbTradesBinance[[#This Row],[Par]])),IF(FIND(MID(X$1,10,5),TbTradesBinance[[#This Row],[Par]])=1, -(W195-W196)/W195*X195,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Row],[Par]])),(-(W195-W196)/W195*X195)+IF(TbTradesBinance[[#This Row],[Resultado]]&gt;0,0,TbTradesBinance[[#This Row],[Taxa]]),0),0))</f>
        <v>93.030487359755526</v>
      </c>
      <c r="Y196" s="145">
        <f t="shared" si="61"/>
        <v>189090.1997190096</v>
      </c>
      <c r="Z19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Row],[Tipo]]="DROP"),Z195+TbTradesBinance[[#This Row],[Qtt]],Z195-TbTradesBinance[[#This Row],[Qtt]]),IF(TbTradesBinance[[#This Row],[Tipo]]="BUY",Z195-TbTradesBinance[[#This Row],[Qtt]]*TbTradesBinance[[#This Row],[Preço]],Z195+TbTradesBinance[[#This Row],[Qtt]]*TbTradesBinance[[#This Row],[Preço]])),Z195)-IF(TbTradesBinance[[#This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Row],[Tipo]]="DROP"),Z195+TbTradesBinance[[#This Row],[Qtt]],Z195-TbTradesBinance[[#This Row],[Qtt]]),IF(TbTradesBinance[[#This Row],[Tipo]]="BUY",Z195-TbTradesBinance[[#This Row],[Qtt]]*TbTradesBinance[[#This Row],[Preço]],Z195+TbTradesBinance[[#This Row],[Qtt]]*TbTradesBinance[[#This Row],[Preço]])),Z195)-IF(TbTradesBinance[[#This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Row],[Tipo]]="DROP"),Z195+TbTradesBinance[[#This Row],[Qtt]],Z195-TbTradesBinance[[#This Row],[Qtt]]),IF(TbTradesBinance[[#This Row],[Tipo]]="BUY",Z195-TbTradesBinance[[#This Row],[Qtt]]*TbTradesBinance[[#This Row],[Preço]],Z195+TbTradesBinance[[#This Row],[Qtt]]*TbTradesBinance[[#This Row],[Preço]])),Z195)-IF(TbTradesBinance[[#This Row],[Moeda da Taxa]]=MID(Z$1,9,5),TbTradesBinance[[#This Row],[Taxa]],0),8)))</f>
        <v>0</v>
      </c>
      <c r="AA196" s="145" cm="1">
        <f t="array" ref="AA196">IF(TbTradesBinance[[#This Row],[Tipo]]="EMPTY",0,AA195+IF(TbTradesBinance[[#This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Row],[Par]]))),$1:$1,0)),-(Z195-Z196)/Z195*AA195),0),0)+IF(TbTradesBinance[[#This Row],[Tipo]]="SELL",IF(ISNUMBER(FIND(MID(AA$1,10,5),TbTradesBinance[[#This Row],[Par]])),IF(FIND(MID(AA$1,10,5),TbTradesBinance[[#This Row],[Par]])=1, -(Z195-Z196)/Z195*AA195,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Row],[Par]])),(-(Z195-Z196)/Z195*AA195)+IF(TbTradesBinance[[#This Row],[Resultado]]&gt;0,0,TbTradesBinance[[#This Row],[Taxa]]),0),0))</f>
        <v>0</v>
      </c>
      <c r="AB196" s="145">
        <f t="shared" si="62"/>
        <v>0</v>
      </c>
      <c r="AC19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Row],[Tipo]]="DROP"),AC195+TbTradesBinance[[#This Row],[Qtt]],AC195-TbTradesBinance[[#This Row],[Qtt]]),IF(TbTradesBinance[[#This Row],[Tipo]]="BUY",AC195-TbTradesBinance[[#This Row],[Qtt]]*TbTradesBinance[[#This Row],[Preço]],AC195+TbTradesBinance[[#This Row],[Qtt]]*TbTradesBinance[[#This Row],[Preço]])),AC195)-IF(TbTradesBinance[[#This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Row],[Tipo]]="DROP"),AC195+TbTradesBinance[[#This Row],[Qtt]],AC195-TbTradesBinance[[#This Row],[Qtt]]),IF(TbTradesBinance[[#This Row],[Tipo]]="BUY",AC195-TbTradesBinance[[#This Row],[Qtt]]*TbTradesBinance[[#This Row],[Preço]],AC195+TbTradesBinance[[#This Row],[Qtt]]*TbTradesBinance[[#This Row],[Preço]])),AC195)-IF(TbTradesBinance[[#This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Row],[Tipo]]="DROP"),AC195+TbTradesBinance[[#This Row],[Qtt]],AC195-TbTradesBinance[[#This Row],[Qtt]]),IF(TbTradesBinance[[#This Row],[Tipo]]="BUY",AC195-TbTradesBinance[[#This Row],[Qtt]]*TbTradesBinance[[#This Row],[Preço]],AC195+TbTradesBinance[[#This Row],[Qtt]]*TbTradesBinance[[#This Row],[Preço]])),AC195)-IF(TbTradesBinance[[#This Row],[Moeda da Taxa]]=MID(AC$1,9,5),TbTradesBinance[[#This Row],[Taxa]],0),8)))</f>
        <v>0</v>
      </c>
      <c r="AD196" s="145" cm="1">
        <f t="array" ref="AD196">IF(TbTradesBinance[[#This Row],[Tipo]]="EMPTY",0,AD195+IF(TbTradesBinance[[#This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Row],[Par]]))),$1:$1,0)),-(AC195-AC196)/AC195*AD195),0),0)+IF(TbTradesBinance[[#This Row],[Tipo]]="SELL",IF(ISNUMBER(FIND(MID(AD$1,10,5),TbTradesBinance[[#This Row],[Par]])),IF(FIND(MID(AD$1,10,5),TbTradesBinance[[#This Row],[Par]])=1, -(AC195-AC196)/AC195*AD195,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Row],[Par]])),(-(AC195-AC196)/AC195*AD195)+IF(TbTradesBinance[[#This Row],[Resultado]]&gt;0,0,TbTradesBinance[[#This Row],[Taxa]]),0),0))</f>
        <v>0</v>
      </c>
      <c r="AE196" s="145">
        <f t="shared" si="63"/>
        <v>0</v>
      </c>
      <c r="AF19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Row],[Tipo]]="DROP"),AF195+TbTradesBinance[[#This Row],[Qtt]],AF195-TbTradesBinance[[#This Row],[Qtt]]),IF(TbTradesBinance[[#This Row],[Tipo]]="BUY",AF195-TbTradesBinance[[#This Row],[Qtt]]*TbTradesBinance[[#This Row],[Preço]],AF195+TbTradesBinance[[#This Row],[Qtt]]*TbTradesBinance[[#This Row],[Preço]])),AF195)-IF(TbTradesBinance[[#This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Row],[Tipo]]="DROP"),AF195+TbTradesBinance[[#This Row],[Qtt]],AF195-TbTradesBinance[[#This Row],[Qtt]]),IF(TbTradesBinance[[#This Row],[Tipo]]="BUY",AF195-TbTradesBinance[[#This Row],[Qtt]]*TbTradesBinance[[#This Row],[Preço]],AF195+TbTradesBinance[[#This Row],[Qtt]]*TbTradesBinance[[#This Row],[Preço]])),AF195)-IF(TbTradesBinance[[#This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Row],[Tipo]]="DROP"),AF195+TbTradesBinance[[#This Row],[Qtt]],AF195-TbTradesBinance[[#This Row],[Qtt]]),IF(TbTradesBinance[[#This Row],[Tipo]]="BUY",AF195-TbTradesBinance[[#This Row],[Qtt]]*TbTradesBinance[[#This Row],[Preço]],AF195+TbTradesBinance[[#This Row],[Qtt]]*TbTradesBinance[[#This Row],[Preço]])),AF195)-IF(TbTradesBinance[[#This Row],[Moeda da Taxa]]=MID(AF$1,9,5),TbTradesBinance[[#This Row],[Taxa]],0),8)))</f>
        <v>0</v>
      </c>
      <c r="AG196" s="145" cm="1">
        <f t="array" ref="AG196">IF(TbTradesBinance[[#This Row],[Tipo]]="EMPTY",0,AG195+IF(TbTradesBinance[[#This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Row],[Par]]))),$1:$1,0)),-(AF195-AF196)/AF195*AG195),0),0)+IF(TbTradesBinance[[#This Row],[Tipo]]="SELL",IF(ISNUMBER(FIND(MID(AG$1,10,5),TbTradesBinance[[#This Row],[Par]])),IF(FIND(MID(AG$1,10,5),TbTradesBinance[[#This Row],[Par]])=1, -(AF195-AF196)/AF195*AG195,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Row],[Par]])),(-(AF195-AF196)/AF195*AG195)+IF(TbTradesBinance[[#This Row],[Resultado]]&gt;0,0,TbTradesBinance[[#This Row],[Taxa]]),0),0))</f>
        <v>0</v>
      </c>
      <c r="AH196" s="145">
        <f t="shared" si="64"/>
        <v>0</v>
      </c>
      <c r="AI19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Row],[Tipo]]="DROP"),AI195+TbTradesBinance[[#This Row],[Qtt]],AI195-TbTradesBinance[[#This Row],[Qtt]]),IF(TbTradesBinance[[#This Row],[Tipo]]="BUY",AI195-TbTradesBinance[[#This Row],[Qtt]]*TbTradesBinance[[#This Row],[Preço]],AI195+TbTradesBinance[[#This Row],[Qtt]]*TbTradesBinance[[#This Row],[Preço]])),AI195)-IF(TbTradesBinance[[#This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Row],[Tipo]]="DROP"),AI195+TbTradesBinance[[#This Row],[Qtt]],AI195-TbTradesBinance[[#This Row],[Qtt]]),IF(TbTradesBinance[[#This Row],[Tipo]]="BUY",AI195-TbTradesBinance[[#This Row],[Qtt]]*TbTradesBinance[[#This Row],[Preço]],AI195+TbTradesBinance[[#This Row],[Qtt]]*TbTradesBinance[[#This Row],[Preço]])),AI195)-IF(TbTradesBinance[[#This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Row],[Tipo]]="DROP"),AI195+TbTradesBinance[[#This Row],[Qtt]],AI195-TbTradesBinance[[#This Row],[Qtt]]),IF(TbTradesBinance[[#This Row],[Tipo]]="BUY",AI195-TbTradesBinance[[#This Row],[Qtt]]*TbTradesBinance[[#This Row],[Preço]],AI195+TbTradesBinance[[#This Row],[Qtt]]*TbTradesBinance[[#This Row],[Preço]])),AI195)-IF(TbTradesBinance[[#This Row],[Moeda da Taxa]]=MID(AI$1,9,5),TbTradesBinance[[#This Row],[Taxa]],0),8)))</f>
        <v>0</v>
      </c>
      <c r="AJ196" s="145" cm="1">
        <f t="array" ref="AJ196">IF(TbTradesBinance[[#This Row],[Tipo]]="EMPTY",0,AJ195+IF(TbTradesBinance[[#This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Row],[Par]]))),$1:$1,0)),-(AI195-AI196)/AI195*AJ195),0),0)+IF(TbTradesBinance[[#This Row],[Tipo]]="SELL",IF(ISNUMBER(FIND(MID(AJ$1,10,5),TbTradesBinance[[#This Row],[Par]])),IF(FIND(MID(AJ$1,10,5),TbTradesBinance[[#This Row],[Par]])=1, -(AI195-AI196)/AI195*AJ195,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Row],[Par]])),(-(AI195-AI196)/AI195*AJ195)+IF(TbTradesBinance[[#This Row],[Resultado]]&gt;0,0,TbTradesBinance[[#This Row],[Taxa]]),0),0))</f>
        <v>0</v>
      </c>
      <c r="AK196" s="145">
        <f t="shared" si="65"/>
        <v>0</v>
      </c>
      <c r="AL19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Row],[Tipo]]="DROP"),AL195+TbTradesBinance[[#This Row],[Qtt]],AL195-TbTradesBinance[[#This Row],[Qtt]]),IF(TbTradesBinance[[#This Row],[Tipo]]="BUY",AL195-TbTradesBinance[[#This Row],[Qtt]]*TbTradesBinance[[#This Row],[Preço]],AL195+TbTradesBinance[[#This Row],[Qtt]]*TbTradesBinance[[#This Row],[Preço]])),AL195)-IF(TbTradesBinance[[#This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Row],[Tipo]]="DROP"),AL195+TbTradesBinance[[#This Row],[Qtt]],AL195-TbTradesBinance[[#This Row],[Qtt]]),IF(TbTradesBinance[[#This Row],[Tipo]]="BUY",AL195-TbTradesBinance[[#This Row],[Qtt]]*TbTradesBinance[[#This Row],[Preço]],AL195+TbTradesBinance[[#This Row],[Qtt]]*TbTradesBinance[[#This Row],[Preço]])),AL195)-IF(TbTradesBinance[[#This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Row],[Tipo]]="DROP"),AL195+TbTradesBinance[[#This Row],[Qtt]],AL195-TbTradesBinance[[#This Row],[Qtt]]),IF(TbTradesBinance[[#This Row],[Tipo]]="BUY",AL195-TbTradesBinance[[#This Row],[Qtt]]*TbTradesBinance[[#This Row],[Preço]],AL195+TbTradesBinance[[#This Row],[Qtt]]*TbTradesBinance[[#This Row],[Preço]])),AL195)-IF(TbTradesBinance[[#This Row],[Moeda da Taxa]]=MID(AL$1,9,5),TbTradesBinance[[#This Row],[Taxa]],0),8)))</f>
        <v>0</v>
      </c>
      <c r="AM196" s="145" cm="1">
        <f t="array" ref="AM196">IF(TbTradesBinance[[#This Row],[Tipo]]="EMPTY",0,AM195+IF(TbTradesBinance[[#This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Row],[Par]]))),$1:$1,0)),-(AL195-AL196)/AL195*AM195),0),0)+IF(TbTradesBinance[[#This Row],[Tipo]]="SELL",IF(ISNUMBER(FIND(MID(AM$1,10,5),TbTradesBinance[[#This Row],[Par]])),IF(FIND(MID(AM$1,10,5),TbTradesBinance[[#This Row],[Par]])=1, -(AL195-AL196)/AL195*AM195,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Row],[Par]])),(-(AL195-AL196)/AL195*AM195)+IF(TbTradesBinance[[#This Row],[Resultado]]&gt;0,0,TbTradesBinance[[#This Row],[Taxa]]),0),0))</f>
        <v>0</v>
      </c>
      <c r="AN196" s="145">
        <f t="shared" si="66"/>
        <v>0</v>
      </c>
      <c r="AO19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Row],[Tipo]]="DROP"),AO195+TbTradesBinance[[#This Row],[Qtt]],AO195-TbTradesBinance[[#This Row],[Qtt]]),IF(TbTradesBinance[[#This Row],[Tipo]]="BUY",AO195-TbTradesBinance[[#This Row],[Qtt]]*TbTradesBinance[[#This Row],[Preço]],AO195+TbTradesBinance[[#This Row],[Qtt]]*TbTradesBinance[[#This Row],[Preço]])),AO195)-IF(TbTradesBinance[[#This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Row],[Tipo]]="DROP"),AO195+TbTradesBinance[[#This Row],[Qtt]],AO195-TbTradesBinance[[#This Row],[Qtt]]),IF(TbTradesBinance[[#This Row],[Tipo]]="BUY",AO195-TbTradesBinance[[#This Row],[Qtt]]*TbTradesBinance[[#This Row],[Preço]],AO195+TbTradesBinance[[#This Row],[Qtt]]*TbTradesBinance[[#This Row],[Preço]])),AO195)-IF(TbTradesBinance[[#This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Row],[Tipo]]="DROP"),AO195+TbTradesBinance[[#This Row],[Qtt]],AO195-TbTradesBinance[[#This Row],[Qtt]]),IF(TbTradesBinance[[#This Row],[Tipo]]="BUY",AO195-TbTradesBinance[[#This Row],[Qtt]]*TbTradesBinance[[#This Row],[Preço]],AO195+TbTradesBinance[[#This Row],[Qtt]]*TbTradesBinance[[#This Row],[Preço]])),AO195)-IF(TbTradesBinance[[#This Row],[Moeda da Taxa]]=MID(AO$1,9,5),TbTradesBinance[[#This Row],[Taxa]],0),8)))</f>
        <v>3.8362390000000003E-2</v>
      </c>
      <c r="AP196" s="145" cm="1">
        <f t="array" ref="AP196">IF(TbTradesBinance[[#This Row],[Tipo]]="EMPTY",0,AP195+IF(TbTradesBinance[[#This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Row],[Par]]))),$1:$1,0)),-(AO195-AO196)/AO195*AP195),0),0)+IF(TbTradesBinance[[#This Row],[Tipo]]="SELL",IF(ISNUMBER(FIND(MID(AP$1,10,5),TbTradesBinance[[#This Row],[Par]])),IF(FIND(MID(AP$1,10,5),TbTradesBinance[[#This Row],[Par]])=1, -(AO195-AO196)/AO195*AP195,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Row],[Par]])),(-(AO195-AO196)/AO195*AP195)+IF(TbTradesBinance[[#This Row],[Resultado]]&gt;0,0,TbTradesBinance[[#This Row],[Taxa]]),0),0))</f>
        <v>60.349858055862811</v>
      </c>
      <c r="AQ196" s="145">
        <f t="shared" si="67"/>
        <v>1573.1516742273566</v>
      </c>
      <c r="AR19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Row],[Tipo]]="DROP"),AR195+TbTradesBinance[[#This Row],[Qtt]],AR195-TbTradesBinance[[#This Row],[Qtt]]),IF(TbTradesBinance[[#This Row],[Tipo]]="BUY",AR195-TbTradesBinance[[#This Row],[Qtt]]*TbTradesBinance[[#This Row],[Preço]],AR195+TbTradesBinance[[#This Row],[Qtt]]*TbTradesBinance[[#This Row],[Preço]])),AR195)-IF(TbTradesBinance[[#This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Row],[Tipo]]="DROP"),AR195+TbTradesBinance[[#This Row],[Qtt]],AR195-TbTradesBinance[[#This Row],[Qtt]]),IF(TbTradesBinance[[#This Row],[Tipo]]="BUY",AR195-TbTradesBinance[[#This Row],[Qtt]]*TbTradesBinance[[#This Row],[Preço]],AR195+TbTradesBinance[[#This Row],[Qtt]]*TbTradesBinance[[#This Row],[Preço]])),AR195)-IF(TbTradesBinance[[#This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Row],[Tipo]]="DROP"),AR195+TbTradesBinance[[#This Row],[Qtt]],AR195-TbTradesBinance[[#This Row],[Qtt]]),IF(TbTradesBinance[[#This Row],[Tipo]]="BUY",AR195-TbTradesBinance[[#This Row],[Qtt]]*TbTradesBinance[[#This Row],[Preço]],AR195+TbTradesBinance[[#This Row],[Qtt]]*TbTradesBinance[[#This Row],[Preço]])),AR195)-IF(TbTradesBinance[[#This Row],[Moeda da Taxa]]=MID(AR$1,9,5),TbTradesBinance[[#This Row],[Taxa]],0),8)))</f>
        <v>0</v>
      </c>
      <c r="AS196" s="145" cm="1">
        <f t="array" ref="AS196">IF(TbTradesBinance[[#This Row],[Tipo]]="EMPTY",0,AS195+IF(TbTradesBinance[[#This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Row],[Par]]))),$1:$1,0)),-(AR195-AR196)/AR195*AS195),0),0)+IF(TbTradesBinance[[#This Row],[Tipo]]="SELL",IF(ISNUMBER(FIND(MID(AS$1,10,5),TbTradesBinance[[#This Row],[Par]])),IF(FIND(MID(AS$1,10,5),TbTradesBinance[[#This Row],[Par]])=1, -(AR195-AR196)/AR195*AS195,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Row],[Par]])),(-(AR195-AR196)/AR195*AS195)+IF(TbTradesBinance[[#This Row],[Resultado]]&gt;0,0,TbTradesBinance[[#This Row],[Taxa]]),0),0))</f>
        <v>0</v>
      </c>
      <c r="AT196" s="145">
        <f t="shared" si="68"/>
        <v>0</v>
      </c>
      <c r="AU19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Row],[Tipo]]="DROP"),AU195+TbTradesBinance[[#This Row],[Qtt]],AU195-TbTradesBinance[[#This Row],[Qtt]]),IF(TbTradesBinance[[#This Row],[Tipo]]="BUY",AU195-TbTradesBinance[[#This Row],[Qtt]]*TbTradesBinance[[#This Row],[Preço]],AU195+TbTradesBinance[[#This Row],[Qtt]]*TbTradesBinance[[#This Row],[Preço]])),AU195)-IF(TbTradesBinance[[#This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Row],[Tipo]]="DROP"),AU195+TbTradesBinance[[#This Row],[Qtt]],AU195-TbTradesBinance[[#This Row],[Qtt]]),IF(TbTradesBinance[[#This Row],[Tipo]]="BUY",AU195-TbTradesBinance[[#This Row],[Qtt]]*TbTradesBinance[[#This Row],[Preço]],AU195+TbTradesBinance[[#This Row],[Qtt]]*TbTradesBinance[[#This Row],[Preço]])),AU195)-IF(TbTradesBinance[[#This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Row],[Tipo]]="DROP"),AU195+TbTradesBinance[[#This Row],[Qtt]],AU195-TbTradesBinance[[#This Row],[Qtt]]),IF(TbTradesBinance[[#This Row],[Tipo]]="BUY",AU195-TbTradesBinance[[#This Row],[Qtt]]*TbTradesBinance[[#This Row],[Preço]],AU195+TbTradesBinance[[#This Row],[Qtt]]*TbTradesBinance[[#This Row],[Preço]])),AU195)-IF(TbTradesBinance[[#This Row],[Moeda da Taxa]]=MID(AU$1,9,5),TbTradesBinance[[#This Row],[Taxa]],0),8)))</f>
        <v>0.51</v>
      </c>
      <c r="AV196" s="145" cm="1">
        <f t="array" ref="AV196">IF(TbTradesBinance[[#This Row],[Tipo]]="EMPTY",0,AV195+IF(TbTradesBinance[[#This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Row],[Par]]))),$1:$1,0)),-(AU195-AU196)/AU195*AV195),0),0)+IF(TbTradesBinance[[#This Row],[Tipo]]="SELL",IF(ISNUMBER(FIND(MID(AV$1,10,5),TbTradesBinance[[#This Row],[Par]])),IF(FIND(MID(AV$1,10,5),TbTradesBinance[[#This Row],[Par]])=1, -(AU195-AU196)/AU195*AV195,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Row],[Par]])),(-(AU195-AU196)/AU195*AV195)+IF(TbTradesBinance[[#This Row],[Resultado]]&gt;0,0,TbTradesBinance[[#This Row],[Taxa]]),0),0))</f>
        <v>95.466693037374753</v>
      </c>
      <c r="AW196" s="145">
        <f t="shared" si="69"/>
        <v>187.18959419093088</v>
      </c>
      <c r="AX19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Row],[Tipo]]="DROP"),AX195+TbTradesBinance[[#This Row],[Qtt]],AX195-TbTradesBinance[[#This Row],[Qtt]]),IF(TbTradesBinance[[#This Row],[Tipo]]="BUY",AX195-TbTradesBinance[[#This Row],[Qtt]]*TbTradesBinance[[#This Row],[Preço]],AX195+TbTradesBinance[[#This Row],[Qtt]]*TbTradesBinance[[#This Row],[Preço]])),AX195)-IF(TbTradesBinance[[#This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Row],[Tipo]]="DROP"),AX195+TbTradesBinance[[#This Row],[Qtt]],AX195-TbTradesBinance[[#This Row],[Qtt]]),IF(TbTradesBinance[[#This Row],[Tipo]]="BUY",AX195-TbTradesBinance[[#This Row],[Qtt]]*TbTradesBinance[[#This Row],[Preço]],AX195+TbTradesBinance[[#This Row],[Qtt]]*TbTradesBinance[[#This Row],[Preço]])),AX195)-IF(TbTradesBinance[[#This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Row],[Tipo]]="DROP"),AX195+TbTradesBinance[[#This Row],[Qtt]],AX195-TbTradesBinance[[#This Row],[Qtt]]),IF(TbTradesBinance[[#This Row],[Tipo]]="BUY",AX195-TbTradesBinance[[#This Row],[Qtt]]*TbTradesBinance[[#This Row],[Preço]],AX195+TbTradesBinance[[#This Row],[Qtt]]*TbTradesBinance[[#This Row],[Preço]])),AX195)-IF(TbTradesBinance[[#This Row],[Moeda da Taxa]]=MID(AX$1,9,5),TbTradesBinance[[#This Row],[Taxa]],0),8)))</f>
        <v>0.32838000000000001</v>
      </c>
      <c r="AY196" s="145" cm="1">
        <f t="array" ref="AY196">IF(TbTradesBinance[[#This Row],[Tipo]]="EMPTY",0,AY195+IF(TbTradesBinance[[#This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Row],[Par]]))),$1:$1,0)),-(AX195-AX196)/AX195*AY195),0),0)+IF(TbTradesBinance[[#This Row],[Tipo]]="SELL",IF(ISNUMBER(FIND(MID(AY$1,10,5),TbTradesBinance[[#This Row],[Par]])),IF(FIND(MID(AY$1,10,5),TbTradesBinance[[#This Row],[Par]])=1, -(AX195-AX196)/AX195*AY195,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Row],[Par]])),(-(AX195-AX196)/AX195*AY195)+IF(TbTradesBinance[[#This Row],[Resultado]]&gt;0,0,TbTradesBinance[[#This Row],[Taxa]]),0),0))</f>
        <v>61.364116058805678</v>
      </c>
      <c r="AZ196" s="145">
        <f t="shared" si="70"/>
        <v>186.869224857804</v>
      </c>
      <c r="BA19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Row],[Tipo]]="DROP"),BA195+TbTradesBinance[[#This Row],[Qtt]],BA195-TbTradesBinance[[#This Row],[Qtt]]),IF(TbTradesBinance[[#This Row],[Tipo]]="BUY",BA195-TbTradesBinance[[#This Row],[Qtt]]*TbTradesBinance[[#This Row],[Preço]],BA195+TbTradesBinance[[#This Row],[Qtt]]*TbTradesBinance[[#This Row],[Preço]])),BA195)-IF(TbTradesBinance[[#This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Row],[Tipo]]="DROP"),BA195+TbTradesBinance[[#This Row],[Qtt]],BA195-TbTradesBinance[[#This Row],[Qtt]]),IF(TbTradesBinance[[#This Row],[Tipo]]="BUY",BA195-TbTradesBinance[[#This Row],[Qtt]]*TbTradesBinance[[#This Row],[Preço]],BA195+TbTradesBinance[[#This Row],[Qtt]]*TbTradesBinance[[#This Row],[Preço]])),BA195)-IF(TbTradesBinance[[#This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Row],[Tipo]]="DROP"),BA195+TbTradesBinance[[#This Row],[Qtt]],BA195-TbTradesBinance[[#This Row],[Qtt]]),IF(TbTradesBinance[[#This Row],[Tipo]]="BUY",BA195-TbTradesBinance[[#This Row],[Qtt]]*TbTradesBinance[[#This Row],[Preço]],BA195+TbTradesBinance[[#This Row],[Qtt]]*TbTradesBinance[[#This Row],[Preço]])),BA195)-IF(TbTradesBinance[[#This Row],[Moeda da Taxa]]=MID(BA$1,9,5),TbTradesBinance[[#This Row],[Taxa]],0),8)))</f>
        <v>0</v>
      </c>
      <c r="BB196" s="145" cm="1">
        <f t="array" ref="BB196">IF(TbTradesBinance[[#This Row],[Tipo]]="EMPTY",0,BB195+IF(TbTradesBinance[[#This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Row],[Par]]))),$1:$1,0)),-(BA195-BA196)/BA195*BB195),0),0)+IF(TbTradesBinance[[#This Row],[Tipo]]="SELL",IF(ISNUMBER(FIND(MID(BB$1,10,5),TbTradesBinance[[#This Row],[Par]])),IF(FIND(MID(BB$1,10,5),TbTradesBinance[[#This Row],[Par]])=1, -(BA195-BA196)/BA195*BB195,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Row],[Par]])),(-(BA195-BA196)/BA195*BB195)+IF(TbTradesBinance[[#This Row],[Resultado]]&gt;0,0,TbTradesBinance[[#This Row],[Taxa]]),0),0))</f>
        <v>0</v>
      </c>
      <c r="BC196" s="145">
        <f t="shared" si="71"/>
        <v>0</v>
      </c>
      <c r="BD19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Row],[Tipo]]="DROP"),BD195+TbTradesBinance[[#This Row],[Qtt]],BD195-TbTradesBinance[[#This Row],[Qtt]]),IF(TbTradesBinance[[#This Row],[Tipo]]="BUY",BD195-TbTradesBinance[[#This Row],[Qtt]]*TbTradesBinance[[#This Row],[Preço]],BD195+TbTradesBinance[[#This Row],[Qtt]]*TbTradesBinance[[#This Row],[Preço]])),BD195)-IF(TbTradesBinance[[#This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Row],[Tipo]]="DROP"),BD195+TbTradesBinance[[#This Row],[Qtt]],BD195-TbTradesBinance[[#This Row],[Qtt]]),IF(TbTradesBinance[[#This Row],[Tipo]]="BUY",BD195-TbTradesBinance[[#This Row],[Qtt]]*TbTradesBinance[[#This Row],[Preço]],BD195+TbTradesBinance[[#This Row],[Qtt]]*TbTradesBinance[[#This Row],[Preço]])),BD195)-IF(TbTradesBinance[[#This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Row],[Tipo]]="DROP"),BD195+TbTradesBinance[[#This Row],[Qtt]],BD195-TbTradesBinance[[#This Row],[Qtt]]),IF(TbTradesBinance[[#This Row],[Tipo]]="BUY",BD195-TbTradesBinance[[#This Row],[Qtt]]*TbTradesBinance[[#This Row],[Preço]],BD195+TbTradesBinance[[#This Row],[Qtt]]*TbTradesBinance[[#This Row],[Preço]])),BD195)-IF(TbTradesBinance[[#This Row],[Moeda da Taxa]]=MID(BD$1,9,5),TbTradesBinance[[#This Row],[Taxa]],0),8)))</f>
        <v>0</v>
      </c>
      <c r="BE196" s="145" cm="1">
        <f t="array" ref="BE196">IF(TbTradesBinance[[#This Row],[Tipo]]="EMPTY",0,BE195+IF(TbTradesBinance[[#This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Row],[Par]]))),$1:$1,0)),-(BD195-BD196)/BD195*BE195),0),0)+IF(TbTradesBinance[[#This Row],[Tipo]]="SELL",IF(ISNUMBER(FIND(MID(BE$1,10,5),TbTradesBinance[[#This Row],[Par]])),IF(FIND(MID(BE$1,10,5),TbTradesBinance[[#This Row],[Par]])=1, -(BD195-BD196)/BD195*BE195,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Row],[Par]])),(-(BD195-BD196)/BD195*BE195)+IF(TbTradesBinance[[#This Row],[Resultado]]&gt;0,0,TbTradesBinance[[#This Row],[Taxa]]),0),0))</f>
        <v>0</v>
      </c>
      <c r="BF196" s="145">
        <f t="shared" si="72"/>
        <v>0</v>
      </c>
      <c r="BG19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Row],[Tipo]]="DROP"),BG195+TbTradesBinance[[#This Row],[Qtt]],BG195-TbTradesBinance[[#This Row],[Qtt]]),IF(TbTradesBinance[[#This Row],[Tipo]]="BUY",BG195-TbTradesBinance[[#This Row],[Qtt]]*TbTradesBinance[[#This Row],[Preço]],BG195+TbTradesBinance[[#This Row],[Qtt]]*TbTradesBinance[[#This Row],[Preço]])),BG195)-IF(TbTradesBinance[[#This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Row],[Tipo]]="DROP"),BG195+TbTradesBinance[[#This Row],[Qtt]],BG195-TbTradesBinance[[#This Row],[Qtt]]),IF(TbTradesBinance[[#This Row],[Tipo]]="BUY",BG195-TbTradesBinance[[#This Row],[Qtt]]*TbTradesBinance[[#This Row],[Preço]],BG195+TbTradesBinance[[#This Row],[Qtt]]*TbTradesBinance[[#This Row],[Preço]])),BG195)-IF(TbTradesBinance[[#This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Row],[Tipo]]="DROP"),BG195+TbTradesBinance[[#This Row],[Qtt]],BG195-TbTradesBinance[[#This Row],[Qtt]]),IF(TbTradesBinance[[#This Row],[Tipo]]="BUY",BG195-TbTradesBinance[[#This Row],[Qtt]]*TbTradesBinance[[#This Row],[Preço]],BG195+TbTradesBinance[[#This Row],[Qtt]]*TbTradesBinance[[#This Row],[Preço]])),BG195)-IF(TbTradesBinance[[#This Row],[Moeda da Taxa]]=MID(BG$1,9,5),TbTradesBinance[[#This Row],[Taxa]],0),8)))</f>
        <v>0</v>
      </c>
      <c r="BH196" s="145" cm="1">
        <f t="array" ref="BH196">IF(TbTradesBinance[[#This Row],[Tipo]]="EMPTY",0,BH195+IF(TbTradesBinance[[#This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Row],[Par]]))),$1:$1,0)),-(BG195-BG196)/BG195*BH195),0),0)+IF(TbTradesBinance[[#This Row],[Tipo]]="SELL",IF(ISNUMBER(FIND(MID(BH$1,10,5),TbTradesBinance[[#This Row],[Par]])),IF(FIND(MID(BH$1,10,5),TbTradesBinance[[#This Row],[Par]])=1, -(BG195-BG196)/BG195*BH195,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Row],[Par]])),(-(BG195-BG196)/BG195*BH195)+IF(TbTradesBinance[[#This Row],[Resultado]]&gt;0,0,TbTradesBinance[[#This Row],[Taxa]]),0),0))</f>
        <v>0</v>
      </c>
      <c r="BI196" s="145">
        <f t="shared" si="73"/>
        <v>0</v>
      </c>
      <c r="BJ19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Row],[Tipo]]="DROP"),BJ195+TbTradesBinance[[#This Row],[Qtt]],BJ195-TbTradesBinance[[#This Row],[Qtt]]),IF(TbTradesBinance[[#This Row],[Tipo]]="BUY",BJ195-TbTradesBinance[[#This Row],[Qtt]]*TbTradesBinance[[#This Row],[Preço]],BJ195+TbTradesBinance[[#This Row],[Qtt]]*TbTradesBinance[[#This Row],[Preço]])),BJ195)-IF(TbTradesBinance[[#This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Row],[Tipo]]="DROP"),BJ195+TbTradesBinance[[#This Row],[Qtt]],BJ195-TbTradesBinance[[#This Row],[Qtt]]),IF(TbTradesBinance[[#This Row],[Tipo]]="BUY",BJ195-TbTradesBinance[[#This Row],[Qtt]]*TbTradesBinance[[#This Row],[Preço]],BJ195+TbTradesBinance[[#This Row],[Qtt]]*TbTradesBinance[[#This Row],[Preço]])),BJ195)-IF(TbTradesBinance[[#This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Row],[Tipo]]="DROP"),BJ195+TbTradesBinance[[#This Row],[Qtt]],BJ195-TbTradesBinance[[#This Row],[Qtt]]),IF(TbTradesBinance[[#This Row],[Tipo]]="BUY",BJ195-TbTradesBinance[[#This Row],[Qtt]]*TbTradesBinance[[#This Row],[Preço]],BJ195+TbTradesBinance[[#This Row],[Qtt]]*TbTradesBinance[[#This Row],[Preço]])),BJ195)-IF(TbTradesBinance[[#This Row],[Moeda da Taxa]]=MID(BJ$1,9,5),TbTradesBinance[[#This Row],[Taxa]],0),8)))</f>
        <v>0</v>
      </c>
      <c r="BK196" s="145" cm="1">
        <f t="array" ref="BK196">IF(TbTradesBinance[[#This Row],[Tipo]]="EMPTY",0,BK195+IF(TbTradesBinance[[#This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Row],[Par]]))),$1:$1,0)),-(BJ195-BJ196)/BJ195*BK195),0),0)+IF(TbTradesBinance[[#This Row],[Tipo]]="SELL",IF(ISNUMBER(FIND(MID(BK$1,10,5),TbTradesBinance[[#This Row],[Par]])),IF(FIND(MID(BK$1,10,5),TbTradesBinance[[#This Row],[Par]])=1, -(BJ195-BJ196)/BJ195*BK195,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Row],[Par]])),(-(BJ195-BJ196)/BJ195*BK195)+IF(TbTradesBinance[[#This Row],[Resultado]]&gt;0,0,TbTradesBinance[[#This Row],[Taxa]]),0),0))</f>
        <v>0</v>
      </c>
      <c r="BL196" s="145">
        <f t="shared" si="74"/>
        <v>0</v>
      </c>
      <c r="BM19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Row],[Tipo]]="DROP"),BM195+TbTradesBinance[[#This Row],[Qtt]],BM195-TbTradesBinance[[#This Row],[Qtt]]),IF(TbTradesBinance[[#This Row],[Tipo]]="BUY",BM195-TbTradesBinance[[#This Row],[Qtt]]*TbTradesBinance[[#This Row],[Preço]],BM195+TbTradesBinance[[#This Row],[Qtt]]*TbTradesBinance[[#This Row],[Preço]])),BM195)-IF(TbTradesBinance[[#This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Row],[Tipo]]="DROP"),BM195+TbTradesBinance[[#This Row],[Qtt]],BM195-TbTradesBinance[[#This Row],[Qtt]]),IF(TbTradesBinance[[#This Row],[Tipo]]="BUY",BM195-TbTradesBinance[[#This Row],[Qtt]]*TbTradesBinance[[#This Row],[Preço]],BM195+TbTradesBinance[[#This Row],[Qtt]]*TbTradesBinance[[#This Row],[Preço]])),BM195)-IF(TbTradesBinance[[#This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Row],[Tipo]]="DROP"),BM195+TbTradesBinance[[#This Row],[Qtt]],BM195-TbTradesBinance[[#This Row],[Qtt]]),IF(TbTradesBinance[[#This Row],[Tipo]]="BUY",BM195-TbTradesBinance[[#This Row],[Qtt]]*TbTradesBinance[[#This Row],[Preço]],BM195+TbTradesBinance[[#This Row],[Qtt]]*TbTradesBinance[[#This Row],[Preço]])),BM195)-IF(TbTradesBinance[[#This Row],[Moeda da Taxa]]=MID(BM$1,9,5),TbTradesBinance[[#This Row],[Taxa]],0),8)))</f>
        <v>0</v>
      </c>
      <c r="BN196" s="145" cm="1">
        <f t="array" ref="BN196">IF(TbTradesBinance[[#This Row],[Tipo]]="EMPTY",0,BN195+IF(TbTradesBinance[[#This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Row],[Par]]))),$1:$1,0)),-(BM195-BM196)/BM195*BN195),0),0)+IF(TbTradesBinance[[#This Row],[Tipo]]="SELL",IF(ISNUMBER(FIND(MID(BN$1,10,5),TbTradesBinance[[#This Row],[Par]])),IF(FIND(MID(BN$1,10,5),TbTradesBinance[[#This Row],[Par]])=1, -(BM195-BM196)/BM195*BN195,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Row],[Par]])),(-(BM195-BM196)/BM195*BN195)+IF(TbTradesBinance[[#This Row],[Resultado]]&gt;0,0,TbTradesBinance[[#This Row],[Taxa]]),0),0))</f>
        <v>0</v>
      </c>
      <c r="BO196" s="145">
        <f t="shared" si="75"/>
        <v>0</v>
      </c>
    </row>
    <row r="197" spans="2:67" x14ac:dyDescent="0.3">
      <c r="B197" s="51"/>
      <c r="C197" s="40">
        <f>TRUNC(IF(AND(TbTradesBinance[[#This Row],[Tipo]]="SEND",TbTradesBinance[[#This Row],[Par]]="BRL"),TbTradesBinance[[#This Row],[Qtt]]*(1-P195)-IF(TbTradesBinance[[#This Row],[Moeda da Taxa]]="BRL",TbTradesBinance[[#This Row],[Taxa]],0),0)+IF(AND(TbTradesBinance[[#This Row],[Tipo]]="BURN",TbTradesBinance[[#This Row],[Par]]="BRL"),-TbTradesBinance[[#This Row],[Qtt]]*P195,0),2)</f>
        <v>0</v>
      </c>
      <c r="D197" s="53">
        <v>44361.837812500002</v>
      </c>
      <c r="E197" s="37" t="s">
        <v>249</v>
      </c>
      <c r="F197" s="47" t="s">
        <v>140</v>
      </c>
      <c r="G197" s="38">
        <v>39863.18</v>
      </c>
      <c r="H197" s="38">
        <v>2.6800000000000001E-4</v>
      </c>
      <c r="I197" s="38">
        <v>2.1889999999999999E-5</v>
      </c>
      <c r="J197" s="37" t="s">
        <v>45</v>
      </c>
      <c r="K197" s="52">
        <v>5.0789999999999997</v>
      </c>
      <c r="L197" s="40">
        <f t="shared" si="57"/>
        <v>202465.09</v>
      </c>
      <c r="M197" s="40">
        <f>IF(OR(TbTradesBinance[[#This Row],[Tipo]]="BUY",TbTradesBinance[[#This Row],[Tipo]]="RECEIVE",TbTradesBinance[[#This Row],[Tipo]]="DROP"),L197*H197,-L197*H197)</f>
        <v>-54.260644120000002</v>
      </c>
      <c r="N19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Row],[Tipo]]="DROP"),N196+TbTradesBinance[[#This Row],[Qtt]],N196-TbTradesBinance[[#This Row],[Qtt]]),IF(TbTradesBinance[[#This Row],[Tipo]]="BUY",N196-TbTradesBinance[[#This Row],[Qtt]]*TbTradesBinance[[#This Row],[Preço]],N196+TbTradesBinance[[#This Row],[Qtt]]*TbTradesBinance[[#This Row],[Preço]])),N196)-IF(TbTradesBinance[[#This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Row],[Tipo]]="DROP"),N196+TbTradesBinance[[#This Row],[Qtt]],N196-TbTradesBinance[[#This Row],[Qtt]]),IF(TbTradesBinance[[#This Row],[Tipo]]="BUY",N196-TbTradesBinance[[#This Row],[Qtt]]*TbTradesBinance[[#This Row],[Preço]],N196+TbTradesBinance[[#This Row],[Qtt]]*TbTradesBinance[[#This Row],[Preço]])),N196)-IF(TbTradesBinance[[#This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Row],[Tipo]]="DROP"),N196+TbTradesBinance[[#This Row],[Qtt]],N196-TbTradesBinance[[#This Row],[Qtt]]),IF(TbTradesBinance[[#This Row],[Tipo]]="BUY",N196-TbTradesBinance[[#This Row],[Qtt]]*TbTradesBinance[[#This Row],[Preço]],N196+TbTradesBinance[[#This Row],[Qtt]]*TbTradesBinance[[#This Row],[Preço]])),N196)-IF(TbTradesBinance[[#This Row],[Moeda da Taxa]]=MID(N$1,9,5),TbTradesBinance[[#This Row],[Taxa]],0),8)))</f>
        <v>122989.38238681</v>
      </c>
      <c r="O197" s="145" cm="1">
        <f t="array" ref="O197">IF(TbTradesBinance[[#This Row],[Tipo]]="EMPTY",0,O196+IF(TbTradesBinance[[#This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Row],[Par]]))),$1:$1,0)),-(N196-N197)/N196*O196),0),0)+IF(TbTradesBinance[[#This Row],[Tipo]]="SELL",IF(ISNUMBER(FIND(MID(O$1,10,5),TbTradesBinance[[#This Row],[Par]])),IF(FIND(MID(O$1,10,5),TbTradesBinance[[#This Row],[Par]])=1, -(N196-N197)/N196*O196,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Row],[Par]])),(-(N196-N197)/N196*O196)+IF(TbTradesBinance[[#This Row],[Resultado]]&gt;0,0,TbTradesBinance[[#This Row],[Taxa]]),0),0))</f>
        <v>123666.79734646395</v>
      </c>
      <c r="P197" s="145">
        <f t="shared" si="58"/>
        <v>1.0055079141508609</v>
      </c>
      <c r="Q19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Row],[Tipo]]="DROP"),Q196+TbTradesBinance[[#This Row],[Qtt]],Q196-TbTradesBinance[[#This Row],[Qtt]]),IF(TbTradesBinance[[#This Row],[Tipo]]="BUY",Q196-TbTradesBinance[[#This Row],[Qtt]]*TbTradesBinance[[#This Row],[Preço]],Q196+TbTradesBinance[[#This Row],[Qtt]]*TbTradesBinance[[#This Row],[Preço]])),Q196)-IF(TbTradesBinance[[#This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Row],[Tipo]]="DROP"),Q196+TbTradesBinance[[#This Row],[Qtt]],Q196-TbTradesBinance[[#This Row],[Qtt]]),IF(TbTradesBinance[[#This Row],[Tipo]]="BUY",Q196-TbTradesBinance[[#This Row],[Qtt]]*TbTradesBinance[[#This Row],[Preço]],Q196+TbTradesBinance[[#This Row],[Qtt]]*TbTradesBinance[[#This Row],[Preço]])),Q196)-IF(TbTradesBinance[[#This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Row],[Tipo]]="DROP"),Q196+TbTradesBinance[[#This Row],[Qtt]],Q196-TbTradesBinance[[#This Row],[Qtt]]),IF(TbTradesBinance[[#This Row],[Tipo]]="BUY",Q196-TbTradesBinance[[#This Row],[Qtt]]*TbTradesBinance[[#This Row],[Preço]],Q196+TbTradesBinance[[#This Row],[Qtt]]*TbTradesBinance[[#This Row],[Preço]])),Q196)-IF(TbTradesBinance[[#This Row],[Moeda da Taxa]]=MID(Q$1,9,5),TbTradesBinance[[#This Row],[Taxa]],0),8)))</f>
        <v>261.85014310000003</v>
      </c>
      <c r="R197" s="145" cm="1">
        <f t="array" ref="R197">IF(TbTradesBinance[[#This Row],[Tipo]]="EMPTY",0,R196+IF(TbTradesBinance[[#This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Row],[Par]]))),$1:$1,0)),-(Q196-Q197)/Q196*R196),0),0)+IF(TbTradesBinance[[#This Row],[Tipo]]="SELL",IF(ISNUMBER(FIND(MID(R$1,10,5),TbTradesBinance[[#This Row],[Par]])),IF(FIND(MID(R$1,10,5),TbTradesBinance[[#This Row],[Par]])=1, -(Q196-Q197)/Q196*R196,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Row],[Par]])),(-(Q196-Q197)/Q196*R196)+IF(TbTradesBinance[[#This Row],[Resultado]]&gt;0,0,TbTradesBinance[[#This Row],[Taxa]]),0),0))</f>
        <v>1332.0852743422727</v>
      </c>
      <c r="S197" s="145">
        <f t="shared" si="59"/>
        <v>5.0872046834572551</v>
      </c>
      <c r="T19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Row],[Tipo]]="DROP"),T196+TbTradesBinance[[#This Row],[Qtt]],T196-TbTradesBinance[[#This Row],[Qtt]]),IF(TbTradesBinance[[#This Row],[Tipo]]="BUY",T196-TbTradesBinance[[#This Row],[Qtt]]*TbTradesBinance[[#This Row],[Preço]],T196+TbTradesBinance[[#This Row],[Qtt]]*TbTradesBinance[[#This Row],[Preço]])),T196)-IF(TbTradesBinance[[#This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Row],[Tipo]]="DROP"),T196+TbTradesBinance[[#This Row],[Qtt]],T196-TbTradesBinance[[#This Row],[Qtt]]),IF(TbTradesBinance[[#This Row],[Tipo]]="BUY",T196-TbTradesBinance[[#This Row],[Qtt]]*TbTradesBinance[[#This Row],[Preço]],T196+TbTradesBinance[[#This Row],[Qtt]]*TbTradesBinance[[#This Row],[Preço]])),T196)-IF(TbTradesBinance[[#This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Row],[Tipo]]="DROP"),T196+TbTradesBinance[[#This Row],[Qtt]],T196-TbTradesBinance[[#This Row],[Qtt]]),IF(TbTradesBinance[[#This Row],[Tipo]]="BUY",T196-TbTradesBinance[[#This Row],[Qtt]]*TbTradesBinance[[#This Row],[Preço]],T196+TbTradesBinance[[#This Row],[Qtt]]*TbTradesBinance[[#This Row],[Preço]])),T196)-IF(TbTradesBinance[[#This Row],[Moeda da Taxa]]=MID(T$1,9,5),TbTradesBinance[[#This Row],[Taxa]],0),8)))</f>
        <v>101223913.720009</v>
      </c>
      <c r="U197" s="145" cm="1">
        <f t="array" ref="U197">IF(TbTradesBinance[[#This Row],[Tipo]]="EMPTY",0,U196+IF(TbTradesBinance[[#This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Row],[Par]]))),$1:$1,0)),-(T196-T197)/T196*U196),0),0)+IF(TbTradesBinance[[#This Row],[Tipo]]="SELL",IF(ISNUMBER(FIND(MID(U$1,10,5),TbTradesBinance[[#This Row],[Par]])),IF(FIND(MID(U$1,10,5),TbTradesBinance[[#This Row],[Par]])=1, -(T196-T197)/T196*U196,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Row],[Par]])),(-(T196-T197)/T196*U196)+IF(TbTradesBinance[[#This Row],[Resultado]]&gt;0,0,TbTradesBinance[[#This Row],[Taxa]]),0),0))</f>
        <v>617586601.27364206</v>
      </c>
      <c r="V197" s="145">
        <f t="shared" si="60"/>
        <v>6.1011926784605572</v>
      </c>
      <c r="W19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Row],[Tipo]]="DROP"),W196+TbTradesBinance[[#This Row],[Qtt]],W196-TbTradesBinance[[#This Row],[Qtt]]),IF(TbTradesBinance[[#This Row],[Tipo]]="BUY",W196-TbTradesBinance[[#This Row],[Qtt]]*TbTradesBinance[[#This Row],[Preço]],W196+TbTradesBinance[[#This Row],[Qtt]]*TbTradesBinance[[#This Row],[Preço]])),W196)-IF(TbTradesBinance[[#This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Row],[Tipo]]="DROP"),W196+TbTradesBinance[[#This Row],[Qtt]],W196-TbTradesBinance[[#This Row],[Qtt]]),IF(TbTradesBinance[[#This Row],[Tipo]]="BUY",W196-TbTradesBinance[[#This Row],[Qtt]]*TbTradesBinance[[#This Row],[Preço]],W196+TbTradesBinance[[#This Row],[Qtt]]*TbTradesBinance[[#This Row],[Preço]])),W196)-IF(TbTradesBinance[[#This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Row],[Tipo]]="DROP"),W196+TbTradesBinance[[#This Row],[Qtt]],W196-TbTradesBinance[[#This Row],[Qtt]]),IF(TbTradesBinance[[#This Row],[Tipo]]="BUY",W196-TbTradesBinance[[#This Row],[Qtt]]*TbTradesBinance[[#This Row],[Preço]],W196+TbTradesBinance[[#This Row],[Qtt]]*TbTradesBinance[[#This Row],[Preço]])),W196)-IF(TbTradesBinance[[#This Row],[Moeda da Taxa]]=MID(W$1,9,5),TbTradesBinance[[#This Row],[Taxa]],0),8)))</f>
        <v>2.2399E-4</v>
      </c>
      <c r="X197" s="145" cm="1">
        <f t="array" ref="X197">IF(TbTradesBinance[[#This Row],[Tipo]]="EMPTY",0,X196+IF(TbTradesBinance[[#This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Row],[Par]]))),$1:$1,0)),-(W196-W197)/W196*X196),0),0)+IF(TbTradesBinance[[#This Row],[Tipo]]="SELL",IF(ISNUMBER(FIND(MID(X$1,10,5),TbTradesBinance[[#This Row],[Par]])),IF(FIND(MID(X$1,10,5),TbTradesBinance[[#This Row],[Par]])=1, -(W196-W197)/W196*X196,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Row],[Par]])),(-(W196-W197)/W196*X196)+IF(TbTradesBinance[[#This Row],[Resultado]]&gt;0,0,TbTradesBinance[[#This Row],[Taxa]]),0),0))</f>
        <v>42.35431383506095</v>
      </c>
      <c r="Y197" s="145">
        <f t="shared" si="61"/>
        <v>189090.19971900954</v>
      </c>
      <c r="Z19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Row],[Tipo]]="DROP"),Z196+TbTradesBinance[[#This Row],[Qtt]],Z196-TbTradesBinance[[#This Row],[Qtt]]),IF(TbTradesBinance[[#This Row],[Tipo]]="BUY",Z196-TbTradesBinance[[#This Row],[Qtt]]*TbTradesBinance[[#This Row],[Preço]],Z196+TbTradesBinance[[#This Row],[Qtt]]*TbTradesBinance[[#This Row],[Preço]])),Z196)-IF(TbTradesBinance[[#This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Row],[Tipo]]="DROP"),Z196+TbTradesBinance[[#This Row],[Qtt]],Z196-TbTradesBinance[[#This Row],[Qtt]]),IF(TbTradesBinance[[#This Row],[Tipo]]="BUY",Z196-TbTradesBinance[[#This Row],[Qtt]]*TbTradesBinance[[#This Row],[Preço]],Z196+TbTradesBinance[[#This Row],[Qtt]]*TbTradesBinance[[#This Row],[Preço]])),Z196)-IF(TbTradesBinance[[#This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Row],[Tipo]]="DROP"),Z196+TbTradesBinance[[#This Row],[Qtt]],Z196-TbTradesBinance[[#This Row],[Qtt]]),IF(TbTradesBinance[[#This Row],[Tipo]]="BUY",Z196-TbTradesBinance[[#This Row],[Qtt]]*TbTradesBinance[[#This Row],[Preço]],Z196+TbTradesBinance[[#This Row],[Qtt]]*TbTradesBinance[[#This Row],[Preço]])),Z196)-IF(TbTradesBinance[[#This Row],[Moeda da Taxa]]=MID(Z$1,9,5),TbTradesBinance[[#This Row],[Taxa]],0),8)))</f>
        <v>0</v>
      </c>
      <c r="AA197" s="145" cm="1">
        <f t="array" ref="AA197">IF(TbTradesBinance[[#This Row],[Tipo]]="EMPTY",0,AA196+IF(TbTradesBinance[[#This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Row],[Par]]))),$1:$1,0)),-(Z196-Z197)/Z196*AA196),0),0)+IF(TbTradesBinance[[#This Row],[Tipo]]="SELL",IF(ISNUMBER(FIND(MID(AA$1,10,5),TbTradesBinance[[#This Row],[Par]])),IF(FIND(MID(AA$1,10,5),TbTradesBinance[[#This Row],[Par]])=1, -(Z196-Z197)/Z196*AA196,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Row],[Par]])),(-(Z196-Z197)/Z196*AA196)+IF(TbTradesBinance[[#This Row],[Resultado]]&gt;0,0,TbTradesBinance[[#This Row],[Taxa]]),0),0))</f>
        <v>0</v>
      </c>
      <c r="AB197" s="145">
        <f t="shared" si="62"/>
        <v>0</v>
      </c>
      <c r="AC19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Row],[Tipo]]="DROP"),AC196+TbTradesBinance[[#This Row],[Qtt]],AC196-TbTradesBinance[[#This Row],[Qtt]]),IF(TbTradesBinance[[#This Row],[Tipo]]="BUY",AC196-TbTradesBinance[[#This Row],[Qtt]]*TbTradesBinance[[#This Row],[Preço]],AC196+TbTradesBinance[[#This Row],[Qtt]]*TbTradesBinance[[#This Row],[Preço]])),AC196)-IF(TbTradesBinance[[#This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Row],[Tipo]]="DROP"),AC196+TbTradesBinance[[#This Row],[Qtt]],AC196-TbTradesBinance[[#This Row],[Qtt]]),IF(TbTradesBinance[[#This Row],[Tipo]]="BUY",AC196-TbTradesBinance[[#This Row],[Qtt]]*TbTradesBinance[[#This Row],[Preço]],AC196+TbTradesBinance[[#This Row],[Qtt]]*TbTradesBinance[[#This Row],[Preço]])),AC196)-IF(TbTradesBinance[[#This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Row],[Tipo]]="DROP"),AC196+TbTradesBinance[[#This Row],[Qtt]],AC196-TbTradesBinance[[#This Row],[Qtt]]),IF(TbTradesBinance[[#This Row],[Tipo]]="BUY",AC196-TbTradesBinance[[#This Row],[Qtt]]*TbTradesBinance[[#This Row],[Preço]],AC196+TbTradesBinance[[#This Row],[Qtt]]*TbTradesBinance[[#This Row],[Preço]])),AC196)-IF(TbTradesBinance[[#This Row],[Moeda da Taxa]]=MID(AC$1,9,5),TbTradesBinance[[#This Row],[Taxa]],0),8)))</f>
        <v>0</v>
      </c>
      <c r="AD197" s="145" cm="1">
        <f t="array" ref="AD197">IF(TbTradesBinance[[#This Row],[Tipo]]="EMPTY",0,AD196+IF(TbTradesBinance[[#This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Row],[Par]]))),$1:$1,0)),-(AC196-AC197)/AC196*AD196),0),0)+IF(TbTradesBinance[[#This Row],[Tipo]]="SELL",IF(ISNUMBER(FIND(MID(AD$1,10,5),TbTradesBinance[[#This Row],[Par]])),IF(FIND(MID(AD$1,10,5),TbTradesBinance[[#This Row],[Par]])=1, -(AC196-AC197)/AC196*AD196,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Row],[Par]])),(-(AC196-AC197)/AC196*AD196)+IF(TbTradesBinance[[#This Row],[Resultado]]&gt;0,0,TbTradesBinance[[#This Row],[Taxa]]),0),0))</f>
        <v>0</v>
      </c>
      <c r="AE197" s="145">
        <f t="shared" si="63"/>
        <v>0</v>
      </c>
      <c r="AF19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Row],[Tipo]]="DROP"),AF196+TbTradesBinance[[#This Row],[Qtt]],AF196-TbTradesBinance[[#This Row],[Qtt]]),IF(TbTradesBinance[[#This Row],[Tipo]]="BUY",AF196-TbTradesBinance[[#This Row],[Qtt]]*TbTradesBinance[[#This Row],[Preço]],AF196+TbTradesBinance[[#This Row],[Qtt]]*TbTradesBinance[[#This Row],[Preço]])),AF196)-IF(TbTradesBinance[[#This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Row],[Tipo]]="DROP"),AF196+TbTradesBinance[[#This Row],[Qtt]],AF196-TbTradesBinance[[#This Row],[Qtt]]),IF(TbTradesBinance[[#This Row],[Tipo]]="BUY",AF196-TbTradesBinance[[#This Row],[Qtt]]*TbTradesBinance[[#This Row],[Preço]],AF196+TbTradesBinance[[#This Row],[Qtt]]*TbTradesBinance[[#This Row],[Preço]])),AF196)-IF(TbTradesBinance[[#This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Row],[Tipo]]="DROP"),AF196+TbTradesBinance[[#This Row],[Qtt]],AF196-TbTradesBinance[[#This Row],[Qtt]]),IF(TbTradesBinance[[#This Row],[Tipo]]="BUY",AF196-TbTradesBinance[[#This Row],[Qtt]]*TbTradesBinance[[#This Row],[Preço]],AF196+TbTradesBinance[[#This Row],[Qtt]]*TbTradesBinance[[#This Row],[Preço]])),AF196)-IF(TbTradesBinance[[#This Row],[Moeda da Taxa]]=MID(AF$1,9,5),TbTradesBinance[[#This Row],[Taxa]],0),8)))</f>
        <v>0</v>
      </c>
      <c r="AG197" s="145" cm="1">
        <f t="array" ref="AG197">IF(TbTradesBinance[[#This Row],[Tipo]]="EMPTY",0,AG196+IF(TbTradesBinance[[#This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Row],[Par]]))),$1:$1,0)),-(AF196-AF197)/AF196*AG196),0),0)+IF(TbTradesBinance[[#This Row],[Tipo]]="SELL",IF(ISNUMBER(FIND(MID(AG$1,10,5),TbTradesBinance[[#This Row],[Par]])),IF(FIND(MID(AG$1,10,5),TbTradesBinance[[#This Row],[Par]])=1, -(AF196-AF197)/AF196*AG196,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Row],[Par]])),(-(AF196-AF197)/AF196*AG196)+IF(TbTradesBinance[[#This Row],[Resultado]]&gt;0,0,TbTradesBinance[[#This Row],[Taxa]]),0),0))</f>
        <v>0</v>
      </c>
      <c r="AH197" s="145">
        <f t="shared" si="64"/>
        <v>0</v>
      </c>
      <c r="AI19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Row],[Tipo]]="DROP"),AI196+TbTradesBinance[[#This Row],[Qtt]],AI196-TbTradesBinance[[#This Row],[Qtt]]),IF(TbTradesBinance[[#This Row],[Tipo]]="BUY",AI196-TbTradesBinance[[#This Row],[Qtt]]*TbTradesBinance[[#This Row],[Preço]],AI196+TbTradesBinance[[#This Row],[Qtt]]*TbTradesBinance[[#This Row],[Preço]])),AI196)-IF(TbTradesBinance[[#This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Row],[Tipo]]="DROP"),AI196+TbTradesBinance[[#This Row],[Qtt]],AI196-TbTradesBinance[[#This Row],[Qtt]]),IF(TbTradesBinance[[#This Row],[Tipo]]="BUY",AI196-TbTradesBinance[[#This Row],[Qtt]]*TbTradesBinance[[#This Row],[Preço]],AI196+TbTradesBinance[[#This Row],[Qtt]]*TbTradesBinance[[#This Row],[Preço]])),AI196)-IF(TbTradesBinance[[#This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Row],[Tipo]]="DROP"),AI196+TbTradesBinance[[#This Row],[Qtt]],AI196-TbTradesBinance[[#This Row],[Qtt]]),IF(TbTradesBinance[[#This Row],[Tipo]]="BUY",AI196-TbTradesBinance[[#This Row],[Qtt]]*TbTradesBinance[[#This Row],[Preço]],AI196+TbTradesBinance[[#This Row],[Qtt]]*TbTradesBinance[[#This Row],[Preço]])),AI196)-IF(TbTradesBinance[[#This Row],[Moeda da Taxa]]=MID(AI$1,9,5),TbTradesBinance[[#This Row],[Taxa]],0),8)))</f>
        <v>0</v>
      </c>
      <c r="AJ197" s="145" cm="1">
        <f t="array" ref="AJ197">IF(TbTradesBinance[[#This Row],[Tipo]]="EMPTY",0,AJ196+IF(TbTradesBinance[[#This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Row],[Par]]))),$1:$1,0)),-(AI196-AI197)/AI196*AJ196),0),0)+IF(TbTradesBinance[[#This Row],[Tipo]]="SELL",IF(ISNUMBER(FIND(MID(AJ$1,10,5),TbTradesBinance[[#This Row],[Par]])),IF(FIND(MID(AJ$1,10,5),TbTradesBinance[[#This Row],[Par]])=1, -(AI196-AI197)/AI196*AJ196,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Row],[Par]])),(-(AI196-AI197)/AI196*AJ196)+IF(TbTradesBinance[[#This Row],[Resultado]]&gt;0,0,TbTradesBinance[[#This Row],[Taxa]]),0),0))</f>
        <v>0</v>
      </c>
      <c r="AK197" s="145">
        <f t="shared" si="65"/>
        <v>0</v>
      </c>
      <c r="AL19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Row],[Tipo]]="DROP"),AL196+TbTradesBinance[[#This Row],[Qtt]],AL196-TbTradesBinance[[#This Row],[Qtt]]),IF(TbTradesBinance[[#This Row],[Tipo]]="BUY",AL196-TbTradesBinance[[#This Row],[Qtt]]*TbTradesBinance[[#This Row],[Preço]],AL196+TbTradesBinance[[#This Row],[Qtt]]*TbTradesBinance[[#This Row],[Preço]])),AL196)-IF(TbTradesBinance[[#This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Row],[Tipo]]="DROP"),AL196+TbTradesBinance[[#This Row],[Qtt]],AL196-TbTradesBinance[[#This Row],[Qtt]]),IF(TbTradesBinance[[#This Row],[Tipo]]="BUY",AL196-TbTradesBinance[[#This Row],[Qtt]]*TbTradesBinance[[#This Row],[Preço]],AL196+TbTradesBinance[[#This Row],[Qtt]]*TbTradesBinance[[#This Row],[Preço]])),AL196)-IF(TbTradesBinance[[#This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Row],[Tipo]]="DROP"),AL196+TbTradesBinance[[#This Row],[Qtt]],AL196-TbTradesBinance[[#This Row],[Qtt]]),IF(TbTradesBinance[[#This Row],[Tipo]]="BUY",AL196-TbTradesBinance[[#This Row],[Qtt]]*TbTradesBinance[[#This Row],[Preço]],AL196+TbTradesBinance[[#This Row],[Qtt]]*TbTradesBinance[[#This Row],[Preço]])),AL196)-IF(TbTradesBinance[[#This Row],[Moeda da Taxa]]=MID(AL$1,9,5),TbTradesBinance[[#This Row],[Taxa]],0),8)))</f>
        <v>0</v>
      </c>
      <c r="AM197" s="145" cm="1">
        <f t="array" ref="AM197">IF(TbTradesBinance[[#This Row],[Tipo]]="EMPTY",0,AM196+IF(TbTradesBinance[[#This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Row],[Par]]))),$1:$1,0)),-(AL196-AL197)/AL196*AM196),0),0)+IF(TbTradesBinance[[#This Row],[Tipo]]="SELL",IF(ISNUMBER(FIND(MID(AM$1,10,5),TbTradesBinance[[#This Row],[Par]])),IF(FIND(MID(AM$1,10,5),TbTradesBinance[[#This Row],[Par]])=1, -(AL196-AL197)/AL196*AM196,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Row],[Par]])),(-(AL196-AL197)/AL196*AM196)+IF(TbTradesBinance[[#This Row],[Resultado]]&gt;0,0,TbTradesBinance[[#This Row],[Taxa]]),0),0))</f>
        <v>0</v>
      </c>
      <c r="AN197" s="145">
        <f t="shared" si="66"/>
        <v>0</v>
      </c>
      <c r="AO19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Row],[Tipo]]="DROP"),AO196+TbTradesBinance[[#This Row],[Qtt]],AO196-TbTradesBinance[[#This Row],[Qtt]]),IF(TbTradesBinance[[#This Row],[Tipo]]="BUY",AO196-TbTradesBinance[[#This Row],[Qtt]]*TbTradesBinance[[#This Row],[Preço]],AO196+TbTradesBinance[[#This Row],[Qtt]]*TbTradesBinance[[#This Row],[Preço]])),AO196)-IF(TbTradesBinance[[#This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Row],[Tipo]]="DROP"),AO196+TbTradesBinance[[#This Row],[Qtt]],AO196-TbTradesBinance[[#This Row],[Qtt]]),IF(TbTradesBinance[[#This Row],[Tipo]]="BUY",AO196-TbTradesBinance[[#This Row],[Qtt]]*TbTradesBinance[[#This Row],[Preço]],AO196+TbTradesBinance[[#This Row],[Qtt]]*TbTradesBinance[[#This Row],[Preço]])),AO196)-IF(TbTradesBinance[[#This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Row],[Tipo]]="DROP"),AO196+TbTradesBinance[[#This Row],[Qtt]],AO196-TbTradesBinance[[#This Row],[Qtt]]),IF(TbTradesBinance[[#This Row],[Tipo]]="BUY",AO196-TbTradesBinance[[#This Row],[Qtt]]*TbTradesBinance[[#This Row],[Preço]],AO196+TbTradesBinance[[#This Row],[Qtt]]*TbTradesBinance[[#This Row],[Preço]])),AO196)-IF(TbTradesBinance[[#This Row],[Moeda da Taxa]]=MID(AO$1,9,5),TbTradesBinance[[#This Row],[Taxa]],0),8)))</f>
        <v>3.83405E-2</v>
      </c>
      <c r="AP197" s="145" cm="1">
        <f t="array" ref="AP197">IF(TbTradesBinance[[#This Row],[Tipo]]="EMPTY",0,AP196+IF(TbTradesBinance[[#This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Row],[Par]]))),$1:$1,0)),-(AO196-AO197)/AO196*AP196),0),0)+IF(TbTradesBinance[[#This Row],[Tipo]]="SELL",IF(ISNUMBER(FIND(MID(AP$1,10,5),TbTradesBinance[[#This Row],[Par]])),IF(FIND(MID(AP$1,10,5),TbTradesBinance[[#This Row],[Par]])=1, -(AO196-AO197)/AO196*AP196,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Row],[Par]])),(-(AO196-AO197)/AO196*AP196)+IF(TbTradesBinance[[#This Row],[Resultado]]&gt;0,0,TbTradesBinance[[#This Row],[Taxa]]),0),0))</f>
        <v>60.349858055862811</v>
      </c>
      <c r="AQ197" s="145">
        <f t="shared" si="67"/>
        <v>1574.0498443124845</v>
      </c>
      <c r="AR19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Row],[Tipo]]="DROP"),AR196+TbTradesBinance[[#This Row],[Qtt]],AR196-TbTradesBinance[[#This Row],[Qtt]]),IF(TbTradesBinance[[#This Row],[Tipo]]="BUY",AR196-TbTradesBinance[[#This Row],[Qtt]]*TbTradesBinance[[#This Row],[Preço]],AR196+TbTradesBinance[[#This Row],[Qtt]]*TbTradesBinance[[#This Row],[Preço]])),AR196)-IF(TbTradesBinance[[#This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Row],[Tipo]]="DROP"),AR196+TbTradesBinance[[#This Row],[Qtt]],AR196-TbTradesBinance[[#This Row],[Qtt]]),IF(TbTradesBinance[[#This Row],[Tipo]]="BUY",AR196-TbTradesBinance[[#This Row],[Qtt]]*TbTradesBinance[[#This Row],[Preço]],AR196+TbTradesBinance[[#This Row],[Qtt]]*TbTradesBinance[[#This Row],[Preço]])),AR196)-IF(TbTradesBinance[[#This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Row],[Tipo]]="DROP"),AR196+TbTradesBinance[[#This Row],[Qtt]],AR196-TbTradesBinance[[#This Row],[Qtt]]),IF(TbTradesBinance[[#This Row],[Tipo]]="BUY",AR196-TbTradesBinance[[#This Row],[Qtt]]*TbTradesBinance[[#This Row],[Preço]],AR196+TbTradesBinance[[#This Row],[Qtt]]*TbTradesBinance[[#This Row],[Preço]])),AR196)-IF(TbTradesBinance[[#This Row],[Moeda da Taxa]]=MID(AR$1,9,5),TbTradesBinance[[#This Row],[Taxa]],0),8)))</f>
        <v>0</v>
      </c>
      <c r="AS197" s="145" cm="1">
        <f t="array" ref="AS197">IF(TbTradesBinance[[#This Row],[Tipo]]="EMPTY",0,AS196+IF(TbTradesBinance[[#This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Row],[Par]]))),$1:$1,0)),-(AR196-AR197)/AR196*AS196),0),0)+IF(TbTradesBinance[[#This Row],[Tipo]]="SELL",IF(ISNUMBER(FIND(MID(AS$1,10,5),TbTradesBinance[[#This Row],[Par]])),IF(FIND(MID(AS$1,10,5),TbTradesBinance[[#This Row],[Par]])=1, -(AR196-AR197)/AR196*AS196,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Row],[Par]])),(-(AR196-AR197)/AR196*AS196)+IF(TbTradesBinance[[#This Row],[Resultado]]&gt;0,0,TbTradesBinance[[#This Row],[Taxa]]),0),0))</f>
        <v>0</v>
      </c>
      <c r="AT197" s="145">
        <f t="shared" si="68"/>
        <v>0</v>
      </c>
      <c r="AU19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Row],[Tipo]]="DROP"),AU196+TbTradesBinance[[#This Row],[Qtt]],AU196-TbTradesBinance[[#This Row],[Qtt]]),IF(TbTradesBinance[[#This Row],[Tipo]]="BUY",AU196-TbTradesBinance[[#This Row],[Qtt]]*TbTradesBinance[[#This Row],[Preço]],AU196+TbTradesBinance[[#This Row],[Qtt]]*TbTradesBinance[[#This Row],[Preço]])),AU196)-IF(TbTradesBinance[[#This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Row],[Tipo]]="DROP"),AU196+TbTradesBinance[[#This Row],[Qtt]],AU196-TbTradesBinance[[#This Row],[Qtt]]),IF(TbTradesBinance[[#This Row],[Tipo]]="BUY",AU196-TbTradesBinance[[#This Row],[Qtt]]*TbTradesBinance[[#This Row],[Preço]],AU196+TbTradesBinance[[#This Row],[Qtt]]*TbTradesBinance[[#This Row],[Preço]])),AU196)-IF(TbTradesBinance[[#This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Row],[Tipo]]="DROP"),AU196+TbTradesBinance[[#This Row],[Qtt]],AU196-TbTradesBinance[[#This Row],[Qtt]]),IF(TbTradesBinance[[#This Row],[Tipo]]="BUY",AU196-TbTradesBinance[[#This Row],[Qtt]]*TbTradesBinance[[#This Row],[Preço]],AU196+TbTradesBinance[[#This Row],[Qtt]]*TbTradesBinance[[#This Row],[Preço]])),AU196)-IF(TbTradesBinance[[#This Row],[Moeda da Taxa]]=MID(AU$1,9,5),TbTradesBinance[[#This Row],[Taxa]],0),8)))</f>
        <v>0.51</v>
      </c>
      <c r="AV197" s="145" cm="1">
        <f t="array" ref="AV197">IF(TbTradesBinance[[#This Row],[Tipo]]="EMPTY",0,AV196+IF(TbTradesBinance[[#This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Row],[Par]]))),$1:$1,0)),-(AU196-AU197)/AU196*AV196),0),0)+IF(TbTradesBinance[[#This Row],[Tipo]]="SELL",IF(ISNUMBER(FIND(MID(AV$1,10,5),TbTradesBinance[[#This Row],[Par]])),IF(FIND(MID(AV$1,10,5),TbTradesBinance[[#This Row],[Par]])=1, -(AU196-AU197)/AU196*AV196,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Row],[Par]])),(-(AU196-AU197)/AU196*AV196)+IF(TbTradesBinance[[#This Row],[Resultado]]&gt;0,0,TbTradesBinance[[#This Row],[Taxa]]),0),0))</f>
        <v>95.466693037374753</v>
      </c>
      <c r="AW197" s="145">
        <f t="shared" si="69"/>
        <v>187.18959419093088</v>
      </c>
      <c r="AX19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Row],[Tipo]]="DROP"),AX196+TbTradesBinance[[#This Row],[Qtt]],AX196-TbTradesBinance[[#This Row],[Qtt]]),IF(TbTradesBinance[[#This Row],[Tipo]]="BUY",AX196-TbTradesBinance[[#This Row],[Qtt]]*TbTradesBinance[[#This Row],[Preço]],AX196+TbTradesBinance[[#This Row],[Qtt]]*TbTradesBinance[[#This Row],[Preço]])),AX196)-IF(TbTradesBinance[[#This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Row],[Tipo]]="DROP"),AX196+TbTradesBinance[[#This Row],[Qtt]],AX196-TbTradesBinance[[#This Row],[Qtt]]),IF(TbTradesBinance[[#This Row],[Tipo]]="BUY",AX196-TbTradesBinance[[#This Row],[Qtt]]*TbTradesBinance[[#This Row],[Preço]],AX196+TbTradesBinance[[#This Row],[Qtt]]*TbTradesBinance[[#This Row],[Preço]])),AX196)-IF(TbTradesBinance[[#This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Row],[Tipo]]="DROP"),AX196+TbTradesBinance[[#This Row],[Qtt]],AX196-TbTradesBinance[[#This Row],[Qtt]]),IF(TbTradesBinance[[#This Row],[Tipo]]="BUY",AX196-TbTradesBinance[[#This Row],[Qtt]]*TbTradesBinance[[#This Row],[Preço]],AX196+TbTradesBinance[[#This Row],[Qtt]]*TbTradesBinance[[#This Row],[Preço]])),AX196)-IF(TbTradesBinance[[#This Row],[Moeda da Taxa]]=MID(AX$1,9,5),TbTradesBinance[[#This Row],[Taxa]],0),8)))</f>
        <v>0.32838000000000001</v>
      </c>
      <c r="AY197" s="145" cm="1">
        <f t="array" ref="AY197">IF(TbTradesBinance[[#This Row],[Tipo]]="EMPTY",0,AY196+IF(TbTradesBinance[[#This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Row],[Par]]))),$1:$1,0)),-(AX196-AX197)/AX196*AY196),0),0)+IF(TbTradesBinance[[#This Row],[Tipo]]="SELL",IF(ISNUMBER(FIND(MID(AY$1,10,5),TbTradesBinance[[#This Row],[Par]])),IF(FIND(MID(AY$1,10,5),TbTradesBinance[[#This Row],[Par]])=1, -(AX196-AX197)/AX196*AY196,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Row],[Par]])),(-(AX196-AX197)/AX196*AY196)+IF(TbTradesBinance[[#This Row],[Resultado]]&gt;0,0,TbTradesBinance[[#This Row],[Taxa]]),0),0))</f>
        <v>61.364116058805678</v>
      </c>
      <c r="AZ197" s="145">
        <f t="shared" si="70"/>
        <v>186.869224857804</v>
      </c>
      <c r="BA19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Row],[Tipo]]="DROP"),BA196+TbTradesBinance[[#This Row],[Qtt]],BA196-TbTradesBinance[[#This Row],[Qtt]]),IF(TbTradesBinance[[#This Row],[Tipo]]="BUY",BA196-TbTradesBinance[[#This Row],[Qtt]]*TbTradesBinance[[#This Row],[Preço]],BA196+TbTradesBinance[[#This Row],[Qtt]]*TbTradesBinance[[#This Row],[Preço]])),BA196)-IF(TbTradesBinance[[#This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Row],[Tipo]]="DROP"),BA196+TbTradesBinance[[#This Row],[Qtt]],BA196-TbTradesBinance[[#This Row],[Qtt]]),IF(TbTradesBinance[[#This Row],[Tipo]]="BUY",BA196-TbTradesBinance[[#This Row],[Qtt]]*TbTradesBinance[[#This Row],[Preço]],BA196+TbTradesBinance[[#This Row],[Qtt]]*TbTradesBinance[[#This Row],[Preço]])),BA196)-IF(TbTradesBinance[[#This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Row],[Tipo]]="DROP"),BA196+TbTradesBinance[[#This Row],[Qtt]],BA196-TbTradesBinance[[#This Row],[Qtt]]),IF(TbTradesBinance[[#This Row],[Tipo]]="BUY",BA196-TbTradesBinance[[#This Row],[Qtt]]*TbTradesBinance[[#This Row],[Preço]],BA196+TbTradesBinance[[#This Row],[Qtt]]*TbTradesBinance[[#This Row],[Preço]])),BA196)-IF(TbTradesBinance[[#This Row],[Moeda da Taxa]]=MID(BA$1,9,5),TbTradesBinance[[#This Row],[Taxa]],0),8)))</f>
        <v>0</v>
      </c>
      <c r="BB197" s="145" cm="1">
        <f t="array" ref="BB197">IF(TbTradesBinance[[#This Row],[Tipo]]="EMPTY",0,BB196+IF(TbTradesBinance[[#This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Row],[Par]]))),$1:$1,0)),-(BA196-BA197)/BA196*BB196),0),0)+IF(TbTradesBinance[[#This Row],[Tipo]]="SELL",IF(ISNUMBER(FIND(MID(BB$1,10,5),TbTradesBinance[[#This Row],[Par]])),IF(FIND(MID(BB$1,10,5),TbTradesBinance[[#This Row],[Par]])=1, -(BA196-BA197)/BA196*BB196,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Row],[Par]])),(-(BA196-BA197)/BA196*BB196)+IF(TbTradesBinance[[#This Row],[Resultado]]&gt;0,0,TbTradesBinance[[#This Row],[Taxa]]),0),0))</f>
        <v>0</v>
      </c>
      <c r="BC197" s="145">
        <f t="shared" si="71"/>
        <v>0</v>
      </c>
      <c r="BD19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Row],[Tipo]]="DROP"),BD196+TbTradesBinance[[#This Row],[Qtt]],BD196-TbTradesBinance[[#This Row],[Qtt]]),IF(TbTradesBinance[[#This Row],[Tipo]]="BUY",BD196-TbTradesBinance[[#This Row],[Qtt]]*TbTradesBinance[[#This Row],[Preço]],BD196+TbTradesBinance[[#This Row],[Qtt]]*TbTradesBinance[[#This Row],[Preço]])),BD196)-IF(TbTradesBinance[[#This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Row],[Tipo]]="DROP"),BD196+TbTradesBinance[[#This Row],[Qtt]],BD196-TbTradesBinance[[#This Row],[Qtt]]),IF(TbTradesBinance[[#This Row],[Tipo]]="BUY",BD196-TbTradesBinance[[#This Row],[Qtt]]*TbTradesBinance[[#This Row],[Preço]],BD196+TbTradesBinance[[#This Row],[Qtt]]*TbTradesBinance[[#This Row],[Preço]])),BD196)-IF(TbTradesBinance[[#This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Row],[Tipo]]="DROP"),BD196+TbTradesBinance[[#This Row],[Qtt]],BD196-TbTradesBinance[[#This Row],[Qtt]]),IF(TbTradesBinance[[#This Row],[Tipo]]="BUY",BD196-TbTradesBinance[[#This Row],[Qtt]]*TbTradesBinance[[#This Row],[Preço]],BD196+TbTradesBinance[[#This Row],[Qtt]]*TbTradesBinance[[#This Row],[Preço]])),BD196)-IF(TbTradesBinance[[#This Row],[Moeda da Taxa]]=MID(BD$1,9,5),TbTradesBinance[[#This Row],[Taxa]],0),8)))</f>
        <v>0</v>
      </c>
      <c r="BE197" s="145" cm="1">
        <f t="array" ref="BE197">IF(TbTradesBinance[[#This Row],[Tipo]]="EMPTY",0,BE196+IF(TbTradesBinance[[#This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Row],[Par]]))),$1:$1,0)),-(BD196-BD197)/BD196*BE196),0),0)+IF(TbTradesBinance[[#This Row],[Tipo]]="SELL",IF(ISNUMBER(FIND(MID(BE$1,10,5),TbTradesBinance[[#This Row],[Par]])),IF(FIND(MID(BE$1,10,5),TbTradesBinance[[#This Row],[Par]])=1, -(BD196-BD197)/BD196*BE196,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Row],[Par]])),(-(BD196-BD197)/BD196*BE196)+IF(TbTradesBinance[[#This Row],[Resultado]]&gt;0,0,TbTradesBinance[[#This Row],[Taxa]]),0),0))</f>
        <v>0</v>
      </c>
      <c r="BF197" s="145">
        <f t="shared" si="72"/>
        <v>0</v>
      </c>
      <c r="BG19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Row],[Tipo]]="DROP"),BG196+TbTradesBinance[[#This Row],[Qtt]],BG196-TbTradesBinance[[#This Row],[Qtt]]),IF(TbTradesBinance[[#This Row],[Tipo]]="BUY",BG196-TbTradesBinance[[#This Row],[Qtt]]*TbTradesBinance[[#This Row],[Preço]],BG196+TbTradesBinance[[#This Row],[Qtt]]*TbTradesBinance[[#This Row],[Preço]])),BG196)-IF(TbTradesBinance[[#This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Row],[Tipo]]="DROP"),BG196+TbTradesBinance[[#This Row],[Qtt]],BG196-TbTradesBinance[[#This Row],[Qtt]]),IF(TbTradesBinance[[#This Row],[Tipo]]="BUY",BG196-TbTradesBinance[[#This Row],[Qtt]]*TbTradesBinance[[#This Row],[Preço]],BG196+TbTradesBinance[[#This Row],[Qtt]]*TbTradesBinance[[#This Row],[Preço]])),BG196)-IF(TbTradesBinance[[#This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Row],[Tipo]]="DROP"),BG196+TbTradesBinance[[#This Row],[Qtt]],BG196-TbTradesBinance[[#This Row],[Qtt]]),IF(TbTradesBinance[[#This Row],[Tipo]]="BUY",BG196-TbTradesBinance[[#This Row],[Qtt]]*TbTradesBinance[[#This Row],[Preço]],BG196+TbTradesBinance[[#This Row],[Qtt]]*TbTradesBinance[[#This Row],[Preço]])),BG196)-IF(TbTradesBinance[[#This Row],[Moeda da Taxa]]=MID(BG$1,9,5),TbTradesBinance[[#This Row],[Taxa]],0),8)))</f>
        <v>0</v>
      </c>
      <c r="BH197" s="145" cm="1">
        <f t="array" ref="BH197">IF(TbTradesBinance[[#This Row],[Tipo]]="EMPTY",0,BH196+IF(TbTradesBinance[[#This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Row],[Par]]))),$1:$1,0)),-(BG196-BG197)/BG196*BH196),0),0)+IF(TbTradesBinance[[#This Row],[Tipo]]="SELL",IF(ISNUMBER(FIND(MID(BH$1,10,5),TbTradesBinance[[#This Row],[Par]])),IF(FIND(MID(BH$1,10,5),TbTradesBinance[[#This Row],[Par]])=1, -(BG196-BG197)/BG196*BH196,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Row],[Par]])),(-(BG196-BG197)/BG196*BH196)+IF(TbTradesBinance[[#This Row],[Resultado]]&gt;0,0,TbTradesBinance[[#This Row],[Taxa]]),0),0))</f>
        <v>0</v>
      </c>
      <c r="BI197" s="145">
        <f t="shared" si="73"/>
        <v>0</v>
      </c>
      <c r="BJ19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Row],[Tipo]]="DROP"),BJ196+TbTradesBinance[[#This Row],[Qtt]],BJ196-TbTradesBinance[[#This Row],[Qtt]]),IF(TbTradesBinance[[#This Row],[Tipo]]="BUY",BJ196-TbTradesBinance[[#This Row],[Qtt]]*TbTradesBinance[[#This Row],[Preço]],BJ196+TbTradesBinance[[#This Row],[Qtt]]*TbTradesBinance[[#This Row],[Preço]])),BJ196)-IF(TbTradesBinance[[#This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Row],[Tipo]]="DROP"),BJ196+TbTradesBinance[[#This Row],[Qtt]],BJ196-TbTradesBinance[[#This Row],[Qtt]]),IF(TbTradesBinance[[#This Row],[Tipo]]="BUY",BJ196-TbTradesBinance[[#This Row],[Qtt]]*TbTradesBinance[[#This Row],[Preço]],BJ196+TbTradesBinance[[#This Row],[Qtt]]*TbTradesBinance[[#This Row],[Preço]])),BJ196)-IF(TbTradesBinance[[#This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Row],[Tipo]]="DROP"),BJ196+TbTradesBinance[[#This Row],[Qtt]],BJ196-TbTradesBinance[[#This Row],[Qtt]]),IF(TbTradesBinance[[#This Row],[Tipo]]="BUY",BJ196-TbTradesBinance[[#This Row],[Qtt]]*TbTradesBinance[[#This Row],[Preço]],BJ196+TbTradesBinance[[#This Row],[Qtt]]*TbTradesBinance[[#This Row],[Preço]])),BJ196)-IF(TbTradesBinance[[#This Row],[Moeda da Taxa]]=MID(BJ$1,9,5),TbTradesBinance[[#This Row],[Taxa]],0),8)))</f>
        <v>0</v>
      </c>
      <c r="BK197" s="145" cm="1">
        <f t="array" ref="BK197">IF(TbTradesBinance[[#This Row],[Tipo]]="EMPTY",0,BK196+IF(TbTradesBinance[[#This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Row],[Par]]))),$1:$1,0)),-(BJ196-BJ197)/BJ196*BK196),0),0)+IF(TbTradesBinance[[#This Row],[Tipo]]="SELL",IF(ISNUMBER(FIND(MID(BK$1,10,5),TbTradesBinance[[#This Row],[Par]])),IF(FIND(MID(BK$1,10,5),TbTradesBinance[[#This Row],[Par]])=1, -(BJ196-BJ197)/BJ196*BK196,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Row],[Par]])),(-(BJ196-BJ197)/BJ196*BK196)+IF(TbTradesBinance[[#This Row],[Resultado]]&gt;0,0,TbTradesBinance[[#This Row],[Taxa]]),0),0))</f>
        <v>0</v>
      </c>
      <c r="BL197" s="145">
        <f t="shared" si="74"/>
        <v>0</v>
      </c>
      <c r="BM19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Row],[Tipo]]="DROP"),BM196+TbTradesBinance[[#This Row],[Qtt]],BM196-TbTradesBinance[[#This Row],[Qtt]]),IF(TbTradesBinance[[#This Row],[Tipo]]="BUY",BM196-TbTradesBinance[[#This Row],[Qtt]]*TbTradesBinance[[#This Row],[Preço]],BM196+TbTradesBinance[[#This Row],[Qtt]]*TbTradesBinance[[#This Row],[Preço]])),BM196)-IF(TbTradesBinance[[#This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Row],[Tipo]]="DROP"),BM196+TbTradesBinance[[#This Row],[Qtt]],BM196-TbTradesBinance[[#This Row],[Qtt]]),IF(TbTradesBinance[[#This Row],[Tipo]]="BUY",BM196-TbTradesBinance[[#This Row],[Qtt]]*TbTradesBinance[[#This Row],[Preço]],BM196+TbTradesBinance[[#This Row],[Qtt]]*TbTradesBinance[[#This Row],[Preço]])),BM196)-IF(TbTradesBinance[[#This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Row],[Tipo]]="DROP"),BM196+TbTradesBinance[[#This Row],[Qtt]],BM196-TbTradesBinance[[#This Row],[Qtt]]),IF(TbTradesBinance[[#This Row],[Tipo]]="BUY",BM196-TbTradesBinance[[#This Row],[Qtt]]*TbTradesBinance[[#This Row],[Preço]],BM196+TbTradesBinance[[#This Row],[Qtt]]*TbTradesBinance[[#This Row],[Preço]])),BM196)-IF(TbTradesBinance[[#This Row],[Moeda da Taxa]]=MID(BM$1,9,5),TbTradesBinance[[#This Row],[Taxa]],0),8)))</f>
        <v>0</v>
      </c>
      <c r="BN197" s="145" cm="1">
        <f t="array" ref="BN197">IF(TbTradesBinance[[#This Row],[Tipo]]="EMPTY",0,BN196+IF(TbTradesBinance[[#This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Row],[Par]]))),$1:$1,0)),-(BM196-BM197)/BM196*BN196),0),0)+IF(TbTradesBinance[[#This Row],[Tipo]]="SELL",IF(ISNUMBER(FIND(MID(BN$1,10,5),TbTradesBinance[[#This Row],[Par]])),IF(FIND(MID(BN$1,10,5),TbTradesBinance[[#This Row],[Par]])=1, -(BM196-BM197)/BM196*BN196,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Row],[Par]])),(-(BM196-BM197)/BM196*BN196)+IF(TbTradesBinance[[#This Row],[Resultado]]&gt;0,0,TbTradesBinance[[#This Row],[Taxa]]),0),0))</f>
        <v>0</v>
      </c>
      <c r="BO197" s="145">
        <f t="shared" si="75"/>
        <v>0</v>
      </c>
    </row>
    <row r="198" spans="2:67" x14ac:dyDescent="0.3">
      <c r="B198" s="51" t="s">
        <v>271</v>
      </c>
      <c r="C198" s="40">
        <f>TRUNC(IF(AND(TbTradesBinance[[#This Row],[Tipo]]="SEND",TbTradesBinance[[#This Row],[Par]]="BRL"),TbTradesBinance[[#This Row],[Qtt]]*(1-P196)-IF(TbTradesBinance[[#This Row],[Moeda da Taxa]]="BRL",TbTradesBinance[[#This Row],[Taxa]],0),0)+IF(AND(TbTradesBinance[[#This Row],[Tipo]]="BURN",TbTradesBinance[[#This Row],[Par]]="BRL"),-TbTradesBinance[[#This Row],[Qtt]]*P196,0),2)</f>
        <v>-11.01</v>
      </c>
      <c r="D198" s="53">
        <v>44362.694872685184</v>
      </c>
      <c r="E198" s="37" t="s">
        <v>50</v>
      </c>
      <c r="F198" s="47" t="s">
        <v>142</v>
      </c>
      <c r="G198" s="38">
        <v>1</v>
      </c>
      <c r="H198" s="38">
        <v>2000</v>
      </c>
      <c r="I198" s="38">
        <v>0</v>
      </c>
      <c r="J198" s="37" t="s">
        <v>50</v>
      </c>
      <c r="K198" s="52">
        <v>1</v>
      </c>
      <c r="L198" s="40">
        <f t="shared" si="57"/>
        <v>1</v>
      </c>
      <c r="M198" s="40">
        <f>IF(OR(TbTradesBinance[[#This Row],[Tipo]]="BUY",TbTradesBinance[[#This Row],[Tipo]]="RECEIVE",TbTradesBinance[[#This Row],[Tipo]]="DROP"),L198*H198,-L198*H198)</f>
        <v>-2000</v>
      </c>
      <c r="N19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Row],[Tipo]]="DROP"),N197+TbTradesBinance[[#This Row],[Qtt]],N197-TbTradesBinance[[#This Row],[Qtt]]),IF(TbTradesBinance[[#This Row],[Tipo]]="BUY",N197-TbTradesBinance[[#This Row],[Qtt]]*TbTradesBinance[[#This Row],[Preço]],N197+TbTradesBinance[[#This Row],[Qtt]]*TbTradesBinance[[#This Row],[Preço]])),N197)-IF(TbTradesBinance[[#This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Row],[Tipo]]="DROP"),N197+TbTradesBinance[[#This Row],[Qtt]],N197-TbTradesBinance[[#This Row],[Qtt]]),IF(TbTradesBinance[[#This Row],[Tipo]]="BUY",N197-TbTradesBinance[[#This Row],[Qtt]]*TbTradesBinance[[#This Row],[Preço]],N197+TbTradesBinance[[#This Row],[Qtt]]*TbTradesBinance[[#This Row],[Preço]])),N197)-IF(TbTradesBinance[[#This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Row],[Tipo]]="DROP"),N197+TbTradesBinance[[#This Row],[Qtt]],N197-TbTradesBinance[[#This Row],[Qtt]]),IF(TbTradesBinance[[#This Row],[Tipo]]="BUY",N197-TbTradesBinance[[#This Row],[Qtt]]*TbTradesBinance[[#This Row],[Preço]],N197+TbTradesBinance[[#This Row],[Qtt]]*TbTradesBinance[[#This Row],[Preço]])),N197)-IF(TbTradesBinance[[#This Row],[Moeda da Taxa]]=MID(N$1,9,5),TbTradesBinance[[#This Row],[Taxa]],0),8)))</f>
        <v>120989.38238681</v>
      </c>
      <c r="O198" s="145" cm="1">
        <f t="array" ref="O198">IF(TbTradesBinance[[#This Row],[Tipo]]="EMPTY",0,O197+IF(TbTradesBinance[[#This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Row],[Par]]))),$1:$1,0)),-(N197-N198)/N197*O197),0),0)+IF(TbTradesBinance[[#This Row],[Tipo]]="SELL",IF(ISNUMBER(FIND(MID(O$1,10,5),TbTradesBinance[[#This Row],[Par]])),IF(FIND(MID(O$1,10,5),TbTradesBinance[[#This Row],[Par]])=1, -(N197-N198)/N197*O197,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Row],[Par]])),(-(N197-N198)/N197*O197)+IF(TbTradesBinance[[#This Row],[Resultado]]&gt;0,0,TbTradesBinance[[#This Row],[Taxa]]),0),0))</f>
        <v>121655.78151816223</v>
      </c>
      <c r="P198" s="145">
        <f t="shared" si="58"/>
        <v>1.0055079141508609</v>
      </c>
      <c r="Q19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Row],[Tipo]]="DROP"),Q197+TbTradesBinance[[#This Row],[Qtt]],Q197-TbTradesBinance[[#This Row],[Qtt]]),IF(TbTradesBinance[[#This Row],[Tipo]]="BUY",Q197-TbTradesBinance[[#This Row],[Qtt]]*TbTradesBinance[[#This Row],[Preço]],Q197+TbTradesBinance[[#This Row],[Qtt]]*TbTradesBinance[[#This Row],[Preço]])),Q197)-IF(TbTradesBinance[[#This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Row],[Tipo]]="DROP"),Q197+TbTradesBinance[[#This Row],[Qtt]],Q197-TbTradesBinance[[#This Row],[Qtt]]),IF(TbTradesBinance[[#This Row],[Tipo]]="BUY",Q197-TbTradesBinance[[#This Row],[Qtt]]*TbTradesBinance[[#This Row],[Preço]],Q197+TbTradesBinance[[#This Row],[Qtt]]*TbTradesBinance[[#This Row],[Preço]])),Q197)-IF(TbTradesBinance[[#This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Row],[Tipo]]="DROP"),Q197+TbTradesBinance[[#This Row],[Qtt]],Q197-TbTradesBinance[[#This Row],[Qtt]]),IF(TbTradesBinance[[#This Row],[Tipo]]="BUY",Q197-TbTradesBinance[[#This Row],[Qtt]]*TbTradesBinance[[#This Row],[Preço]],Q197+TbTradesBinance[[#This Row],[Qtt]]*TbTradesBinance[[#This Row],[Preço]])),Q197)-IF(TbTradesBinance[[#This Row],[Moeda da Taxa]]=MID(Q$1,9,5),TbTradesBinance[[#This Row],[Taxa]],0),8)))</f>
        <v>261.85014310000003</v>
      </c>
      <c r="R198" s="145" cm="1">
        <f t="array" ref="R198">IF(TbTradesBinance[[#This Row],[Tipo]]="EMPTY",0,R197+IF(TbTradesBinance[[#This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Row],[Par]]))),$1:$1,0)),-(Q197-Q198)/Q197*R197),0),0)+IF(TbTradesBinance[[#This Row],[Tipo]]="SELL",IF(ISNUMBER(FIND(MID(R$1,10,5),TbTradesBinance[[#This Row],[Par]])),IF(FIND(MID(R$1,10,5),TbTradesBinance[[#This Row],[Par]])=1, -(Q197-Q198)/Q197*R197,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Row],[Par]])),(-(Q197-Q198)/Q197*R197)+IF(TbTradesBinance[[#This Row],[Resultado]]&gt;0,0,TbTradesBinance[[#This Row],[Taxa]]),0),0))</f>
        <v>1332.0852743422727</v>
      </c>
      <c r="S198" s="145">
        <f t="shared" si="59"/>
        <v>5.0872046834572551</v>
      </c>
      <c r="T19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Row],[Tipo]]="DROP"),T197+TbTradesBinance[[#This Row],[Qtt]],T197-TbTradesBinance[[#This Row],[Qtt]]),IF(TbTradesBinance[[#This Row],[Tipo]]="BUY",T197-TbTradesBinance[[#This Row],[Qtt]]*TbTradesBinance[[#This Row],[Preço]],T197+TbTradesBinance[[#This Row],[Qtt]]*TbTradesBinance[[#This Row],[Preço]])),T197)-IF(TbTradesBinance[[#This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Row],[Tipo]]="DROP"),T197+TbTradesBinance[[#This Row],[Qtt]],T197-TbTradesBinance[[#This Row],[Qtt]]),IF(TbTradesBinance[[#This Row],[Tipo]]="BUY",T197-TbTradesBinance[[#This Row],[Qtt]]*TbTradesBinance[[#This Row],[Preço]],T197+TbTradesBinance[[#This Row],[Qtt]]*TbTradesBinance[[#This Row],[Preço]])),T197)-IF(TbTradesBinance[[#This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Row],[Tipo]]="DROP"),T197+TbTradesBinance[[#This Row],[Qtt]],T197-TbTradesBinance[[#This Row],[Qtt]]),IF(TbTradesBinance[[#This Row],[Tipo]]="BUY",T197-TbTradesBinance[[#This Row],[Qtt]]*TbTradesBinance[[#This Row],[Preço]],T197+TbTradesBinance[[#This Row],[Qtt]]*TbTradesBinance[[#This Row],[Preço]])),T197)-IF(TbTradesBinance[[#This Row],[Moeda da Taxa]]=MID(T$1,9,5),TbTradesBinance[[#This Row],[Taxa]],0),8)))</f>
        <v>101223913.720009</v>
      </c>
      <c r="U198" s="145" cm="1">
        <f t="array" ref="U198">IF(TbTradesBinance[[#This Row],[Tipo]]="EMPTY",0,U197+IF(TbTradesBinance[[#This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Row],[Par]]))),$1:$1,0)),-(T197-T198)/T197*U197),0),0)+IF(TbTradesBinance[[#This Row],[Tipo]]="SELL",IF(ISNUMBER(FIND(MID(U$1,10,5),TbTradesBinance[[#This Row],[Par]])),IF(FIND(MID(U$1,10,5),TbTradesBinance[[#This Row],[Par]])=1, -(T197-T198)/T197*U197,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Row],[Par]])),(-(T197-T198)/T197*U197)+IF(TbTradesBinance[[#This Row],[Resultado]]&gt;0,0,TbTradesBinance[[#This Row],[Taxa]]),0),0))</f>
        <v>617586601.27364206</v>
      </c>
      <c r="V198" s="145">
        <f t="shared" si="60"/>
        <v>6.1011926784605572</v>
      </c>
      <c r="W19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Row],[Tipo]]="DROP"),W197+TbTradesBinance[[#This Row],[Qtt]],W197-TbTradesBinance[[#This Row],[Qtt]]),IF(TbTradesBinance[[#This Row],[Tipo]]="BUY",W197-TbTradesBinance[[#This Row],[Qtt]]*TbTradesBinance[[#This Row],[Preço]],W197+TbTradesBinance[[#This Row],[Qtt]]*TbTradesBinance[[#This Row],[Preço]])),W197)-IF(TbTradesBinance[[#This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Row],[Tipo]]="DROP"),W197+TbTradesBinance[[#This Row],[Qtt]],W197-TbTradesBinance[[#This Row],[Qtt]]),IF(TbTradesBinance[[#This Row],[Tipo]]="BUY",W197-TbTradesBinance[[#This Row],[Qtt]]*TbTradesBinance[[#This Row],[Preço]],W197+TbTradesBinance[[#This Row],[Qtt]]*TbTradesBinance[[#This Row],[Preço]])),W197)-IF(TbTradesBinance[[#This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Row],[Tipo]]="DROP"),W197+TbTradesBinance[[#This Row],[Qtt]],W197-TbTradesBinance[[#This Row],[Qtt]]),IF(TbTradesBinance[[#This Row],[Tipo]]="BUY",W197-TbTradesBinance[[#This Row],[Qtt]]*TbTradesBinance[[#This Row],[Preço]],W197+TbTradesBinance[[#This Row],[Qtt]]*TbTradesBinance[[#This Row],[Preço]])),W197)-IF(TbTradesBinance[[#This Row],[Moeda da Taxa]]=MID(W$1,9,5),TbTradesBinance[[#This Row],[Taxa]],0),8)))</f>
        <v>2.2399E-4</v>
      </c>
      <c r="X198" s="145" cm="1">
        <f t="array" ref="X198">IF(TbTradesBinance[[#This Row],[Tipo]]="EMPTY",0,X197+IF(TbTradesBinance[[#This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Row],[Par]]))),$1:$1,0)),-(W197-W198)/W197*X197),0),0)+IF(TbTradesBinance[[#This Row],[Tipo]]="SELL",IF(ISNUMBER(FIND(MID(X$1,10,5),TbTradesBinance[[#This Row],[Par]])),IF(FIND(MID(X$1,10,5),TbTradesBinance[[#This Row],[Par]])=1, -(W197-W198)/W197*X197,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Row],[Par]])),(-(W197-W198)/W197*X197)+IF(TbTradesBinance[[#This Row],[Resultado]]&gt;0,0,TbTradesBinance[[#This Row],[Taxa]]),0),0))</f>
        <v>42.35431383506095</v>
      </c>
      <c r="Y198" s="145">
        <f t="shared" si="61"/>
        <v>189090.19971900954</v>
      </c>
      <c r="Z19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Row],[Tipo]]="DROP"),Z197+TbTradesBinance[[#This Row],[Qtt]],Z197-TbTradesBinance[[#This Row],[Qtt]]),IF(TbTradesBinance[[#This Row],[Tipo]]="BUY",Z197-TbTradesBinance[[#This Row],[Qtt]]*TbTradesBinance[[#This Row],[Preço]],Z197+TbTradesBinance[[#This Row],[Qtt]]*TbTradesBinance[[#This Row],[Preço]])),Z197)-IF(TbTradesBinance[[#This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Row],[Tipo]]="DROP"),Z197+TbTradesBinance[[#This Row],[Qtt]],Z197-TbTradesBinance[[#This Row],[Qtt]]),IF(TbTradesBinance[[#This Row],[Tipo]]="BUY",Z197-TbTradesBinance[[#This Row],[Qtt]]*TbTradesBinance[[#This Row],[Preço]],Z197+TbTradesBinance[[#This Row],[Qtt]]*TbTradesBinance[[#This Row],[Preço]])),Z197)-IF(TbTradesBinance[[#This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Row],[Tipo]]="DROP"),Z197+TbTradesBinance[[#This Row],[Qtt]],Z197-TbTradesBinance[[#This Row],[Qtt]]),IF(TbTradesBinance[[#This Row],[Tipo]]="BUY",Z197-TbTradesBinance[[#This Row],[Qtt]]*TbTradesBinance[[#This Row],[Preço]],Z197+TbTradesBinance[[#This Row],[Qtt]]*TbTradesBinance[[#This Row],[Preço]])),Z197)-IF(TbTradesBinance[[#This Row],[Moeda da Taxa]]=MID(Z$1,9,5),TbTradesBinance[[#This Row],[Taxa]],0),8)))</f>
        <v>0</v>
      </c>
      <c r="AA198" s="145" cm="1">
        <f t="array" ref="AA198">IF(TbTradesBinance[[#This Row],[Tipo]]="EMPTY",0,AA197+IF(TbTradesBinance[[#This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Row],[Par]]))),$1:$1,0)),-(Z197-Z198)/Z197*AA197),0),0)+IF(TbTradesBinance[[#This Row],[Tipo]]="SELL",IF(ISNUMBER(FIND(MID(AA$1,10,5),TbTradesBinance[[#This Row],[Par]])),IF(FIND(MID(AA$1,10,5),TbTradesBinance[[#This Row],[Par]])=1, -(Z197-Z198)/Z197*AA197,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Row],[Par]])),(-(Z197-Z198)/Z197*AA197)+IF(TbTradesBinance[[#This Row],[Resultado]]&gt;0,0,TbTradesBinance[[#This Row],[Taxa]]),0),0))</f>
        <v>0</v>
      </c>
      <c r="AB198" s="145">
        <f t="shared" si="62"/>
        <v>0</v>
      </c>
      <c r="AC19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Row],[Tipo]]="DROP"),AC197+TbTradesBinance[[#This Row],[Qtt]],AC197-TbTradesBinance[[#This Row],[Qtt]]),IF(TbTradesBinance[[#This Row],[Tipo]]="BUY",AC197-TbTradesBinance[[#This Row],[Qtt]]*TbTradesBinance[[#This Row],[Preço]],AC197+TbTradesBinance[[#This Row],[Qtt]]*TbTradesBinance[[#This Row],[Preço]])),AC197)-IF(TbTradesBinance[[#This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Row],[Tipo]]="DROP"),AC197+TbTradesBinance[[#This Row],[Qtt]],AC197-TbTradesBinance[[#This Row],[Qtt]]),IF(TbTradesBinance[[#This Row],[Tipo]]="BUY",AC197-TbTradesBinance[[#This Row],[Qtt]]*TbTradesBinance[[#This Row],[Preço]],AC197+TbTradesBinance[[#This Row],[Qtt]]*TbTradesBinance[[#This Row],[Preço]])),AC197)-IF(TbTradesBinance[[#This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Row],[Tipo]]="DROP"),AC197+TbTradesBinance[[#This Row],[Qtt]],AC197-TbTradesBinance[[#This Row],[Qtt]]),IF(TbTradesBinance[[#This Row],[Tipo]]="BUY",AC197-TbTradesBinance[[#This Row],[Qtt]]*TbTradesBinance[[#This Row],[Preço]],AC197+TbTradesBinance[[#This Row],[Qtt]]*TbTradesBinance[[#This Row],[Preço]])),AC197)-IF(TbTradesBinance[[#This Row],[Moeda da Taxa]]=MID(AC$1,9,5),TbTradesBinance[[#This Row],[Taxa]],0),8)))</f>
        <v>0</v>
      </c>
      <c r="AD198" s="145" cm="1">
        <f t="array" ref="AD198">IF(TbTradesBinance[[#This Row],[Tipo]]="EMPTY",0,AD197+IF(TbTradesBinance[[#This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Row],[Par]]))),$1:$1,0)),-(AC197-AC198)/AC197*AD197),0),0)+IF(TbTradesBinance[[#This Row],[Tipo]]="SELL",IF(ISNUMBER(FIND(MID(AD$1,10,5),TbTradesBinance[[#This Row],[Par]])),IF(FIND(MID(AD$1,10,5),TbTradesBinance[[#This Row],[Par]])=1, -(AC197-AC198)/AC197*AD197,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Row],[Par]])),(-(AC197-AC198)/AC197*AD197)+IF(TbTradesBinance[[#This Row],[Resultado]]&gt;0,0,TbTradesBinance[[#This Row],[Taxa]]),0),0))</f>
        <v>0</v>
      </c>
      <c r="AE198" s="145">
        <f t="shared" si="63"/>
        <v>0</v>
      </c>
      <c r="AF19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Row],[Tipo]]="DROP"),AF197+TbTradesBinance[[#This Row],[Qtt]],AF197-TbTradesBinance[[#This Row],[Qtt]]),IF(TbTradesBinance[[#This Row],[Tipo]]="BUY",AF197-TbTradesBinance[[#This Row],[Qtt]]*TbTradesBinance[[#This Row],[Preço]],AF197+TbTradesBinance[[#This Row],[Qtt]]*TbTradesBinance[[#This Row],[Preço]])),AF197)-IF(TbTradesBinance[[#This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Row],[Tipo]]="DROP"),AF197+TbTradesBinance[[#This Row],[Qtt]],AF197-TbTradesBinance[[#This Row],[Qtt]]),IF(TbTradesBinance[[#This Row],[Tipo]]="BUY",AF197-TbTradesBinance[[#This Row],[Qtt]]*TbTradesBinance[[#This Row],[Preço]],AF197+TbTradesBinance[[#This Row],[Qtt]]*TbTradesBinance[[#This Row],[Preço]])),AF197)-IF(TbTradesBinance[[#This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Row],[Tipo]]="DROP"),AF197+TbTradesBinance[[#This Row],[Qtt]],AF197-TbTradesBinance[[#This Row],[Qtt]]),IF(TbTradesBinance[[#This Row],[Tipo]]="BUY",AF197-TbTradesBinance[[#This Row],[Qtt]]*TbTradesBinance[[#This Row],[Preço]],AF197+TbTradesBinance[[#This Row],[Qtt]]*TbTradesBinance[[#This Row],[Preço]])),AF197)-IF(TbTradesBinance[[#This Row],[Moeda da Taxa]]=MID(AF$1,9,5),TbTradesBinance[[#This Row],[Taxa]],0),8)))</f>
        <v>0</v>
      </c>
      <c r="AG198" s="145" cm="1">
        <f t="array" ref="AG198">IF(TbTradesBinance[[#This Row],[Tipo]]="EMPTY",0,AG197+IF(TbTradesBinance[[#This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Row],[Par]]))),$1:$1,0)),-(AF197-AF198)/AF197*AG197),0),0)+IF(TbTradesBinance[[#This Row],[Tipo]]="SELL",IF(ISNUMBER(FIND(MID(AG$1,10,5),TbTradesBinance[[#This Row],[Par]])),IF(FIND(MID(AG$1,10,5),TbTradesBinance[[#This Row],[Par]])=1, -(AF197-AF198)/AF197*AG197,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Row],[Par]])),(-(AF197-AF198)/AF197*AG197)+IF(TbTradesBinance[[#This Row],[Resultado]]&gt;0,0,TbTradesBinance[[#This Row],[Taxa]]),0),0))</f>
        <v>0</v>
      </c>
      <c r="AH198" s="145">
        <f t="shared" si="64"/>
        <v>0</v>
      </c>
      <c r="AI19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Row],[Tipo]]="DROP"),AI197+TbTradesBinance[[#This Row],[Qtt]],AI197-TbTradesBinance[[#This Row],[Qtt]]),IF(TbTradesBinance[[#This Row],[Tipo]]="BUY",AI197-TbTradesBinance[[#This Row],[Qtt]]*TbTradesBinance[[#This Row],[Preço]],AI197+TbTradesBinance[[#This Row],[Qtt]]*TbTradesBinance[[#This Row],[Preço]])),AI197)-IF(TbTradesBinance[[#This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Row],[Tipo]]="DROP"),AI197+TbTradesBinance[[#This Row],[Qtt]],AI197-TbTradesBinance[[#This Row],[Qtt]]),IF(TbTradesBinance[[#This Row],[Tipo]]="BUY",AI197-TbTradesBinance[[#This Row],[Qtt]]*TbTradesBinance[[#This Row],[Preço]],AI197+TbTradesBinance[[#This Row],[Qtt]]*TbTradesBinance[[#This Row],[Preço]])),AI197)-IF(TbTradesBinance[[#This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Row],[Tipo]]="DROP"),AI197+TbTradesBinance[[#This Row],[Qtt]],AI197-TbTradesBinance[[#This Row],[Qtt]]),IF(TbTradesBinance[[#This Row],[Tipo]]="BUY",AI197-TbTradesBinance[[#This Row],[Qtt]]*TbTradesBinance[[#This Row],[Preço]],AI197+TbTradesBinance[[#This Row],[Qtt]]*TbTradesBinance[[#This Row],[Preço]])),AI197)-IF(TbTradesBinance[[#This Row],[Moeda da Taxa]]=MID(AI$1,9,5),TbTradesBinance[[#This Row],[Taxa]],0),8)))</f>
        <v>0</v>
      </c>
      <c r="AJ198" s="145" cm="1">
        <f t="array" ref="AJ198">IF(TbTradesBinance[[#This Row],[Tipo]]="EMPTY",0,AJ197+IF(TbTradesBinance[[#This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Row],[Par]]))),$1:$1,0)),-(AI197-AI198)/AI197*AJ197),0),0)+IF(TbTradesBinance[[#This Row],[Tipo]]="SELL",IF(ISNUMBER(FIND(MID(AJ$1,10,5),TbTradesBinance[[#This Row],[Par]])),IF(FIND(MID(AJ$1,10,5),TbTradesBinance[[#This Row],[Par]])=1, -(AI197-AI198)/AI197*AJ197,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Row],[Par]])),(-(AI197-AI198)/AI197*AJ197)+IF(TbTradesBinance[[#This Row],[Resultado]]&gt;0,0,TbTradesBinance[[#This Row],[Taxa]]),0),0))</f>
        <v>0</v>
      </c>
      <c r="AK198" s="145">
        <f t="shared" si="65"/>
        <v>0</v>
      </c>
      <c r="AL19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Row],[Tipo]]="DROP"),AL197+TbTradesBinance[[#This Row],[Qtt]],AL197-TbTradesBinance[[#This Row],[Qtt]]),IF(TbTradesBinance[[#This Row],[Tipo]]="BUY",AL197-TbTradesBinance[[#This Row],[Qtt]]*TbTradesBinance[[#This Row],[Preço]],AL197+TbTradesBinance[[#This Row],[Qtt]]*TbTradesBinance[[#This Row],[Preço]])),AL197)-IF(TbTradesBinance[[#This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Row],[Tipo]]="DROP"),AL197+TbTradesBinance[[#This Row],[Qtt]],AL197-TbTradesBinance[[#This Row],[Qtt]]),IF(TbTradesBinance[[#This Row],[Tipo]]="BUY",AL197-TbTradesBinance[[#This Row],[Qtt]]*TbTradesBinance[[#This Row],[Preço]],AL197+TbTradesBinance[[#This Row],[Qtt]]*TbTradesBinance[[#This Row],[Preço]])),AL197)-IF(TbTradesBinance[[#This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Row],[Tipo]]="DROP"),AL197+TbTradesBinance[[#This Row],[Qtt]],AL197-TbTradesBinance[[#This Row],[Qtt]]),IF(TbTradesBinance[[#This Row],[Tipo]]="BUY",AL197-TbTradesBinance[[#This Row],[Qtt]]*TbTradesBinance[[#This Row],[Preço]],AL197+TbTradesBinance[[#This Row],[Qtt]]*TbTradesBinance[[#This Row],[Preço]])),AL197)-IF(TbTradesBinance[[#This Row],[Moeda da Taxa]]=MID(AL$1,9,5),TbTradesBinance[[#This Row],[Taxa]],0),8)))</f>
        <v>0</v>
      </c>
      <c r="AM198" s="145" cm="1">
        <f t="array" ref="AM198">IF(TbTradesBinance[[#This Row],[Tipo]]="EMPTY",0,AM197+IF(TbTradesBinance[[#This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Row],[Par]]))),$1:$1,0)),-(AL197-AL198)/AL197*AM197),0),0)+IF(TbTradesBinance[[#This Row],[Tipo]]="SELL",IF(ISNUMBER(FIND(MID(AM$1,10,5),TbTradesBinance[[#This Row],[Par]])),IF(FIND(MID(AM$1,10,5),TbTradesBinance[[#This Row],[Par]])=1, -(AL197-AL198)/AL197*AM197,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Row],[Par]])),(-(AL197-AL198)/AL197*AM197)+IF(TbTradesBinance[[#This Row],[Resultado]]&gt;0,0,TbTradesBinance[[#This Row],[Taxa]]),0),0))</f>
        <v>0</v>
      </c>
      <c r="AN198" s="145">
        <f t="shared" si="66"/>
        <v>0</v>
      </c>
      <c r="AO19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Row],[Tipo]]="DROP"),AO197+TbTradesBinance[[#This Row],[Qtt]],AO197-TbTradesBinance[[#This Row],[Qtt]]),IF(TbTradesBinance[[#This Row],[Tipo]]="BUY",AO197-TbTradesBinance[[#This Row],[Qtt]]*TbTradesBinance[[#This Row],[Preço]],AO197+TbTradesBinance[[#This Row],[Qtt]]*TbTradesBinance[[#This Row],[Preço]])),AO197)-IF(TbTradesBinance[[#This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Row],[Tipo]]="DROP"),AO197+TbTradesBinance[[#This Row],[Qtt]],AO197-TbTradesBinance[[#This Row],[Qtt]]),IF(TbTradesBinance[[#This Row],[Tipo]]="BUY",AO197-TbTradesBinance[[#This Row],[Qtt]]*TbTradesBinance[[#This Row],[Preço]],AO197+TbTradesBinance[[#This Row],[Qtt]]*TbTradesBinance[[#This Row],[Preço]])),AO197)-IF(TbTradesBinance[[#This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Row],[Tipo]]="DROP"),AO197+TbTradesBinance[[#This Row],[Qtt]],AO197-TbTradesBinance[[#This Row],[Qtt]]),IF(TbTradesBinance[[#This Row],[Tipo]]="BUY",AO197-TbTradesBinance[[#This Row],[Qtt]]*TbTradesBinance[[#This Row],[Preço]],AO197+TbTradesBinance[[#This Row],[Qtt]]*TbTradesBinance[[#This Row],[Preço]])),AO197)-IF(TbTradesBinance[[#This Row],[Moeda da Taxa]]=MID(AO$1,9,5),TbTradesBinance[[#This Row],[Taxa]],0),8)))</f>
        <v>3.83405E-2</v>
      </c>
      <c r="AP198" s="145" cm="1">
        <f t="array" ref="AP198">IF(TbTradesBinance[[#This Row],[Tipo]]="EMPTY",0,AP197+IF(TbTradesBinance[[#This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Row],[Par]]))),$1:$1,0)),-(AO197-AO198)/AO197*AP197),0),0)+IF(TbTradesBinance[[#This Row],[Tipo]]="SELL",IF(ISNUMBER(FIND(MID(AP$1,10,5),TbTradesBinance[[#This Row],[Par]])),IF(FIND(MID(AP$1,10,5),TbTradesBinance[[#This Row],[Par]])=1, -(AO197-AO198)/AO197*AP197,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Row],[Par]])),(-(AO197-AO198)/AO197*AP197)+IF(TbTradesBinance[[#This Row],[Resultado]]&gt;0,0,TbTradesBinance[[#This Row],[Taxa]]),0),0))</f>
        <v>60.349858055862811</v>
      </c>
      <c r="AQ198" s="145">
        <f t="shared" si="67"/>
        <v>1574.0498443124845</v>
      </c>
      <c r="AR19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Row],[Tipo]]="DROP"),AR197+TbTradesBinance[[#This Row],[Qtt]],AR197-TbTradesBinance[[#This Row],[Qtt]]),IF(TbTradesBinance[[#This Row],[Tipo]]="BUY",AR197-TbTradesBinance[[#This Row],[Qtt]]*TbTradesBinance[[#This Row],[Preço]],AR197+TbTradesBinance[[#This Row],[Qtt]]*TbTradesBinance[[#This Row],[Preço]])),AR197)-IF(TbTradesBinance[[#This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Row],[Tipo]]="DROP"),AR197+TbTradesBinance[[#This Row],[Qtt]],AR197-TbTradesBinance[[#This Row],[Qtt]]),IF(TbTradesBinance[[#This Row],[Tipo]]="BUY",AR197-TbTradesBinance[[#This Row],[Qtt]]*TbTradesBinance[[#This Row],[Preço]],AR197+TbTradesBinance[[#This Row],[Qtt]]*TbTradesBinance[[#This Row],[Preço]])),AR197)-IF(TbTradesBinance[[#This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Row],[Tipo]]="DROP"),AR197+TbTradesBinance[[#This Row],[Qtt]],AR197-TbTradesBinance[[#This Row],[Qtt]]),IF(TbTradesBinance[[#This Row],[Tipo]]="BUY",AR197-TbTradesBinance[[#This Row],[Qtt]]*TbTradesBinance[[#This Row],[Preço]],AR197+TbTradesBinance[[#This Row],[Qtt]]*TbTradesBinance[[#This Row],[Preço]])),AR197)-IF(TbTradesBinance[[#This Row],[Moeda da Taxa]]=MID(AR$1,9,5),TbTradesBinance[[#This Row],[Taxa]],0),8)))</f>
        <v>0</v>
      </c>
      <c r="AS198" s="145" cm="1">
        <f t="array" ref="AS198">IF(TbTradesBinance[[#This Row],[Tipo]]="EMPTY",0,AS197+IF(TbTradesBinance[[#This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Row],[Par]]))),$1:$1,0)),-(AR197-AR198)/AR197*AS197),0),0)+IF(TbTradesBinance[[#This Row],[Tipo]]="SELL",IF(ISNUMBER(FIND(MID(AS$1,10,5),TbTradesBinance[[#This Row],[Par]])),IF(FIND(MID(AS$1,10,5),TbTradesBinance[[#This Row],[Par]])=1, -(AR197-AR198)/AR197*AS197,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Row],[Par]])),(-(AR197-AR198)/AR197*AS197)+IF(TbTradesBinance[[#This Row],[Resultado]]&gt;0,0,TbTradesBinance[[#This Row],[Taxa]]),0),0))</f>
        <v>0</v>
      </c>
      <c r="AT198" s="145">
        <f t="shared" si="68"/>
        <v>0</v>
      </c>
      <c r="AU19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Row],[Tipo]]="DROP"),AU197+TbTradesBinance[[#This Row],[Qtt]],AU197-TbTradesBinance[[#This Row],[Qtt]]),IF(TbTradesBinance[[#This Row],[Tipo]]="BUY",AU197-TbTradesBinance[[#This Row],[Qtt]]*TbTradesBinance[[#This Row],[Preço]],AU197+TbTradesBinance[[#This Row],[Qtt]]*TbTradesBinance[[#This Row],[Preço]])),AU197)-IF(TbTradesBinance[[#This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Row],[Tipo]]="DROP"),AU197+TbTradesBinance[[#This Row],[Qtt]],AU197-TbTradesBinance[[#This Row],[Qtt]]),IF(TbTradesBinance[[#This Row],[Tipo]]="BUY",AU197-TbTradesBinance[[#This Row],[Qtt]]*TbTradesBinance[[#This Row],[Preço]],AU197+TbTradesBinance[[#This Row],[Qtt]]*TbTradesBinance[[#This Row],[Preço]])),AU197)-IF(TbTradesBinance[[#This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Row],[Tipo]]="DROP"),AU197+TbTradesBinance[[#This Row],[Qtt]],AU197-TbTradesBinance[[#This Row],[Qtt]]),IF(TbTradesBinance[[#This Row],[Tipo]]="BUY",AU197-TbTradesBinance[[#This Row],[Qtt]]*TbTradesBinance[[#This Row],[Preço]],AU197+TbTradesBinance[[#This Row],[Qtt]]*TbTradesBinance[[#This Row],[Preço]])),AU197)-IF(TbTradesBinance[[#This Row],[Moeda da Taxa]]=MID(AU$1,9,5),TbTradesBinance[[#This Row],[Taxa]],0),8)))</f>
        <v>0.51</v>
      </c>
      <c r="AV198" s="145" cm="1">
        <f t="array" ref="AV198">IF(TbTradesBinance[[#This Row],[Tipo]]="EMPTY",0,AV197+IF(TbTradesBinance[[#This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Row],[Par]]))),$1:$1,0)),-(AU197-AU198)/AU197*AV197),0),0)+IF(TbTradesBinance[[#This Row],[Tipo]]="SELL",IF(ISNUMBER(FIND(MID(AV$1,10,5),TbTradesBinance[[#This Row],[Par]])),IF(FIND(MID(AV$1,10,5),TbTradesBinance[[#This Row],[Par]])=1, -(AU197-AU198)/AU197*AV197,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Row],[Par]])),(-(AU197-AU198)/AU197*AV197)+IF(TbTradesBinance[[#This Row],[Resultado]]&gt;0,0,TbTradesBinance[[#This Row],[Taxa]]),0),0))</f>
        <v>95.466693037374753</v>
      </c>
      <c r="AW198" s="145">
        <f t="shared" si="69"/>
        <v>187.18959419093088</v>
      </c>
      <c r="AX19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Row],[Tipo]]="DROP"),AX197+TbTradesBinance[[#This Row],[Qtt]],AX197-TbTradesBinance[[#This Row],[Qtt]]),IF(TbTradesBinance[[#This Row],[Tipo]]="BUY",AX197-TbTradesBinance[[#This Row],[Qtt]]*TbTradesBinance[[#This Row],[Preço]],AX197+TbTradesBinance[[#This Row],[Qtt]]*TbTradesBinance[[#This Row],[Preço]])),AX197)-IF(TbTradesBinance[[#This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Row],[Tipo]]="DROP"),AX197+TbTradesBinance[[#This Row],[Qtt]],AX197-TbTradesBinance[[#This Row],[Qtt]]),IF(TbTradesBinance[[#This Row],[Tipo]]="BUY",AX197-TbTradesBinance[[#This Row],[Qtt]]*TbTradesBinance[[#This Row],[Preço]],AX197+TbTradesBinance[[#This Row],[Qtt]]*TbTradesBinance[[#This Row],[Preço]])),AX197)-IF(TbTradesBinance[[#This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Row],[Tipo]]="DROP"),AX197+TbTradesBinance[[#This Row],[Qtt]],AX197-TbTradesBinance[[#This Row],[Qtt]]),IF(TbTradesBinance[[#This Row],[Tipo]]="BUY",AX197-TbTradesBinance[[#This Row],[Qtt]]*TbTradesBinance[[#This Row],[Preço]],AX197+TbTradesBinance[[#This Row],[Qtt]]*TbTradesBinance[[#This Row],[Preço]])),AX197)-IF(TbTradesBinance[[#This Row],[Moeda da Taxa]]=MID(AX$1,9,5),TbTradesBinance[[#This Row],[Taxa]],0),8)))</f>
        <v>0.32838000000000001</v>
      </c>
      <c r="AY198" s="145" cm="1">
        <f t="array" ref="AY198">IF(TbTradesBinance[[#This Row],[Tipo]]="EMPTY",0,AY197+IF(TbTradesBinance[[#This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Row],[Par]]))),$1:$1,0)),-(AX197-AX198)/AX197*AY197),0),0)+IF(TbTradesBinance[[#This Row],[Tipo]]="SELL",IF(ISNUMBER(FIND(MID(AY$1,10,5),TbTradesBinance[[#This Row],[Par]])),IF(FIND(MID(AY$1,10,5),TbTradesBinance[[#This Row],[Par]])=1, -(AX197-AX198)/AX197*AY197,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Row],[Par]])),(-(AX197-AX198)/AX197*AY197)+IF(TbTradesBinance[[#This Row],[Resultado]]&gt;0,0,TbTradesBinance[[#This Row],[Taxa]]),0),0))</f>
        <v>61.364116058805678</v>
      </c>
      <c r="AZ198" s="145">
        <f t="shared" si="70"/>
        <v>186.869224857804</v>
      </c>
      <c r="BA19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Row],[Tipo]]="DROP"),BA197+TbTradesBinance[[#This Row],[Qtt]],BA197-TbTradesBinance[[#This Row],[Qtt]]),IF(TbTradesBinance[[#This Row],[Tipo]]="BUY",BA197-TbTradesBinance[[#This Row],[Qtt]]*TbTradesBinance[[#This Row],[Preço]],BA197+TbTradesBinance[[#This Row],[Qtt]]*TbTradesBinance[[#This Row],[Preço]])),BA197)-IF(TbTradesBinance[[#This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Row],[Tipo]]="DROP"),BA197+TbTradesBinance[[#This Row],[Qtt]],BA197-TbTradesBinance[[#This Row],[Qtt]]),IF(TbTradesBinance[[#This Row],[Tipo]]="BUY",BA197-TbTradesBinance[[#This Row],[Qtt]]*TbTradesBinance[[#This Row],[Preço]],BA197+TbTradesBinance[[#This Row],[Qtt]]*TbTradesBinance[[#This Row],[Preço]])),BA197)-IF(TbTradesBinance[[#This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Row],[Tipo]]="DROP"),BA197+TbTradesBinance[[#This Row],[Qtt]],BA197-TbTradesBinance[[#This Row],[Qtt]]),IF(TbTradesBinance[[#This Row],[Tipo]]="BUY",BA197-TbTradesBinance[[#This Row],[Qtt]]*TbTradesBinance[[#This Row],[Preço]],BA197+TbTradesBinance[[#This Row],[Qtt]]*TbTradesBinance[[#This Row],[Preço]])),BA197)-IF(TbTradesBinance[[#This Row],[Moeda da Taxa]]=MID(BA$1,9,5),TbTradesBinance[[#This Row],[Taxa]],0),8)))</f>
        <v>0</v>
      </c>
      <c r="BB198" s="145" cm="1">
        <f t="array" ref="BB198">IF(TbTradesBinance[[#This Row],[Tipo]]="EMPTY",0,BB197+IF(TbTradesBinance[[#This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Row],[Par]]))),$1:$1,0)),-(BA197-BA198)/BA197*BB197),0),0)+IF(TbTradesBinance[[#This Row],[Tipo]]="SELL",IF(ISNUMBER(FIND(MID(BB$1,10,5),TbTradesBinance[[#This Row],[Par]])),IF(FIND(MID(BB$1,10,5),TbTradesBinance[[#This Row],[Par]])=1, -(BA197-BA198)/BA197*BB197,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Row],[Par]])),(-(BA197-BA198)/BA197*BB197)+IF(TbTradesBinance[[#This Row],[Resultado]]&gt;0,0,TbTradesBinance[[#This Row],[Taxa]]),0),0))</f>
        <v>0</v>
      </c>
      <c r="BC198" s="145">
        <f t="shared" si="71"/>
        <v>0</v>
      </c>
      <c r="BD19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Row],[Tipo]]="DROP"),BD197+TbTradesBinance[[#This Row],[Qtt]],BD197-TbTradesBinance[[#This Row],[Qtt]]),IF(TbTradesBinance[[#This Row],[Tipo]]="BUY",BD197-TbTradesBinance[[#This Row],[Qtt]]*TbTradesBinance[[#This Row],[Preço]],BD197+TbTradesBinance[[#This Row],[Qtt]]*TbTradesBinance[[#This Row],[Preço]])),BD197)-IF(TbTradesBinance[[#This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Row],[Tipo]]="DROP"),BD197+TbTradesBinance[[#This Row],[Qtt]],BD197-TbTradesBinance[[#This Row],[Qtt]]),IF(TbTradesBinance[[#This Row],[Tipo]]="BUY",BD197-TbTradesBinance[[#This Row],[Qtt]]*TbTradesBinance[[#This Row],[Preço]],BD197+TbTradesBinance[[#This Row],[Qtt]]*TbTradesBinance[[#This Row],[Preço]])),BD197)-IF(TbTradesBinance[[#This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Row],[Tipo]]="DROP"),BD197+TbTradesBinance[[#This Row],[Qtt]],BD197-TbTradesBinance[[#This Row],[Qtt]]),IF(TbTradesBinance[[#This Row],[Tipo]]="BUY",BD197-TbTradesBinance[[#This Row],[Qtt]]*TbTradesBinance[[#This Row],[Preço]],BD197+TbTradesBinance[[#This Row],[Qtt]]*TbTradesBinance[[#This Row],[Preço]])),BD197)-IF(TbTradesBinance[[#This Row],[Moeda da Taxa]]=MID(BD$1,9,5),TbTradesBinance[[#This Row],[Taxa]],0),8)))</f>
        <v>0</v>
      </c>
      <c r="BE198" s="145" cm="1">
        <f t="array" ref="BE198">IF(TbTradesBinance[[#This Row],[Tipo]]="EMPTY",0,BE197+IF(TbTradesBinance[[#This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Row],[Par]]))),$1:$1,0)),-(BD197-BD198)/BD197*BE197),0),0)+IF(TbTradesBinance[[#This Row],[Tipo]]="SELL",IF(ISNUMBER(FIND(MID(BE$1,10,5),TbTradesBinance[[#This Row],[Par]])),IF(FIND(MID(BE$1,10,5),TbTradesBinance[[#This Row],[Par]])=1, -(BD197-BD198)/BD197*BE197,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Row],[Par]])),(-(BD197-BD198)/BD197*BE197)+IF(TbTradesBinance[[#This Row],[Resultado]]&gt;0,0,TbTradesBinance[[#This Row],[Taxa]]),0),0))</f>
        <v>0</v>
      </c>
      <c r="BF198" s="145">
        <f t="shared" si="72"/>
        <v>0</v>
      </c>
      <c r="BG19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Row],[Tipo]]="DROP"),BG197+TbTradesBinance[[#This Row],[Qtt]],BG197-TbTradesBinance[[#This Row],[Qtt]]),IF(TbTradesBinance[[#This Row],[Tipo]]="BUY",BG197-TbTradesBinance[[#This Row],[Qtt]]*TbTradesBinance[[#This Row],[Preço]],BG197+TbTradesBinance[[#This Row],[Qtt]]*TbTradesBinance[[#This Row],[Preço]])),BG197)-IF(TbTradesBinance[[#This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Row],[Tipo]]="DROP"),BG197+TbTradesBinance[[#This Row],[Qtt]],BG197-TbTradesBinance[[#This Row],[Qtt]]),IF(TbTradesBinance[[#This Row],[Tipo]]="BUY",BG197-TbTradesBinance[[#This Row],[Qtt]]*TbTradesBinance[[#This Row],[Preço]],BG197+TbTradesBinance[[#This Row],[Qtt]]*TbTradesBinance[[#This Row],[Preço]])),BG197)-IF(TbTradesBinance[[#This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Row],[Tipo]]="DROP"),BG197+TbTradesBinance[[#This Row],[Qtt]],BG197-TbTradesBinance[[#This Row],[Qtt]]),IF(TbTradesBinance[[#This Row],[Tipo]]="BUY",BG197-TbTradesBinance[[#This Row],[Qtt]]*TbTradesBinance[[#This Row],[Preço]],BG197+TbTradesBinance[[#This Row],[Qtt]]*TbTradesBinance[[#This Row],[Preço]])),BG197)-IF(TbTradesBinance[[#This Row],[Moeda da Taxa]]=MID(BG$1,9,5),TbTradesBinance[[#This Row],[Taxa]],0),8)))</f>
        <v>0</v>
      </c>
      <c r="BH198" s="145" cm="1">
        <f t="array" ref="BH198">IF(TbTradesBinance[[#This Row],[Tipo]]="EMPTY",0,BH197+IF(TbTradesBinance[[#This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Row],[Par]]))),$1:$1,0)),-(BG197-BG198)/BG197*BH197),0),0)+IF(TbTradesBinance[[#This Row],[Tipo]]="SELL",IF(ISNUMBER(FIND(MID(BH$1,10,5),TbTradesBinance[[#This Row],[Par]])),IF(FIND(MID(BH$1,10,5),TbTradesBinance[[#This Row],[Par]])=1, -(BG197-BG198)/BG197*BH197,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Row],[Par]])),(-(BG197-BG198)/BG197*BH197)+IF(TbTradesBinance[[#This Row],[Resultado]]&gt;0,0,TbTradesBinance[[#This Row],[Taxa]]),0),0))</f>
        <v>0</v>
      </c>
      <c r="BI198" s="145">
        <f t="shared" si="73"/>
        <v>0</v>
      </c>
      <c r="BJ19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Row],[Tipo]]="DROP"),BJ197+TbTradesBinance[[#This Row],[Qtt]],BJ197-TbTradesBinance[[#This Row],[Qtt]]),IF(TbTradesBinance[[#This Row],[Tipo]]="BUY",BJ197-TbTradesBinance[[#This Row],[Qtt]]*TbTradesBinance[[#This Row],[Preço]],BJ197+TbTradesBinance[[#This Row],[Qtt]]*TbTradesBinance[[#This Row],[Preço]])),BJ197)-IF(TbTradesBinance[[#This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Row],[Tipo]]="DROP"),BJ197+TbTradesBinance[[#This Row],[Qtt]],BJ197-TbTradesBinance[[#This Row],[Qtt]]),IF(TbTradesBinance[[#This Row],[Tipo]]="BUY",BJ197-TbTradesBinance[[#This Row],[Qtt]]*TbTradesBinance[[#This Row],[Preço]],BJ197+TbTradesBinance[[#This Row],[Qtt]]*TbTradesBinance[[#This Row],[Preço]])),BJ197)-IF(TbTradesBinance[[#This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Row],[Tipo]]="DROP"),BJ197+TbTradesBinance[[#This Row],[Qtt]],BJ197-TbTradesBinance[[#This Row],[Qtt]]),IF(TbTradesBinance[[#This Row],[Tipo]]="BUY",BJ197-TbTradesBinance[[#This Row],[Qtt]]*TbTradesBinance[[#This Row],[Preço]],BJ197+TbTradesBinance[[#This Row],[Qtt]]*TbTradesBinance[[#This Row],[Preço]])),BJ197)-IF(TbTradesBinance[[#This Row],[Moeda da Taxa]]=MID(BJ$1,9,5),TbTradesBinance[[#This Row],[Taxa]],0),8)))</f>
        <v>0</v>
      </c>
      <c r="BK198" s="145" cm="1">
        <f t="array" ref="BK198">IF(TbTradesBinance[[#This Row],[Tipo]]="EMPTY",0,BK197+IF(TbTradesBinance[[#This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Row],[Par]]))),$1:$1,0)),-(BJ197-BJ198)/BJ197*BK197),0),0)+IF(TbTradesBinance[[#This Row],[Tipo]]="SELL",IF(ISNUMBER(FIND(MID(BK$1,10,5),TbTradesBinance[[#This Row],[Par]])),IF(FIND(MID(BK$1,10,5),TbTradesBinance[[#This Row],[Par]])=1, -(BJ197-BJ198)/BJ197*BK197,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Row],[Par]])),(-(BJ197-BJ198)/BJ197*BK197)+IF(TbTradesBinance[[#This Row],[Resultado]]&gt;0,0,TbTradesBinance[[#This Row],[Taxa]]),0),0))</f>
        <v>0</v>
      </c>
      <c r="BL198" s="145">
        <f t="shared" si="74"/>
        <v>0</v>
      </c>
      <c r="BM19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Row],[Tipo]]="DROP"),BM197+TbTradesBinance[[#This Row],[Qtt]],BM197-TbTradesBinance[[#This Row],[Qtt]]),IF(TbTradesBinance[[#This Row],[Tipo]]="BUY",BM197-TbTradesBinance[[#This Row],[Qtt]]*TbTradesBinance[[#This Row],[Preço]],BM197+TbTradesBinance[[#This Row],[Qtt]]*TbTradesBinance[[#This Row],[Preço]])),BM197)-IF(TbTradesBinance[[#This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Row],[Tipo]]="DROP"),BM197+TbTradesBinance[[#This Row],[Qtt]],BM197-TbTradesBinance[[#This Row],[Qtt]]),IF(TbTradesBinance[[#This Row],[Tipo]]="BUY",BM197-TbTradesBinance[[#This Row],[Qtt]]*TbTradesBinance[[#This Row],[Preço]],BM197+TbTradesBinance[[#This Row],[Qtt]]*TbTradesBinance[[#This Row],[Preço]])),BM197)-IF(TbTradesBinance[[#This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Row],[Tipo]]="DROP"),BM197+TbTradesBinance[[#This Row],[Qtt]],BM197-TbTradesBinance[[#This Row],[Qtt]]),IF(TbTradesBinance[[#This Row],[Tipo]]="BUY",BM197-TbTradesBinance[[#This Row],[Qtt]]*TbTradesBinance[[#This Row],[Preço]],BM197+TbTradesBinance[[#This Row],[Qtt]]*TbTradesBinance[[#This Row],[Preço]])),BM197)-IF(TbTradesBinance[[#This Row],[Moeda da Taxa]]=MID(BM$1,9,5),TbTradesBinance[[#This Row],[Taxa]],0),8)))</f>
        <v>0</v>
      </c>
      <c r="BN198" s="145" cm="1">
        <f t="array" ref="BN198">IF(TbTradesBinance[[#This Row],[Tipo]]="EMPTY",0,BN197+IF(TbTradesBinance[[#This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Row],[Par]]))),$1:$1,0)),-(BM197-BM198)/BM197*BN197),0),0)+IF(TbTradesBinance[[#This Row],[Tipo]]="SELL",IF(ISNUMBER(FIND(MID(BN$1,10,5),TbTradesBinance[[#This Row],[Par]])),IF(FIND(MID(BN$1,10,5),TbTradesBinance[[#This Row],[Par]])=1, -(BM197-BM198)/BM197*BN197,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Row],[Par]])),(-(BM197-BM198)/BM197*BN197)+IF(TbTradesBinance[[#This Row],[Resultado]]&gt;0,0,TbTradesBinance[[#This Row],[Taxa]]),0),0))</f>
        <v>0</v>
      </c>
      <c r="BO198" s="145">
        <f t="shared" si="75"/>
        <v>0</v>
      </c>
    </row>
    <row r="199" spans="2:67" x14ac:dyDescent="0.3">
      <c r="B199" s="51"/>
      <c r="C199" s="40">
        <f>TRUNC(IF(AND(TbTradesBinance[[#This Row],[Tipo]]="SEND",TbTradesBinance[[#This Row],[Par]]="BRL"),TbTradesBinance[[#This Row],[Qtt]]*(1-P197)-IF(TbTradesBinance[[#This Row],[Moeda da Taxa]]="BRL",TbTradesBinance[[#This Row],[Taxa]],0),0)+IF(AND(TbTradesBinance[[#This Row],[Tipo]]="BURN",TbTradesBinance[[#This Row],[Par]]="BRL"),-TbTradesBinance[[#This Row],[Qtt]]*P197,0),2)</f>
        <v>0</v>
      </c>
      <c r="D199" s="53">
        <v>44365.75</v>
      </c>
      <c r="E199" s="37" t="s">
        <v>249</v>
      </c>
      <c r="F199" s="47" t="s">
        <v>139</v>
      </c>
      <c r="G199" s="38">
        <v>36200</v>
      </c>
      <c r="H199" s="38">
        <v>1.243E-3</v>
      </c>
      <c r="I199" s="38">
        <v>1.24E-6</v>
      </c>
      <c r="J199" s="37" t="s">
        <v>6</v>
      </c>
      <c r="K199" s="52">
        <v>5.069</v>
      </c>
      <c r="L199" s="40">
        <f t="shared" si="57"/>
        <v>183497.8</v>
      </c>
      <c r="M199" s="40">
        <f>IF(OR(TbTradesBinance[[#This Row],[Tipo]]="BUY",TbTradesBinance[[#This Row],[Tipo]]="RECEIVE",TbTradesBinance[[#This Row],[Tipo]]="DROP"),L199*H199,-L199*H199)</f>
        <v>228.08776539999997</v>
      </c>
      <c r="N19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Row],[Tipo]]="DROP"),N198+TbTradesBinance[[#This Row],[Qtt]],N198-TbTradesBinance[[#This Row],[Qtt]]),IF(TbTradesBinance[[#This Row],[Tipo]]="BUY",N198-TbTradesBinance[[#This Row],[Qtt]]*TbTradesBinance[[#This Row],[Preço]],N198+TbTradesBinance[[#This Row],[Qtt]]*TbTradesBinance[[#This Row],[Preço]])),N198)-IF(TbTradesBinance[[#This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Row],[Tipo]]="DROP"),N198+TbTradesBinance[[#This Row],[Qtt]],N198-TbTradesBinance[[#This Row],[Qtt]]),IF(TbTradesBinance[[#This Row],[Tipo]]="BUY",N198-TbTradesBinance[[#This Row],[Qtt]]*TbTradesBinance[[#This Row],[Preço]],N198+TbTradesBinance[[#This Row],[Qtt]]*TbTradesBinance[[#This Row],[Preço]])),N198)-IF(TbTradesBinance[[#This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Row],[Tipo]]="DROP"),N198+TbTradesBinance[[#This Row],[Qtt]],N198-TbTradesBinance[[#This Row],[Qtt]]),IF(TbTradesBinance[[#This Row],[Tipo]]="BUY",N198-TbTradesBinance[[#This Row],[Qtt]]*TbTradesBinance[[#This Row],[Preço]],N198+TbTradesBinance[[#This Row],[Qtt]]*TbTradesBinance[[#This Row],[Preço]])),N198)-IF(TbTradesBinance[[#This Row],[Moeda da Taxa]]=MID(N$1,9,5),TbTradesBinance[[#This Row],[Taxa]],0),8)))</f>
        <v>120989.38238681</v>
      </c>
      <c r="O199" s="145" cm="1">
        <f t="array" ref="O199">IF(TbTradesBinance[[#This Row],[Tipo]]="EMPTY",0,O198+IF(TbTradesBinance[[#This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Row],[Par]]))),$1:$1,0)),-(N198-N199)/N198*O198),0),0)+IF(TbTradesBinance[[#This Row],[Tipo]]="SELL",IF(ISNUMBER(FIND(MID(O$1,10,5),TbTradesBinance[[#This Row],[Par]])),IF(FIND(MID(O$1,10,5),TbTradesBinance[[#This Row],[Par]])=1, -(N198-N199)/N198*O198,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Row],[Par]])),(-(N198-N199)/N198*O198)+IF(TbTradesBinance[[#This Row],[Resultado]]&gt;0,0,TbTradesBinance[[#This Row],[Taxa]]),0),0))</f>
        <v>121655.78151816223</v>
      </c>
      <c r="P199" s="145">
        <f t="shared" si="58"/>
        <v>1.0055079141508609</v>
      </c>
      <c r="Q19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Row],[Tipo]]="DROP"),Q198+TbTradesBinance[[#This Row],[Qtt]],Q198-TbTradesBinance[[#This Row],[Qtt]]),IF(TbTradesBinance[[#This Row],[Tipo]]="BUY",Q198-TbTradesBinance[[#This Row],[Qtt]]*TbTradesBinance[[#This Row],[Preço]],Q198+TbTradesBinance[[#This Row],[Qtt]]*TbTradesBinance[[#This Row],[Preço]])),Q198)-IF(TbTradesBinance[[#This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Row],[Tipo]]="DROP"),Q198+TbTradesBinance[[#This Row],[Qtt]],Q198-TbTradesBinance[[#This Row],[Qtt]]),IF(TbTradesBinance[[#This Row],[Tipo]]="BUY",Q198-TbTradesBinance[[#This Row],[Qtt]]*TbTradesBinance[[#This Row],[Preço]],Q198+TbTradesBinance[[#This Row],[Qtt]]*TbTradesBinance[[#This Row],[Preço]])),Q198)-IF(TbTradesBinance[[#This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Row],[Tipo]]="DROP"),Q198+TbTradesBinance[[#This Row],[Qtt]],Q198-TbTradesBinance[[#This Row],[Qtt]]),IF(TbTradesBinance[[#This Row],[Tipo]]="BUY",Q198-TbTradesBinance[[#This Row],[Qtt]]*TbTradesBinance[[#This Row],[Preço]],Q198+TbTradesBinance[[#This Row],[Qtt]]*TbTradesBinance[[#This Row],[Preço]])),Q198)-IF(TbTradesBinance[[#This Row],[Moeda da Taxa]]=MID(Q$1,9,5),TbTradesBinance[[#This Row],[Taxa]],0),8)))</f>
        <v>216.8535431</v>
      </c>
      <c r="R199" s="145" cm="1">
        <f t="array" ref="R199">IF(TbTradesBinance[[#This Row],[Tipo]]="EMPTY",0,R198+IF(TbTradesBinance[[#This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Row],[Par]]))),$1:$1,0)),-(Q198-Q199)/Q198*R198),0),0)+IF(TbTradesBinance[[#This Row],[Tipo]]="SELL",IF(ISNUMBER(FIND(MID(R$1,10,5),TbTradesBinance[[#This Row],[Par]])),IF(FIND(MID(R$1,10,5),TbTradesBinance[[#This Row],[Par]])=1, -(Q198-Q199)/Q198*R198,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Row],[Par]])),(-(Q198-Q199)/Q198*R198)+IF(TbTradesBinance[[#This Row],[Resultado]]&gt;0,0,TbTradesBinance[[#This Row],[Taxa]]),0),0))</f>
        <v>1103.1783600826197</v>
      </c>
      <c r="S199" s="145">
        <f t="shared" si="59"/>
        <v>5.0872046834572551</v>
      </c>
      <c r="T19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Row],[Tipo]]="DROP"),T198+TbTradesBinance[[#This Row],[Qtt]],T198-TbTradesBinance[[#This Row],[Qtt]]),IF(TbTradesBinance[[#This Row],[Tipo]]="BUY",T198-TbTradesBinance[[#This Row],[Qtt]]*TbTradesBinance[[#This Row],[Preço]],T198+TbTradesBinance[[#This Row],[Qtt]]*TbTradesBinance[[#This Row],[Preço]])),T198)-IF(TbTradesBinance[[#This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Row],[Tipo]]="DROP"),T198+TbTradesBinance[[#This Row],[Qtt]],T198-TbTradesBinance[[#This Row],[Qtt]]),IF(TbTradesBinance[[#This Row],[Tipo]]="BUY",T198-TbTradesBinance[[#This Row],[Qtt]]*TbTradesBinance[[#This Row],[Preço]],T198+TbTradesBinance[[#This Row],[Qtt]]*TbTradesBinance[[#This Row],[Preço]])),T198)-IF(TbTradesBinance[[#This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Row],[Tipo]]="DROP"),T198+TbTradesBinance[[#This Row],[Qtt]],T198-TbTradesBinance[[#This Row],[Qtt]]),IF(TbTradesBinance[[#This Row],[Tipo]]="BUY",T198-TbTradesBinance[[#This Row],[Qtt]]*TbTradesBinance[[#This Row],[Preço]],T198+TbTradesBinance[[#This Row],[Qtt]]*TbTradesBinance[[#This Row],[Preço]])),T198)-IF(TbTradesBinance[[#This Row],[Moeda da Taxa]]=MID(T$1,9,5),TbTradesBinance[[#This Row],[Taxa]],0),8)))</f>
        <v>101223913.720009</v>
      </c>
      <c r="U199" s="145" cm="1">
        <f t="array" ref="U199">IF(TbTradesBinance[[#This Row],[Tipo]]="EMPTY",0,U198+IF(TbTradesBinance[[#This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Row],[Par]]))),$1:$1,0)),-(T198-T199)/T198*U198),0),0)+IF(TbTradesBinance[[#This Row],[Tipo]]="SELL",IF(ISNUMBER(FIND(MID(U$1,10,5),TbTradesBinance[[#This Row],[Par]])),IF(FIND(MID(U$1,10,5),TbTradesBinance[[#This Row],[Par]])=1, -(T198-T199)/T198*U198,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Row],[Par]])),(-(T198-T199)/T198*U198)+IF(TbTradesBinance[[#This Row],[Resultado]]&gt;0,0,TbTradesBinance[[#This Row],[Taxa]]),0),0))</f>
        <v>617586601.27364206</v>
      </c>
      <c r="V199" s="145">
        <f t="shared" si="60"/>
        <v>6.1011926784605572</v>
      </c>
      <c r="W19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Row],[Tipo]]="DROP"),W198+TbTradesBinance[[#This Row],[Qtt]],W198-TbTradesBinance[[#This Row],[Qtt]]),IF(TbTradesBinance[[#This Row],[Tipo]]="BUY",W198-TbTradesBinance[[#This Row],[Qtt]]*TbTradesBinance[[#This Row],[Preço]],W198+TbTradesBinance[[#This Row],[Qtt]]*TbTradesBinance[[#This Row],[Preço]])),W198)-IF(TbTradesBinance[[#This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Row],[Tipo]]="DROP"),W198+TbTradesBinance[[#This Row],[Qtt]],W198-TbTradesBinance[[#This Row],[Qtt]]),IF(TbTradesBinance[[#This Row],[Tipo]]="BUY",W198-TbTradesBinance[[#This Row],[Qtt]]*TbTradesBinance[[#This Row],[Preço]],W198+TbTradesBinance[[#This Row],[Qtt]]*TbTradesBinance[[#This Row],[Preço]])),W198)-IF(TbTradesBinance[[#This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Row],[Tipo]]="DROP"),W198+TbTradesBinance[[#This Row],[Qtt]],W198-TbTradesBinance[[#This Row],[Qtt]]),IF(TbTradesBinance[[#This Row],[Tipo]]="BUY",W198-TbTradesBinance[[#This Row],[Qtt]]*TbTradesBinance[[#This Row],[Preço]],W198+TbTradesBinance[[#This Row],[Qtt]]*TbTradesBinance[[#This Row],[Preço]])),W198)-IF(TbTradesBinance[[#This Row],[Moeda da Taxa]]=MID(W$1,9,5),TbTradesBinance[[#This Row],[Taxa]],0),8)))</f>
        <v>1.46575E-3</v>
      </c>
      <c r="X199" s="145" cm="1">
        <f t="array" ref="X199">IF(TbTradesBinance[[#This Row],[Tipo]]="EMPTY",0,X198+IF(TbTradesBinance[[#This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Row],[Par]]))),$1:$1,0)),-(W198-W199)/W198*X198),0),0)+IF(TbTradesBinance[[#This Row],[Tipo]]="SELL",IF(ISNUMBER(FIND(MID(X$1,10,5),TbTradesBinance[[#This Row],[Par]])),IF(FIND(MID(X$1,10,5),TbTradesBinance[[#This Row],[Par]])=1, -(W198-W199)/W198*X198,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Row],[Par]])),(-(W198-W199)/W198*X198)+IF(TbTradesBinance[[#This Row],[Resultado]]&gt;0,0,TbTradesBinance[[#This Row],[Taxa]]),0),0))</f>
        <v>271.26122809471383</v>
      </c>
      <c r="Y199" s="145">
        <f t="shared" si="61"/>
        <v>185066.50390224377</v>
      </c>
      <c r="Z19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Row],[Tipo]]="DROP"),Z198+TbTradesBinance[[#This Row],[Qtt]],Z198-TbTradesBinance[[#This Row],[Qtt]]),IF(TbTradesBinance[[#This Row],[Tipo]]="BUY",Z198-TbTradesBinance[[#This Row],[Qtt]]*TbTradesBinance[[#This Row],[Preço]],Z198+TbTradesBinance[[#This Row],[Qtt]]*TbTradesBinance[[#This Row],[Preço]])),Z198)-IF(TbTradesBinance[[#This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Row],[Tipo]]="DROP"),Z198+TbTradesBinance[[#This Row],[Qtt]],Z198-TbTradesBinance[[#This Row],[Qtt]]),IF(TbTradesBinance[[#This Row],[Tipo]]="BUY",Z198-TbTradesBinance[[#This Row],[Qtt]]*TbTradesBinance[[#This Row],[Preço]],Z198+TbTradesBinance[[#This Row],[Qtt]]*TbTradesBinance[[#This Row],[Preço]])),Z198)-IF(TbTradesBinance[[#This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Row],[Tipo]]="DROP"),Z198+TbTradesBinance[[#This Row],[Qtt]],Z198-TbTradesBinance[[#This Row],[Qtt]]),IF(TbTradesBinance[[#This Row],[Tipo]]="BUY",Z198-TbTradesBinance[[#This Row],[Qtt]]*TbTradesBinance[[#This Row],[Preço]],Z198+TbTradesBinance[[#This Row],[Qtt]]*TbTradesBinance[[#This Row],[Preço]])),Z198)-IF(TbTradesBinance[[#This Row],[Moeda da Taxa]]=MID(Z$1,9,5),TbTradesBinance[[#This Row],[Taxa]],0),8)))</f>
        <v>0</v>
      </c>
      <c r="AA199" s="145" cm="1">
        <f t="array" ref="AA199">IF(TbTradesBinance[[#This Row],[Tipo]]="EMPTY",0,AA198+IF(TbTradesBinance[[#This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Row],[Par]]))),$1:$1,0)),-(Z198-Z199)/Z198*AA198),0),0)+IF(TbTradesBinance[[#This Row],[Tipo]]="SELL",IF(ISNUMBER(FIND(MID(AA$1,10,5),TbTradesBinance[[#This Row],[Par]])),IF(FIND(MID(AA$1,10,5),TbTradesBinance[[#This Row],[Par]])=1, -(Z198-Z199)/Z198*AA198,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Row],[Par]])),(-(Z198-Z199)/Z198*AA198)+IF(TbTradesBinance[[#This Row],[Resultado]]&gt;0,0,TbTradesBinance[[#This Row],[Taxa]]),0),0))</f>
        <v>0</v>
      </c>
      <c r="AB199" s="145">
        <f t="shared" si="62"/>
        <v>0</v>
      </c>
      <c r="AC19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Row],[Tipo]]="DROP"),AC198+TbTradesBinance[[#This Row],[Qtt]],AC198-TbTradesBinance[[#This Row],[Qtt]]),IF(TbTradesBinance[[#This Row],[Tipo]]="BUY",AC198-TbTradesBinance[[#This Row],[Qtt]]*TbTradesBinance[[#This Row],[Preço]],AC198+TbTradesBinance[[#This Row],[Qtt]]*TbTradesBinance[[#This Row],[Preço]])),AC198)-IF(TbTradesBinance[[#This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Row],[Tipo]]="DROP"),AC198+TbTradesBinance[[#This Row],[Qtt]],AC198-TbTradesBinance[[#This Row],[Qtt]]),IF(TbTradesBinance[[#This Row],[Tipo]]="BUY",AC198-TbTradesBinance[[#This Row],[Qtt]]*TbTradesBinance[[#This Row],[Preço]],AC198+TbTradesBinance[[#This Row],[Qtt]]*TbTradesBinance[[#This Row],[Preço]])),AC198)-IF(TbTradesBinance[[#This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Row],[Tipo]]="DROP"),AC198+TbTradesBinance[[#This Row],[Qtt]],AC198-TbTradesBinance[[#This Row],[Qtt]]),IF(TbTradesBinance[[#This Row],[Tipo]]="BUY",AC198-TbTradesBinance[[#This Row],[Qtt]]*TbTradesBinance[[#This Row],[Preço]],AC198+TbTradesBinance[[#This Row],[Qtt]]*TbTradesBinance[[#This Row],[Preço]])),AC198)-IF(TbTradesBinance[[#This Row],[Moeda da Taxa]]=MID(AC$1,9,5),TbTradesBinance[[#This Row],[Taxa]],0),8)))</f>
        <v>0</v>
      </c>
      <c r="AD199" s="145" cm="1">
        <f t="array" ref="AD199">IF(TbTradesBinance[[#This Row],[Tipo]]="EMPTY",0,AD198+IF(TbTradesBinance[[#This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Row],[Par]]))),$1:$1,0)),-(AC198-AC199)/AC198*AD198),0),0)+IF(TbTradesBinance[[#This Row],[Tipo]]="SELL",IF(ISNUMBER(FIND(MID(AD$1,10,5),TbTradesBinance[[#This Row],[Par]])),IF(FIND(MID(AD$1,10,5),TbTradesBinance[[#This Row],[Par]])=1, -(AC198-AC199)/AC198*AD198,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Row],[Par]])),(-(AC198-AC199)/AC198*AD198)+IF(TbTradesBinance[[#This Row],[Resultado]]&gt;0,0,TbTradesBinance[[#This Row],[Taxa]]),0),0))</f>
        <v>0</v>
      </c>
      <c r="AE199" s="145">
        <f t="shared" si="63"/>
        <v>0</v>
      </c>
      <c r="AF19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Row],[Tipo]]="DROP"),AF198+TbTradesBinance[[#This Row],[Qtt]],AF198-TbTradesBinance[[#This Row],[Qtt]]),IF(TbTradesBinance[[#This Row],[Tipo]]="BUY",AF198-TbTradesBinance[[#This Row],[Qtt]]*TbTradesBinance[[#This Row],[Preço]],AF198+TbTradesBinance[[#This Row],[Qtt]]*TbTradesBinance[[#This Row],[Preço]])),AF198)-IF(TbTradesBinance[[#This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Row],[Tipo]]="DROP"),AF198+TbTradesBinance[[#This Row],[Qtt]],AF198-TbTradesBinance[[#This Row],[Qtt]]),IF(TbTradesBinance[[#This Row],[Tipo]]="BUY",AF198-TbTradesBinance[[#This Row],[Qtt]]*TbTradesBinance[[#This Row],[Preço]],AF198+TbTradesBinance[[#This Row],[Qtt]]*TbTradesBinance[[#This Row],[Preço]])),AF198)-IF(TbTradesBinance[[#This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Row],[Tipo]]="DROP"),AF198+TbTradesBinance[[#This Row],[Qtt]],AF198-TbTradesBinance[[#This Row],[Qtt]]),IF(TbTradesBinance[[#This Row],[Tipo]]="BUY",AF198-TbTradesBinance[[#This Row],[Qtt]]*TbTradesBinance[[#This Row],[Preço]],AF198+TbTradesBinance[[#This Row],[Qtt]]*TbTradesBinance[[#This Row],[Preço]])),AF198)-IF(TbTradesBinance[[#This Row],[Moeda da Taxa]]=MID(AF$1,9,5),TbTradesBinance[[#This Row],[Taxa]],0),8)))</f>
        <v>0</v>
      </c>
      <c r="AG199" s="145" cm="1">
        <f t="array" ref="AG199">IF(TbTradesBinance[[#This Row],[Tipo]]="EMPTY",0,AG198+IF(TbTradesBinance[[#This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Row],[Par]]))),$1:$1,0)),-(AF198-AF199)/AF198*AG198),0),0)+IF(TbTradesBinance[[#This Row],[Tipo]]="SELL",IF(ISNUMBER(FIND(MID(AG$1,10,5),TbTradesBinance[[#This Row],[Par]])),IF(FIND(MID(AG$1,10,5),TbTradesBinance[[#This Row],[Par]])=1, -(AF198-AF199)/AF198*AG198,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Row],[Par]])),(-(AF198-AF199)/AF198*AG198)+IF(TbTradesBinance[[#This Row],[Resultado]]&gt;0,0,TbTradesBinance[[#This Row],[Taxa]]),0),0))</f>
        <v>0</v>
      </c>
      <c r="AH199" s="145">
        <f t="shared" si="64"/>
        <v>0</v>
      </c>
      <c r="AI19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Row],[Tipo]]="DROP"),AI198+TbTradesBinance[[#This Row],[Qtt]],AI198-TbTradesBinance[[#This Row],[Qtt]]),IF(TbTradesBinance[[#This Row],[Tipo]]="BUY",AI198-TbTradesBinance[[#This Row],[Qtt]]*TbTradesBinance[[#This Row],[Preço]],AI198+TbTradesBinance[[#This Row],[Qtt]]*TbTradesBinance[[#This Row],[Preço]])),AI198)-IF(TbTradesBinance[[#This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Row],[Tipo]]="DROP"),AI198+TbTradesBinance[[#This Row],[Qtt]],AI198-TbTradesBinance[[#This Row],[Qtt]]),IF(TbTradesBinance[[#This Row],[Tipo]]="BUY",AI198-TbTradesBinance[[#This Row],[Qtt]]*TbTradesBinance[[#This Row],[Preço]],AI198+TbTradesBinance[[#This Row],[Qtt]]*TbTradesBinance[[#This Row],[Preço]])),AI198)-IF(TbTradesBinance[[#This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Row],[Tipo]]="DROP"),AI198+TbTradesBinance[[#This Row],[Qtt]],AI198-TbTradesBinance[[#This Row],[Qtt]]),IF(TbTradesBinance[[#This Row],[Tipo]]="BUY",AI198-TbTradesBinance[[#This Row],[Qtt]]*TbTradesBinance[[#This Row],[Preço]],AI198+TbTradesBinance[[#This Row],[Qtt]]*TbTradesBinance[[#This Row],[Preço]])),AI198)-IF(TbTradesBinance[[#This Row],[Moeda da Taxa]]=MID(AI$1,9,5),TbTradesBinance[[#This Row],[Taxa]],0),8)))</f>
        <v>0</v>
      </c>
      <c r="AJ199" s="145" cm="1">
        <f t="array" ref="AJ199">IF(TbTradesBinance[[#This Row],[Tipo]]="EMPTY",0,AJ198+IF(TbTradesBinance[[#This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Row],[Par]]))),$1:$1,0)),-(AI198-AI199)/AI198*AJ198),0),0)+IF(TbTradesBinance[[#This Row],[Tipo]]="SELL",IF(ISNUMBER(FIND(MID(AJ$1,10,5),TbTradesBinance[[#This Row],[Par]])),IF(FIND(MID(AJ$1,10,5),TbTradesBinance[[#This Row],[Par]])=1, -(AI198-AI199)/AI198*AJ198,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Row],[Par]])),(-(AI198-AI199)/AI198*AJ198)+IF(TbTradesBinance[[#This Row],[Resultado]]&gt;0,0,TbTradesBinance[[#This Row],[Taxa]]),0),0))</f>
        <v>0</v>
      </c>
      <c r="AK199" s="145">
        <f t="shared" si="65"/>
        <v>0</v>
      </c>
      <c r="AL19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Row],[Tipo]]="DROP"),AL198+TbTradesBinance[[#This Row],[Qtt]],AL198-TbTradesBinance[[#This Row],[Qtt]]),IF(TbTradesBinance[[#This Row],[Tipo]]="BUY",AL198-TbTradesBinance[[#This Row],[Qtt]]*TbTradesBinance[[#This Row],[Preço]],AL198+TbTradesBinance[[#This Row],[Qtt]]*TbTradesBinance[[#This Row],[Preço]])),AL198)-IF(TbTradesBinance[[#This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Row],[Tipo]]="DROP"),AL198+TbTradesBinance[[#This Row],[Qtt]],AL198-TbTradesBinance[[#This Row],[Qtt]]),IF(TbTradesBinance[[#This Row],[Tipo]]="BUY",AL198-TbTradesBinance[[#This Row],[Qtt]]*TbTradesBinance[[#This Row],[Preço]],AL198+TbTradesBinance[[#This Row],[Qtt]]*TbTradesBinance[[#This Row],[Preço]])),AL198)-IF(TbTradesBinance[[#This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Row],[Tipo]]="DROP"),AL198+TbTradesBinance[[#This Row],[Qtt]],AL198-TbTradesBinance[[#This Row],[Qtt]]),IF(TbTradesBinance[[#This Row],[Tipo]]="BUY",AL198-TbTradesBinance[[#This Row],[Qtt]]*TbTradesBinance[[#This Row],[Preço]],AL198+TbTradesBinance[[#This Row],[Qtt]]*TbTradesBinance[[#This Row],[Preço]])),AL198)-IF(TbTradesBinance[[#This Row],[Moeda da Taxa]]=MID(AL$1,9,5),TbTradesBinance[[#This Row],[Taxa]],0),8)))</f>
        <v>0</v>
      </c>
      <c r="AM199" s="145" cm="1">
        <f t="array" ref="AM199">IF(TbTradesBinance[[#This Row],[Tipo]]="EMPTY",0,AM198+IF(TbTradesBinance[[#This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Row],[Par]]))),$1:$1,0)),-(AL198-AL199)/AL198*AM198),0),0)+IF(TbTradesBinance[[#This Row],[Tipo]]="SELL",IF(ISNUMBER(FIND(MID(AM$1,10,5),TbTradesBinance[[#This Row],[Par]])),IF(FIND(MID(AM$1,10,5),TbTradesBinance[[#This Row],[Par]])=1, -(AL198-AL199)/AL198*AM198,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Row],[Par]])),(-(AL198-AL199)/AL198*AM198)+IF(TbTradesBinance[[#This Row],[Resultado]]&gt;0,0,TbTradesBinance[[#This Row],[Taxa]]),0),0))</f>
        <v>0</v>
      </c>
      <c r="AN199" s="145">
        <f t="shared" si="66"/>
        <v>0</v>
      </c>
      <c r="AO19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Row],[Tipo]]="DROP"),AO198+TbTradesBinance[[#This Row],[Qtt]],AO198-TbTradesBinance[[#This Row],[Qtt]]),IF(TbTradesBinance[[#This Row],[Tipo]]="BUY",AO198-TbTradesBinance[[#This Row],[Qtt]]*TbTradesBinance[[#This Row],[Preço]],AO198+TbTradesBinance[[#This Row],[Qtt]]*TbTradesBinance[[#This Row],[Preço]])),AO198)-IF(TbTradesBinance[[#This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Row],[Tipo]]="DROP"),AO198+TbTradesBinance[[#This Row],[Qtt]],AO198-TbTradesBinance[[#This Row],[Qtt]]),IF(TbTradesBinance[[#This Row],[Tipo]]="BUY",AO198-TbTradesBinance[[#This Row],[Qtt]]*TbTradesBinance[[#This Row],[Preço]],AO198+TbTradesBinance[[#This Row],[Qtt]]*TbTradesBinance[[#This Row],[Preço]])),AO198)-IF(TbTradesBinance[[#This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Row],[Tipo]]="DROP"),AO198+TbTradesBinance[[#This Row],[Qtt]],AO198-TbTradesBinance[[#This Row],[Qtt]]),IF(TbTradesBinance[[#This Row],[Tipo]]="BUY",AO198-TbTradesBinance[[#This Row],[Qtt]]*TbTradesBinance[[#This Row],[Preço]],AO198+TbTradesBinance[[#This Row],[Qtt]]*TbTradesBinance[[#This Row],[Preço]])),AO198)-IF(TbTradesBinance[[#This Row],[Moeda da Taxa]]=MID(AO$1,9,5),TbTradesBinance[[#This Row],[Taxa]],0),8)))</f>
        <v>3.83405E-2</v>
      </c>
      <c r="AP199" s="145" cm="1">
        <f t="array" ref="AP199">IF(TbTradesBinance[[#This Row],[Tipo]]="EMPTY",0,AP198+IF(TbTradesBinance[[#This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Row],[Par]]))),$1:$1,0)),-(AO198-AO199)/AO198*AP198),0),0)+IF(TbTradesBinance[[#This Row],[Tipo]]="SELL",IF(ISNUMBER(FIND(MID(AP$1,10,5),TbTradesBinance[[#This Row],[Par]])),IF(FIND(MID(AP$1,10,5),TbTradesBinance[[#This Row],[Par]])=1, -(AO198-AO199)/AO198*AP198,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Row],[Par]])),(-(AO198-AO199)/AO198*AP198)+IF(TbTradesBinance[[#This Row],[Resultado]]&gt;0,0,TbTradesBinance[[#This Row],[Taxa]]),0),0))</f>
        <v>60.349858055862811</v>
      </c>
      <c r="AQ199" s="145">
        <f t="shared" si="67"/>
        <v>1574.0498443124845</v>
      </c>
      <c r="AR19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Row],[Tipo]]="DROP"),AR198+TbTradesBinance[[#This Row],[Qtt]],AR198-TbTradesBinance[[#This Row],[Qtt]]),IF(TbTradesBinance[[#This Row],[Tipo]]="BUY",AR198-TbTradesBinance[[#This Row],[Qtt]]*TbTradesBinance[[#This Row],[Preço]],AR198+TbTradesBinance[[#This Row],[Qtt]]*TbTradesBinance[[#This Row],[Preço]])),AR198)-IF(TbTradesBinance[[#This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Row],[Tipo]]="DROP"),AR198+TbTradesBinance[[#This Row],[Qtt]],AR198-TbTradesBinance[[#This Row],[Qtt]]),IF(TbTradesBinance[[#This Row],[Tipo]]="BUY",AR198-TbTradesBinance[[#This Row],[Qtt]]*TbTradesBinance[[#This Row],[Preço]],AR198+TbTradesBinance[[#This Row],[Qtt]]*TbTradesBinance[[#This Row],[Preço]])),AR198)-IF(TbTradesBinance[[#This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Row],[Tipo]]="DROP"),AR198+TbTradesBinance[[#This Row],[Qtt]],AR198-TbTradesBinance[[#This Row],[Qtt]]),IF(TbTradesBinance[[#This Row],[Tipo]]="BUY",AR198-TbTradesBinance[[#This Row],[Qtt]]*TbTradesBinance[[#This Row],[Preço]],AR198+TbTradesBinance[[#This Row],[Qtt]]*TbTradesBinance[[#This Row],[Preço]])),AR198)-IF(TbTradesBinance[[#This Row],[Moeda da Taxa]]=MID(AR$1,9,5),TbTradesBinance[[#This Row],[Taxa]],0),8)))</f>
        <v>0</v>
      </c>
      <c r="AS199" s="145" cm="1">
        <f t="array" ref="AS199">IF(TbTradesBinance[[#This Row],[Tipo]]="EMPTY",0,AS198+IF(TbTradesBinance[[#This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Row],[Par]]))),$1:$1,0)),-(AR198-AR199)/AR198*AS198),0),0)+IF(TbTradesBinance[[#This Row],[Tipo]]="SELL",IF(ISNUMBER(FIND(MID(AS$1,10,5),TbTradesBinance[[#This Row],[Par]])),IF(FIND(MID(AS$1,10,5),TbTradesBinance[[#This Row],[Par]])=1, -(AR198-AR199)/AR198*AS198,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Row],[Par]])),(-(AR198-AR199)/AR198*AS198)+IF(TbTradesBinance[[#This Row],[Resultado]]&gt;0,0,TbTradesBinance[[#This Row],[Taxa]]),0),0))</f>
        <v>0</v>
      </c>
      <c r="AT199" s="145">
        <f t="shared" si="68"/>
        <v>0</v>
      </c>
      <c r="AU19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Row],[Tipo]]="DROP"),AU198+TbTradesBinance[[#This Row],[Qtt]],AU198-TbTradesBinance[[#This Row],[Qtt]]),IF(TbTradesBinance[[#This Row],[Tipo]]="BUY",AU198-TbTradesBinance[[#This Row],[Qtt]]*TbTradesBinance[[#This Row],[Preço]],AU198+TbTradesBinance[[#This Row],[Qtt]]*TbTradesBinance[[#This Row],[Preço]])),AU198)-IF(TbTradesBinance[[#This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Row],[Tipo]]="DROP"),AU198+TbTradesBinance[[#This Row],[Qtt]],AU198-TbTradesBinance[[#This Row],[Qtt]]),IF(TbTradesBinance[[#This Row],[Tipo]]="BUY",AU198-TbTradesBinance[[#This Row],[Qtt]]*TbTradesBinance[[#This Row],[Preço]],AU198+TbTradesBinance[[#This Row],[Qtt]]*TbTradesBinance[[#This Row],[Preço]])),AU198)-IF(TbTradesBinance[[#This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Row],[Tipo]]="DROP"),AU198+TbTradesBinance[[#This Row],[Qtt]],AU198-TbTradesBinance[[#This Row],[Qtt]]),IF(TbTradesBinance[[#This Row],[Tipo]]="BUY",AU198-TbTradesBinance[[#This Row],[Qtt]]*TbTradesBinance[[#This Row],[Preço]],AU198+TbTradesBinance[[#This Row],[Qtt]]*TbTradesBinance[[#This Row],[Preço]])),AU198)-IF(TbTradesBinance[[#This Row],[Moeda da Taxa]]=MID(AU$1,9,5),TbTradesBinance[[#This Row],[Taxa]],0),8)))</f>
        <v>0.51</v>
      </c>
      <c r="AV199" s="145" cm="1">
        <f t="array" ref="AV199">IF(TbTradesBinance[[#This Row],[Tipo]]="EMPTY",0,AV198+IF(TbTradesBinance[[#This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Row],[Par]]))),$1:$1,0)),-(AU198-AU199)/AU198*AV198),0),0)+IF(TbTradesBinance[[#This Row],[Tipo]]="SELL",IF(ISNUMBER(FIND(MID(AV$1,10,5),TbTradesBinance[[#This Row],[Par]])),IF(FIND(MID(AV$1,10,5),TbTradesBinance[[#This Row],[Par]])=1, -(AU198-AU199)/AU198*AV198,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Row],[Par]])),(-(AU198-AU199)/AU198*AV198)+IF(TbTradesBinance[[#This Row],[Resultado]]&gt;0,0,TbTradesBinance[[#This Row],[Taxa]]),0),0))</f>
        <v>95.466693037374753</v>
      </c>
      <c r="AW199" s="145">
        <f t="shared" si="69"/>
        <v>187.18959419093088</v>
      </c>
      <c r="AX19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Row],[Tipo]]="DROP"),AX198+TbTradesBinance[[#This Row],[Qtt]],AX198-TbTradesBinance[[#This Row],[Qtt]]),IF(TbTradesBinance[[#This Row],[Tipo]]="BUY",AX198-TbTradesBinance[[#This Row],[Qtt]]*TbTradesBinance[[#This Row],[Preço]],AX198+TbTradesBinance[[#This Row],[Qtt]]*TbTradesBinance[[#This Row],[Preço]])),AX198)-IF(TbTradesBinance[[#This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Row],[Tipo]]="DROP"),AX198+TbTradesBinance[[#This Row],[Qtt]],AX198-TbTradesBinance[[#This Row],[Qtt]]),IF(TbTradesBinance[[#This Row],[Tipo]]="BUY",AX198-TbTradesBinance[[#This Row],[Qtt]]*TbTradesBinance[[#This Row],[Preço]],AX198+TbTradesBinance[[#This Row],[Qtt]]*TbTradesBinance[[#This Row],[Preço]])),AX198)-IF(TbTradesBinance[[#This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Row],[Tipo]]="DROP"),AX198+TbTradesBinance[[#This Row],[Qtt]],AX198-TbTradesBinance[[#This Row],[Qtt]]),IF(TbTradesBinance[[#This Row],[Tipo]]="BUY",AX198-TbTradesBinance[[#This Row],[Qtt]]*TbTradesBinance[[#This Row],[Preço]],AX198+TbTradesBinance[[#This Row],[Qtt]]*TbTradesBinance[[#This Row],[Preço]])),AX198)-IF(TbTradesBinance[[#This Row],[Moeda da Taxa]]=MID(AX$1,9,5),TbTradesBinance[[#This Row],[Taxa]],0),8)))</f>
        <v>0.32838000000000001</v>
      </c>
      <c r="AY199" s="145" cm="1">
        <f t="array" ref="AY199">IF(TbTradesBinance[[#This Row],[Tipo]]="EMPTY",0,AY198+IF(TbTradesBinance[[#This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Row],[Par]]))),$1:$1,0)),-(AX198-AX199)/AX198*AY198),0),0)+IF(TbTradesBinance[[#This Row],[Tipo]]="SELL",IF(ISNUMBER(FIND(MID(AY$1,10,5),TbTradesBinance[[#This Row],[Par]])),IF(FIND(MID(AY$1,10,5),TbTradesBinance[[#This Row],[Par]])=1, -(AX198-AX199)/AX198*AY198,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Row],[Par]])),(-(AX198-AX199)/AX198*AY198)+IF(TbTradesBinance[[#This Row],[Resultado]]&gt;0,0,TbTradesBinance[[#This Row],[Taxa]]),0),0))</f>
        <v>61.364116058805678</v>
      </c>
      <c r="AZ199" s="145">
        <f t="shared" si="70"/>
        <v>186.869224857804</v>
      </c>
      <c r="BA19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Row],[Tipo]]="DROP"),BA198+TbTradesBinance[[#This Row],[Qtt]],BA198-TbTradesBinance[[#This Row],[Qtt]]),IF(TbTradesBinance[[#This Row],[Tipo]]="BUY",BA198-TbTradesBinance[[#This Row],[Qtt]]*TbTradesBinance[[#This Row],[Preço]],BA198+TbTradesBinance[[#This Row],[Qtt]]*TbTradesBinance[[#This Row],[Preço]])),BA198)-IF(TbTradesBinance[[#This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Row],[Tipo]]="DROP"),BA198+TbTradesBinance[[#This Row],[Qtt]],BA198-TbTradesBinance[[#This Row],[Qtt]]),IF(TbTradesBinance[[#This Row],[Tipo]]="BUY",BA198-TbTradesBinance[[#This Row],[Qtt]]*TbTradesBinance[[#This Row],[Preço]],BA198+TbTradesBinance[[#This Row],[Qtt]]*TbTradesBinance[[#This Row],[Preço]])),BA198)-IF(TbTradesBinance[[#This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Row],[Tipo]]="DROP"),BA198+TbTradesBinance[[#This Row],[Qtt]],BA198-TbTradesBinance[[#This Row],[Qtt]]),IF(TbTradesBinance[[#This Row],[Tipo]]="BUY",BA198-TbTradesBinance[[#This Row],[Qtt]]*TbTradesBinance[[#This Row],[Preço]],BA198+TbTradesBinance[[#This Row],[Qtt]]*TbTradesBinance[[#This Row],[Preço]])),BA198)-IF(TbTradesBinance[[#This Row],[Moeda da Taxa]]=MID(BA$1,9,5),TbTradesBinance[[#This Row],[Taxa]],0),8)))</f>
        <v>0</v>
      </c>
      <c r="BB199" s="145" cm="1">
        <f t="array" ref="BB199">IF(TbTradesBinance[[#This Row],[Tipo]]="EMPTY",0,BB198+IF(TbTradesBinance[[#This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Row],[Par]]))),$1:$1,0)),-(BA198-BA199)/BA198*BB198),0),0)+IF(TbTradesBinance[[#This Row],[Tipo]]="SELL",IF(ISNUMBER(FIND(MID(BB$1,10,5),TbTradesBinance[[#This Row],[Par]])),IF(FIND(MID(BB$1,10,5),TbTradesBinance[[#This Row],[Par]])=1, -(BA198-BA199)/BA198*BB198,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Row],[Par]])),(-(BA198-BA199)/BA198*BB198)+IF(TbTradesBinance[[#This Row],[Resultado]]&gt;0,0,TbTradesBinance[[#This Row],[Taxa]]),0),0))</f>
        <v>0</v>
      </c>
      <c r="BC199" s="145">
        <f t="shared" si="71"/>
        <v>0</v>
      </c>
      <c r="BD19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Row],[Tipo]]="DROP"),BD198+TbTradesBinance[[#This Row],[Qtt]],BD198-TbTradesBinance[[#This Row],[Qtt]]),IF(TbTradesBinance[[#This Row],[Tipo]]="BUY",BD198-TbTradesBinance[[#This Row],[Qtt]]*TbTradesBinance[[#This Row],[Preço]],BD198+TbTradesBinance[[#This Row],[Qtt]]*TbTradesBinance[[#This Row],[Preço]])),BD198)-IF(TbTradesBinance[[#This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Row],[Tipo]]="DROP"),BD198+TbTradesBinance[[#This Row],[Qtt]],BD198-TbTradesBinance[[#This Row],[Qtt]]),IF(TbTradesBinance[[#This Row],[Tipo]]="BUY",BD198-TbTradesBinance[[#This Row],[Qtt]]*TbTradesBinance[[#This Row],[Preço]],BD198+TbTradesBinance[[#This Row],[Qtt]]*TbTradesBinance[[#This Row],[Preço]])),BD198)-IF(TbTradesBinance[[#This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Row],[Tipo]]="DROP"),BD198+TbTradesBinance[[#This Row],[Qtt]],BD198-TbTradesBinance[[#This Row],[Qtt]]),IF(TbTradesBinance[[#This Row],[Tipo]]="BUY",BD198-TbTradesBinance[[#This Row],[Qtt]]*TbTradesBinance[[#This Row],[Preço]],BD198+TbTradesBinance[[#This Row],[Qtt]]*TbTradesBinance[[#This Row],[Preço]])),BD198)-IF(TbTradesBinance[[#This Row],[Moeda da Taxa]]=MID(BD$1,9,5),TbTradesBinance[[#This Row],[Taxa]],0),8)))</f>
        <v>0</v>
      </c>
      <c r="BE199" s="145" cm="1">
        <f t="array" ref="BE199">IF(TbTradesBinance[[#This Row],[Tipo]]="EMPTY",0,BE198+IF(TbTradesBinance[[#This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Row],[Par]]))),$1:$1,0)),-(BD198-BD199)/BD198*BE198),0),0)+IF(TbTradesBinance[[#This Row],[Tipo]]="SELL",IF(ISNUMBER(FIND(MID(BE$1,10,5),TbTradesBinance[[#This Row],[Par]])),IF(FIND(MID(BE$1,10,5),TbTradesBinance[[#This Row],[Par]])=1, -(BD198-BD199)/BD198*BE198,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Row],[Par]])),(-(BD198-BD199)/BD198*BE198)+IF(TbTradesBinance[[#This Row],[Resultado]]&gt;0,0,TbTradesBinance[[#This Row],[Taxa]]),0),0))</f>
        <v>0</v>
      </c>
      <c r="BF199" s="145">
        <f t="shared" si="72"/>
        <v>0</v>
      </c>
      <c r="BG19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Row],[Tipo]]="DROP"),BG198+TbTradesBinance[[#This Row],[Qtt]],BG198-TbTradesBinance[[#This Row],[Qtt]]),IF(TbTradesBinance[[#This Row],[Tipo]]="BUY",BG198-TbTradesBinance[[#This Row],[Qtt]]*TbTradesBinance[[#This Row],[Preço]],BG198+TbTradesBinance[[#This Row],[Qtt]]*TbTradesBinance[[#This Row],[Preço]])),BG198)-IF(TbTradesBinance[[#This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Row],[Tipo]]="DROP"),BG198+TbTradesBinance[[#This Row],[Qtt]],BG198-TbTradesBinance[[#This Row],[Qtt]]),IF(TbTradesBinance[[#This Row],[Tipo]]="BUY",BG198-TbTradesBinance[[#This Row],[Qtt]]*TbTradesBinance[[#This Row],[Preço]],BG198+TbTradesBinance[[#This Row],[Qtt]]*TbTradesBinance[[#This Row],[Preço]])),BG198)-IF(TbTradesBinance[[#This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Row],[Tipo]]="DROP"),BG198+TbTradesBinance[[#This Row],[Qtt]],BG198-TbTradesBinance[[#This Row],[Qtt]]),IF(TbTradesBinance[[#This Row],[Tipo]]="BUY",BG198-TbTradesBinance[[#This Row],[Qtt]]*TbTradesBinance[[#This Row],[Preço]],BG198+TbTradesBinance[[#This Row],[Qtt]]*TbTradesBinance[[#This Row],[Preço]])),BG198)-IF(TbTradesBinance[[#This Row],[Moeda da Taxa]]=MID(BG$1,9,5),TbTradesBinance[[#This Row],[Taxa]],0),8)))</f>
        <v>0</v>
      </c>
      <c r="BH199" s="145" cm="1">
        <f t="array" ref="BH199">IF(TbTradesBinance[[#This Row],[Tipo]]="EMPTY",0,BH198+IF(TbTradesBinance[[#This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Row],[Par]]))),$1:$1,0)),-(BG198-BG199)/BG198*BH198),0),0)+IF(TbTradesBinance[[#This Row],[Tipo]]="SELL",IF(ISNUMBER(FIND(MID(BH$1,10,5),TbTradesBinance[[#This Row],[Par]])),IF(FIND(MID(BH$1,10,5),TbTradesBinance[[#This Row],[Par]])=1, -(BG198-BG199)/BG198*BH198,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Row],[Par]])),(-(BG198-BG199)/BG198*BH198)+IF(TbTradesBinance[[#This Row],[Resultado]]&gt;0,0,TbTradesBinance[[#This Row],[Taxa]]),0),0))</f>
        <v>0</v>
      </c>
      <c r="BI199" s="145">
        <f t="shared" si="73"/>
        <v>0</v>
      </c>
      <c r="BJ19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Row],[Tipo]]="DROP"),BJ198+TbTradesBinance[[#This Row],[Qtt]],BJ198-TbTradesBinance[[#This Row],[Qtt]]),IF(TbTradesBinance[[#This Row],[Tipo]]="BUY",BJ198-TbTradesBinance[[#This Row],[Qtt]]*TbTradesBinance[[#This Row],[Preço]],BJ198+TbTradesBinance[[#This Row],[Qtt]]*TbTradesBinance[[#This Row],[Preço]])),BJ198)-IF(TbTradesBinance[[#This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Row],[Tipo]]="DROP"),BJ198+TbTradesBinance[[#This Row],[Qtt]],BJ198-TbTradesBinance[[#This Row],[Qtt]]),IF(TbTradesBinance[[#This Row],[Tipo]]="BUY",BJ198-TbTradesBinance[[#This Row],[Qtt]]*TbTradesBinance[[#This Row],[Preço]],BJ198+TbTradesBinance[[#This Row],[Qtt]]*TbTradesBinance[[#This Row],[Preço]])),BJ198)-IF(TbTradesBinance[[#This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Row],[Tipo]]="DROP"),BJ198+TbTradesBinance[[#This Row],[Qtt]],BJ198-TbTradesBinance[[#This Row],[Qtt]]),IF(TbTradesBinance[[#This Row],[Tipo]]="BUY",BJ198-TbTradesBinance[[#This Row],[Qtt]]*TbTradesBinance[[#This Row],[Preço]],BJ198+TbTradesBinance[[#This Row],[Qtt]]*TbTradesBinance[[#This Row],[Preço]])),BJ198)-IF(TbTradesBinance[[#This Row],[Moeda da Taxa]]=MID(BJ$1,9,5),TbTradesBinance[[#This Row],[Taxa]],0),8)))</f>
        <v>0</v>
      </c>
      <c r="BK199" s="145" cm="1">
        <f t="array" ref="BK199">IF(TbTradesBinance[[#This Row],[Tipo]]="EMPTY",0,BK198+IF(TbTradesBinance[[#This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Row],[Par]]))),$1:$1,0)),-(BJ198-BJ199)/BJ198*BK198),0),0)+IF(TbTradesBinance[[#This Row],[Tipo]]="SELL",IF(ISNUMBER(FIND(MID(BK$1,10,5),TbTradesBinance[[#This Row],[Par]])),IF(FIND(MID(BK$1,10,5),TbTradesBinance[[#This Row],[Par]])=1, -(BJ198-BJ199)/BJ198*BK198,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Row],[Par]])),(-(BJ198-BJ199)/BJ198*BK198)+IF(TbTradesBinance[[#This Row],[Resultado]]&gt;0,0,TbTradesBinance[[#This Row],[Taxa]]),0),0))</f>
        <v>0</v>
      </c>
      <c r="BL199" s="145">
        <f t="shared" si="74"/>
        <v>0</v>
      </c>
      <c r="BM19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Row],[Tipo]]="DROP"),BM198+TbTradesBinance[[#This Row],[Qtt]],BM198-TbTradesBinance[[#This Row],[Qtt]]),IF(TbTradesBinance[[#This Row],[Tipo]]="BUY",BM198-TbTradesBinance[[#This Row],[Qtt]]*TbTradesBinance[[#This Row],[Preço]],BM198+TbTradesBinance[[#This Row],[Qtt]]*TbTradesBinance[[#This Row],[Preço]])),BM198)-IF(TbTradesBinance[[#This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Row],[Tipo]]="DROP"),BM198+TbTradesBinance[[#This Row],[Qtt]],BM198-TbTradesBinance[[#This Row],[Qtt]]),IF(TbTradesBinance[[#This Row],[Tipo]]="BUY",BM198-TbTradesBinance[[#This Row],[Qtt]]*TbTradesBinance[[#This Row],[Preço]],BM198+TbTradesBinance[[#This Row],[Qtt]]*TbTradesBinance[[#This Row],[Preço]])),BM198)-IF(TbTradesBinance[[#This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Row],[Tipo]]="DROP"),BM198+TbTradesBinance[[#This Row],[Qtt]],BM198-TbTradesBinance[[#This Row],[Qtt]]),IF(TbTradesBinance[[#This Row],[Tipo]]="BUY",BM198-TbTradesBinance[[#This Row],[Qtt]]*TbTradesBinance[[#This Row],[Preço]],BM198+TbTradesBinance[[#This Row],[Qtt]]*TbTradesBinance[[#This Row],[Preço]])),BM198)-IF(TbTradesBinance[[#This Row],[Moeda da Taxa]]=MID(BM$1,9,5),TbTradesBinance[[#This Row],[Taxa]],0),8)))</f>
        <v>0</v>
      </c>
      <c r="BN199" s="145" cm="1">
        <f t="array" ref="BN199">IF(TbTradesBinance[[#This Row],[Tipo]]="EMPTY",0,BN198+IF(TbTradesBinance[[#This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Row],[Par]]))),$1:$1,0)),-(BM198-BM199)/BM198*BN198),0),0)+IF(TbTradesBinance[[#This Row],[Tipo]]="SELL",IF(ISNUMBER(FIND(MID(BN$1,10,5),TbTradesBinance[[#This Row],[Par]])),IF(FIND(MID(BN$1,10,5),TbTradesBinance[[#This Row],[Par]])=1, -(BM198-BM199)/BM198*BN198,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Row],[Par]])),(-(BM198-BM199)/BM198*BN198)+IF(TbTradesBinance[[#This Row],[Resultado]]&gt;0,0,TbTradesBinance[[#This Row],[Taxa]]),0),0))</f>
        <v>0</v>
      </c>
      <c r="BO199" s="145">
        <f t="shared" si="75"/>
        <v>0</v>
      </c>
    </row>
    <row r="200" spans="2:67" x14ac:dyDescent="0.3">
      <c r="B200" s="51"/>
      <c r="C200" s="40">
        <f>TRUNC(IF(AND(TbTradesBinance[[#This Row],[Tipo]]="SEND",TbTradesBinance[[#This Row],[Par]]="BRL"),TbTradesBinance[[#This Row],[Qtt]]*(1-P198)-IF(TbTradesBinance[[#This Row],[Moeda da Taxa]]="BRL",TbTradesBinance[[#This Row],[Taxa]],0),0)+IF(AND(TbTradesBinance[[#This Row],[Tipo]]="BURN",TbTradesBinance[[#This Row],[Par]]="BRL"),-TbTradesBinance[[#This Row],[Qtt]]*P198,0),2)</f>
        <v>0</v>
      </c>
      <c r="D200" s="53">
        <v>44365.788831018515</v>
      </c>
      <c r="E200" s="37" t="s">
        <v>249</v>
      </c>
      <c r="F200" s="47" t="s">
        <v>140</v>
      </c>
      <c r="G200" s="38">
        <v>35207.949999999997</v>
      </c>
      <c r="H200" s="38">
        <v>1.096E-3</v>
      </c>
      <c r="I200" s="38">
        <v>3.8587910000000003E-2</v>
      </c>
      <c r="J200" s="37" t="s">
        <v>42</v>
      </c>
      <c r="K200" s="52">
        <v>5.069</v>
      </c>
      <c r="L200" s="40">
        <f t="shared" si="57"/>
        <v>178469.09</v>
      </c>
      <c r="M200" s="40">
        <f>IF(OR(TbTradesBinance[[#This Row],[Tipo]]="BUY",TbTradesBinance[[#This Row],[Tipo]]="RECEIVE",TbTradesBinance[[#This Row],[Tipo]]="DROP"),L200*H200,-L200*H200)</f>
        <v>-195.60212264</v>
      </c>
      <c r="N20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Row],[Tipo]]="DROP"),N199+TbTradesBinance[[#This Row],[Qtt]],N199-TbTradesBinance[[#This Row],[Qtt]]),IF(TbTradesBinance[[#This Row],[Tipo]]="BUY",N199-TbTradesBinance[[#This Row],[Qtt]]*TbTradesBinance[[#This Row],[Preço]],N199+TbTradesBinance[[#This Row],[Qtt]]*TbTradesBinance[[#This Row],[Preço]])),N199)-IF(TbTradesBinance[[#This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Row],[Tipo]]="DROP"),N199+TbTradesBinance[[#This Row],[Qtt]],N199-TbTradesBinance[[#This Row],[Qtt]]),IF(TbTradesBinance[[#This Row],[Tipo]]="BUY",N199-TbTradesBinance[[#This Row],[Qtt]]*TbTradesBinance[[#This Row],[Preço]],N199+TbTradesBinance[[#This Row],[Qtt]]*TbTradesBinance[[#This Row],[Preço]])),N199)-IF(TbTradesBinance[[#This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Row],[Tipo]]="DROP"),N199+TbTradesBinance[[#This Row],[Qtt]],N199-TbTradesBinance[[#This Row],[Qtt]]),IF(TbTradesBinance[[#This Row],[Tipo]]="BUY",N199-TbTradesBinance[[#This Row],[Qtt]]*TbTradesBinance[[#This Row],[Preço]],N199+TbTradesBinance[[#This Row],[Qtt]]*TbTradesBinance[[#This Row],[Preço]])),N199)-IF(TbTradesBinance[[#This Row],[Moeda da Taxa]]=MID(N$1,9,5),TbTradesBinance[[#This Row],[Taxa]],0),8)))</f>
        <v>120989.38238681</v>
      </c>
      <c r="O200" s="145" cm="1">
        <f t="array" ref="O200">IF(TbTradesBinance[[#This Row],[Tipo]]="EMPTY",0,O199+IF(TbTradesBinance[[#This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Row],[Par]]))),$1:$1,0)),-(N199-N200)/N199*O199),0),0)+IF(TbTradesBinance[[#This Row],[Tipo]]="SELL",IF(ISNUMBER(FIND(MID(O$1,10,5),TbTradesBinance[[#This Row],[Par]])),IF(FIND(MID(O$1,10,5),TbTradesBinance[[#This Row],[Par]])=1, -(N199-N200)/N199*O199,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Row],[Par]])),(-(N199-N200)/N199*O199)+IF(TbTradesBinance[[#This Row],[Resultado]]&gt;0,0,TbTradesBinance[[#This Row],[Taxa]]),0),0))</f>
        <v>121655.78151816223</v>
      </c>
      <c r="P200" s="145">
        <f t="shared" si="58"/>
        <v>1.0055079141508609</v>
      </c>
      <c r="Q20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Row],[Tipo]]="DROP"),Q199+TbTradesBinance[[#This Row],[Qtt]],Q199-TbTradesBinance[[#This Row],[Qtt]]),IF(TbTradesBinance[[#This Row],[Tipo]]="BUY",Q199-TbTradesBinance[[#This Row],[Qtt]]*TbTradesBinance[[#This Row],[Preço]],Q199+TbTradesBinance[[#This Row],[Qtt]]*TbTradesBinance[[#This Row],[Preço]])),Q199)-IF(TbTradesBinance[[#This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Row],[Tipo]]="DROP"),Q199+TbTradesBinance[[#This Row],[Qtt]],Q199-TbTradesBinance[[#This Row],[Qtt]]),IF(TbTradesBinance[[#This Row],[Tipo]]="BUY",Q199-TbTradesBinance[[#This Row],[Qtt]]*TbTradesBinance[[#This Row],[Preço]],Q199+TbTradesBinance[[#This Row],[Qtt]]*TbTradesBinance[[#This Row],[Preço]])),Q199)-IF(TbTradesBinance[[#This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Row],[Tipo]]="DROP"),Q199+TbTradesBinance[[#This Row],[Qtt]],Q199-TbTradesBinance[[#This Row],[Qtt]]),IF(TbTradesBinance[[#This Row],[Tipo]]="BUY",Q199-TbTradesBinance[[#This Row],[Qtt]]*TbTradesBinance[[#This Row],[Preço]],Q199+TbTradesBinance[[#This Row],[Qtt]]*TbTradesBinance[[#This Row],[Preço]])),Q199)-IF(TbTradesBinance[[#This Row],[Moeda da Taxa]]=MID(Q$1,9,5),TbTradesBinance[[#This Row],[Taxa]],0),8)))</f>
        <v>255.40286839000001</v>
      </c>
      <c r="R200" s="145" cm="1">
        <f t="array" ref="R200">IF(TbTradesBinance[[#This Row],[Tipo]]="EMPTY",0,R199+IF(TbTradesBinance[[#This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Row],[Par]]))),$1:$1,0)),-(Q199-Q200)/Q199*R199),0),0)+IF(TbTradesBinance[[#This Row],[Tipo]]="SELL",IF(ISNUMBER(FIND(MID(R$1,10,5),TbTradesBinance[[#This Row],[Par]])),IF(FIND(MID(R$1,10,5),TbTradesBinance[[#This Row],[Par]])=1, -(Q199-Q200)/Q199*R199,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Row],[Par]])),(-(Q199-Q200)/Q199*R199)+IF(TbTradesBinance[[#This Row],[Resultado]]&gt;0,0,TbTradesBinance[[#This Row],[Taxa]]),0),0))</f>
        <v>1306.0112483594789</v>
      </c>
      <c r="S200" s="145">
        <f t="shared" si="59"/>
        <v>5.11353398883994</v>
      </c>
      <c r="T20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Row],[Tipo]]="DROP"),T199+TbTradesBinance[[#This Row],[Qtt]],T199-TbTradesBinance[[#This Row],[Qtt]]),IF(TbTradesBinance[[#This Row],[Tipo]]="BUY",T199-TbTradesBinance[[#This Row],[Qtt]]*TbTradesBinance[[#This Row],[Preço]],T199+TbTradesBinance[[#This Row],[Qtt]]*TbTradesBinance[[#This Row],[Preço]])),T199)-IF(TbTradesBinance[[#This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Row],[Tipo]]="DROP"),T199+TbTradesBinance[[#This Row],[Qtt]],T199-TbTradesBinance[[#This Row],[Qtt]]),IF(TbTradesBinance[[#This Row],[Tipo]]="BUY",T199-TbTradesBinance[[#This Row],[Qtt]]*TbTradesBinance[[#This Row],[Preço]],T199+TbTradesBinance[[#This Row],[Qtt]]*TbTradesBinance[[#This Row],[Preço]])),T199)-IF(TbTradesBinance[[#This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Row],[Tipo]]="DROP"),T199+TbTradesBinance[[#This Row],[Qtt]],T199-TbTradesBinance[[#This Row],[Qtt]]),IF(TbTradesBinance[[#This Row],[Tipo]]="BUY",T199-TbTradesBinance[[#This Row],[Qtt]]*TbTradesBinance[[#This Row],[Preço]],T199+TbTradesBinance[[#This Row],[Qtt]]*TbTradesBinance[[#This Row],[Preço]])),T199)-IF(TbTradesBinance[[#This Row],[Moeda da Taxa]]=MID(T$1,9,5),TbTradesBinance[[#This Row],[Taxa]],0),8)))</f>
        <v>101223913.720009</v>
      </c>
      <c r="U200" s="145" cm="1">
        <f t="array" ref="U200">IF(TbTradesBinance[[#This Row],[Tipo]]="EMPTY",0,U199+IF(TbTradesBinance[[#This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Row],[Par]]))),$1:$1,0)),-(T199-T200)/T199*U199),0),0)+IF(TbTradesBinance[[#This Row],[Tipo]]="SELL",IF(ISNUMBER(FIND(MID(U$1,10,5),TbTradesBinance[[#This Row],[Par]])),IF(FIND(MID(U$1,10,5),TbTradesBinance[[#This Row],[Par]])=1, -(T199-T200)/T199*U199,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Row],[Par]])),(-(T199-T200)/T199*U199)+IF(TbTradesBinance[[#This Row],[Resultado]]&gt;0,0,TbTradesBinance[[#This Row],[Taxa]]),0),0))</f>
        <v>617586601.27364206</v>
      </c>
      <c r="V200" s="145">
        <f t="shared" si="60"/>
        <v>6.1011926784605572</v>
      </c>
      <c r="W20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Row],[Tipo]]="DROP"),W199+TbTradesBinance[[#This Row],[Qtt]],W199-TbTradesBinance[[#This Row],[Qtt]]),IF(TbTradesBinance[[#This Row],[Tipo]]="BUY",W199-TbTradesBinance[[#This Row],[Qtt]]*TbTradesBinance[[#This Row],[Preço]],W199+TbTradesBinance[[#This Row],[Qtt]]*TbTradesBinance[[#This Row],[Preço]])),W199)-IF(TbTradesBinance[[#This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Row],[Tipo]]="DROP"),W199+TbTradesBinance[[#This Row],[Qtt]],W199-TbTradesBinance[[#This Row],[Qtt]]),IF(TbTradesBinance[[#This Row],[Tipo]]="BUY",W199-TbTradesBinance[[#This Row],[Qtt]]*TbTradesBinance[[#This Row],[Preço]],W199+TbTradesBinance[[#This Row],[Qtt]]*TbTradesBinance[[#This Row],[Preço]])),W199)-IF(TbTradesBinance[[#This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Row],[Tipo]]="DROP"),W199+TbTradesBinance[[#This Row],[Qtt]],W199-TbTradesBinance[[#This Row],[Qtt]]),IF(TbTradesBinance[[#This Row],[Tipo]]="BUY",W199-TbTradesBinance[[#This Row],[Qtt]]*TbTradesBinance[[#This Row],[Preço]],W199+TbTradesBinance[[#This Row],[Qtt]]*TbTradesBinance[[#This Row],[Preço]])),W199)-IF(TbTradesBinance[[#This Row],[Moeda da Taxa]]=MID(W$1,9,5),TbTradesBinance[[#This Row],[Taxa]],0),8)))</f>
        <v>3.6975000000000002E-4</v>
      </c>
      <c r="X200" s="145" cm="1">
        <f t="array" ref="X200">IF(TbTradesBinance[[#This Row],[Tipo]]="EMPTY",0,X199+IF(TbTradesBinance[[#This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Row],[Par]]))),$1:$1,0)),-(W199-W200)/W199*X199),0),0)+IF(TbTradesBinance[[#This Row],[Tipo]]="SELL",IF(ISNUMBER(FIND(MID(X$1,10,5),TbTradesBinance[[#This Row],[Par]])),IF(FIND(MID(X$1,10,5),TbTradesBinance[[#This Row],[Par]])=1, -(W199-W200)/W199*X199,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Row],[Par]])),(-(W199-W200)/W199*X199)+IF(TbTradesBinance[[#This Row],[Resultado]]&gt;0,0,TbTradesBinance[[#This Row],[Taxa]]),0),0))</f>
        <v>68.428339817854635</v>
      </c>
      <c r="Y200" s="145">
        <f t="shared" si="61"/>
        <v>185066.50390224377</v>
      </c>
      <c r="Z20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Row],[Tipo]]="DROP"),Z199+TbTradesBinance[[#This Row],[Qtt]],Z199-TbTradesBinance[[#This Row],[Qtt]]),IF(TbTradesBinance[[#This Row],[Tipo]]="BUY",Z199-TbTradesBinance[[#This Row],[Qtt]]*TbTradesBinance[[#This Row],[Preço]],Z199+TbTradesBinance[[#This Row],[Qtt]]*TbTradesBinance[[#This Row],[Preço]])),Z199)-IF(TbTradesBinance[[#This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Row],[Tipo]]="DROP"),Z199+TbTradesBinance[[#This Row],[Qtt]],Z199-TbTradesBinance[[#This Row],[Qtt]]),IF(TbTradesBinance[[#This Row],[Tipo]]="BUY",Z199-TbTradesBinance[[#This Row],[Qtt]]*TbTradesBinance[[#This Row],[Preço]],Z199+TbTradesBinance[[#This Row],[Qtt]]*TbTradesBinance[[#This Row],[Preço]])),Z199)-IF(TbTradesBinance[[#This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Row],[Tipo]]="DROP"),Z199+TbTradesBinance[[#This Row],[Qtt]],Z199-TbTradesBinance[[#This Row],[Qtt]]),IF(TbTradesBinance[[#This Row],[Tipo]]="BUY",Z199-TbTradesBinance[[#This Row],[Qtt]]*TbTradesBinance[[#This Row],[Preço]],Z199+TbTradesBinance[[#This Row],[Qtt]]*TbTradesBinance[[#This Row],[Preço]])),Z199)-IF(TbTradesBinance[[#This Row],[Moeda da Taxa]]=MID(Z$1,9,5),TbTradesBinance[[#This Row],[Taxa]],0),8)))</f>
        <v>0</v>
      </c>
      <c r="AA200" s="145" cm="1">
        <f t="array" ref="AA200">IF(TbTradesBinance[[#This Row],[Tipo]]="EMPTY",0,AA199+IF(TbTradesBinance[[#This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Row],[Par]]))),$1:$1,0)),-(Z199-Z200)/Z199*AA199),0),0)+IF(TbTradesBinance[[#This Row],[Tipo]]="SELL",IF(ISNUMBER(FIND(MID(AA$1,10,5),TbTradesBinance[[#This Row],[Par]])),IF(FIND(MID(AA$1,10,5),TbTradesBinance[[#This Row],[Par]])=1, -(Z199-Z200)/Z199*AA199,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Row],[Par]])),(-(Z199-Z200)/Z199*AA199)+IF(TbTradesBinance[[#This Row],[Resultado]]&gt;0,0,TbTradesBinance[[#This Row],[Taxa]]),0),0))</f>
        <v>0</v>
      </c>
      <c r="AB200" s="145">
        <f t="shared" si="62"/>
        <v>0</v>
      </c>
      <c r="AC20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Row],[Tipo]]="DROP"),AC199+TbTradesBinance[[#This Row],[Qtt]],AC199-TbTradesBinance[[#This Row],[Qtt]]),IF(TbTradesBinance[[#This Row],[Tipo]]="BUY",AC199-TbTradesBinance[[#This Row],[Qtt]]*TbTradesBinance[[#This Row],[Preço]],AC199+TbTradesBinance[[#This Row],[Qtt]]*TbTradesBinance[[#This Row],[Preço]])),AC199)-IF(TbTradesBinance[[#This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Row],[Tipo]]="DROP"),AC199+TbTradesBinance[[#This Row],[Qtt]],AC199-TbTradesBinance[[#This Row],[Qtt]]),IF(TbTradesBinance[[#This Row],[Tipo]]="BUY",AC199-TbTradesBinance[[#This Row],[Qtt]]*TbTradesBinance[[#This Row],[Preço]],AC199+TbTradesBinance[[#This Row],[Qtt]]*TbTradesBinance[[#This Row],[Preço]])),AC199)-IF(TbTradesBinance[[#This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Row],[Tipo]]="DROP"),AC199+TbTradesBinance[[#This Row],[Qtt]],AC199-TbTradesBinance[[#This Row],[Qtt]]),IF(TbTradesBinance[[#This Row],[Tipo]]="BUY",AC199-TbTradesBinance[[#This Row],[Qtt]]*TbTradesBinance[[#This Row],[Preço]],AC199+TbTradesBinance[[#This Row],[Qtt]]*TbTradesBinance[[#This Row],[Preço]])),AC199)-IF(TbTradesBinance[[#This Row],[Moeda da Taxa]]=MID(AC$1,9,5),TbTradesBinance[[#This Row],[Taxa]],0),8)))</f>
        <v>0</v>
      </c>
      <c r="AD200" s="145" cm="1">
        <f t="array" ref="AD200">IF(TbTradesBinance[[#This Row],[Tipo]]="EMPTY",0,AD199+IF(TbTradesBinance[[#This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Row],[Par]]))),$1:$1,0)),-(AC199-AC200)/AC199*AD199),0),0)+IF(TbTradesBinance[[#This Row],[Tipo]]="SELL",IF(ISNUMBER(FIND(MID(AD$1,10,5),TbTradesBinance[[#This Row],[Par]])),IF(FIND(MID(AD$1,10,5),TbTradesBinance[[#This Row],[Par]])=1, -(AC199-AC200)/AC199*AD199,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Row],[Par]])),(-(AC199-AC200)/AC199*AD199)+IF(TbTradesBinance[[#This Row],[Resultado]]&gt;0,0,TbTradesBinance[[#This Row],[Taxa]]),0),0))</f>
        <v>0</v>
      </c>
      <c r="AE200" s="145">
        <f t="shared" si="63"/>
        <v>0</v>
      </c>
      <c r="AF20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Row],[Tipo]]="DROP"),AF199+TbTradesBinance[[#This Row],[Qtt]],AF199-TbTradesBinance[[#This Row],[Qtt]]),IF(TbTradesBinance[[#This Row],[Tipo]]="BUY",AF199-TbTradesBinance[[#This Row],[Qtt]]*TbTradesBinance[[#This Row],[Preço]],AF199+TbTradesBinance[[#This Row],[Qtt]]*TbTradesBinance[[#This Row],[Preço]])),AF199)-IF(TbTradesBinance[[#This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Row],[Tipo]]="DROP"),AF199+TbTradesBinance[[#This Row],[Qtt]],AF199-TbTradesBinance[[#This Row],[Qtt]]),IF(TbTradesBinance[[#This Row],[Tipo]]="BUY",AF199-TbTradesBinance[[#This Row],[Qtt]]*TbTradesBinance[[#This Row],[Preço]],AF199+TbTradesBinance[[#This Row],[Qtt]]*TbTradesBinance[[#This Row],[Preço]])),AF199)-IF(TbTradesBinance[[#This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Row],[Tipo]]="DROP"),AF199+TbTradesBinance[[#This Row],[Qtt]],AF199-TbTradesBinance[[#This Row],[Qtt]]),IF(TbTradesBinance[[#This Row],[Tipo]]="BUY",AF199-TbTradesBinance[[#This Row],[Qtt]]*TbTradesBinance[[#This Row],[Preço]],AF199+TbTradesBinance[[#This Row],[Qtt]]*TbTradesBinance[[#This Row],[Preço]])),AF199)-IF(TbTradesBinance[[#This Row],[Moeda da Taxa]]=MID(AF$1,9,5),TbTradesBinance[[#This Row],[Taxa]],0),8)))</f>
        <v>0</v>
      </c>
      <c r="AG200" s="145" cm="1">
        <f t="array" ref="AG200">IF(TbTradesBinance[[#This Row],[Tipo]]="EMPTY",0,AG199+IF(TbTradesBinance[[#This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Row],[Par]]))),$1:$1,0)),-(AF199-AF200)/AF199*AG199),0),0)+IF(TbTradesBinance[[#This Row],[Tipo]]="SELL",IF(ISNUMBER(FIND(MID(AG$1,10,5),TbTradesBinance[[#This Row],[Par]])),IF(FIND(MID(AG$1,10,5),TbTradesBinance[[#This Row],[Par]])=1, -(AF199-AF200)/AF199*AG199,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Row],[Par]])),(-(AF199-AF200)/AF199*AG199)+IF(TbTradesBinance[[#This Row],[Resultado]]&gt;0,0,TbTradesBinance[[#This Row],[Taxa]]),0),0))</f>
        <v>0</v>
      </c>
      <c r="AH200" s="145">
        <f t="shared" si="64"/>
        <v>0</v>
      </c>
      <c r="AI20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Row],[Tipo]]="DROP"),AI199+TbTradesBinance[[#This Row],[Qtt]],AI199-TbTradesBinance[[#This Row],[Qtt]]),IF(TbTradesBinance[[#This Row],[Tipo]]="BUY",AI199-TbTradesBinance[[#This Row],[Qtt]]*TbTradesBinance[[#This Row],[Preço]],AI199+TbTradesBinance[[#This Row],[Qtt]]*TbTradesBinance[[#This Row],[Preço]])),AI199)-IF(TbTradesBinance[[#This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Row],[Tipo]]="DROP"),AI199+TbTradesBinance[[#This Row],[Qtt]],AI199-TbTradesBinance[[#This Row],[Qtt]]),IF(TbTradesBinance[[#This Row],[Tipo]]="BUY",AI199-TbTradesBinance[[#This Row],[Qtt]]*TbTradesBinance[[#This Row],[Preço]],AI199+TbTradesBinance[[#This Row],[Qtt]]*TbTradesBinance[[#This Row],[Preço]])),AI199)-IF(TbTradesBinance[[#This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Row],[Tipo]]="DROP"),AI199+TbTradesBinance[[#This Row],[Qtt]],AI199-TbTradesBinance[[#This Row],[Qtt]]),IF(TbTradesBinance[[#This Row],[Tipo]]="BUY",AI199-TbTradesBinance[[#This Row],[Qtt]]*TbTradesBinance[[#This Row],[Preço]],AI199+TbTradesBinance[[#This Row],[Qtt]]*TbTradesBinance[[#This Row],[Preço]])),AI199)-IF(TbTradesBinance[[#This Row],[Moeda da Taxa]]=MID(AI$1,9,5),TbTradesBinance[[#This Row],[Taxa]],0),8)))</f>
        <v>0</v>
      </c>
      <c r="AJ200" s="145" cm="1">
        <f t="array" ref="AJ200">IF(TbTradesBinance[[#This Row],[Tipo]]="EMPTY",0,AJ199+IF(TbTradesBinance[[#This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Row],[Par]]))),$1:$1,0)),-(AI199-AI200)/AI199*AJ199),0),0)+IF(TbTradesBinance[[#This Row],[Tipo]]="SELL",IF(ISNUMBER(FIND(MID(AJ$1,10,5),TbTradesBinance[[#This Row],[Par]])),IF(FIND(MID(AJ$1,10,5),TbTradesBinance[[#This Row],[Par]])=1, -(AI199-AI200)/AI199*AJ199,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Row],[Par]])),(-(AI199-AI200)/AI199*AJ199)+IF(TbTradesBinance[[#This Row],[Resultado]]&gt;0,0,TbTradesBinance[[#This Row],[Taxa]]),0),0))</f>
        <v>0</v>
      </c>
      <c r="AK200" s="145">
        <f t="shared" si="65"/>
        <v>0</v>
      </c>
      <c r="AL20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Row],[Tipo]]="DROP"),AL199+TbTradesBinance[[#This Row],[Qtt]],AL199-TbTradesBinance[[#This Row],[Qtt]]),IF(TbTradesBinance[[#This Row],[Tipo]]="BUY",AL199-TbTradesBinance[[#This Row],[Qtt]]*TbTradesBinance[[#This Row],[Preço]],AL199+TbTradesBinance[[#This Row],[Qtt]]*TbTradesBinance[[#This Row],[Preço]])),AL199)-IF(TbTradesBinance[[#This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Row],[Tipo]]="DROP"),AL199+TbTradesBinance[[#This Row],[Qtt]],AL199-TbTradesBinance[[#This Row],[Qtt]]),IF(TbTradesBinance[[#This Row],[Tipo]]="BUY",AL199-TbTradesBinance[[#This Row],[Qtt]]*TbTradesBinance[[#This Row],[Preço]],AL199+TbTradesBinance[[#This Row],[Qtt]]*TbTradesBinance[[#This Row],[Preço]])),AL199)-IF(TbTradesBinance[[#This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Row],[Tipo]]="DROP"),AL199+TbTradesBinance[[#This Row],[Qtt]],AL199-TbTradesBinance[[#This Row],[Qtt]]),IF(TbTradesBinance[[#This Row],[Tipo]]="BUY",AL199-TbTradesBinance[[#This Row],[Qtt]]*TbTradesBinance[[#This Row],[Preço]],AL199+TbTradesBinance[[#This Row],[Qtt]]*TbTradesBinance[[#This Row],[Preço]])),AL199)-IF(TbTradesBinance[[#This Row],[Moeda da Taxa]]=MID(AL$1,9,5),TbTradesBinance[[#This Row],[Taxa]],0),8)))</f>
        <v>0</v>
      </c>
      <c r="AM200" s="145" cm="1">
        <f t="array" ref="AM200">IF(TbTradesBinance[[#This Row],[Tipo]]="EMPTY",0,AM199+IF(TbTradesBinance[[#This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Row],[Par]]))),$1:$1,0)),-(AL199-AL200)/AL199*AM199),0),0)+IF(TbTradesBinance[[#This Row],[Tipo]]="SELL",IF(ISNUMBER(FIND(MID(AM$1,10,5),TbTradesBinance[[#This Row],[Par]])),IF(FIND(MID(AM$1,10,5),TbTradesBinance[[#This Row],[Par]])=1, -(AL199-AL200)/AL199*AM199,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Row],[Par]])),(-(AL199-AL200)/AL199*AM199)+IF(TbTradesBinance[[#This Row],[Resultado]]&gt;0,0,TbTradesBinance[[#This Row],[Taxa]]),0),0))</f>
        <v>0</v>
      </c>
      <c r="AN200" s="145">
        <f t="shared" si="66"/>
        <v>0</v>
      </c>
      <c r="AO20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Row],[Tipo]]="DROP"),AO199+TbTradesBinance[[#This Row],[Qtt]],AO199-TbTradesBinance[[#This Row],[Qtt]]),IF(TbTradesBinance[[#This Row],[Tipo]]="BUY",AO199-TbTradesBinance[[#This Row],[Qtt]]*TbTradesBinance[[#This Row],[Preço]],AO199+TbTradesBinance[[#This Row],[Qtt]]*TbTradesBinance[[#This Row],[Preço]])),AO199)-IF(TbTradesBinance[[#This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Row],[Tipo]]="DROP"),AO199+TbTradesBinance[[#This Row],[Qtt]],AO199-TbTradesBinance[[#This Row],[Qtt]]),IF(TbTradesBinance[[#This Row],[Tipo]]="BUY",AO199-TbTradesBinance[[#This Row],[Qtt]]*TbTradesBinance[[#This Row],[Preço]],AO199+TbTradesBinance[[#This Row],[Qtt]]*TbTradesBinance[[#This Row],[Preço]])),AO199)-IF(TbTradesBinance[[#This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Row],[Tipo]]="DROP"),AO199+TbTradesBinance[[#This Row],[Qtt]],AO199-TbTradesBinance[[#This Row],[Qtt]]),IF(TbTradesBinance[[#This Row],[Tipo]]="BUY",AO199-TbTradesBinance[[#This Row],[Qtt]]*TbTradesBinance[[#This Row],[Preço]],AO199+TbTradesBinance[[#This Row],[Qtt]]*TbTradesBinance[[#This Row],[Preço]])),AO199)-IF(TbTradesBinance[[#This Row],[Moeda da Taxa]]=MID(AO$1,9,5),TbTradesBinance[[#This Row],[Taxa]],0),8)))</f>
        <v>3.83405E-2</v>
      </c>
      <c r="AP200" s="145" cm="1">
        <f t="array" ref="AP200">IF(TbTradesBinance[[#This Row],[Tipo]]="EMPTY",0,AP199+IF(TbTradesBinance[[#This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Row],[Par]]))),$1:$1,0)),-(AO199-AO200)/AO199*AP199),0),0)+IF(TbTradesBinance[[#This Row],[Tipo]]="SELL",IF(ISNUMBER(FIND(MID(AP$1,10,5),TbTradesBinance[[#This Row],[Par]])),IF(FIND(MID(AP$1,10,5),TbTradesBinance[[#This Row],[Par]])=1, -(AO199-AO200)/AO199*AP199,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Row],[Par]])),(-(AO199-AO200)/AO199*AP199)+IF(TbTradesBinance[[#This Row],[Resultado]]&gt;0,0,TbTradesBinance[[#This Row],[Taxa]]),0),0))</f>
        <v>60.349858055862811</v>
      </c>
      <c r="AQ200" s="145">
        <f t="shared" si="67"/>
        <v>1574.0498443124845</v>
      </c>
      <c r="AR20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Row],[Tipo]]="DROP"),AR199+TbTradesBinance[[#This Row],[Qtt]],AR199-TbTradesBinance[[#This Row],[Qtt]]),IF(TbTradesBinance[[#This Row],[Tipo]]="BUY",AR199-TbTradesBinance[[#This Row],[Qtt]]*TbTradesBinance[[#This Row],[Preço]],AR199+TbTradesBinance[[#This Row],[Qtt]]*TbTradesBinance[[#This Row],[Preço]])),AR199)-IF(TbTradesBinance[[#This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Row],[Tipo]]="DROP"),AR199+TbTradesBinance[[#This Row],[Qtt]],AR199-TbTradesBinance[[#This Row],[Qtt]]),IF(TbTradesBinance[[#This Row],[Tipo]]="BUY",AR199-TbTradesBinance[[#This Row],[Qtt]]*TbTradesBinance[[#This Row],[Preço]],AR199+TbTradesBinance[[#This Row],[Qtt]]*TbTradesBinance[[#This Row],[Preço]])),AR199)-IF(TbTradesBinance[[#This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Row],[Tipo]]="DROP"),AR199+TbTradesBinance[[#This Row],[Qtt]],AR199-TbTradesBinance[[#This Row],[Qtt]]),IF(TbTradesBinance[[#This Row],[Tipo]]="BUY",AR199-TbTradesBinance[[#This Row],[Qtt]]*TbTradesBinance[[#This Row],[Preço]],AR199+TbTradesBinance[[#This Row],[Qtt]]*TbTradesBinance[[#This Row],[Preço]])),AR199)-IF(TbTradesBinance[[#This Row],[Moeda da Taxa]]=MID(AR$1,9,5),TbTradesBinance[[#This Row],[Taxa]],0),8)))</f>
        <v>0</v>
      </c>
      <c r="AS200" s="145" cm="1">
        <f t="array" ref="AS200">IF(TbTradesBinance[[#This Row],[Tipo]]="EMPTY",0,AS199+IF(TbTradesBinance[[#This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Row],[Par]]))),$1:$1,0)),-(AR199-AR200)/AR199*AS199),0),0)+IF(TbTradesBinance[[#This Row],[Tipo]]="SELL",IF(ISNUMBER(FIND(MID(AS$1,10,5),TbTradesBinance[[#This Row],[Par]])),IF(FIND(MID(AS$1,10,5),TbTradesBinance[[#This Row],[Par]])=1, -(AR199-AR200)/AR199*AS199,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Row],[Par]])),(-(AR199-AR200)/AR199*AS199)+IF(TbTradesBinance[[#This Row],[Resultado]]&gt;0,0,TbTradesBinance[[#This Row],[Taxa]]),0),0))</f>
        <v>0</v>
      </c>
      <c r="AT200" s="145">
        <f t="shared" si="68"/>
        <v>0</v>
      </c>
      <c r="AU20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Row],[Tipo]]="DROP"),AU199+TbTradesBinance[[#This Row],[Qtt]],AU199-TbTradesBinance[[#This Row],[Qtt]]),IF(TbTradesBinance[[#This Row],[Tipo]]="BUY",AU199-TbTradesBinance[[#This Row],[Qtt]]*TbTradesBinance[[#This Row],[Preço]],AU199+TbTradesBinance[[#This Row],[Qtt]]*TbTradesBinance[[#This Row],[Preço]])),AU199)-IF(TbTradesBinance[[#This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Row],[Tipo]]="DROP"),AU199+TbTradesBinance[[#This Row],[Qtt]],AU199-TbTradesBinance[[#This Row],[Qtt]]),IF(TbTradesBinance[[#This Row],[Tipo]]="BUY",AU199-TbTradesBinance[[#This Row],[Qtt]]*TbTradesBinance[[#This Row],[Preço]],AU199+TbTradesBinance[[#This Row],[Qtt]]*TbTradesBinance[[#This Row],[Preço]])),AU199)-IF(TbTradesBinance[[#This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Row],[Tipo]]="DROP"),AU199+TbTradesBinance[[#This Row],[Qtt]],AU199-TbTradesBinance[[#This Row],[Qtt]]),IF(TbTradesBinance[[#This Row],[Tipo]]="BUY",AU199-TbTradesBinance[[#This Row],[Qtt]]*TbTradesBinance[[#This Row],[Preço]],AU199+TbTradesBinance[[#This Row],[Qtt]]*TbTradesBinance[[#This Row],[Preço]])),AU199)-IF(TbTradesBinance[[#This Row],[Moeda da Taxa]]=MID(AU$1,9,5),TbTradesBinance[[#This Row],[Taxa]],0),8)))</f>
        <v>0.51</v>
      </c>
      <c r="AV200" s="145" cm="1">
        <f t="array" ref="AV200">IF(TbTradesBinance[[#This Row],[Tipo]]="EMPTY",0,AV199+IF(TbTradesBinance[[#This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Row],[Par]]))),$1:$1,0)),-(AU199-AU200)/AU199*AV199),0),0)+IF(TbTradesBinance[[#This Row],[Tipo]]="SELL",IF(ISNUMBER(FIND(MID(AV$1,10,5),TbTradesBinance[[#This Row],[Par]])),IF(FIND(MID(AV$1,10,5),TbTradesBinance[[#This Row],[Par]])=1, -(AU199-AU200)/AU199*AV199,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Row],[Par]])),(-(AU199-AU200)/AU199*AV199)+IF(TbTradesBinance[[#This Row],[Resultado]]&gt;0,0,TbTradesBinance[[#This Row],[Taxa]]),0),0))</f>
        <v>95.466693037374753</v>
      </c>
      <c r="AW200" s="145">
        <f t="shared" si="69"/>
        <v>187.18959419093088</v>
      </c>
      <c r="AX20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Row],[Tipo]]="DROP"),AX199+TbTradesBinance[[#This Row],[Qtt]],AX199-TbTradesBinance[[#This Row],[Qtt]]),IF(TbTradesBinance[[#This Row],[Tipo]]="BUY",AX199-TbTradesBinance[[#This Row],[Qtt]]*TbTradesBinance[[#This Row],[Preço]],AX199+TbTradesBinance[[#This Row],[Qtt]]*TbTradesBinance[[#This Row],[Preço]])),AX199)-IF(TbTradesBinance[[#This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Row],[Tipo]]="DROP"),AX199+TbTradesBinance[[#This Row],[Qtt]],AX199-TbTradesBinance[[#This Row],[Qtt]]),IF(TbTradesBinance[[#This Row],[Tipo]]="BUY",AX199-TbTradesBinance[[#This Row],[Qtt]]*TbTradesBinance[[#This Row],[Preço]],AX199+TbTradesBinance[[#This Row],[Qtt]]*TbTradesBinance[[#This Row],[Preço]])),AX199)-IF(TbTradesBinance[[#This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Row],[Tipo]]="DROP"),AX199+TbTradesBinance[[#This Row],[Qtt]],AX199-TbTradesBinance[[#This Row],[Qtt]]),IF(TbTradesBinance[[#This Row],[Tipo]]="BUY",AX199-TbTradesBinance[[#This Row],[Qtt]]*TbTradesBinance[[#This Row],[Preço]],AX199+TbTradesBinance[[#This Row],[Qtt]]*TbTradesBinance[[#This Row],[Preço]])),AX199)-IF(TbTradesBinance[[#This Row],[Moeda da Taxa]]=MID(AX$1,9,5),TbTradesBinance[[#This Row],[Taxa]],0),8)))</f>
        <v>0.32838000000000001</v>
      </c>
      <c r="AY200" s="145" cm="1">
        <f t="array" ref="AY200">IF(TbTradesBinance[[#This Row],[Tipo]]="EMPTY",0,AY199+IF(TbTradesBinance[[#This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Row],[Par]]))),$1:$1,0)),-(AX199-AX200)/AX199*AY199),0),0)+IF(TbTradesBinance[[#This Row],[Tipo]]="SELL",IF(ISNUMBER(FIND(MID(AY$1,10,5),TbTradesBinance[[#This Row],[Par]])),IF(FIND(MID(AY$1,10,5),TbTradesBinance[[#This Row],[Par]])=1, -(AX199-AX200)/AX199*AY199,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Row],[Par]])),(-(AX199-AX200)/AX199*AY199)+IF(TbTradesBinance[[#This Row],[Resultado]]&gt;0,0,TbTradesBinance[[#This Row],[Taxa]]),0),0))</f>
        <v>61.364116058805678</v>
      </c>
      <c r="AZ200" s="145">
        <f t="shared" si="70"/>
        <v>186.869224857804</v>
      </c>
      <c r="BA20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Row],[Tipo]]="DROP"),BA199+TbTradesBinance[[#This Row],[Qtt]],BA199-TbTradesBinance[[#This Row],[Qtt]]),IF(TbTradesBinance[[#This Row],[Tipo]]="BUY",BA199-TbTradesBinance[[#This Row],[Qtt]]*TbTradesBinance[[#This Row],[Preço]],BA199+TbTradesBinance[[#This Row],[Qtt]]*TbTradesBinance[[#This Row],[Preço]])),BA199)-IF(TbTradesBinance[[#This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Row],[Tipo]]="DROP"),BA199+TbTradesBinance[[#This Row],[Qtt]],BA199-TbTradesBinance[[#This Row],[Qtt]]),IF(TbTradesBinance[[#This Row],[Tipo]]="BUY",BA199-TbTradesBinance[[#This Row],[Qtt]]*TbTradesBinance[[#This Row],[Preço]],BA199+TbTradesBinance[[#This Row],[Qtt]]*TbTradesBinance[[#This Row],[Preço]])),BA199)-IF(TbTradesBinance[[#This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Row],[Tipo]]="DROP"),BA199+TbTradesBinance[[#This Row],[Qtt]],BA199-TbTradesBinance[[#This Row],[Qtt]]),IF(TbTradesBinance[[#This Row],[Tipo]]="BUY",BA199-TbTradesBinance[[#This Row],[Qtt]]*TbTradesBinance[[#This Row],[Preço]],BA199+TbTradesBinance[[#This Row],[Qtt]]*TbTradesBinance[[#This Row],[Preço]])),BA199)-IF(TbTradesBinance[[#This Row],[Moeda da Taxa]]=MID(BA$1,9,5),TbTradesBinance[[#This Row],[Taxa]],0),8)))</f>
        <v>0</v>
      </c>
      <c r="BB200" s="145" cm="1">
        <f t="array" ref="BB200">IF(TbTradesBinance[[#This Row],[Tipo]]="EMPTY",0,BB199+IF(TbTradesBinance[[#This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Row],[Par]]))),$1:$1,0)),-(BA199-BA200)/BA199*BB199),0),0)+IF(TbTradesBinance[[#This Row],[Tipo]]="SELL",IF(ISNUMBER(FIND(MID(BB$1,10,5),TbTradesBinance[[#This Row],[Par]])),IF(FIND(MID(BB$1,10,5),TbTradesBinance[[#This Row],[Par]])=1, -(BA199-BA200)/BA199*BB199,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Row],[Par]])),(-(BA199-BA200)/BA199*BB199)+IF(TbTradesBinance[[#This Row],[Resultado]]&gt;0,0,TbTradesBinance[[#This Row],[Taxa]]),0),0))</f>
        <v>0</v>
      </c>
      <c r="BC200" s="145">
        <f t="shared" si="71"/>
        <v>0</v>
      </c>
      <c r="BD20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Row],[Tipo]]="DROP"),BD199+TbTradesBinance[[#This Row],[Qtt]],BD199-TbTradesBinance[[#This Row],[Qtt]]),IF(TbTradesBinance[[#This Row],[Tipo]]="BUY",BD199-TbTradesBinance[[#This Row],[Qtt]]*TbTradesBinance[[#This Row],[Preço]],BD199+TbTradesBinance[[#This Row],[Qtt]]*TbTradesBinance[[#This Row],[Preço]])),BD199)-IF(TbTradesBinance[[#This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Row],[Tipo]]="DROP"),BD199+TbTradesBinance[[#This Row],[Qtt]],BD199-TbTradesBinance[[#This Row],[Qtt]]),IF(TbTradesBinance[[#This Row],[Tipo]]="BUY",BD199-TbTradesBinance[[#This Row],[Qtt]]*TbTradesBinance[[#This Row],[Preço]],BD199+TbTradesBinance[[#This Row],[Qtt]]*TbTradesBinance[[#This Row],[Preço]])),BD199)-IF(TbTradesBinance[[#This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Row],[Tipo]]="DROP"),BD199+TbTradesBinance[[#This Row],[Qtt]],BD199-TbTradesBinance[[#This Row],[Qtt]]),IF(TbTradesBinance[[#This Row],[Tipo]]="BUY",BD199-TbTradesBinance[[#This Row],[Qtt]]*TbTradesBinance[[#This Row],[Preço]],BD199+TbTradesBinance[[#This Row],[Qtt]]*TbTradesBinance[[#This Row],[Preço]])),BD199)-IF(TbTradesBinance[[#This Row],[Moeda da Taxa]]=MID(BD$1,9,5),TbTradesBinance[[#This Row],[Taxa]],0),8)))</f>
        <v>0</v>
      </c>
      <c r="BE200" s="145" cm="1">
        <f t="array" ref="BE200">IF(TbTradesBinance[[#This Row],[Tipo]]="EMPTY",0,BE199+IF(TbTradesBinance[[#This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Row],[Par]]))),$1:$1,0)),-(BD199-BD200)/BD199*BE199),0),0)+IF(TbTradesBinance[[#This Row],[Tipo]]="SELL",IF(ISNUMBER(FIND(MID(BE$1,10,5),TbTradesBinance[[#This Row],[Par]])),IF(FIND(MID(BE$1,10,5),TbTradesBinance[[#This Row],[Par]])=1, -(BD199-BD200)/BD199*BE199,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Row],[Par]])),(-(BD199-BD200)/BD199*BE199)+IF(TbTradesBinance[[#This Row],[Resultado]]&gt;0,0,TbTradesBinance[[#This Row],[Taxa]]),0),0))</f>
        <v>0</v>
      </c>
      <c r="BF200" s="145">
        <f t="shared" si="72"/>
        <v>0</v>
      </c>
      <c r="BG20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Row],[Tipo]]="DROP"),BG199+TbTradesBinance[[#This Row],[Qtt]],BG199-TbTradesBinance[[#This Row],[Qtt]]),IF(TbTradesBinance[[#This Row],[Tipo]]="BUY",BG199-TbTradesBinance[[#This Row],[Qtt]]*TbTradesBinance[[#This Row],[Preço]],BG199+TbTradesBinance[[#This Row],[Qtt]]*TbTradesBinance[[#This Row],[Preço]])),BG199)-IF(TbTradesBinance[[#This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Row],[Tipo]]="DROP"),BG199+TbTradesBinance[[#This Row],[Qtt]],BG199-TbTradesBinance[[#This Row],[Qtt]]),IF(TbTradesBinance[[#This Row],[Tipo]]="BUY",BG199-TbTradesBinance[[#This Row],[Qtt]]*TbTradesBinance[[#This Row],[Preço]],BG199+TbTradesBinance[[#This Row],[Qtt]]*TbTradesBinance[[#This Row],[Preço]])),BG199)-IF(TbTradesBinance[[#This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Row],[Tipo]]="DROP"),BG199+TbTradesBinance[[#This Row],[Qtt]],BG199-TbTradesBinance[[#This Row],[Qtt]]),IF(TbTradesBinance[[#This Row],[Tipo]]="BUY",BG199-TbTradesBinance[[#This Row],[Qtt]]*TbTradesBinance[[#This Row],[Preço]],BG199+TbTradesBinance[[#This Row],[Qtt]]*TbTradesBinance[[#This Row],[Preço]])),BG199)-IF(TbTradesBinance[[#This Row],[Moeda da Taxa]]=MID(BG$1,9,5),TbTradesBinance[[#This Row],[Taxa]],0),8)))</f>
        <v>0</v>
      </c>
      <c r="BH200" s="145" cm="1">
        <f t="array" ref="BH200">IF(TbTradesBinance[[#This Row],[Tipo]]="EMPTY",0,BH199+IF(TbTradesBinance[[#This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Row],[Par]]))),$1:$1,0)),-(BG199-BG200)/BG199*BH199),0),0)+IF(TbTradesBinance[[#This Row],[Tipo]]="SELL",IF(ISNUMBER(FIND(MID(BH$1,10,5),TbTradesBinance[[#This Row],[Par]])),IF(FIND(MID(BH$1,10,5),TbTradesBinance[[#This Row],[Par]])=1, -(BG199-BG200)/BG199*BH199,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Row],[Par]])),(-(BG199-BG200)/BG199*BH199)+IF(TbTradesBinance[[#This Row],[Resultado]]&gt;0,0,TbTradesBinance[[#This Row],[Taxa]]),0),0))</f>
        <v>0</v>
      </c>
      <c r="BI200" s="145">
        <f t="shared" si="73"/>
        <v>0</v>
      </c>
      <c r="BJ20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Row],[Tipo]]="DROP"),BJ199+TbTradesBinance[[#This Row],[Qtt]],BJ199-TbTradesBinance[[#This Row],[Qtt]]),IF(TbTradesBinance[[#This Row],[Tipo]]="BUY",BJ199-TbTradesBinance[[#This Row],[Qtt]]*TbTradesBinance[[#This Row],[Preço]],BJ199+TbTradesBinance[[#This Row],[Qtt]]*TbTradesBinance[[#This Row],[Preço]])),BJ199)-IF(TbTradesBinance[[#This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Row],[Tipo]]="DROP"),BJ199+TbTradesBinance[[#This Row],[Qtt]],BJ199-TbTradesBinance[[#This Row],[Qtt]]),IF(TbTradesBinance[[#This Row],[Tipo]]="BUY",BJ199-TbTradesBinance[[#This Row],[Qtt]]*TbTradesBinance[[#This Row],[Preço]],BJ199+TbTradesBinance[[#This Row],[Qtt]]*TbTradesBinance[[#This Row],[Preço]])),BJ199)-IF(TbTradesBinance[[#This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Row],[Tipo]]="DROP"),BJ199+TbTradesBinance[[#This Row],[Qtt]],BJ199-TbTradesBinance[[#This Row],[Qtt]]),IF(TbTradesBinance[[#This Row],[Tipo]]="BUY",BJ199-TbTradesBinance[[#This Row],[Qtt]]*TbTradesBinance[[#This Row],[Preço]],BJ199+TbTradesBinance[[#This Row],[Qtt]]*TbTradesBinance[[#This Row],[Preço]])),BJ199)-IF(TbTradesBinance[[#This Row],[Moeda da Taxa]]=MID(BJ$1,9,5),TbTradesBinance[[#This Row],[Taxa]],0),8)))</f>
        <v>0</v>
      </c>
      <c r="BK200" s="145" cm="1">
        <f t="array" ref="BK200">IF(TbTradesBinance[[#This Row],[Tipo]]="EMPTY",0,BK199+IF(TbTradesBinance[[#This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Row],[Par]]))),$1:$1,0)),-(BJ199-BJ200)/BJ199*BK199),0),0)+IF(TbTradesBinance[[#This Row],[Tipo]]="SELL",IF(ISNUMBER(FIND(MID(BK$1,10,5),TbTradesBinance[[#This Row],[Par]])),IF(FIND(MID(BK$1,10,5),TbTradesBinance[[#This Row],[Par]])=1, -(BJ199-BJ200)/BJ199*BK199,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Row],[Par]])),(-(BJ199-BJ200)/BJ199*BK199)+IF(TbTradesBinance[[#This Row],[Resultado]]&gt;0,0,TbTradesBinance[[#This Row],[Taxa]]),0),0))</f>
        <v>0</v>
      </c>
      <c r="BL200" s="145">
        <f t="shared" si="74"/>
        <v>0</v>
      </c>
      <c r="BM20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Row],[Tipo]]="DROP"),BM199+TbTradesBinance[[#This Row],[Qtt]],BM199-TbTradesBinance[[#This Row],[Qtt]]),IF(TbTradesBinance[[#This Row],[Tipo]]="BUY",BM199-TbTradesBinance[[#This Row],[Qtt]]*TbTradesBinance[[#This Row],[Preço]],BM199+TbTradesBinance[[#This Row],[Qtt]]*TbTradesBinance[[#This Row],[Preço]])),BM199)-IF(TbTradesBinance[[#This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Row],[Tipo]]="DROP"),BM199+TbTradesBinance[[#This Row],[Qtt]],BM199-TbTradesBinance[[#This Row],[Qtt]]),IF(TbTradesBinance[[#This Row],[Tipo]]="BUY",BM199-TbTradesBinance[[#This Row],[Qtt]]*TbTradesBinance[[#This Row],[Preço]],BM199+TbTradesBinance[[#This Row],[Qtt]]*TbTradesBinance[[#This Row],[Preço]])),BM199)-IF(TbTradesBinance[[#This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Row],[Tipo]]="DROP"),BM199+TbTradesBinance[[#This Row],[Qtt]],BM199-TbTradesBinance[[#This Row],[Qtt]]),IF(TbTradesBinance[[#This Row],[Tipo]]="BUY",BM199-TbTradesBinance[[#This Row],[Qtt]]*TbTradesBinance[[#This Row],[Preço]],BM199+TbTradesBinance[[#This Row],[Qtt]]*TbTradesBinance[[#This Row],[Preço]])),BM199)-IF(TbTradesBinance[[#This Row],[Moeda da Taxa]]=MID(BM$1,9,5),TbTradesBinance[[#This Row],[Taxa]],0),8)))</f>
        <v>0</v>
      </c>
      <c r="BN200" s="145" cm="1">
        <f t="array" ref="BN200">IF(TbTradesBinance[[#This Row],[Tipo]]="EMPTY",0,BN199+IF(TbTradesBinance[[#This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Row],[Par]]))),$1:$1,0)),-(BM199-BM200)/BM199*BN199),0),0)+IF(TbTradesBinance[[#This Row],[Tipo]]="SELL",IF(ISNUMBER(FIND(MID(BN$1,10,5),TbTradesBinance[[#This Row],[Par]])),IF(FIND(MID(BN$1,10,5),TbTradesBinance[[#This Row],[Par]])=1, -(BM199-BM200)/BM199*BN199,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Row],[Par]])),(-(BM199-BM200)/BM199*BN199)+IF(TbTradesBinance[[#This Row],[Resultado]]&gt;0,0,TbTradesBinance[[#This Row],[Taxa]]),0),0))</f>
        <v>0</v>
      </c>
      <c r="BO200" s="145">
        <f t="shared" si="75"/>
        <v>0</v>
      </c>
    </row>
    <row r="201" spans="2:67" x14ac:dyDescent="0.3">
      <c r="B201" s="51"/>
      <c r="C201" s="40">
        <f>TRUNC(IF(AND(TbTradesBinance[[#This Row],[Tipo]]="SEND",TbTradesBinance[[#This Row],[Par]]="BRL"),TbTradesBinance[[#This Row],[Qtt]]*(1-P199)-IF(TbTradesBinance[[#This Row],[Moeda da Taxa]]="BRL",TbTradesBinance[[#This Row],[Taxa]],0),0)+IF(AND(TbTradesBinance[[#This Row],[Tipo]]="BURN",TbTradesBinance[[#This Row],[Par]]="BRL"),-TbTradesBinance[[#This Row],[Qtt]]*P199,0),2)</f>
        <v>0</v>
      </c>
      <c r="D201" s="53">
        <v>44366.145092592589</v>
      </c>
      <c r="E201" s="37" t="s">
        <v>249</v>
      </c>
      <c r="F201" s="47" t="s">
        <v>139</v>
      </c>
      <c r="G201" s="38">
        <v>35103.26</v>
      </c>
      <c r="H201" s="38">
        <v>1.261E-3</v>
      </c>
      <c r="I201" s="38">
        <v>1.26E-6</v>
      </c>
      <c r="J201" s="37" t="s">
        <v>6</v>
      </c>
      <c r="K201" s="52">
        <v>5.069</v>
      </c>
      <c r="L201" s="40">
        <f t="shared" si="57"/>
        <v>177938.42</v>
      </c>
      <c r="M201" s="40">
        <f>IF(OR(TbTradesBinance[[#This Row],[Tipo]]="BUY",TbTradesBinance[[#This Row],[Tipo]]="RECEIVE",TbTradesBinance[[#This Row],[Tipo]]="DROP"),L201*H201,-L201*H201)</f>
        <v>224.38034762000001</v>
      </c>
      <c r="N20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Row],[Tipo]]="DROP"),N200+TbTradesBinance[[#This Row],[Qtt]],N200-TbTradesBinance[[#This Row],[Qtt]]),IF(TbTradesBinance[[#This Row],[Tipo]]="BUY",N200-TbTradesBinance[[#This Row],[Qtt]]*TbTradesBinance[[#This Row],[Preço]],N200+TbTradesBinance[[#This Row],[Qtt]]*TbTradesBinance[[#This Row],[Preço]])),N200)-IF(TbTradesBinance[[#This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Row],[Tipo]]="DROP"),N200+TbTradesBinance[[#This Row],[Qtt]],N200-TbTradesBinance[[#This Row],[Qtt]]),IF(TbTradesBinance[[#This Row],[Tipo]]="BUY",N200-TbTradesBinance[[#This Row],[Qtt]]*TbTradesBinance[[#This Row],[Preço]],N200+TbTradesBinance[[#This Row],[Qtt]]*TbTradesBinance[[#This Row],[Preço]])),N200)-IF(TbTradesBinance[[#This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Row],[Tipo]]="DROP"),N200+TbTradesBinance[[#This Row],[Qtt]],N200-TbTradesBinance[[#This Row],[Qtt]]),IF(TbTradesBinance[[#This Row],[Tipo]]="BUY",N200-TbTradesBinance[[#This Row],[Qtt]]*TbTradesBinance[[#This Row],[Preço]],N200+TbTradesBinance[[#This Row],[Qtt]]*TbTradesBinance[[#This Row],[Preço]])),N200)-IF(TbTradesBinance[[#This Row],[Moeda da Taxa]]=MID(N$1,9,5),TbTradesBinance[[#This Row],[Taxa]],0),8)))</f>
        <v>120989.38238681</v>
      </c>
      <c r="O201" s="145" cm="1">
        <f t="array" ref="O201">IF(TbTradesBinance[[#This Row],[Tipo]]="EMPTY",0,O200+IF(TbTradesBinance[[#This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Row],[Par]]))),$1:$1,0)),-(N200-N201)/N200*O200),0),0)+IF(TbTradesBinance[[#This Row],[Tipo]]="SELL",IF(ISNUMBER(FIND(MID(O$1,10,5),TbTradesBinance[[#This Row],[Par]])),IF(FIND(MID(O$1,10,5),TbTradesBinance[[#This Row],[Par]])=1, -(N200-N201)/N200*O200,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Row],[Par]])),(-(N200-N201)/N200*O200)+IF(TbTradesBinance[[#This Row],[Resultado]]&gt;0,0,TbTradesBinance[[#This Row],[Taxa]]),0),0))</f>
        <v>121655.78151816223</v>
      </c>
      <c r="P201" s="145">
        <f t="shared" si="58"/>
        <v>1.0055079141508609</v>
      </c>
      <c r="Q20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Row],[Tipo]]="DROP"),Q200+TbTradesBinance[[#This Row],[Qtt]],Q200-TbTradesBinance[[#This Row],[Qtt]]),IF(TbTradesBinance[[#This Row],[Tipo]]="BUY",Q200-TbTradesBinance[[#This Row],[Qtt]]*TbTradesBinance[[#This Row],[Preço]],Q200+TbTradesBinance[[#This Row],[Qtt]]*TbTradesBinance[[#This Row],[Preço]])),Q200)-IF(TbTradesBinance[[#This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Row],[Tipo]]="DROP"),Q200+TbTradesBinance[[#This Row],[Qtt]],Q200-TbTradesBinance[[#This Row],[Qtt]]),IF(TbTradesBinance[[#This Row],[Tipo]]="BUY",Q200-TbTradesBinance[[#This Row],[Qtt]]*TbTradesBinance[[#This Row],[Preço]],Q200+TbTradesBinance[[#This Row],[Qtt]]*TbTradesBinance[[#This Row],[Preço]])),Q200)-IF(TbTradesBinance[[#This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Row],[Tipo]]="DROP"),Q200+TbTradesBinance[[#This Row],[Qtt]],Q200-TbTradesBinance[[#This Row],[Qtt]]),IF(TbTradesBinance[[#This Row],[Tipo]]="BUY",Q200-TbTradesBinance[[#This Row],[Qtt]]*TbTradesBinance[[#This Row],[Preço]],Q200+TbTradesBinance[[#This Row],[Qtt]]*TbTradesBinance[[#This Row],[Preço]])),Q200)-IF(TbTradesBinance[[#This Row],[Moeda da Taxa]]=MID(Q$1,9,5),TbTradesBinance[[#This Row],[Taxa]],0),8)))</f>
        <v>211.13765753000001</v>
      </c>
      <c r="R201" s="145" cm="1">
        <f t="array" ref="R201">IF(TbTradesBinance[[#This Row],[Tipo]]="EMPTY",0,R200+IF(TbTradesBinance[[#This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Row],[Par]]))),$1:$1,0)),-(Q200-Q201)/Q200*R200),0),0)+IF(TbTradesBinance[[#This Row],[Tipo]]="SELL",IF(ISNUMBER(FIND(MID(R$1,10,5),TbTradesBinance[[#This Row],[Par]])),IF(FIND(MID(R$1,10,5),TbTradesBinance[[#This Row],[Par]])=1, -(Q200-Q201)/Q200*R200,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Row],[Par]])),(-(Q200-Q201)/Q200*R200)+IF(TbTradesBinance[[#This Row],[Resultado]]&gt;0,0,TbTradesBinance[[#This Row],[Taxa]]),0),0))</f>
        <v>1079.6595881037022</v>
      </c>
      <c r="S201" s="145">
        <f t="shared" si="59"/>
        <v>5.11353398883994</v>
      </c>
      <c r="T20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Row],[Tipo]]="DROP"),T200+TbTradesBinance[[#This Row],[Qtt]],T200-TbTradesBinance[[#This Row],[Qtt]]),IF(TbTradesBinance[[#This Row],[Tipo]]="BUY",T200-TbTradesBinance[[#This Row],[Qtt]]*TbTradesBinance[[#This Row],[Preço]],T200+TbTradesBinance[[#This Row],[Qtt]]*TbTradesBinance[[#This Row],[Preço]])),T200)-IF(TbTradesBinance[[#This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Row],[Tipo]]="DROP"),T200+TbTradesBinance[[#This Row],[Qtt]],T200-TbTradesBinance[[#This Row],[Qtt]]),IF(TbTradesBinance[[#This Row],[Tipo]]="BUY",T200-TbTradesBinance[[#This Row],[Qtt]]*TbTradesBinance[[#This Row],[Preço]],T200+TbTradesBinance[[#This Row],[Qtt]]*TbTradesBinance[[#This Row],[Preço]])),T200)-IF(TbTradesBinance[[#This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Row],[Tipo]]="DROP"),T200+TbTradesBinance[[#This Row],[Qtt]],T200-TbTradesBinance[[#This Row],[Qtt]]),IF(TbTradesBinance[[#This Row],[Tipo]]="BUY",T200-TbTradesBinance[[#This Row],[Qtt]]*TbTradesBinance[[#This Row],[Preço]],T200+TbTradesBinance[[#This Row],[Qtt]]*TbTradesBinance[[#This Row],[Preço]])),T200)-IF(TbTradesBinance[[#This Row],[Moeda da Taxa]]=MID(T$1,9,5),TbTradesBinance[[#This Row],[Taxa]],0),8)))</f>
        <v>101223913.720009</v>
      </c>
      <c r="U201" s="145" cm="1">
        <f t="array" ref="U201">IF(TbTradesBinance[[#This Row],[Tipo]]="EMPTY",0,U200+IF(TbTradesBinance[[#This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Row],[Par]]))),$1:$1,0)),-(T200-T201)/T200*U200),0),0)+IF(TbTradesBinance[[#This Row],[Tipo]]="SELL",IF(ISNUMBER(FIND(MID(U$1,10,5),TbTradesBinance[[#This Row],[Par]])),IF(FIND(MID(U$1,10,5),TbTradesBinance[[#This Row],[Par]])=1, -(T200-T201)/T200*U200,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Row],[Par]])),(-(T200-T201)/T200*U200)+IF(TbTradesBinance[[#This Row],[Resultado]]&gt;0,0,TbTradesBinance[[#This Row],[Taxa]]),0),0))</f>
        <v>617586601.27364206</v>
      </c>
      <c r="V201" s="145">
        <f t="shared" si="60"/>
        <v>6.1011926784605572</v>
      </c>
      <c r="W20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Row],[Tipo]]="DROP"),W200+TbTradesBinance[[#This Row],[Qtt]],W200-TbTradesBinance[[#This Row],[Qtt]]),IF(TbTradesBinance[[#This Row],[Tipo]]="BUY",W200-TbTradesBinance[[#This Row],[Qtt]]*TbTradesBinance[[#This Row],[Preço]],W200+TbTradesBinance[[#This Row],[Qtt]]*TbTradesBinance[[#This Row],[Preço]])),W200)-IF(TbTradesBinance[[#This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Row],[Tipo]]="DROP"),W200+TbTradesBinance[[#This Row],[Qtt]],W200-TbTradesBinance[[#This Row],[Qtt]]),IF(TbTradesBinance[[#This Row],[Tipo]]="BUY",W200-TbTradesBinance[[#This Row],[Qtt]]*TbTradesBinance[[#This Row],[Preço]],W200+TbTradesBinance[[#This Row],[Qtt]]*TbTradesBinance[[#This Row],[Preço]])),W200)-IF(TbTradesBinance[[#This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Row],[Tipo]]="DROP"),W200+TbTradesBinance[[#This Row],[Qtt]],W200-TbTradesBinance[[#This Row],[Qtt]]),IF(TbTradesBinance[[#This Row],[Tipo]]="BUY",W200-TbTradesBinance[[#This Row],[Qtt]]*TbTradesBinance[[#This Row],[Preço]],W200+TbTradesBinance[[#This Row],[Qtt]]*TbTradesBinance[[#This Row],[Preço]])),W200)-IF(TbTradesBinance[[#This Row],[Moeda da Taxa]]=MID(W$1,9,5),TbTradesBinance[[#This Row],[Taxa]],0),8)))</f>
        <v>1.6294899999999999E-3</v>
      </c>
      <c r="X201" s="145" cm="1">
        <f t="array" ref="X201">IF(TbTradesBinance[[#This Row],[Tipo]]="EMPTY",0,X200+IF(TbTradesBinance[[#This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Row],[Par]]))),$1:$1,0)),-(W200-W201)/W200*X200),0),0)+IF(TbTradesBinance[[#This Row],[Tipo]]="SELL",IF(ISNUMBER(FIND(MID(X$1,10,5),TbTradesBinance[[#This Row],[Par]])),IF(FIND(MID(X$1,10,5),TbTradesBinance[[#This Row],[Par]])=1, -(W200-W201)/W200*X200,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Row],[Par]])),(-(W200-W201)/W200*X200)+IF(TbTradesBinance[[#This Row],[Resultado]]&gt;0,0,TbTradesBinance[[#This Row],[Taxa]]),0),0))</f>
        <v>294.78000007363141</v>
      </c>
      <c r="Y201" s="145">
        <f t="shared" si="61"/>
        <v>180903.22743535182</v>
      </c>
      <c r="Z20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Row],[Tipo]]="DROP"),Z200+TbTradesBinance[[#This Row],[Qtt]],Z200-TbTradesBinance[[#This Row],[Qtt]]),IF(TbTradesBinance[[#This Row],[Tipo]]="BUY",Z200-TbTradesBinance[[#This Row],[Qtt]]*TbTradesBinance[[#This Row],[Preço]],Z200+TbTradesBinance[[#This Row],[Qtt]]*TbTradesBinance[[#This Row],[Preço]])),Z200)-IF(TbTradesBinance[[#This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Row],[Tipo]]="DROP"),Z200+TbTradesBinance[[#This Row],[Qtt]],Z200-TbTradesBinance[[#This Row],[Qtt]]),IF(TbTradesBinance[[#This Row],[Tipo]]="BUY",Z200-TbTradesBinance[[#This Row],[Qtt]]*TbTradesBinance[[#This Row],[Preço]],Z200+TbTradesBinance[[#This Row],[Qtt]]*TbTradesBinance[[#This Row],[Preço]])),Z200)-IF(TbTradesBinance[[#This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Row],[Tipo]]="DROP"),Z200+TbTradesBinance[[#This Row],[Qtt]],Z200-TbTradesBinance[[#This Row],[Qtt]]),IF(TbTradesBinance[[#This Row],[Tipo]]="BUY",Z200-TbTradesBinance[[#This Row],[Qtt]]*TbTradesBinance[[#This Row],[Preço]],Z200+TbTradesBinance[[#This Row],[Qtt]]*TbTradesBinance[[#This Row],[Preço]])),Z200)-IF(TbTradesBinance[[#This Row],[Moeda da Taxa]]=MID(Z$1,9,5),TbTradesBinance[[#This Row],[Taxa]],0),8)))</f>
        <v>0</v>
      </c>
      <c r="AA201" s="145" cm="1">
        <f t="array" ref="AA201">IF(TbTradesBinance[[#This Row],[Tipo]]="EMPTY",0,AA200+IF(TbTradesBinance[[#This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Row],[Par]]))),$1:$1,0)),-(Z200-Z201)/Z200*AA200),0),0)+IF(TbTradesBinance[[#This Row],[Tipo]]="SELL",IF(ISNUMBER(FIND(MID(AA$1,10,5),TbTradesBinance[[#This Row],[Par]])),IF(FIND(MID(AA$1,10,5),TbTradesBinance[[#This Row],[Par]])=1, -(Z200-Z201)/Z200*AA200,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Row],[Par]])),(-(Z200-Z201)/Z200*AA200)+IF(TbTradesBinance[[#This Row],[Resultado]]&gt;0,0,TbTradesBinance[[#This Row],[Taxa]]),0),0))</f>
        <v>0</v>
      </c>
      <c r="AB201" s="145">
        <f t="shared" si="62"/>
        <v>0</v>
      </c>
      <c r="AC20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Row],[Tipo]]="DROP"),AC200+TbTradesBinance[[#This Row],[Qtt]],AC200-TbTradesBinance[[#This Row],[Qtt]]),IF(TbTradesBinance[[#This Row],[Tipo]]="BUY",AC200-TbTradesBinance[[#This Row],[Qtt]]*TbTradesBinance[[#This Row],[Preço]],AC200+TbTradesBinance[[#This Row],[Qtt]]*TbTradesBinance[[#This Row],[Preço]])),AC200)-IF(TbTradesBinance[[#This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Row],[Tipo]]="DROP"),AC200+TbTradesBinance[[#This Row],[Qtt]],AC200-TbTradesBinance[[#This Row],[Qtt]]),IF(TbTradesBinance[[#This Row],[Tipo]]="BUY",AC200-TbTradesBinance[[#This Row],[Qtt]]*TbTradesBinance[[#This Row],[Preço]],AC200+TbTradesBinance[[#This Row],[Qtt]]*TbTradesBinance[[#This Row],[Preço]])),AC200)-IF(TbTradesBinance[[#This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Row],[Tipo]]="DROP"),AC200+TbTradesBinance[[#This Row],[Qtt]],AC200-TbTradesBinance[[#This Row],[Qtt]]),IF(TbTradesBinance[[#This Row],[Tipo]]="BUY",AC200-TbTradesBinance[[#This Row],[Qtt]]*TbTradesBinance[[#This Row],[Preço]],AC200+TbTradesBinance[[#This Row],[Qtt]]*TbTradesBinance[[#This Row],[Preço]])),AC200)-IF(TbTradesBinance[[#This Row],[Moeda da Taxa]]=MID(AC$1,9,5),TbTradesBinance[[#This Row],[Taxa]],0),8)))</f>
        <v>0</v>
      </c>
      <c r="AD201" s="145" cm="1">
        <f t="array" ref="AD201">IF(TbTradesBinance[[#This Row],[Tipo]]="EMPTY",0,AD200+IF(TbTradesBinance[[#This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Row],[Par]]))),$1:$1,0)),-(AC200-AC201)/AC200*AD200),0),0)+IF(TbTradesBinance[[#This Row],[Tipo]]="SELL",IF(ISNUMBER(FIND(MID(AD$1,10,5),TbTradesBinance[[#This Row],[Par]])),IF(FIND(MID(AD$1,10,5),TbTradesBinance[[#This Row],[Par]])=1, -(AC200-AC201)/AC200*AD200,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Row],[Par]])),(-(AC200-AC201)/AC200*AD200)+IF(TbTradesBinance[[#This Row],[Resultado]]&gt;0,0,TbTradesBinance[[#This Row],[Taxa]]),0),0))</f>
        <v>0</v>
      </c>
      <c r="AE201" s="145">
        <f t="shared" si="63"/>
        <v>0</v>
      </c>
      <c r="AF20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Row],[Tipo]]="DROP"),AF200+TbTradesBinance[[#This Row],[Qtt]],AF200-TbTradesBinance[[#This Row],[Qtt]]),IF(TbTradesBinance[[#This Row],[Tipo]]="BUY",AF200-TbTradesBinance[[#This Row],[Qtt]]*TbTradesBinance[[#This Row],[Preço]],AF200+TbTradesBinance[[#This Row],[Qtt]]*TbTradesBinance[[#This Row],[Preço]])),AF200)-IF(TbTradesBinance[[#This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Row],[Tipo]]="DROP"),AF200+TbTradesBinance[[#This Row],[Qtt]],AF200-TbTradesBinance[[#This Row],[Qtt]]),IF(TbTradesBinance[[#This Row],[Tipo]]="BUY",AF200-TbTradesBinance[[#This Row],[Qtt]]*TbTradesBinance[[#This Row],[Preço]],AF200+TbTradesBinance[[#This Row],[Qtt]]*TbTradesBinance[[#This Row],[Preço]])),AF200)-IF(TbTradesBinance[[#This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Row],[Tipo]]="DROP"),AF200+TbTradesBinance[[#This Row],[Qtt]],AF200-TbTradesBinance[[#This Row],[Qtt]]),IF(TbTradesBinance[[#This Row],[Tipo]]="BUY",AF200-TbTradesBinance[[#This Row],[Qtt]]*TbTradesBinance[[#This Row],[Preço]],AF200+TbTradesBinance[[#This Row],[Qtt]]*TbTradesBinance[[#This Row],[Preço]])),AF200)-IF(TbTradesBinance[[#This Row],[Moeda da Taxa]]=MID(AF$1,9,5),TbTradesBinance[[#This Row],[Taxa]],0),8)))</f>
        <v>0</v>
      </c>
      <c r="AG201" s="145" cm="1">
        <f t="array" ref="AG201">IF(TbTradesBinance[[#This Row],[Tipo]]="EMPTY",0,AG200+IF(TbTradesBinance[[#This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Row],[Par]]))),$1:$1,0)),-(AF200-AF201)/AF200*AG200),0),0)+IF(TbTradesBinance[[#This Row],[Tipo]]="SELL",IF(ISNUMBER(FIND(MID(AG$1,10,5),TbTradesBinance[[#This Row],[Par]])),IF(FIND(MID(AG$1,10,5),TbTradesBinance[[#This Row],[Par]])=1, -(AF200-AF201)/AF200*AG200,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Row],[Par]])),(-(AF200-AF201)/AF200*AG200)+IF(TbTradesBinance[[#This Row],[Resultado]]&gt;0,0,TbTradesBinance[[#This Row],[Taxa]]),0),0))</f>
        <v>0</v>
      </c>
      <c r="AH201" s="145">
        <f t="shared" si="64"/>
        <v>0</v>
      </c>
      <c r="AI20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Row],[Tipo]]="DROP"),AI200+TbTradesBinance[[#This Row],[Qtt]],AI200-TbTradesBinance[[#This Row],[Qtt]]),IF(TbTradesBinance[[#This Row],[Tipo]]="BUY",AI200-TbTradesBinance[[#This Row],[Qtt]]*TbTradesBinance[[#This Row],[Preço]],AI200+TbTradesBinance[[#This Row],[Qtt]]*TbTradesBinance[[#This Row],[Preço]])),AI200)-IF(TbTradesBinance[[#This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Row],[Tipo]]="DROP"),AI200+TbTradesBinance[[#This Row],[Qtt]],AI200-TbTradesBinance[[#This Row],[Qtt]]),IF(TbTradesBinance[[#This Row],[Tipo]]="BUY",AI200-TbTradesBinance[[#This Row],[Qtt]]*TbTradesBinance[[#This Row],[Preço]],AI200+TbTradesBinance[[#This Row],[Qtt]]*TbTradesBinance[[#This Row],[Preço]])),AI200)-IF(TbTradesBinance[[#This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Row],[Tipo]]="DROP"),AI200+TbTradesBinance[[#This Row],[Qtt]],AI200-TbTradesBinance[[#This Row],[Qtt]]),IF(TbTradesBinance[[#This Row],[Tipo]]="BUY",AI200-TbTradesBinance[[#This Row],[Qtt]]*TbTradesBinance[[#This Row],[Preço]],AI200+TbTradesBinance[[#This Row],[Qtt]]*TbTradesBinance[[#This Row],[Preço]])),AI200)-IF(TbTradesBinance[[#This Row],[Moeda da Taxa]]=MID(AI$1,9,5),TbTradesBinance[[#This Row],[Taxa]],0),8)))</f>
        <v>0</v>
      </c>
      <c r="AJ201" s="145" cm="1">
        <f t="array" ref="AJ201">IF(TbTradesBinance[[#This Row],[Tipo]]="EMPTY",0,AJ200+IF(TbTradesBinance[[#This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Row],[Par]]))),$1:$1,0)),-(AI200-AI201)/AI200*AJ200),0),0)+IF(TbTradesBinance[[#This Row],[Tipo]]="SELL",IF(ISNUMBER(FIND(MID(AJ$1,10,5),TbTradesBinance[[#This Row],[Par]])),IF(FIND(MID(AJ$1,10,5),TbTradesBinance[[#This Row],[Par]])=1, -(AI200-AI201)/AI200*AJ200,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Row],[Par]])),(-(AI200-AI201)/AI200*AJ200)+IF(TbTradesBinance[[#This Row],[Resultado]]&gt;0,0,TbTradesBinance[[#This Row],[Taxa]]),0),0))</f>
        <v>0</v>
      </c>
      <c r="AK201" s="145">
        <f t="shared" si="65"/>
        <v>0</v>
      </c>
      <c r="AL20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Row],[Tipo]]="DROP"),AL200+TbTradesBinance[[#This Row],[Qtt]],AL200-TbTradesBinance[[#This Row],[Qtt]]),IF(TbTradesBinance[[#This Row],[Tipo]]="BUY",AL200-TbTradesBinance[[#This Row],[Qtt]]*TbTradesBinance[[#This Row],[Preço]],AL200+TbTradesBinance[[#This Row],[Qtt]]*TbTradesBinance[[#This Row],[Preço]])),AL200)-IF(TbTradesBinance[[#This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Row],[Tipo]]="DROP"),AL200+TbTradesBinance[[#This Row],[Qtt]],AL200-TbTradesBinance[[#This Row],[Qtt]]),IF(TbTradesBinance[[#This Row],[Tipo]]="BUY",AL200-TbTradesBinance[[#This Row],[Qtt]]*TbTradesBinance[[#This Row],[Preço]],AL200+TbTradesBinance[[#This Row],[Qtt]]*TbTradesBinance[[#This Row],[Preço]])),AL200)-IF(TbTradesBinance[[#This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Row],[Tipo]]="DROP"),AL200+TbTradesBinance[[#This Row],[Qtt]],AL200-TbTradesBinance[[#This Row],[Qtt]]),IF(TbTradesBinance[[#This Row],[Tipo]]="BUY",AL200-TbTradesBinance[[#This Row],[Qtt]]*TbTradesBinance[[#This Row],[Preço]],AL200+TbTradesBinance[[#This Row],[Qtt]]*TbTradesBinance[[#This Row],[Preço]])),AL200)-IF(TbTradesBinance[[#This Row],[Moeda da Taxa]]=MID(AL$1,9,5),TbTradesBinance[[#This Row],[Taxa]],0),8)))</f>
        <v>0</v>
      </c>
      <c r="AM201" s="145" cm="1">
        <f t="array" ref="AM201">IF(TbTradesBinance[[#This Row],[Tipo]]="EMPTY",0,AM200+IF(TbTradesBinance[[#This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Row],[Par]]))),$1:$1,0)),-(AL200-AL201)/AL200*AM200),0),0)+IF(TbTradesBinance[[#This Row],[Tipo]]="SELL",IF(ISNUMBER(FIND(MID(AM$1,10,5),TbTradesBinance[[#This Row],[Par]])),IF(FIND(MID(AM$1,10,5),TbTradesBinance[[#This Row],[Par]])=1, -(AL200-AL201)/AL200*AM200,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Row],[Par]])),(-(AL200-AL201)/AL200*AM200)+IF(TbTradesBinance[[#This Row],[Resultado]]&gt;0,0,TbTradesBinance[[#This Row],[Taxa]]),0),0))</f>
        <v>0</v>
      </c>
      <c r="AN201" s="145">
        <f t="shared" si="66"/>
        <v>0</v>
      </c>
      <c r="AO20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Row],[Tipo]]="DROP"),AO200+TbTradesBinance[[#This Row],[Qtt]],AO200-TbTradesBinance[[#This Row],[Qtt]]),IF(TbTradesBinance[[#This Row],[Tipo]]="BUY",AO200-TbTradesBinance[[#This Row],[Qtt]]*TbTradesBinance[[#This Row],[Preço]],AO200+TbTradesBinance[[#This Row],[Qtt]]*TbTradesBinance[[#This Row],[Preço]])),AO200)-IF(TbTradesBinance[[#This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Row],[Tipo]]="DROP"),AO200+TbTradesBinance[[#This Row],[Qtt]],AO200-TbTradesBinance[[#This Row],[Qtt]]),IF(TbTradesBinance[[#This Row],[Tipo]]="BUY",AO200-TbTradesBinance[[#This Row],[Qtt]]*TbTradesBinance[[#This Row],[Preço]],AO200+TbTradesBinance[[#This Row],[Qtt]]*TbTradesBinance[[#This Row],[Preço]])),AO200)-IF(TbTradesBinance[[#This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Row],[Tipo]]="DROP"),AO200+TbTradesBinance[[#This Row],[Qtt]],AO200-TbTradesBinance[[#This Row],[Qtt]]),IF(TbTradesBinance[[#This Row],[Tipo]]="BUY",AO200-TbTradesBinance[[#This Row],[Qtt]]*TbTradesBinance[[#This Row],[Preço]],AO200+TbTradesBinance[[#This Row],[Qtt]]*TbTradesBinance[[#This Row],[Preço]])),AO200)-IF(TbTradesBinance[[#This Row],[Moeda da Taxa]]=MID(AO$1,9,5),TbTradesBinance[[#This Row],[Taxa]],0),8)))</f>
        <v>3.83405E-2</v>
      </c>
      <c r="AP201" s="145" cm="1">
        <f t="array" ref="AP201">IF(TbTradesBinance[[#This Row],[Tipo]]="EMPTY",0,AP200+IF(TbTradesBinance[[#This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Row],[Par]]))),$1:$1,0)),-(AO200-AO201)/AO200*AP200),0),0)+IF(TbTradesBinance[[#This Row],[Tipo]]="SELL",IF(ISNUMBER(FIND(MID(AP$1,10,5),TbTradesBinance[[#This Row],[Par]])),IF(FIND(MID(AP$1,10,5),TbTradesBinance[[#This Row],[Par]])=1, -(AO200-AO201)/AO200*AP200,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Row],[Par]])),(-(AO200-AO201)/AO200*AP200)+IF(TbTradesBinance[[#This Row],[Resultado]]&gt;0,0,TbTradesBinance[[#This Row],[Taxa]]),0),0))</f>
        <v>60.349858055862811</v>
      </c>
      <c r="AQ201" s="145">
        <f t="shared" si="67"/>
        <v>1574.0498443124845</v>
      </c>
      <c r="AR20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Row],[Tipo]]="DROP"),AR200+TbTradesBinance[[#This Row],[Qtt]],AR200-TbTradesBinance[[#This Row],[Qtt]]),IF(TbTradesBinance[[#This Row],[Tipo]]="BUY",AR200-TbTradesBinance[[#This Row],[Qtt]]*TbTradesBinance[[#This Row],[Preço]],AR200+TbTradesBinance[[#This Row],[Qtt]]*TbTradesBinance[[#This Row],[Preço]])),AR200)-IF(TbTradesBinance[[#This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Row],[Tipo]]="DROP"),AR200+TbTradesBinance[[#This Row],[Qtt]],AR200-TbTradesBinance[[#This Row],[Qtt]]),IF(TbTradesBinance[[#This Row],[Tipo]]="BUY",AR200-TbTradesBinance[[#This Row],[Qtt]]*TbTradesBinance[[#This Row],[Preço]],AR200+TbTradesBinance[[#This Row],[Qtt]]*TbTradesBinance[[#This Row],[Preço]])),AR200)-IF(TbTradesBinance[[#This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Row],[Tipo]]="DROP"),AR200+TbTradesBinance[[#This Row],[Qtt]],AR200-TbTradesBinance[[#This Row],[Qtt]]),IF(TbTradesBinance[[#This Row],[Tipo]]="BUY",AR200-TbTradesBinance[[#This Row],[Qtt]]*TbTradesBinance[[#This Row],[Preço]],AR200+TbTradesBinance[[#This Row],[Qtt]]*TbTradesBinance[[#This Row],[Preço]])),AR200)-IF(TbTradesBinance[[#This Row],[Moeda da Taxa]]=MID(AR$1,9,5),TbTradesBinance[[#This Row],[Taxa]],0),8)))</f>
        <v>0</v>
      </c>
      <c r="AS201" s="145" cm="1">
        <f t="array" ref="AS201">IF(TbTradesBinance[[#This Row],[Tipo]]="EMPTY",0,AS200+IF(TbTradesBinance[[#This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Row],[Par]]))),$1:$1,0)),-(AR200-AR201)/AR200*AS200),0),0)+IF(TbTradesBinance[[#This Row],[Tipo]]="SELL",IF(ISNUMBER(FIND(MID(AS$1,10,5),TbTradesBinance[[#This Row],[Par]])),IF(FIND(MID(AS$1,10,5),TbTradesBinance[[#This Row],[Par]])=1, -(AR200-AR201)/AR200*AS200,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Row],[Par]])),(-(AR200-AR201)/AR200*AS200)+IF(TbTradesBinance[[#This Row],[Resultado]]&gt;0,0,TbTradesBinance[[#This Row],[Taxa]]),0),0))</f>
        <v>0</v>
      </c>
      <c r="AT201" s="145">
        <f t="shared" si="68"/>
        <v>0</v>
      </c>
      <c r="AU20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Row],[Tipo]]="DROP"),AU200+TbTradesBinance[[#This Row],[Qtt]],AU200-TbTradesBinance[[#This Row],[Qtt]]),IF(TbTradesBinance[[#This Row],[Tipo]]="BUY",AU200-TbTradesBinance[[#This Row],[Qtt]]*TbTradesBinance[[#This Row],[Preço]],AU200+TbTradesBinance[[#This Row],[Qtt]]*TbTradesBinance[[#This Row],[Preço]])),AU200)-IF(TbTradesBinance[[#This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Row],[Tipo]]="DROP"),AU200+TbTradesBinance[[#This Row],[Qtt]],AU200-TbTradesBinance[[#This Row],[Qtt]]),IF(TbTradesBinance[[#This Row],[Tipo]]="BUY",AU200-TbTradesBinance[[#This Row],[Qtt]]*TbTradesBinance[[#This Row],[Preço]],AU200+TbTradesBinance[[#This Row],[Qtt]]*TbTradesBinance[[#This Row],[Preço]])),AU200)-IF(TbTradesBinance[[#This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Row],[Tipo]]="DROP"),AU200+TbTradesBinance[[#This Row],[Qtt]],AU200-TbTradesBinance[[#This Row],[Qtt]]),IF(TbTradesBinance[[#This Row],[Tipo]]="BUY",AU200-TbTradesBinance[[#This Row],[Qtt]]*TbTradesBinance[[#This Row],[Preço]],AU200+TbTradesBinance[[#This Row],[Qtt]]*TbTradesBinance[[#This Row],[Preço]])),AU200)-IF(TbTradesBinance[[#This Row],[Moeda da Taxa]]=MID(AU$1,9,5),TbTradesBinance[[#This Row],[Taxa]],0),8)))</f>
        <v>0.51</v>
      </c>
      <c r="AV201" s="145" cm="1">
        <f t="array" ref="AV201">IF(TbTradesBinance[[#This Row],[Tipo]]="EMPTY",0,AV200+IF(TbTradesBinance[[#This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Row],[Par]]))),$1:$1,0)),-(AU200-AU201)/AU200*AV200),0),0)+IF(TbTradesBinance[[#This Row],[Tipo]]="SELL",IF(ISNUMBER(FIND(MID(AV$1,10,5),TbTradesBinance[[#This Row],[Par]])),IF(FIND(MID(AV$1,10,5),TbTradesBinance[[#This Row],[Par]])=1, -(AU200-AU201)/AU200*AV200,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Row],[Par]])),(-(AU200-AU201)/AU200*AV200)+IF(TbTradesBinance[[#This Row],[Resultado]]&gt;0,0,TbTradesBinance[[#This Row],[Taxa]]),0),0))</f>
        <v>95.466693037374753</v>
      </c>
      <c r="AW201" s="145">
        <f t="shared" si="69"/>
        <v>187.18959419093088</v>
      </c>
      <c r="AX20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Row],[Tipo]]="DROP"),AX200+TbTradesBinance[[#This Row],[Qtt]],AX200-TbTradesBinance[[#This Row],[Qtt]]),IF(TbTradesBinance[[#This Row],[Tipo]]="BUY",AX200-TbTradesBinance[[#This Row],[Qtt]]*TbTradesBinance[[#This Row],[Preço]],AX200+TbTradesBinance[[#This Row],[Qtt]]*TbTradesBinance[[#This Row],[Preço]])),AX200)-IF(TbTradesBinance[[#This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Row],[Tipo]]="DROP"),AX200+TbTradesBinance[[#This Row],[Qtt]],AX200-TbTradesBinance[[#This Row],[Qtt]]),IF(TbTradesBinance[[#This Row],[Tipo]]="BUY",AX200-TbTradesBinance[[#This Row],[Qtt]]*TbTradesBinance[[#This Row],[Preço]],AX200+TbTradesBinance[[#This Row],[Qtt]]*TbTradesBinance[[#This Row],[Preço]])),AX200)-IF(TbTradesBinance[[#This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Row],[Tipo]]="DROP"),AX200+TbTradesBinance[[#This Row],[Qtt]],AX200-TbTradesBinance[[#This Row],[Qtt]]),IF(TbTradesBinance[[#This Row],[Tipo]]="BUY",AX200-TbTradesBinance[[#This Row],[Qtt]]*TbTradesBinance[[#This Row],[Preço]],AX200+TbTradesBinance[[#This Row],[Qtt]]*TbTradesBinance[[#This Row],[Preço]])),AX200)-IF(TbTradesBinance[[#This Row],[Moeda da Taxa]]=MID(AX$1,9,5),TbTradesBinance[[#This Row],[Taxa]],0),8)))</f>
        <v>0.32838000000000001</v>
      </c>
      <c r="AY201" s="145" cm="1">
        <f t="array" ref="AY201">IF(TbTradesBinance[[#This Row],[Tipo]]="EMPTY",0,AY200+IF(TbTradesBinance[[#This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Row],[Par]]))),$1:$1,0)),-(AX200-AX201)/AX200*AY200),0),0)+IF(TbTradesBinance[[#This Row],[Tipo]]="SELL",IF(ISNUMBER(FIND(MID(AY$1,10,5),TbTradesBinance[[#This Row],[Par]])),IF(FIND(MID(AY$1,10,5),TbTradesBinance[[#This Row],[Par]])=1, -(AX200-AX201)/AX200*AY200,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Row],[Par]])),(-(AX200-AX201)/AX200*AY200)+IF(TbTradesBinance[[#This Row],[Resultado]]&gt;0,0,TbTradesBinance[[#This Row],[Taxa]]),0),0))</f>
        <v>61.364116058805678</v>
      </c>
      <c r="AZ201" s="145">
        <f t="shared" si="70"/>
        <v>186.869224857804</v>
      </c>
      <c r="BA20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Row],[Tipo]]="DROP"),BA200+TbTradesBinance[[#This Row],[Qtt]],BA200-TbTradesBinance[[#This Row],[Qtt]]),IF(TbTradesBinance[[#This Row],[Tipo]]="BUY",BA200-TbTradesBinance[[#This Row],[Qtt]]*TbTradesBinance[[#This Row],[Preço]],BA200+TbTradesBinance[[#This Row],[Qtt]]*TbTradesBinance[[#This Row],[Preço]])),BA200)-IF(TbTradesBinance[[#This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Row],[Tipo]]="DROP"),BA200+TbTradesBinance[[#This Row],[Qtt]],BA200-TbTradesBinance[[#This Row],[Qtt]]),IF(TbTradesBinance[[#This Row],[Tipo]]="BUY",BA200-TbTradesBinance[[#This Row],[Qtt]]*TbTradesBinance[[#This Row],[Preço]],BA200+TbTradesBinance[[#This Row],[Qtt]]*TbTradesBinance[[#This Row],[Preço]])),BA200)-IF(TbTradesBinance[[#This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Row],[Tipo]]="DROP"),BA200+TbTradesBinance[[#This Row],[Qtt]],BA200-TbTradesBinance[[#This Row],[Qtt]]),IF(TbTradesBinance[[#This Row],[Tipo]]="BUY",BA200-TbTradesBinance[[#This Row],[Qtt]]*TbTradesBinance[[#This Row],[Preço]],BA200+TbTradesBinance[[#This Row],[Qtt]]*TbTradesBinance[[#This Row],[Preço]])),BA200)-IF(TbTradesBinance[[#This Row],[Moeda da Taxa]]=MID(BA$1,9,5),TbTradesBinance[[#This Row],[Taxa]],0),8)))</f>
        <v>0</v>
      </c>
      <c r="BB201" s="145" cm="1">
        <f t="array" ref="BB201">IF(TbTradesBinance[[#This Row],[Tipo]]="EMPTY",0,BB200+IF(TbTradesBinance[[#This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Row],[Par]]))),$1:$1,0)),-(BA200-BA201)/BA200*BB200),0),0)+IF(TbTradesBinance[[#This Row],[Tipo]]="SELL",IF(ISNUMBER(FIND(MID(BB$1,10,5),TbTradesBinance[[#This Row],[Par]])),IF(FIND(MID(BB$1,10,5),TbTradesBinance[[#This Row],[Par]])=1, -(BA200-BA201)/BA200*BB200,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Row],[Par]])),(-(BA200-BA201)/BA200*BB200)+IF(TbTradesBinance[[#This Row],[Resultado]]&gt;0,0,TbTradesBinance[[#This Row],[Taxa]]),0),0))</f>
        <v>0</v>
      </c>
      <c r="BC201" s="145">
        <f t="shared" si="71"/>
        <v>0</v>
      </c>
      <c r="BD20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Row],[Tipo]]="DROP"),BD200+TbTradesBinance[[#This Row],[Qtt]],BD200-TbTradesBinance[[#This Row],[Qtt]]),IF(TbTradesBinance[[#This Row],[Tipo]]="BUY",BD200-TbTradesBinance[[#This Row],[Qtt]]*TbTradesBinance[[#This Row],[Preço]],BD200+TbTradesBinance[[#This Row],[Qtt]]*TbTradesBinance[[#This Row],[Preço]])),BD200)-IF(TbTradesBinance[[#This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Row],[Tipo]]="DROP"),BD200+TbTradesBinance[[#This Row],[Qtt]],BD200-TbTradesBinance[[#This Row],[Qtt]]),IF(TbTradesBinance[[#This Row],[Tipo]]="BUY",BD200-TbTradesBinance[[#This Row],[Qtt]]*TbTradesBinance[[#This Row],[Preço]],BD200+TbTradesBinance[[#This Row],[Qtt]]*TbTradesBinance[[#This Row],[Preço]])),BD200)-IF(TbTradesBinance[[#This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Row],[Tipo]]="DROP"),BD200+TbTradesBinance[[#This Row],[Qtt]],BD200-TbTradesBinance[[#This Row],[Qtt]]),IF(TbTradesBinance[[#This Row],[Tipo]]="BUY",BD200-TbTradesBinance[[#This Row],[Qtt]]*TbTradesBinance[[#This Row],[Preço]],BD200+TbTradesBinance[[#This Row],[Qtt]]*TbTradesBinance[[#This Row],[Preço]])),BD200)-IF(TbTradesBinance[[#This Row],[Moeda da Taxa]]=MID(BD$1,9,5),TbTradesBinance[[#This Row],[Taxa]],0),8)))</f>
        <v>0</v>
      </c>
      <c r="BE201" s="145" cm="1">
        <f t="array" ref="BE201">IF(TbTradesBinance[[#This Row],[Tipo]]="EMPTY",0,BE200+IF(TbTradesBinance[[#This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Row],[Par]]))),$1:$1,0)),-(BD200-BD201)/BD200*BE200),0),0)+IF(TbTradesBinance[[#This Row],[Tipo]]="SELL",IF(ISNUMBER(FIND(MID(BE$1,10,5),TbTradesBinance[[#This Row],[Par]])),IF(FIND(MID(BE$1,10,5),TbTradesBinance[[#This Row],[Par]])=1, -(BD200-BD201)/BD200*BE200,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Row],[Par]])),(-(BD200-BD201)/BD200*BE200)+IF(TbTradesBinance[[#This Row],[Resultado]]&gt;0,0,TbTradesBinance[[#This Row],[Taxa]]),0),0))</f>
        <v>0</v>
      </c>
      <c r="BF201" s="145">
        <f t="shared" si="72"/>
        <v>0</v>
      </c>
      <c r="BG20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Row],[Tipo]]="DROP"),BG200+TbTradesBinance[[#This Row],[Qtt]],BG200-TbTradesBinance[[#This Row],[Qtt]]),IF(TbTradesBinance[[#This Row],[Tipo]]="BUY",BG200-TbTradesBinance[[#This Row],[Qtt]]*TbTradesBinance[[#This Row],[Preço]],BG200+TbTradesBinance[[#This Row],[Qtt]]*TbTradesBinance[[#This Row],[Preço]])),BG200)-IF(TbTradesBinance[[#This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Row],[Tipo]]="DROP"),BG200+TbTradesBinance[[#This Row],[Qtt]],BG200-TbTradesBinance[[#This Row],[Qtt]]),IF(TbTradesBinance[[#This Row],[Tipo]]="BUY",BG200-TbTradesBinance[[#This Row],[Qtt]]*TbTradesBinance[[#This Row],[Preço]],BG200+TbTradesBinance[[#This Row],[Qtt]]*TbTradesBinance[[#This Row],[Preço]])),BG200)-IF(TbTradesBinance[[#This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Row],[Tipo]]="DROP"),BG200+TbTradesBinance[[#This Row],[Qtt]],BG200-TbTradesBinance[[#This Row],[Qtt]]),IF(TbTradesBinance[[#This Row],[Tipo]]="BUY",BG200-TbTradesBinance[[#This Row],[Qtt]]*TbTradesBinance[[#This Row],[Preço]],BG200+TbTradesBinance[[#This Row],[Qtt]]*TbTradesBinance[[#This Row],[Preço]])),BG200)-IF(TbTradesBinance[[#This Row],[Moeda da Taxa]]=MID(BG$1,9,5),TbTradesBinance[[#This Row],[Taxa]],0),8)))</f>
        <v>0</v>
      </c>
      <c r="BH201" s="145" cm="1">
        <f t="array" ref="BH201">IF(TbTradesBinance[[#This Row],[Tipo]]="EMPTY",0,BH200+IF(TbTradesBinance[[#This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Row],[Par]]))),$1:$1,0)),-(BG200-BG201)/BG200*BH200),0),0)+IF(TbTradesBinance[[#This Row],[Tipo]]="SELL",IF(ISNUMBER(FIND(MID(BH$1,10,5),TbTradesBinance[[#This Row],[Par]])),IF(FIND(MID(BH$1,10,5),TbTradesBinance[[#This Row],[Par]])=1, -(BG200-BG201)/BG200*BH200,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Row],[Par]])),(-(BG200-BG201)/BG200*BH200)+IF(TbTradesBinance[[#This Row],[Resultado]]&gt;0,0,TbTradesBinance[[#This Row],[Taxa]]),0),0))</f>
        <v>0</v>
      </c>
      <c r="BI201" s="145">
        <f t="shared" si="73"/>
        <v>0</v>
      </c>
      <c r="BJ20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Row],[Tipo]]="DROP"),BJ200+TbTradesBinance[[#This Row],[Qtt]],BJ200-TbTradesBinance[[#This Row],[Qtt]]),IF(TbTradesBinance[[#This Row],[Tipo]]="BUY",BJ200-TbTradesBinance[[#This Row],[Qtt]]*TbTradesBinance[[#This Row],[Preço]],BJ200+TbTradesBinance[[#This Row],[Qtt]]*TbTradesBinance[[#This Row],[Preço]])),BJ200)-IF(TbTradesBinance[[#This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Row],[Tipo]]="DROP"),BJ200+TbTradesBinance[[#This Row],[Qtt]],BJ200-TbTradesBinance[[#This Row],[Qtt]]),IF(TbTradesBinance[[#This Row],[Tipo]]="BUY",BJ200-TbTradesBinance[[#This Row],[Qtt]]*TbTradesBinance[[#This Row],[Preço]],BJ200+TbTradesBinance[[#This Row],[Qtt]]*TbTradesBinance[[#This Row],[Preço]])),BJ200)-IF(TbTradesBinance[[#This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Row],[Tipo]]="DROP"),BJ200+TbTradesBinance[[#This Row],[Qtt]],BJ200-TbTradesBinance[[#This Row],[Qtt]]),IF(TbTradesBinance[[#This Row],[Tipo]]="BUY",BJ200-TbTradesBinance[[#This Row],[Qtt]]*TbTradesBinance[[#This Row],[Preço]],BJ200+TbTradesBinance[[#This Row],[Qtt]]*TbTradesBinance[[#This Row],[Preço]])),BJ200)-IF(TbTradesBinance[[#This Row],[Moeda da Taxa]]=MID(BJ$1,9,5),TbTradesBinance[[#This Row],[Taxa]],0),8)))</f>
        <v>0</v>
      </c>
      <c r="BK201" s="145" cm="1">
        <f t="array" ref="BK201">IF(TbTradesBinance[[#This Row],[Tipo]]="EMPTY",0,BK200+IF(TbTradesBinance[[#This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Row],[Par]]))),$1:$1,0)),-(BJ200-BJ201)/BJ200*BK200),0),0)+IF(TbTradesBinance[[#This Row],[Tipo]]="SELL",IF(ISNUMBER(FIND(MID(BK$1,10,5),TbTradesBinance[[#This Row],[Par]])),IF(FIND(MID(BK$1,10,5),TbTradesBinance[[#This Row],[Par]])=1, -(BJ200-BJ201)/BJ200*BK200,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Row],[Par]])),(-(BJ200-BJ201)/BJ200*BK200)+IF(TbTradesBinance[[#This Row],[Resultado]]&gt;0,0,TbTradesBinance[[#This Row],[Taxa]]),0),0))</f>
        <v>0</v>
      </c>
      <c r="BL201" s="145">
        <f t="shared" si="74"/>
        <v>0</v>
      </c>
      <c r="BM20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Row],[Tipo]]="DROP"),BM200+TbTradesBinance[[#This Row],[Qtt]],BM200-TbTradesBinance[[#This Row],[Qtt]]),IF(TbTradesBinance[[#This Row],[Tipo]]="BUY",BM200-TbTradesBinance[[#This Row],[Qtt]]*TbTradesBinance[[#This Row],[Preço]],BM200+TbTradesBinance[[#This Row],[Qtt]]*TbTradesBinance[[#This Row],[Preço]])),BM200)-IF(TbTradesBinance[[#This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Row],[Tipo]]="DROP"),BM200+TbTradesBinance[[#This Row],[Qtt]],BM200-TbTradesBinance[[#This Row],[Qtt]]),IF(TbTradesBinance[[#This Row],[Tipo]]="BUY",BM200-TbTradesBinance[[#This Row],[Qtt]]*TbTradesBinance[[#This Row],[Preço]],BM200+TbTradesBinance[[#This Row],[Qtt]]*TbTradesBinance[[#This Row],[Preço]])),BM200)-IF(TbTradesBinance[[#This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Row],[Tipo]]="DROP"),BM200+TbTradesBinance[[#This Row],[Qtt]],BM200-TbTradesBinance[[#This Row],[Qtt]]),IF(TbTradesBinance[[#This Row],[Tipo]]="BUY",BM200-TbTradesBinance[[#This Row],[Qtt]]*TbTradesBinance[[#This Row],[Preço]],BM200+TbTradesBinance[[#This Row],[Qtt]]*TbTradesBinance[[#This Row],[Preço]])),BM200)-IF(TbTradesBinance[[#This Row],[Moeda da Taxa]]=MID(BM$1,9,5),TbTradesBinance[[#This Row],[Taxa]],0),8)))</f>
        <v>0</v>
      </c>
      <c r="BN201" s="145" cm="1">
        <f t="array" ref="BN201">IF(TbTradesBinance[[#This Row],[Tipo]]="EMPTY",0,BN200+IF(TbTradesBinance[[#This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Row],[Par]]))),$1:$1,0)),-(BM200-BM201)/BM200*BN200),0),0)+IF(TbTradesBinance[[#This Row],[Tipo]]="SELL",IF(ISNUMBER(FIND(MID(BN$1,10,5),TbTradesBinance[[#This Row],[Par]])),IF(FIND(MID(BN$1,10,5),TbTradesBinance[[#This Row],[Par]])=1, -(BM200-BM201)/BM200*BN200,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Row],[Par]])),(-(BM200-BM201)/BM200*BN200)+IF(TbTradesBinance[[#This Row],[Resultado]]&gt;0,0,TbTradesBinance[[#This Row],[Taxa]]),0),0))</f>
        <v>0</v>
      </c>
      <c r="BO201" s="145">
        <f t="shared" si="75"/>
        <v>0</v>
      </c>
    </row>
    <row r="202" spans="2:67" x14ac:dyDescent="0.3">
      <c r="B202" s="51"/>
      <c r="C202" s="40">
        <f>TRUNC(IF(AND(TbTradesBinance[[#This Row],[Tipo]]="SEND",TbTradesBinance[[#This Row],[Par]]="BRL"),TbTradesBinance[[#This Row],[Qtt]]*(1-P200)-IF(TbTradesBinance[[#This Row],[Moeda da Taxa]]="BRL",TbTradesBinance[[#This Row],[Taxa]],0),0)+IF(AND(TbTradesBinance[[#This Row],[Tipo]]="BURN",TbTradesBinance[[#This Row],[Par]]="BRL"),-TbTradesBinance[[#This Row],[Qtt]]*P200,0),2)</f>
        <v>0</v>
      </c>
      <c r="D202" s="53">
        <v>44367.420219907406</v>
      </c>
      <c r="E202" s="37" t="s">
        <v>138</v>
      </c>
      <c r="F202" s="47" t="s">
        <v>139</v>
      </c>
      <c r="G202" s="38">
        <v>179037</v>
      </c>
      <c r="H202" s="38">
        <v>1.737E-3</v>
      </c>
      <c r="I202" s="38">
        <v>1.7400000000000001E-6</v>
      </c>
      <c r="J202" s="37" t="s">
        <v>6</v>
      </c>
      <c r="K202" s="52">
        <v>1</v>
      </c>
      <c r="L202" s="40">
        <f t="shared" si="57"/>
        <v>179037</v>
      </c>
      <c r="M202" s="40">
        <f>IF(OR(TbTradesBinance[[#This Row],[Tipo]]="BUY",TbTradesBinance[[#This Row],[Tipo]]="RECEIVE",TbTradesBinance[[#This Row],[Tipo]]="DROP"),L202*H202,-L202*H202)</f>
        <v>310.98726900000003</v>
      </c>
      <c r="N20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Row],[Tipo]]="DROP"),N201+TbTradesBinance[[#This Row],[Qtt]],N201-TbTradesBinance[[#This Row],[Qtt]]),IF(TbTradesBinance[[#This Row],[Tipo]]="BUY",N201-TbTradesBinance[[#This Row],[Qtt]]*TbTradesBinance[[#This Row],[Preço]],N201+TbTradesBinance[[#This Row],[Qtt]]*TbTradesBinance[[#This Row],[Preço]])),N201)-IF(TbTradesBinance[[#This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Row],[Tipo]]="DROP"),N201+TbTradesBinance[[#This Row],[Qtt]],N201-TbTradesBinance[[#This Row],[Qtt]]),IF(TbTradesBinance[[#This Row],[Tipo]]="BUY",N201-TbTradesBinance[[#This Row],[Qtt]]*TbTradesBinance[[#This Row],[Preço]],N201+TbTradesBinance[[#This Row],[Qtt]]*TbTradesBinance[[#This Row],[Preço]])),N201)-IF(TbTradesBinance[[#This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Row],[Tipo]]="DROP"),N201+TbTradesBinance[[#This Row],[Qtt]],N201-TbTradesBinance[[#This Row],[Qtt]]),IF(TbTradesBinance[[#This Row],[Tipo]]="BUY",N201-TbTradesBinance[[#This Row],[Qtt]]*TbTradesBinance[[#This Row],[Preço]],N201+TbTradesBinance[[#This Row],[Qtt]]*TbTradesBinance[[#This Row],[Preço]])),N201)-IF(TbTradesBinance[[#This Row],[Moeda da Taxa]]=MID(N$1,9,5),TbTradesBinance[[#This Row],[Taxa]],0),8)))</f>
        <v>120678.39511781</v>
      </c>
      <c r="O202" s="145" cm="1">
        <f t="array" ref="O202">IF(TbTradesBinance[[#This Row],[Tipo]]="EMPTY",0,O201+IF(TbTradesBinance[[#This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Row],[Par]]))),$1:$1,0)),-(N201-N202)/N201*O201),0),0)+IF(TbTradesBinance[[#This Row],[Tipo]]="SELL",IF(ISNUMBER(FIND(MID(O$1,10,5),TbTradesBinance[[#This Row],[Par]])),IF(FIND(MID(O$1,10,5),TbTradesBinance[[#This Row],[Par]])=1, -(N201-N202)/N201*O201,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Row],[Par]])),(-(N201-N202)/N201*O201)+IF(TbTradesBinance[[#This Row],[Resultado]]&gt;0,0,TbTradesBinance[[#This Row],[Taxa]]),0),0))</f>
        <v>121343.08135798256</v>
      </c>
      <c r="P202" s="145">
        <f t="shared" si="58"/>
        <v>1.0055079141508609</v>
      </c>
      <c r="Q20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Row],[Tipo]]="DROP"),Q201+TbTradesBinance[[#This Row],[Qtt]],Q201-TbTradesBinance[[#This Row],[Qtt]]),IF(TbTradesBinance[[#This Row],[Tipo]]="BUY",Q201-TbTradesBinance[[#This Row],[Qtt]]*TbTradesBinance[[#This Row],[Preço]],Q201+TbTradesBinance[[#This Row],[Qtt]]*TbTradesBinance[[#This Row],[Preço]])),Q201)-IF(TbTradesBinance[[#This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Row],[Tipo]]="DROP"),Q201+TbTradesBinance[[#This Row],[Qtt]],Q201-TbTradesBinance[[#This Row],[Qtt]]),IF(TbTradesBinance[[#This Row],[Tipo]]="BUY",Q201-TbTradesBinance[[#This Row],[Qtt]]*TbTradesBinance[[#This Row],[Preço]],Q201+TbTradesBinance[[#This Row],[Qtt]]*TbTradesBinance[[#This Row],[Preço]])),Q201)-IF(TbTradesBinance[[#This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Row],[Tipo]]="DROP"),Q201+TbTradesBinance[[#This Row],[Qtt]],Q201-TbTradesBinance[[#This Row],[Qtt]]),IF(TbTradesBinance[[#This Row],[Tipo]]="BUY",Q201-TbTradesBinance[[#This Row],[Qtt]]*TbTradesBinance[[#This Row],[Preço]],Q201+TbTradesBinance[[#This Row],[Qtt]]*TbTradesBinance[[#This Row],[Preço]])),Q201)-IF(TbTradesBinance[[#This Row],[Moeda da Taxa]]=MID(Q$1,9,5),TbTradesBinance[[#This Row],[Taxa]],0),8)))</f>
        <v>211.13765753000001</v>
      </c>
      <c r="R202" s="145" cm="1">
        <f t="array" ref="R202">IF(TbTradesBinance[[#This Row],[Tipo]]="EMPTY",0,R201+IF(TbTradesBinance[[#This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Row],[Par]]))),$1:$1,0)),-(Q201-Q202)/Q201*R201),0),0)+IF(TbTradesBinance[[#This Row],[Tipo]]="SELL",IF(ISNUMBER(FIND(MID(R$1,10,5),TbTradesBinance[[#This Row],[Par]])),IF(FIND(MID(R$1,10,5),TbTradesBinance[[#This Row],[Par]])=1, -(Q201-Q202)/Q201*R201,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Row],[Par]])),(-(Q201-Q202)/Q201*R201)+IF(TbTradesBinance[[#This Row],[Resultado]]&gt;0,0,TbTradesBinance[[#This Row],[Taxa]]),0),0))</f>
        <v>1079.6595881037022</v>
      </c>
      <c r="S202" s="145">
        <f t="shared" si="59"/>
        <v>5.11353398883994</v>
      </c>
      <c r="T20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Row],[Tipo]]="DROP"),T201+TbTradesBinance[[#This Row],[Qtt]],T201-TbTradesBinance[[#This Row],[Qtt]]),IF(TbTradesBinance[[#This Row],[Tipo]]="BUY",T201-TbTradesBinance[[#This Row],[Qtt]]*TbTradesBinance[[#This Row],[Preço]],T201+TbTradesBinance[[#This Row],[Qtt]]*TbTradesBinance[[#This Row],[Preço]])),T201)-IF(TbTradesBinance[[#This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Row],[Tipo]]="DROP"),T201+TbTradesBinance[[#This Row],[Qtt]],T201-TbTradesBinance[[#This Row],[Qtt]]),IF(TbTradesBinance[[#This Row],[Tipo]]="BUY",T201-TbTradesBinance[[#This Row],[Qtt]]*TbTradesBinance[[#This Row],[Preço]],T201+TbTradesBinance[[#This Row],[Qtt]]*TbTradesBinance[[#This Row],[Preço]])),T201)-IF(TbTradesBinance[[#This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Row],[Tipo]]="DROP"),T201+TbTradesBinance[[#This Row],[Qtt]],T201-TbTradesBinance[[#This Row],[Qtt]]),IF(TbTradesBinance[[#This Row],[Tipo]]="BUY",T201-TbTradesBinance[[#This Row],[Qtt]]*TbTradesBinance[[#This Row],[Preço]],T201+TbTradesBinance[[#This Row],[Qtt]]*TbTradesBinance[[#This Row],[Preço]])),T201)-IF(TbTradesBinance[[#This Row],[Moeda da Taxa]]=MID(T$1,9,5),TbTradesBinance[[#This Row],[Taxa]],0),8)))</f>
        <v>101223913.720009</v>
      </c>
      <c r="U202" s="145" cm="1">
        <f t="array" ref="U202">IF(TbTradesBinance[[#This Row],[Tipo]]="EMPTY",0,U201+IF(TbTradesBinance[[#This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Row],[Par]]))),$1:$1,0)),-(T201-T202)/T201*U201),0),0)+IF(TbTradesBinance[[#This Row],[Tipo]]="SELL",IF(ISNUMBER(FIND(MID(U$1,10,5),TbTradesBinance[[#This Row],[Par]])),IF(FIND(MID(U$1,10,5),TbTradesBinance[[#This Row],[Par]])=1, -(T201-T202)/T201*U201,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Row],[Par]])),(-(T201-T202)/T201*U201)+IF(TbTradesBinance[[#This Row],[Resultado]]&gt;0,0,TbTradesBinance[[#This Row],[Taxa]]),0),0))</f>
        <v>617586601.27364206</v>
      </c>
      <c r="V202" s="145">
        <f t="shared" si="60"/>
        <v>6.1011926784605572</v>
      </c>
      <c r="W20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Row],[Tipo]]="DROP"),W201+TbTradesBinance[[#This Row],[Qtt]],W201-TbTradesBinance[[#This Row],[Qtt]]),IF(TbTradesBinance[[#This Row],[Tipo]]="BUY",W201-TbTradesBinance[[#This Row],[Qtt]]*TbTradesBinance[[#This Row],[Preço]],W201+TbTradesBinance[[#This Row],[Qtt]]*TbTradesBinance[[#This Row],[Preço]])),W201)-IF(TbTradesBinance[[#This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Row],[Tipo]]="DROP"),W201+TbTradesBinance[[#This Row],[Qtt]],W201-TbTradesBinance[[#This Row],[Qtt]]),IF(TbTradesBinance[[#This Row],[Tipo]]="BUY",W201-TbTradesBinance[[#This Row],[Qtt]]*TbTradesBinance[[#This Row],[Preço]],W201+TbTradesBinance[[#This Row],[Qtt]]*TbTradesBinance[[#This Row],[Preço]])),W201)-IF(TbTradesBinance[[#This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Row],[Tipo]]="DROP"),W201+TbTradesBinance[[#This Row],[Qtt]],W201-TbTradesBinance[[#This Row],[Qtt]]),IF(TbTradesBinance[[#This Row],[Tipo]]="BUY",W201-TbTradesBinance[[#This Row],[Qtt]]*TbTradesBinance[[#This Row],[Preço]],W201+TbTradesBinance[[#This Row],[Qtt]]*TbTradesBinance[[#This Row],[Preço]])),W201)-IF(TbTradesBinance[[#This Row],[Moeda da Taxa]]=MID(W$1,9,5),TbTradesBinance[[#This Row],[Taxa]],0),8)))</f>
        <v>3.3647500000000001E-3</v>
      </c>
      <c r="X202" s="145" cm="1">
        <f t="array" ref="X202">IF(TbTradesBinance[[#This Row],[Tipo]]="EMPTY",0,X201+IF(TbTradesBinance[[#This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Row],[Par]]))),$1:$1,0)),-(W201-W202)/W201*X201),0),0)+IF(TbTradesBinance[[#This Row],[Tipo]]="SELL",IF(ISNUMBER(FIND(MID(X$1,10,5),TbTradesBinance[[#This Row],[Par]])),IF(FIND(MID(X$1,10,5),TbTradesBinance[[#This Row],[Par]])=1, -(W201-W202)/W201*X201,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Row],[Par]])),(-(W201-W202)/W201*X201)+IF(TbTradesBinance[[#This Row],[Resultado]]&gt;0,0,TbTradesBinance[[#This Row],[Taxa]]),0),0))</f>
        <v>607.48016025329889</v>
      </c>
      <c r="Y202" s="145">
        <f t="shared" si="61"/>
        <v>180542.43562026863</v>
      </c>
      <c r="Z20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Row],[Tipo]]="DROP"),Z201+TbTradesBinance[[#This Row],[Qtt]],Z201-TbTradesBinance[[#This Row],[Qtt]]),IF(TbTradesBinance[[#This Row],[Tipo]]="BUY",Z201-TbTradesBinance[[#This Row],[Qtt]]*TbTradesBinance[[#This Row],[Preço]],Z201+TbTradesBinance[[#This Row],[Qtt]]*TbTradesBinance[[#This Row],[Preço]])),Z201)-IF(TbTradesBinance[[#This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Row],[Tipo]]="DROP"),Z201+TbTradesBinance[[#This Row],[Qtt]],Z201-TbTradesBinance[[#This Row],[Qtt]]),IF(TbTradesBinance[[#This Row],[Tipo]]="BUY",Z201-TbTradesBinance[[#This Row],[Qtt]]*TbTradesBinance[[#This Row],[Preço]],Z201+TbTradesBinance[[#This Row],[Qtt]]*TbTradesBinance[[#This Row],[Preço]])),Z201)-IF(TbTradesBinance[[#This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Row],[Tipo]]="DROP"),Z201+TbTradesBinance[[#This Row],[Qtt]],Z201-TbTradesBinance[[#This Row],[Qtt]]),IF(TbTradesBinance[[#This Row],[Tipo]]="BUY",Z201-TbTradesBinance[[#This Row],[Qtt]]*TbTradesBinance[[#This Row],[Preço]],Z201+TbTradesBinance[[#This Row],[Qtt]]*TbTradesBinance[[#This Row],[Preço]])),Z201)-IF(TbTradesBinance[[#This Row],[Moeda da Taxa]]=MID(Z$1,9,5),TbTradesBinance[[#This Row],[Taxa]],0),8)))</f>
        <v>0</v>
      </c>
      <c r="AA202" s="145" cm="1">
        <f t="array" ref="AA202">IF(TbTradesBinance[[#This Row],[Tipo]]="EMPTY",0,AA201+IF(TbTradesBinance[[#This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Row],[Par]]))),$1:$1,0)),-(Z201-Z202)/Z201*AA201),0),0)+IF(TbTradesBinance[[#This Row],[Tipo]]="SELL",IF(ISNUMBER(FIND(MID(AA$1,10,5),TbTradesBinance[[#This Row],[Par]])),IF(FIND(MID(AA$1,10,5),TbTradesBinance[[#This Row],[Par]])=1, -(Z201-Z202)/Z201*AA201,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Row],[Par]])),(-(Z201-Z202)/Z201*AA201)+IF(TbTradesBinance[[#This Row],[Resultado]]&gt;0,0,TbTradesBinance[[#This Row],[Taxa]]),0),0))</f>
        <v>0</v>
      </c>
      <c r="AB202" s="145">
        <f t="shared" si="62"/>
        <v>0</v>
      </c>
      <c r="AC20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Row],[Tipo]]="DROP"),AC201+TbTradesBinance[[#This Row],[Qtt]],AC201-TbTradesBinance[[#This Row],[Qtt]]),IF(TbTradesBinance[[#This Row],[Tipo]]="BUY",AC201-TbTradesBinance[[#This Row],[Qtt]]*TbTradesBinance[[#This Row],[Preço]],AC201+TbTradesBinance[[#This Row],[Qtt]]*TbTradesBinance[[#This Row],[Preço]])),AC201)-IF(TbTradesBinance[[#This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Row],[Tipo]]="DROP"),AC201+TbTradesBinance[[#This Row],[Qtt]],AC201-TbTradesBinance[[#This Row],[Qtt]]),IF(TbTradesBinance[[#This Row],[Tipo]]="BUY",AC201-TbTradesBinance[[#This Row],[Qtt]]*TbTradesBinance[[#This Row],[Preço]],AC201+TbTradesBinance[[#This Row],[Qtt]]*TbTradesBinance[[#This Row],[Preço]])),AC201)-IF(TbTradesBinance[[#This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Row],[Tipo]]="DROP"),AC201+TbTradesBinance[[#This Row],[Qtt]],AC201-TbTradesBinance[[#This Row],[Qtt]]),IF(TbTradesBinance[[#This Row],[Tipo]]="BUY",AC201-TbTradesBinance[[#This Row],[Qtt]]*TbTradesBinance[[#This Row],[Preço]],AC201+TbTradesBinance[[#This Row],[Qtt]]*TbTradesBinance[[#This Row],[Preço]])),AC201)-IF(TbTradesBinance[[#This Row],[Moeda da Taxa]]=MID(AC$1,9,5),TbTradesBinance[[#This Row],[Taxa]],0),8)))</f>
        <v>0</v>
      </c>
      <c r="AD202" s="145" cm="1">
        <f t="array" ref="AD202">IF(TbTradesBinance[[#This Row],[Tipo]]="EMPTY",0,AD201+IF(TbTradesBinance[[#This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Row],[Par]]))),$1:$1,0)),-(AC201-AC202)/AC201*AD201),0),0)+IF(TbTradesBinance[[#This Row],[Tipo]]="SELL",IF(ISNUMBER(FIND(MID(AD$1,10,5),TbTradesBinance[[#This Row],[Par]])),IF(FIND(MID(AD$1,10,5),TbTradesBinance[[#This Row],[Par]])=1, -(AC201-AC202)/AC201*AD201,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Row],[Par]])),(-(AC201-AC202)/AC201*AD201)+IF(TbTradesBinance[[#This Row],[Resultado]]&gt;0,0,TbTradesBinance[[#This Row],[Taxa]]),0),0))</f>
        <v>0</v>
      </c>
      <c r="AE202" s="145">
        <f t="shared" si="63"/>
        <v>0</v>
      </c>
      <c r="AF20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Row],[Tipo]]="DROP"),AF201+TbTradesBinance[[#This Row],[Qtt]],AF201-TbTradesBinance[[#This Row],[Qtt]]),IF(TbTradesBinance[[#This Row],[Tipo]]="BUY",AF201-TbTradesBinance[[#This Row],[Qtt]]*TbTradesBinance[[#This Row],[Preço]],AF201+TbTradesBinance[[#This Row],[Qtt]]*TbTradesBinance[[#This Row],[Preço]])),AF201)-IF(TbTradesBinance[[#This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Row],[Tipo]]="DROP"),AF201+TbTradesBinance[[#This Row],[Qtt]],AF201-TbTradesBinance[[#This Row],[Qtt]]),IF(TbTradesBinance[[#This Row],[Tipo]]="BUY",AF201-TbTradesBinance[[#This Row],[Qtt]]*TbTradesBinance[[#This Row],[Preço]],AF201+TbTradesBinance[[#This Row],[Qtt]]*TbTradesBinance[[#This Row],[Preço]])),AF201)-IF(TbTradesBinance[[#This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Row],[Tipo]]="DROP"),AF201+TbTradesBinance[[#This Row],[Qtt]],AF201-TbTradesBinance[[#This Row],[Qtt]]),IF(TbTradesBinance[[#This Row],[Tipo]]="BUY",AF201-TbTradesBinance[[#This Row],[Qtt]]*TbTradesBinance[[#This Row],[Preço]],AF201+TbTradesBinance[[#This Row],[Qtt]]*TbTradesBinance[[#This Row],[Preço]])),AF201)-IF(TbTradesBinance[[#This Row],[Moeda da Taxa]]=MID(AF$1,9,5),TbTradesBinance[[#This Row],[Taxa]],0),8)))</f>
        <v>0</v>
      </c>
      <c r="AG202" s="145" cm="1">
        <f t="array" ref="AG202">IF(TbTradesBinance[[#This Row],[Tipo]]="EMPTY",0,AG201+IF(TbTradesBinance[[#This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Row],[Par]]))),$1:$1,0)),-(AF201-AF202)/AF201*AG201),0),0)+IF(TbTradesBinance[[#This Row],[Tipo]]="SELL",IF(ISNUMBER(FIND(MID(AG$1,10,5),TbTradesBinance[[#This Row],[Par]])),IF(FIND(MID(AG$1,10,5),TbTradesBinance[[#This Row],[Par]])=1, -(AF201-AF202)/AF201*AG201,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Row],[Par]])),(-(AF201-AF202)/AF201*AG201)+IF(TbTradesBinance[[#This Row],[Resultado]]&gt;0,0,TbTradesBinance[[#This Row],[Taxa]]),0),0))</f>
        <v>0</v>
      </c>
      <c r="AH202" s="145">
        <f t="shared" si="64"/>
        <v>0</v>
      </c>
      <c r="AI20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Row],[Tipo]]="DROP"),AI201+TbTradesBinance[[#This Row],[Qtt]],AI201-TbTradesBinance[[#This Row],[Qtt]]),IF(TbTradesBinance[[#This Row],[Tipo]]="BUY",AI201-TbTradesBinance[[#This Row],[Qtt]]*TbTradesBinance[[#This Row],[Preço]],AI201+TbTradesBinance[[#This Row],[Qtt]]*TbTradesBinance[[#This Row],[Preço]])),AI201)-IF(TbTradesBinance[[#This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Row],[Tipo]]="DROP"),AI201+TbTradesBinance[[#This Row],[Qtt]],AI201-TbTradesBinance[[#This Row],[Qtt]]),IF(TbTradesBinance[[#This Row],[Tipo]]="BUY",AI201-TbTradesBinance[[#This Row],[Qtt]]*TbTradesBinance[[#This Row],[Preço]],AI201+TbTradesBinance[[#This Row],[Qtt]]*TbTradesBinance[[#This Row],[Preço]])),AI201)-IF(TbTradesBinance[[#This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Row],[Tipo]]="DROP"),AI201+TbTradesBinance[[#This Row],[Qtt]],AI201-TbTradesBinance[[#This Row],[Qtt]]),IF(TbTradesBinance[[#This Row],[Tipo]]="BUY",AI201-TbTradesBinance[[#This Row],[Qtt]]*TbTradesBinance[[#This Row],[Preço]],AI201+TbTradesBinance[[#This Row],[Qtt]]*TbTradesBinance[[#This Row],[Preço]])),AI201)-IF(TbTradesBinance[[#This Row],[Moeda da Taxa]]=MID(AI$1,9,5),TbTradesBinance[[#This Row],[Taxa]],0),8)))</f>
        <v>0</v>
      </c>
      <c r="AJ202" s="145" cm="1">
        <f t="array" ref="AJ202">IF(TbTradesBinance[[#This Row],[Tipo]]="EMPTY",0,AJ201+IF(TbTradesBinance[[#This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Row],[Par]]))),$1:$1,0)),-(AI201-AI202)/AI201*AJ201),0),0)+IF(TbTradesBinance[[#This Row],[Tipo]]="SELL",IF(ISNUMBER(FIND(MID(AJ$1,10,5),TbTradesBinance[[#This Row],[Par]])),IF(FIND(MID(AJ$1,10,5),TbTradesBinance[[#This Row],[Par]])=1, -(AI201-AI202)/AI201*AJ201,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Row],[Par]])),(-(AI201-AI202)/AI201*AJ201)+IF(TbTradesBinance[[#This Row],[Resultado]]&gt;0,0,TbTradesBinance[[#This Row],[Taxa]]),0),0))</f>
        <v>0</v>
      </c>
      <c r="AK202" s="145">
        <f t="shared" si="65"/>
        <v>0</v>
      </c>
      <c r="AL20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Row],[Tipo]]="DROP"),AL201+TbTradesBinance[[#This Row],[Qtt]],AL201-TbTradesBinance[[#This Row],[Qtt]]),IF(TbTradesBinance[[#This Row],[Tipo]]="BUY",AL201-TbTradesBinance[[#This Row],[Qtt]]*TbTradesBinance[[#This Row],[Preço]],AL201+TbTradesBinance[[#This Row],[Qtt]]*TbTradesBinance[[#This Row],[Preço]])),AL201)-IF(TbTradesBinance[[#This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Row],[Tipo]]="DROP"),AL201+TbTradesBinance[[#This Row],[Qtt]],AL201-TbTradesBinance[[#This Row],[Qtt]]),IF(TbTradesBinance[[#This Row],[Tipo]]="BUY",AL201-TbTradesBinance[[#This Row],[Qtt]]*TbTradesBinance[[#This Row],[Preço]],AL201+TbTradesBinance[[#This Row],[Qtt]]*TbTradesBinance[[#This Row],[Preço]])),AL201)-IF(TbTradesBinance[[#This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Row],[Tipo]]="DROP"),AL201+TbTradesBinance[[#This Row],[Qtt]],AL201-TbTradesBinance[[#This Row],[Qtt]]),IF(TbTradesBinance[[#This Row],[Tipo]]="BUY",AL201-TbTradesBinance[[#This Row],[Qtt]]*TbTradesBinance[[#This Row],[Preço]],AL201+TbTradesBinance[[#This Row],[Qtt]]*TbTradesBinance[[#This Row],[Preço]])),AL201)-IF(TbTradesBinance[[#This Row],[Moeda da Taxa]]=MID(AL$1,9,5),TbTradesBinance[[#This Row],[Taxa]],0),8)))</f>
        <v>0</v>
      </c>
      <c r="AM202" s="145" cm="1">
        <f t="array" ref="AM202">IF(TbTradesBinance[[#This Row],[Tipo]]="EMPTY",0,AM201+IF(TbTradesBinance[[#This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Row],[Par]]))),$1:$1,0)),-(AL201-AL202)/AL201*AM201),0),0)+IF(TbTradesBinance[[#This Row],[Tipo]]="SELL",IF(ISNUMBER(FIND(MID(AM$1,10,5),TbTradesBinance[[#This Row],[Par]])),IF(FIND(MID(AM$1,10,5),TbTradesBinance[[#This Row],[Par]])=1, -(AL201-AL202)/AL201*AM201,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Row],[Par]])),(-(AL201-AL202)/AL201*AM201)+IF(TbTradesBinance[[#This Row],[Resultado]]&gt;0,0,TbTradesBinance[[#This Row],[Taxa]]),0),0))</f>
        <v>0</v>
      </c>
      <c r="AN202" s="145">
        <f t="shared" si="66"/>
        <v>0</v>
      </c>
      <c r="AO20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Row],[Tipo]]="DROP"),AO201+TbTradesBinance[[#This Row],[Qtt]],AO201-TbTradesBinance[[#This Row],[Qtt]]),IF(TbTradesBinance[[#This Row],[Tipo]]="BUY",AO201-TbTradesBinance[[#This Row],[Qtt]]*TbTradesBinance[[#This Row],[Preço]],AO201+TbTradesBinance[[#This Row],[Qtt]]*TbTradesBinance[[#This Row],[Preço]])),AO201)-IF(TbTradesBinance[[#This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Row],[Tipo]]="DROP"),AO201+TbTradesBinance[[#This Row],[Qtt]],AO201-TbTradesBinance[[#This Row],[Qtt]]),IF(TbTradesBinance[[#This Row],[Tipo]]="BUY",AO201-TbTradesBinance[[#This Row],[Qtt]]*TbTradesBinance[[#This Row],[Preço]],AO201+TbTradesBinance[[#This Row],[Qtt]]*TbTradesBinance[[#This Row],[Preço]])),AO201)-IF(TbTradesBinance[[#This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Row],[Tipo]]="DROP"),AO201+TbTradesBinance[[#This Row],[Qtt]],AO201-TbTradesBinance[[#This Row],[Qtt]]),IF(TbTradesBinance[[#This Row],[Tipo]]="BUY",AO201-TbTradesBinance[[#This Row],[Qtt]]*TbTradesBinance[[#This Row],[Preço]],AO201+TbTradesBinance[[#This Row],[Qtt]]*TbTradesBinance[[#This Row],[Preço]])),AO201)-IF(TbTradesBinance[[#This Row],[Moeda da Taxa]]=MID(AO$1,9,5),TbTradesBinance[[#This Row],[Taxa]],0),8)))</f>
        <v>3.83405E-2</v>
      </c>
      <c r="AP202" s="145" cm="1">
        <f t="array" ref="AP202">IF(TbTradesBinance[[#This Row],[Tipo]]="EMPTY",0,AP201+IF(TbTradesBinance[[#This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Row],[Par]]))),$1:$1,0)),-(AO201-AO202)/AO201*AP201),0),0)+IF(TbTradesBinance[[#This Row],[Tipo]]="SELL",IF(ISNUMBER(FIND(MID(AP$1,10,5),TbTradesBinance[[#This Row],[Par]])),IF(FIND(MID(AP$1,10,5),TbTradesBinance[[#This Row],[Par]])=1, -(AO201-AO202)/AO201*AP201,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Row],[Par]])),(-(AO201-AO202)/AO201*AP201)+IF(TbTradesBinance[[#This Row],[Resultado]]&gt;0,0,TbTradesBinance[[#This Row],[Taxa]]),0),0))</f>
        <v>60.349858055862811</v>
      </c>
      <c r="AQ202" s="145">
        <f t="shared" si="67"/>
        <v>1574.0498443124845</v>
      </c>
      <c r="AR20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Row],[Tipo]]="DROP"),AR201+TbTradesBinance[[#This Row],[Qtt]],AR201-TbTradesBinance[[#This Row],[Qtt]]),IF(TbTradesBinance[[#This Row],[Tipo]]="BUY",AR201-TbTradesBinance[[#This Row],[Qtt]]*TbTradesBinance[[#This Row],[Preço]],AR201+TbTradesBinance[[#This Row],[Qtt]]*TbTradesBinance[[#This Row],[Preço]])),AR201)-IF(TbTradesBinance[[#This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Row],[Tipo]]="DROP"),AR201+TbTradesBinance[[#This Row],[Qtt]],AR201-TbTradesBinance[[#This Row],[Qtt]]),IF(TbTradesBinance[[#This Row],[Tipo]]="BUY",AR201-TbTradesBinance[[#This Row],[Qtt]]*TbTradesBinance[[#This Row],[Preço]],AR201+TbTradesBinance[[#This Row],[Qtt]]*TbTradesBinance[[#This Row],[Preço]])),AR201)-IF(TbTradesBinance[[#This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Row],[Tipo]]="DROP"),AR201+TbTradesBinance[[#This Row],[Qtt]],AR201-TbTradesBinance[[#This Row],[Qtt]]),IF(TbTradesBinance[[#This Row],[Tipo]]="BUY",AR201-TbTradesBinance[[#This Row],[Qtt]]*TbTradesBinance[[#This Row],[Preço]],AR201+TbTradesBinance[[#This Row],[Qtt]]*TbTradesBinance[[#This Row],[Preço]])),AR201)-IF(TbTradesBinance[[#This Row],[Moeda da Taxa]]=MID(AR$1,9,5),TbTradesBinance[[#This Row],[Taxa]],0),8)))</f>
        <v>0</v>
      </c>
      <c r="AS202" s="145" cm="1">
        <f t="array" ref="AS202">IF(TbTradesBinance[[#This Row],[Tipo]]="EMPTY",0,AS201+IF(TbTradesBinance[[#This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Row],[Par]]))),$1:$1,0)),-(AR201-AR202)/AR201*AS201),0),0)+IF(TbTradesBinance[[#This Row],[Tipo]]="SELL",IF(ISNUMBER(FIND(MID(AS$1,10,5),TbTradesBinance[[#This Row],[Par]])),IF(FIND(MID(AS$1,10,5),TbTradesBinance[[#This Row],[Par]])=1, -(AR201-AR202)/AR201*AS201,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Row],[Par]])),(-(AR201-AR202)/AR201*AS201)+IF(TbTradesBinance[[#This Row],[Resultado]]&gt;0,0,TbTradesBinance[[#This Row],[Taxa]]),0),0))</f>
        <v>0</v>
      </c>
      <c r="AT202" s="145">
        <f t="shared" si="68"/>
        <v>0</v>
      </c>
      <c r="AU20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Row],[Tipo]]="DROP"),AU201+TbTradesBinance[[#This Row],[Qtt]],AU201-TbTradesBinance[[#This Row],[Qtt]]),IF(TbTradesBinance[[#This Row],[Tipo]]="BUY",AU201-TbTradesBinance[[#This Row],[Qtt]]*TbTradesBinance[[#This Row],[Preço]],AU201+TbTradesBinance[[#This Row],[Qtt]]*TbTradesBinance[[#This Row],[Preço]])),AU201)-IF(TbTradesBinance[[#This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Row],[Tipo]]="DROP"),AU201+TbTradesBinance[[#This Row],[Qtt]],AU201-TbTradesBinance[[#This Row],[Qtt]]),IF(TbTradesBinance[[#This Row],[Tipo]]="BUY",AU201-TbTradesBinance[[#This Row],[Qtt]]*TbTradesBinance[[#This Row],[Preço]],AU201+TbTradesBinance[[#This Row],[Qtt]]*TbTradesBinance[[#This Row],[Preço]])),AU201)-IF(TbTradesBinance[[#This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Row],[Tipo]]="DROP"),AU201+TbTradesBinance[[#This Row],[Qtt]],AU201-TbTradesBinance[[#This Row],[Qtt]]),IF(TbTradesBinance[[#This Row],[Tipo]]="BUY",AU201-TbTradesBinance[[#This Row],[Qtt]]*TbTradesBinance[[#This Row],[Preço]],AU201+TbTradesBinance[[#This Row],[Qtt]]*TbTradesBinance[[#This Row],[Preço]])),AU201)-IF(TbTradesBinance[[#This Row],[Moeda da Taxa]]=MID(AU$1,9,5),TbTradesBinance[[#This Row],[Taxa]],0),8)))</f>
        <v>0.51</v>
      </c>
      <c r="AV202" s="145" cm="1">
        <f t="array" ref="AV202">IF(TbTradesBinance[[#This Row],[Tipo]]="EMPTY",0,AV201+IF(TbTradesBinance[[#This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Row],[Par]]))),$1:$1,0)),-(AU201-AU202)/AU201*AV201),0),0)+IF(TbTradesBinance[[#This Row],[Tipo]]="SELL",IF(ISNUMBER(FIND(MID(AV$1,10,5),TbTradesBinance[[#This Row],[Par]])),IF(FIND(MID(AV$1,10,5),TbTradesBinance[[#This Row],[Par]])=1, -(AU201-AU202)/AU201*AV201,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Row],[Par]])),(-(AU201-AU202)/AU201*AV201)+IF(TbTradesBinance[[#This Row],[Resultado]]&gt;0,0,TbTradesBinance[[#This Row],[Taxa]]),0),0))</f>
        <v>95.466693037374753</v>
      </c>
      <c r="AW202" s="145">
        <f t="shared" si="69"/>
        <v>187.18959419093088</v>
      </c>
      <c r="AX20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Row],[Tipo]]="DROP"),AX201+TbTradesBinance[[#This Row],[Qtt]],AX201-TbTradesBinance[[#This Row],[Qtt]]),IF(TbTradesBinance[[#This Row],[Tipo]]="BUY",AX201-TbTradesBinance[[#This Row],[Qtt]]*TbTradesBinance[[#This Row],[Preço]],AX201+TbTradesBinance[[#This Row],[Qtt]]*TbTradesBinance[[#This Row],[Preço]])),AX201)-IF(TbTradesBinance[[#This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Row],[Tipo]]="DROP"),AX201+TbTradesBinance[[#This Row],[Qtt]],AX201-TbTradesBinance[[#This Row],[Qtt]]),IF(TbTradesBinance[[#This Row],[Tipo]]="BUY",AX201-TbTradesBinance[[#This Row],[Qtt]]*TbTradesBinance[[#This Row],[Preço]],AX201+TbTradesBinance[[#This Row],[Qtt]]*TbTradesBinance[[#This Row],[Preço]])),AX201)-IF(TbTradesBinance[[#This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Row],[Tipo]]="DROP"),AX201+TbTradesBinance[[#This Row],[Qtt]],AX201-TbTradesBinance[[#This Row],[Qtt]]),IF(TbTradesBinance[[#This Row],[Tipo]]="BUY",AX201-TbTradesBinance[[#This Row],[Qtt]]*TbTradesBinance[[#This Row],[Preço]],AX201+TbTradesBinance[[#This Row],[Qtt]]*TbTradesBinance[[#This Row],[Preço]])),AX201)-IF(TbTradesBinance[[#This Row],[Moeda da Taxa]]=MID(AX$1,9,5),TbTradesBinance[[#This Row],[Taxa]],0),8)))</f>
        <v>0.32838000000000001</v>
      </c>
      <c r="AY202" s="145" cm="1">
        <f t="array" ref="AY202">IF(TbTradesBinance[[#This Row],[Tipo]]="EMPTY",0,AY201+IF(TbTradesBinance[[#This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Row],[Par]]))),$1:$1,0)),-(AX201-AX202)/AX201*AY201),0),0)+IF(TbTradesBinance[[#This Row],[Tipo]]="SELL",IF(ISNUMBER(FIND(MID(AY$1,10,5),TbTradesBinance[[#This Row],[Par]])),IF(FIND(MID(AY$1,10,5),TbTradesBinance[[#This Row],[Par]])=1, -(AX201-AX202)/AX201*AY201,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Row],[Par]])),(-(AX201-AX202)/AX201*AY201)+IF(TbTradesBinance[[#This Row],[Resultado]]&gt;0,0,TbTradesBinance[[#This Row],[Taxa]]),0),0))</f>
        <v>61.364116058805678</v>
      </c>
      <c r="AZ202" s="145">
        <f t="shared" si="70"/>
        <v>186.869224857804</v>
      </c>
      <c r="BA20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Row],[Tipo]]="DROP"),BA201+TbTradesBinance[[#This Row],[Qtt]],BA201-TbTradesBinance[[#This Row],[Qtt]]),IF(TbTradesBinance[[#This Row],[Tipo]]="BUY",BA201-TbTradesBinance[[#This Row],[Qtt]]*TbTradesBinance[[#This Row],[Preço]],BA201+TbTradesBinance[[#This Row],[Qtt]]*TbTradesBinance[[#This Row],[Preço]])),BA201)-IF(TbTradesBinance[[#This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Row],[Tipo]]="DROP"),BA201+TbTradesBinance[[#This Row],[Qtt]],BA201-TbTradesBinance[[#This Row],[Qtt]]),IF(TbTradesBinance[[#This Row],[Tipo]]="BUY",BA201-TbTradesBinance[[#This Row],[Qtt]]*TbTradesBinance[[#This Row],[Preço]],BA201+TbTradesBinance[[#This Row],[Qtt]]*TbTradesBinance[[#This Row],[Preço]])),BA201)-IF(TbTradesBinance[[#This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Row],[Tipo]]="DROP"),BA201+TbTradesBinance[[#This Row],[Qtt]],BA201-TbTradesBinance[[#This Row],[Qtt]]),IF(TbTradesBinance[[#This Row],[Tipo]]="BUY",BA201-TbTradesBinance[[#This Row],[Qtt]]*TbTradesBinance[[#This Row],[Preço]],BA201+TbTradesBinance[[#This Row],[Qtt]]*TbTradesBinance[[#This Row],[Preço]])),BA201)-IF(TbTradesBinance[[#This Row],[Moeda da Taxa]]=MID(BA$1,9,5),TbTradesBinance[[#This Row],[Taxa]],0),8)))</f>
        <v>0</v>
      </c>
      <c r="BB202" s="145" cm="1">
        <f t="array" ref="BB202">IF(TbTradesBinance[[#This Row],[Tipo]]="EMPTY",0,BB201+IF(TbTradesBinance[[#This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Row],[Par]]))),$1:$1,0)),-(BA201-BA202)/BA201*BB201),0),0)+IF(TbTradesBinance[[#This Row],[Tipo]]="SELL",IF(ISNUMBER(FIND(MID(BB$1,10,5),TbTradesBinance[[#This Row],[Par]])),IF(FIND(MID(BB$1,10,5),TbTradesBinance[[#This Row],[Par]])=1, -(BA201-BA202)/BA201*BB201,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Row],[Par]])),(-(BA201-BA202)/BA201*BB201)+IF(TbTradesBinance[[#This Row],[Resultado]]&gt;0,0,TbTradesBinance[[#This Row],[Taxa]]),0),0))</f>
        <v>0</v>
      </c>
      <c r="BC202" s="145">
        <f t="shared" si="71"/>
        <v>0</v>
      </c>
      <c r="BD20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Row],[Tipo]]="DROP"),BD201+TbTradesBinance[[#This Row],[Qtt]],BD201-TbTradesBinance[[#This Row],[Qtt]]),IF(TbTradesBinance[[#This Row],[Tipo]]="BUY",BD201-TbTradesBinance[[#This Row],[Qtt]]*TbTradesBinance[[#This Row],[Preço]],BD201+TbTradesBinance[[#This Row],[Qtt]]*TbTradesBinance[[#This Row],[Preço]])),BD201)-IF(TbTradesBinance[[#This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Row],[Tipo]]="DROP"),BD201+TbTradesBinance[[#This Row],[Qtt]],BD201-TbTradesBinance[[#This Row],[Qtt]]),IF(TbTradesBinance[[#This Row],[Tipo]]="BUY",BD201-TbTradesBinance[[#This Row],[Qtt]]*TbTradesBinance[[#This Row],[Preço]],BD201+TbTradesBinance[[#This Row],[Qtt]]*TbTradesBinance[[#This Row],[Preço]])),BD201)-IF(TbTradesBinance[[#This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Row],[Tipo]]="DROP"),BD201+TbTradesBinance[[#This Row],[Qtt]],BD201-TbTradesBinance[[#This Row],[Qtt]]),IF(TbTradesBinance[[#This Row],[Tipo]]="BUY",BD201-TbTradesBinance[[#This Row],[Qtt]]*TbTradesBinance[[#This Row],[Preço]],BD201+TbTradesBinance[[#This Row],[Qtt]]*TbTradesBinance[[#This Row],[Preço]])),BD201)-IF(TbTradesBinance[[#This Row],[Moeda da Taxa]]=MID(BD$1,9,5),TbTradesBinance[[#This Row],[Taxa]],0),8)))</f>
        <v>0</v>
      </c>
      <c r="BE202" s="145" cm="1">
        <f t="array" ref="BE202">IF(TbTradesBinance[[#This Row],[Tipo]]="EMPTY",0,BE201+IF(TbTradesBinance[[#This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Row],[Par]]))),$1:$1,0)),-(BD201-BD202)/BD201*BE201),0),0)+IF(TbTradesBinance[[#This Row],[Tipo]]="SELL",IF(ISNUMBER(FIND(MID(BE$1,10,5),TbTradesBinance[[#This Row],[Par]])),IF(FIND(MID(BE$1,10,5),TbTradesBinance[[#This Row],[Par]])=1, -(BD201-BD202)/BD201*BE201,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Row],[Par]])),(-(BD201-BD202)/BD201*BE201)+IF(TbTradesBinance[[#This Row],[Resultado]]&gt;0,0,TbTradesBinance[[#This Row],[Taxa]]),0),0))</f>
        <v>0</v>
      </c>
      <c r="BF202" s="145">
        <f t="shared" si="72"/>
        <v>0</v>
      </c>
      <c r="BG20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Row],[Tipo]]="DROP"),BG201+TbTradesBinance[[#This Row],[Qtt]],BG201-TbTradesBinance[[#This Row],[Qtt]]),IF(TbTradesBinance[[#This Row],[Tipo]]="BUY",BG201-TbTradesBinance[[#This Row],[Qtt]]*TbTradesBinance[[#This Row],[Preço]],BG201+TbTradesBinance[[#This Row],[Qtt]]*TbTradesBinance[[#This Row],[Preço]])),BG201)-IF(TbTradesBinance[[#This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Row],[Tipo]]="DROP"),BG201+TbTradesBinance[[#This Row],[Qtt]],BG201-TbTradesBinance[[#This Row],[Qtt]]),IF(TbTradesBinance[[#This Row],[Tipo]]="BUY",BG201-TbTradesBinance[[#This Row],[Qtt]]*TbTradesBinance[[#This Row],[Preço]],BG201+TbTradesBinance[[#This Row],[Qtt]]*TbTradesBinance[[#This Row],[Preço]])),BG201)-IF(TbTradesBinance[[#This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Row],[Tipo]]="DROP"),BG201+TbTradesBinance[[#This Row],[Qtt]],BG201-TbTradesBinance[[#This Row],[Qtt]]),IF(TbTradesBinance[[#This Row],[Tipo]]="BUY",BG201-TbTradesBinance[[#This Row],[Qtt]]*TbTradesBinance[[#This Row],[Preço]],BG201+TbTradesBinance[[#This Row],[Qtt]]*TbTradesBinance[[#This Row],[Preço]])),BG201)-IF(TbTradesBinance[[#This Row],[Moeda da Taxa]]=MID(BG$1,9,5),TbTradesBinance[[#This Row],[Taxa]],0),8)))</f>
        <v>0</v>
      </c>
      <c r="BH202" s="145" cm="1">
        <f t="array" ref="BH202">IF(TbTradesBinance[[#This Row],[Tipo]]="EMPTY",0,BH201+IF(TbTradesBinance[[#This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Row],[Par]]))),$1:$1,0)),-(BG201-BG202)/BG201*BH201),0),0)+IF(TbTradesBinance[[#This Row],[Tipo]]="SELL",IF(ISNUMBER(FIND(MID(BH$1,10,5),TbTradesBinance[[#This Row],[Par]])),IF(FIND(MID(BH$1,10,5),TbTradesBinance[[#This Row],[Par]])=1, -(BG201-BG202)/BG201*BH201,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Row],[Par]])),(-(BG201-BG202)/BG201*BH201)+IF(TbTradesBinance[[#This Row],[Resultado]]&gt;0,0,TbTradesBinance[[#This Row],[Taxa]]),0),0))</f>
        <v>0</v>
      </c>
      <c r="BI202" s="145">
        <f t="shared" si="73"/>
        <v>0</v>
      </c>
      <c r="BJ20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Row],[Tipo]]="DROP"),BJ201+TbTradesBinance[[#This Row],[Qtt]],BJ201-TbTradesBinance[[#This Row],[Qtt]]),IF(TbTradesBinance[[#This Row],[Tipo]]="BUY",BJ201-TbTradesBinance[[#This Row],[Qtt]]*TbTradesBinance[[#This Row],[Preço]],BJ201+TbTradesBinance[[#This Row],[Qtt]]*TbTradesBinance[[#This Row],[Preço]])),BJ201)-IF(TbTradesBinance[[#This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Row],[Tipo]]="DROP"),BJ201+TbTradesBinance[[#This Row],[Qtt]],BJ201-TbTradesBinance[[#This Row],[Qtt]]),IF(TbTradesBinance[[#This Row],[Tipo]]="BUY",BJ201-TbTradesBinance[[#This Row],[Qtt]]*TbTradesBinance[[#This Row],[Preço]],BJ201+TbTradesBinance[[#This Row],[Qtt]]*TbTradesBinance[[#This Row],[Preço]])),BJ201)-IF(TbTradesBinance[[#This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Row],[Tipo]]="DROP"),BJ201+TbTradesBinance[[#This Row],[Qtt]],BJ201-TbTradesBinance[[#This Row],[Qtt]]),IF(TbTradesBinance[[#This Row],[Tipo]]="BUY",BJ201-TbTradesBinance[[#This Row],[Qtt]]*TbTradesBinance[[#This Row],[Preço]],BJ201+TbTradesBinance[[#This Row],[Qtt]]*TbTradesBinance[[#This Row],[Preço]])),BJ201)-IF(TbTradesBinance[[#This Row],[Moeda da Taxa]]=MID(BJ$1,9,5),TbTradesBinance[[#This Row],[Taxa]],0),8)))</f>
        <v>0</v>
      </c>
      <c r="BK202" s="145" cm="1">
        <f t="array" ref="BK202">IF(TbTradesBinance[[#This Row],[Tipo]]="EMPTY",0,BK201+IF(TbTradesBinance[[#This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Row],[Par]]))),$1:$1,0)),-(BJ201-BJ202)/BJ201*BK201),0),0)+IF(TbTradesBinance[[#This Row],[Tipo]]="SELL",IF(ISNUMBER(FIND(MID(BK$1,10,5),TbTradesBinance[[#This Row],[Par]])),IF(FIND(MID(BK$1,10,5),TbTradesBinance[[#This Row],[Par]])=1, -(BJ201-BJ202)/BJ201*BK201,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Row],[Par]])),(-(BJ201-BJ202)/BJ201*BK201)+IF(TbTradesBinance[[#This Row],[Resultado]]&gt;0,0,TbTradesBinance[[#This Row],[Taxa]]),0),0))</f>
        <v>0</v>
      </c>
      <c r="BL202" s="145">
        <f t="shared" si="74"/>
        <v>0</v>
      </c>
      <c r="BM20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Row],[Tipo]]="DROP"),BM201+TbTradesBinance[[#This Row],[Qtt]],BM201-TbTradesBinance[[#This Row],[Qtt]]),IF(TbTradesBinance[[#This Row],[Tipo]]="BUY",BM201-TbTradesBinance[[#This Row],[Qtt]]*TbTradesBinance[[#This Row],[Preço]],BM201+TbTradesBinance[[#This Row],[Qtt]]*TbTradesBinance[[#This Row],[Preço]])),BM201)-IF(TbTradesBinance[[#This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Row],[Tipo]]="DROP"),BM201+TbTradesBinance[[#This Row],[Qtt]],BM201-TbTradesBinance[[#This Row],[Qtt]]),IF(TbTradesBinance[[#This Row],[Tipo]]="BUY",BM201-TbTradesBinance[[#This Row],[Qtt]]*TbTradesBinance[[#This Row],[Preço]],BM201+TbTradesBinance[[#This Row],[Qtt]]*TbTradesBinance[[#This Row],[Preço]])),BM201)-IF(TbTradesBinance[[#This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Row],[Tipo]]="DROP"),BM201+TbTradesBinance[[#This Row],[Qtt]],BM201-TbTradesBinance[[#This Row],[Qtt]]),IF(TbTradesBinance[[#This Row],[Tipo]]="BUY",BM201-TbTradesBinance[[#This Row],[Qtt]]*TbTradesBinance[[#This Row],[Preço]],BM201+TbTradesBinance[[#This Row],[Qtt]]*TbTradesBinance[[#This Row],[Preço]])),BM201)-IF(TbTradesBinance[[#This Row],[Moeda da Taxa]]=MID(BM$1,9,5),TbTradesBinance[[#This Row],[Taxa]],0),8)))</f>
        <v>0</v>
      </c>
      <c r="BN202" s="145" cm="1">
        <f t="array" ref="BN202">IF(TbTradesBinance[[#This Row],[Tipo]]="EMPTY",0,BN201+IF(TbTradesBinance[[#This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Row],[Par]]))),$1:$1,0)),-(BM201-BM202)/BM201*BN201),0),0)+IF(TbTradesBinance[[#This Row],[Tipo]]="SELL",IF(ISNUMBER(FIND(MID(BN$1,10,5),TbTradesBinance[[#This Row],[Par]])),IF(FIND(MID(BN$1,10,5),TbTradesBinance[[#This Row],[Par]])=1, -(BM201-BM202)/BM201*BN201,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Row],[Par]])),(-(BM201-BM202)/BM201*BN201)+IF(TbTradesBinance[[#This Row],[Resultado]]&gt;0,0,TbTradesBinance[[#This Row],[Taxa]]),0),0))</f>
        <v>0</v>
      </c>
      <c r="BO202" s="145">
        <f t="shared" si="75"/>
        <v>0</v>
      </c>
    </row>
    <row r="203" spans="2:67" x14ac:dyDescent="0.3">
      <c r="B203" s="51"/>
      <c r="C203" s="40">
        <f>TRUNC(IF(AND(TbTradesBinance[[#This Row],[Tipo]]="SEND",TbTradesBinance[[#This Row],[Par]]="BRL"),TbTradesBinance[[#This Row],[Qtt]]*(1-P201)-IF(TbTradesBinance[[#This Row],[Moeda da Taxa]]="BRL",TbTradesBinance[[#This Row],[Taxa]],0),0)+IF(AND(TbTradesBinance[[#This Row],[Tipo]]="BURN",TbTradesBinance[[#This Row],[Par]]="BRL"),-TbTradesBinance[[#This Row],[Qtt]]*P201,0),2)</f>
        <v>0</v>
      </c>
      <c r="D203" s="53">
        <v>44367.420300925929</v>
      </c>
      <c r="E203" s="37" t="s">
        <v>249</v>
      </c>
      <c r="F203" s="47" t="s">
        <v>139</v>
      </c>
      <c r="G203" s="38">
        <v>34563.18</v>
      </c>
      <c r="H203" s="38">
        <v>9.5600000000000004E-4</v>
      </c>
      <c r="I203" s="38">
        <v>9.5999999999999991E-7</v>
      </c>
      <c r="J203" s="37" t="s">
        <v>6</v>
      </c>
      <c r="K203" s="52">
        <v>5.0229999999999997</v>
      </c>
      <c r="L203" s="40">
        <f t="shared" si="57"/>
        <v>173610.85</v>
      </c>
      <c r="M203" s="40">
        <f>IF(OR(TbTradesBinance[[#This Row],[Tipo]]="BUY",TbTradesBinance[[#This Row],[Tipo]]="RECEIVE",TbTradesBinance[[#This Row],[Tipo]]="DROP"),L203*H203,-L203*H203)</f>
        <v>165.97197260000002</v>
      </c>
      <c r="N20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Row],[Tipo]]="DROP"),N202+TbTradesBinance[[#This Row],[Qtt]],N202-TbTradesBinance[[#This Row],[Qtt]]),IF(TbTradesBinance[[#This Row],[Tipo]]="BUY",N202-TbTradesBinance[[#This Row],[Qtt]]*TbTradesBinance[[#This Row],[Preço]],N202+TbTradesBinance[[#This Row],[Qtt]]*TbTradesBinance[[#This Row],[Preço]])),N202)-IF(TbTradesBinance[[#This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Row],[Tipo]]="DROP"),N202+TbTradesBinance[[#This Row],[Qtt]],N202-TbTradesBinance[[#This Row],[Qtt]]),IF(TbTradesBinance[[#This Row],[Tipo]]="BUY",N202-TbTradesBinance[[#This Row],[Qtt]]*TbTradesBinance[[#This Row],[Preço]],N202+TbTradesBinance[[#This Row],[Qtt]]*TbTradesBinance[[#This Row],[Preço]])),N202)-IF(TbTradesBinance[[#This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Row],[Tipo]]="DROP"),N202+TbTradesBinance[[#This Row],[Qtt]],N202-TbTradesBinance[[#This Row],[Qtt]]),IF(TbTradesBinance[[#This Row],[Tipo]]="BUY",N202-TbTradesBinance[[#This Row],[Qtt]]*TbTradesBinance[[#This Row],[Preço]],N202+TbTradesBinance[[#This Row],[Qtt]]*TbTradesBinance[[#This Row],[Preço]])),N202)-IF(TbTradesBinance[[#This Row],[Moeda da Taxa]]=MID(N$1,9,5),TbTradesBinance[[#This Row],[Taxa]],0),8)))</f>
        <v>120678.39511781</v>
      </c>
      <c r="O203" s="145" cm="1">
        <f t="array" ref="O203">IF(TbTradesBinance[[#This Row],[Tipo]]="EMPTY",0,O202+IF(TbTradesBinance[[#This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Row],[Par]]))),$1:$1,0)),-(N202-N203)/N202*O202),0),0)+IF(TbTradesBinance[[#This Row],[Tipo]]="SELL",IF(ISNUMBER(FIND(MID(O$1,10,5),TbTradesBinance[[#This Row],[Par]])),IF(FIND(MID(O$1,10,5),TbTradesBinance[[#This Row],[Par]])=1, -(N202-N203)/N202*O202,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Row],[Par]])),(-(N202-N203)/N202*O202)+IF(TbTradesBinance[[#This Row],[Resultado]]&gt;0,0,TbTradesBinance[[#This Row],[Taxa]]),0),0))</f>
        <v>121343.08135798256</v>
      </c>
      <c r="P203" s="145">
        <f t="shared" si="58"/>
        <v>1.0055079141508609</v>
      </c>
      <c r="Q20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Row],[Tipo]]="DROP"),Q202+TbTradesBinance[[#This Row],[Qtt]],Q202-TbTradesBinance[[#This Row],[Qtt]]),IF(TbTradesBinance[[#This Row],[Tipo]]="BUY",Q202-TbTradesBinance[[#This Row],[Qtt]]*TbTradesBinance[[#This Row],[Preço]],Q202+TbTradesBinance[[#This Row],[Qtt]]*TbTradesBinance[[#This Row],[Preço]])),Q202)-IF(TbTradesBinance[[#This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Row],[Tipo]]="DROP"),Q202+TbTradesBinance[[#This Row],[Qtt]],Q202-TbTradesBinance[[#This Row],[Qtt]]),IF(TbTradesBinance[[#This Row],[Tipo]]="BUY",Q202-TbTradesBinance[[#This Row],[Qtt]]*TbTradesBinance[[#This Row],[Preço]],Q202+TbTradesBinance[[#This Row],[Qtt]]*TbTradesBinance[[#This Row],[Preço]])),Q202)-IF(TbTradesBinance[[#This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Row],[Tipo]]="DROP"),Q202+TbTradesBinance[[#This Row],[Qtt]],Q202-TbTradesBinance[[#This Row],[Qtt]]),IF(TbTradesBinance[[#This Row],[Tipo]]="BUY",Q202-TbTradesBinance[[#This Row],[Qtt]]*TbTradesBinance[[#This Row],[Preço]],Q202+TbTradesBinance[[#This Row],[Qtt]]*TbTradesBinance[[#This Row],[Preço]])),Q202)-IF(TbTradesBinance[[#This Row],[Moeda da Taxa]]=MID(Q$1,9,5),TbTradesBinance[[#This Row],[Taxa]],0),8)))</f>
        <v>178.09525744999999</v>
      </c>
      <c r="R203" s="145" cm="1">
        <f t="array" ref="R203">IF(TbTradesBinance[[#This Row],[Tipo]]="EMPTY",0,R202+IF(TbTradesBinance[[#This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Row],[Par]]))),$1:$1,0)),-(Q202-Q203)/Q202*R202),0),0)+IF(TbTradesBinance[[#This Row],[Tipo]]="SELL",IF(ISNUMBER(FIND(MID(R$1,10,5),TbTradesBinance[[#This Row],[Par]])),IF(FIND(MID(R$1,10,5),TbTradesBinance[[#This Row],[Par]])=1, -(Q202-Q203)/Q202*R202,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Row],[Par]])),(-(Q202-Q203)/Q202*R202)+IF(TbTradesBinance[[#This Row],[Resultado]]&gt;0,0,TbTradesBinance[[#This Row],[Taxa]]),0),0))</f>
        <v>910.69615222177447</v>
      </c>
      <c r="S203" s="145">
        <f t="shared" si="59"/>
        <v>5.11353398883994</v>
      </c>
      <c r="T20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Row],[Tipo]]="DROP"),T202+TbTradesBinance[[#This Row],[Qtt]],T202-TbTradesBinance[[#This Row],[Qtt]]),IF(TbTradesBinance[[#This Row],[Tipo]]="BUY",T202-TbTradesBinance[[#This Row],[Qtt]]*TbTradesBinance[[#This Row],[Preço]],T202+TbTradesBinance[[#This Row],[Qtt]]*TbTradesBinance[[#This Row],[Preço]])),T202)-IF(TbTradesBinance[[#This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Row],[Tipo]]="DROP"),T202+TbTradesBinance[[#This Row],[Qtt]],T202-TbTradesBinance[[#This Row],[Qtt]]),IF(TbTradesBinance[[#This Row],[Tipo]]="BUY",T202-TbTradesBinance[[#This Row],[Qtt]]*TbTradesBinance[[#This Row],[Preço]],T202+TbTradesBinance[[#This Row],[Qtt]]*TbTradesBinance[[#This Row],[Preço]])),T202)-IF(TbTradesBinance[[#This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Row],[Tipo]]="DROP"),T202+TbTradesBinance[[#This Row],[Qtt]],T202-TbTradesBinance[[#This Row],[Qtt]]),IF(TbTradesBinance[[#This Row],[Tipo]]="BUY",T202-TbTradesBinance[[#This Row],[Qtt]]*TbTradesBinance[[#This Row],[Preço]],T202+TbTradesBinance[[#This Row],[Qtt]]*TbTradesBinance[[#This Row],[Preço]])),T202)-IF(TbTradesBinance[[#This Row],[Moeda da Taxa]]=MID(T$1,9,5),TbTradesBinance[[#This Row],[Taxa]],0),8)))</f>
        <v>101223913.720009</v>
      </c>
      <c r="U203" s="145" cm="1">
        <f t="array" ref="U203">IF(TbTradesBinance[[#This Row],[Tipo]]="EMPTY",0,U202+IF(TbTradesBinance[[#This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Row],[Par]]))),$1:$1,0)),-(T202-T203)/T202*U202),0),0)+IF(TbTradesBinance[[#This Row],[Tipo]]="SELL",IF(ISNUMBER(FIND(MID(U$1,10,5),TbTradesBinance[[#This Row],[Par]])),IF(FIND(MID(U$1,10,5),TbTradesBinance[[#This Row],[Par]])=1, -(T202-T203)/T202*U202,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Row],[Par]])),(-(T202-T203)/T202*U202)+IF(TbTradesBinance[[#This Row],[Resultado]]&gt;0,0,TbTradesBinance[[#This Row],[Taxa]]),0),0))</f>
        <v>617586601.27364206</v>
      </c>
      <c r="V203" s="145">
        <f t="shared" si="60"/>
        <v>6.1011926784605572</v>
      </c>
      <c r="W20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Row],[Tipo]]="DROP"),W202+TbTradesBinance[[#This Row],[Qtt]],W202-TbTradesBinance[[#This Row],[Qtt]]),IF(TbTradesBinance[[#This Row],[Tipo]]="BUY",W202-TbTradesBinance[[#This Row],[Qtt]]*TbTradesBinance[[#This Row],[Preço]],W202+TbTradesBinance[[#This Row],[Qtt]]*TbTradesBinance[[#This Row],[Preço]])),W202)-IF(TbTradesBinance[[#This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Row],[Tipo]]="DROP"),W202+TbTradesBinance[[#This Row],[Qtt]],W202-TbTradesBinance[[#This Row],[Qtt]]),IF(TbTradesBinance[[#This Row],[Tipo]]="BUY",W202-TbTradesBinance[[#This Row],[Qtt]]*TbTradesBinance[[#This Row],[Preço]],W202+TbTradesBinance[[#This Row],[Qtt]]*TbTradesBinance[[#This Row],[Preço]])),W202)-IF(TbTradesBinance[[#This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Row],[Tipo]]="DROP"),W202+TbTradesBinance[[#This Row],[Qtt]],W202-TbTradesBinance[[#This Row],[Qtt]]),IF(TbTradesBinance[[#This Row],[Tipo]]="BUY",W202-TbTradesBinance[[#This Row],[Qtt]]*TbTradesBinance[[#This Row],[Preço]],W202+TbTradesBinance[[#This Row],[Qtt]]*TbTradesBinance[[#This Row],[Preço]])),W202)-IF(TbTradesBinance[[#This Row],[Moeda da Taxa]]=MID(W$1,9,5),TbTradesBinance[[#This Row],[Taxa]],0),8)))</f>
        <v>4.3197899999999996E-3</v>
      </c>
      <c r="X203" s="145" cm="1">
        <f t="array" ref="X203">IF(TbTradesBinance[[#This Row],[Tipo]]="EMPTY",0,X202+IF(TbTradesBinance[[#This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Row],[Par]]))),$1:$1,0)),-(W202-W203)/W202*X202),0),0)+IF(TbTradesBinance[[#This Row],[Tipo]]="SELL",IF(ISNUMBER(FIND(MID(X$1,10,5),TbTradesBinance[[#This Row],[Par]])),IF(FIND(MID(X$1,10,5),TbTradesBinance[[#This Row],[Par]])=1, -(W202-W203)/W202*X202,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Row],[Par]])),(-(W202-W203)/W202*X202)+IF(TbTradesBinance[[#This Row],[Resultado]]&gt;0,0,TbTradesBinance[[#This Row],[Taxa]]),0),0))</f>
        <v>776.44359613522658</v>
      </c>
      <c r="Y203" s="145">
        <f t="shared" si="61"/>
        <v>179741.05133240891</v>
      </c>
      <c r="Z20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Row],[Tipo]]="DROP"),Z202+TbTradesBinance[[#This Row],[Qtt]],Z202-TbTradesBinance[[#This Row],[Qtt]]),IF(TbTradesBinance[[#This Row],[Tipo]]="BUY",Z202-TbTradesBinance[[#This Row],[Qtt]]*TbTradesBinance[[#This Row],[Preço]],Z202+TbTradesBinance[[#This Row],[Qtt]]*TbTradesBinance[[#This Row],[Preço]])),Z202)-IF(TbTradesBinance[[#This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Row],[Tipo]]="DROP"),Z202+TbTradesBinance[[#This Row],[Qtt]],Z202-TbTradesBinance[[#This Row],[Qtt]]),IF(TbTradesBinance[[#This Row],[Tipo]]="BUY",Z202-TbTradesBinance[[#This Row],[Qtt]]*TbTradesBinance[[#This Row],[Preço]],Z202+TbTradesBinance[[#This Row],[Qtt]]*TbTradesBinance[[#This Row],[Preço]])),Z202)-IF(TbTradesBinance[[#This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Row],[Tipo]]="DROP"),Z202+TbTradesBinance[[#This Row],[Qtt]],Z202-TbTradesBinance[[#This Row],[Qtt]]),IF(TbTradesBinance[[#This Row],[Tipo]]="BUY",Z202-TbTradesBinance[[#This Row],[Qtt]]*TbTradesBinance[[#This Row],[Preço]],Z202+TbTradesBinance[[#This Row],[Qtt]]*TbTradesBinance[[#This Row],[Preço]])),Z202)-IF(TbTradesBinance[[#This Row],[Moeda da Taxa]]=MID(Z$1,9,5),TbTradesBinance[[#This Row],[Taxa]],0),8)))</f>
        <v>0</v>
      </c>
      <c r="AA203" s="145" cm="1">
        <f t="array" ref="AA203">IF(TbTradesBinance[[#This Row],[Tipo]]="EMPTY",0,AA202+IF(TbTradesBinance[[#This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Row],[Par]]))),$1:$1,0)),-(Z202-Z203)/Z202*AA202),0),0)+IF(TbTradesBinance[[#This Row],[Tipo]]="SELL",IF(ISNUMBER(FIND(MID(AA$1,10,5),TbTradesBinance[[#This Row],[Par]])),IF(FIND(MID(AA$1,10,5),TbTradesBinance[[#This Row],[Par]])=1, -(Z202-Z203)/Z202*AA202,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Row],[Par]])),(-(Z202-Z203)/Z202*AA202)+IF(TbTradesBinance[[#This Row],[Resultado]]&gt;0,0,TbTradesBinance[[#This Row],[Taxa]]),0),0))</f>
        <v>0</v>
      </c>
      <c r="AB203" s="145">
        <f t="shared" si="62"/>
        <v>0</v>
      </c>
      <c r="AC20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Row],[Tipo]]="DROP"),AC202+TbTradesBinance[[#This Row],[Qtt]],AC202-TbTradesBinance[[#This Row],[Qtt]]),IF(TbTradesBinance[[#This Row],[Tipo]]="BUY",AC202-TbTradesBinance[[#This Row],[Qtt]]*TbTradesBinance[[#This Row],[Preço]],AC202+TbTradesBinance[[#This Row],[Qtt]]*TbTradesBinance[[#This Row],[Preço]])),AC202)-IF(TbTradesBinance[[#This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Row],[Tipo]]="DROP"),AC202+TbTradesBinance[[#This Row],[Qtt]],AC202-TbTradesBinance[[#This Row],[Qtt]]),IF(TbTradesBinance[[#This Row],[Tipo]]="BUY",AC202-TbTradesBinance[[#This Row],[Qtt]]*TbTradesBinance[[#This Row],[Preço]],AC202+TbTradesBinance[[#This Row],[Qtt]]*TbTradesBinance[[#This Row],[Preço]])),AC202)-IF(TbTradesBinance[[#This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Row],[Tipo]]="DROP"),AC202+TbTradesBinance[[#This Row],[Qtt]],AC202-TbTradesBinance[[#This Row],[Qtt]]),IF(TbTradesBinance[[#This Row],[Tipo]]="BUY",AC202-TbTradesBinance[[#This Row],[Qtt]]*TbTradesBinance[[#This Row],[Preço]],AC202+TbTradesBinance[[#This Row],[Qtt]]*TbTradesBinance[[#This Row],[Preço]])),AC202)-IF(TbTradesBinance[[#This Row],[Moeda da Taxa]]=MID(AC$1,9,5),TbTradesBinance[[#This Row],[Taxa]],0),8)))</f>
        <v>0</v>
      </c>
      <c r="AD203" s="145" cm="1">
        <f t="array" ref="AD203">IF(TbTradesBinance[[#This Row],[Tipo]]="EMPTY",0,AD202+IF(TbTradesBinance[[#This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Row],[Par]]))),$1:$1,0)),-(AC202-AC203)/AC202*AD202),0),0)+IF(TbTradesBinance[[#This Row],[Tipo]]="SELL",IF(ISNUMBER(FIND(MID(AD$1,10,5),TbTradesBinance[[#This Row],[Par]])),IF(FIND(MID(AD$1,10,5),TbTradesBinance[[#This Row],[Par]])=1, -(AC202-AC203)/AC202*AD202,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Row],[Par]])),(-(AC202-AC203)/AC202*AD202)+IF(TbTradesBinance[[#This Row],[Resultado]]&gt;0,0,TbTradesBinance[[#This Row],[Taxa]]),0),0))</f>
        <v>0</v>
      </c>
      <c r="AE203" s="145">
        <f t="shared" si="63"/>
        <v>0</v>
      </c>
      <c r="AF20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Row],[Tipo]]="DROP"),AF202+TbTradesBinance[[#This Row],[Qtt]],AF202-TbTradesBinance[[#This Row],[Qtt]]),IF(TbTradesBinance[[#This Row],[Tipo]]="BUY",AF202-TbTradesBinance[[#This Row],[Qtt]]*TbTradesBinance[[#This Row],[Preço]],AF202+TbTradesBinance[[#This Row],[Qtt]]*TbTradesBinance[[#This Row],[Preço]])),AF202)-IF(TbTradesBinance[[#This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Row],[Tipo]]="DROP"),AF202+TbTradesBinance[[#This Row],[Qtt]],AF202-TbTradesBinance[[#This Row],[Qtt]]),IF(TbTradesBinance[[#This Row],[Tipo]]="BUY",AF202-TbTradesBinance[[#This Row],[Qtt]]*TbTradesBinance[[#This Row],[Preço]],AF202+TbTradesBinance[[#This Row],[Qtt]]*TbTradesBinance[[#This Row],[Preço]])),AF202)-IF(TbTradesBinance[[#This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Row],[Tipo]]="DROP"),AF202+TbTradesBinance[[#This Row],[Qtt]],AF202-TbTradesBinance[[#This Row],[Qtt]]),IF(TbTradesBinance[[#This Row],[Tipo]]="BUY",AF202-TbTradesBinance[[#This Row],[Qtt]]*TbTradesBinance[[#This Row],[Preço]],AF202+TbTradesBinance[[#This Row],[Qtt]]*TbTradesBinance[[#This Row],[Preço]])),AF202)-IF(TbTradesBinance[[#This Row],[Moeda da Taxa]]=MID(AF$1,9,5),TbTradesBinance[[#This Row],[Taxa]],0),8)))</f>
        <v>0</v>
      </c>
      <c r="AG203" s="145" cm="1">
        <f t="array" ref="AG203">IF(TbTradesBinance[[#This Row],[Tipo]]="EMPTY",0,AG202+IF(TbTradesBinance[[#This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Row],[Par]]))),$1:$1,0)),-(AF202-AF203)/AF202*AG202),0),0)+IF(TbTradesBinance[[#This Row],[Tipo]]="SELL",IF(ISNUMBER(FIND(MID(AG$1,10,5),TbTradesBinance[[#This Row],[Par]])),IF(FIND(MID(AG$1,10,5),TbTradesBinance[[#This Row],[Par]])=1, -(AF202-AF203)/AF202*AG202,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Row],[Par]])),(-(AF202-AF203)/AF202*AG202)+IF(TbTradesBinance[[#This Row],[Resultado]]&gt;0,0,TbTradesBinance[[#This Row],[Taxa]]),0),0))</f>
        <v>0</v>
      </c>
      <c r="AH203" s="145">
        <f t="shared" si="64"/>
        <v>0</v>
      </c>
      <c r="AI20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Row],[Tipo]]="DROP"),AI202+TbTradesBinance[[#This Row],[Qtt]],AI202-TbTradesBinance[[#This Row],[Qtt]]),IF(TbTradesBinance[[#This Row],[Tipo]]="BUY",AI202-TbTradesBinance[[#This Row],[Qtt]]*TbTradesBinance[[#This Row],[Preço]],AI202+TbTradesBinance[[#This Row],[Qtt]]*TbTradesBinance[[#This Row],[Preço]])),AI202)-IF(TbTradesBinance[[#This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Row],[Tipo]]="DROP"),AI202+TbTradesBinance[[#This Row],[Qtt]],AI202-TbTradesBinance[[#This Row],[Qtt]]),IF(TbTradesBinance[[#This Row],[Tipo]]="BUY",AI202-TbTradesBinance[[#This Row],[Qtt]]*TbTradesBinance[[#This Row],[Preço]],AI202+TbTradesBinance[[#This Row],[Qtt]]*TbTradesBinance[[#This Row],[Preço]])),AI202)-IF(TbTradesBinance[[#This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Row],[Tipo]]="DROP"),AI202+TbTradesBinance[[#This Row],[Qtt]],AI202-TbTradesBinance[[#This Row],[Qtt]]),IF(TbTradesBinance[[#This Row],[Tipo]]="BUY",AI202-TbTradesBinance[[#This Row],[Qtt]]*TbTradesBinance[[#This Row],[Preço]],AI202+TbTradesBinance[[#This Row],[Qtt]]*TbTradesBinance[[#This Row],[Preço]])),AI202)-IF(TbTradesBinance[[#This Row],[Moeda da Taxa]]=MID(AI$1,9,5),TbTradesBinance[[#This Row],[Taxa]],0),8)))</f>
        <v>0</v>
      </c>
      <c r="AJ203" s="145" cm="1">
        <f t="array" ref="AJ203">IF(TbTradesBinance[[#This Row],[Tipo]]="EMPTY",0,AJ202+IF(TbTradesBinance[[#This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Row],[Par]]))),$1:$1,0)),-(AI202-AI203)/AI202*AJ202),0),0)+IF(TbTradesBinance[[#This Row],[Tipo]]="SELL",IF(ISNUMBER(FIND(MID(AJ$1,10,5),TbTradesBinance[[#This Row],[Par]])),IF(FIND(MID(AJ$1,10,5),TbTradesBinance[[#This Row],[Par]])=1, -(AI202-AI203)/AI202*AJ202,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Row],[Par]])),(-(AI202-AI203)/AI202*AJ202)+IF(TbTradesBinance[[#This Row],[Resultado]]&gt;0,0,TbTradesBinance[[#This Row],[Taxa]]),0),0))</f>
        <v>0</v>
      </c>
      <c r="AK203" s="145">
        <f t="shared" si="65"/>
        <v>0</v>
      </c>
      <c r="AL20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Row],[Tipo]]="DROP"),AL202+TbTradesBinance[[#This Row],[Qtt]],AL202-TbTradesBinance[[#This Row],[Qtt]]),IF(TbTradesBinance[[#This Row],[Tipo]]="BUY",AL202-TbTradesBinance[[#This Row],[Qtt]]*TbTradesBinance[[#This Row],[Preço]],AL202+TbTradesBinance[[#This Row],[Qtt]]*TbTradesBinance[[#This Row],[Preço]])),AL202)-IF(TbTradesBinance[[#This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Row],[Tipo]]="DROP"),AL202+TbTradesBinance[[#This Row],[Qtt]],AL202-TbTradesBinance[[#This Row],[Qtt]]),IF(TbTradesBinance[[#This Row],[Tipo]]="BUY",AL202-TbTradesBinance[[#This Row],[Qtt]]*TbTradesBinance[[#This Row],[Preço]],AL202+TbTradesBinance[[#This Row],[Qtt]]*TbTradesBinance[[#This Row],[Preço]])),AL202)-IF(TbTradesBinance[[#This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Row],[Tipo]]="DROP"),AL202+TbTradesBinance[[#This Row],[Qtt]],AL202-TbTradesBinance[[#This Row],[Qtt]]),IF(TbTradesBinance[[#This Row],[Tipo]]="BUY",AL202-TbTradesBinance[[#This Row],[Qtt]]*TbTradesBinance[[#This Row],[Preço]],AL202+TbTradesBinance[[#This Row],[Qtt]]*TbTradesBinance[[#This Row],[Preço]])),AL202)-IF(TbTradesBinance[[#This Row],[Moeda da Taxa]]=MID(AL$1,9,5),TbTradesBinance[[#This Row],[Taxa]],0),8)))</f>
        <v>0</v>
      </c>
      <c r="AM203" s="145" cm="1">
        <f t="array" ref="AM203">IF(TbTradesBinance[[#This Row],[Tipo]]="EMPTY",0,AM202+IF(TbTradesBinance[[#This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Row],[Par]]))),$1:$1,0)),-(AL202-AL203)/AL202*AM202),0),0)+IF(TbTradesBinance[[#This Row],[Tipo]]="SELL",IF(ISNUMBER(FIND(MID(AM$1,10,5),TbTradesBinance[[#This Row],[Par]])),IF(FIND(MID(AM$1,10,5),TbTradesBinance[[#This Row],[Par]])=1, -(AL202-AL203)/AL202*AM202,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Row],[Par]])),(-(AL202-AL203)/AL202*AM202)+IF(TbTradesBinance[[#This Row],[Resultado]]&gt;0,0,TbTradesBinance[[#This Row],[Taxa]]),0),0))</f>
        <v>0</v>
      </c>
      <c r="AN203" s="145">
        <f t="shared" si="66"/>
        <v>0</v>
      </c>
      <c r="AO20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Row],[Tipo]]="DROP"),AO202+TbTradesBinance[[#This Row],[Qtt]],AO202-TbTradesBinance[[#This Row],[Qtt]]),IF(TbTradesBinance[[#This Row],[Tipo]]="BUY",AO202-TbTradesBinance[[#This Row],[Qtt]]*TbTradesBinance[[#This Row],[Preço]],AO202+TbTradesBinance[[#This Row],[Qtt]]*TbTradesBinance[[#This Row],[Preço]])),AO202)-IF(TbTradesBinance[[#This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Row],[Tipo]]="DROP"),AO202+TbTradesBinance[[#This Row],[Qtt]],AO202-TbTradesBinance[[#This Row],[Qtt]]),IF(TbTradesBinance[[#This Row],[Tipo]]="BUY",AO202-TbTradesBinance[[#This Row],[Qtt]]*TbTradesBinance[[#This Row],[Preço]],AO202+TbTradesBinance[[#This Row],[Qtt]]*TbTradesBinance[[#This Row],[Preço]])),AO202)-IF(TbTradesBinance[[#This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Row],[Tipo]]="DROP"),AO202+TbTradesBinance[[#This Row],[Qtt]],AO202-TbTradesBinance[[#This Row],[Qtt]]),IF(TbTradesBinance[[#This Row],[Tipo]]="BUY",AO202-TbTradesBinance[[#This Row],[Qtt]]*TbTradesBinance[[#This Row],[Preço]],AO202+TbTradesBinance[[#This Row],[Qtt]]*TbTradesBinance[[#This Row],[Preço]])),AO202)-IF(TbTradesBinance[[#This Row],[Moeda da Taxa]]=MID(AO$1,9,5),TbTradesBinance[[#This Row],[Taxa]],0),8)))</f>
        <v>3.83405E-2</v>
      </c>
      <c r="AP203" s="145" cm="1">
        <f t="array" ref="AP203">IF(TbTradesBinance[[#This Row],[Tipo]]="EMPTY",0,AP202+IF(TbTradesBinance[[#This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Row],[Par]]))),$1:$1,0)),-(AO202-AO203)/AO202*AP202),0),0)+IF(TbTradesBinance[[#This Row],[Tipo]]="SELL",IF(ISNUMBER(FIND(MID(AP$1,10,5),TbTradesBinance[[#This Row],[Par]])),IF(FIND(MID(AP$1,10,5),TbTradesBinance[[#This Row],[Par]])=1, -(AO202-AO203)/AO202*AP202,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Row],[Par]])),(-(AO202-AO203)/AO202*AP202)+IF(TbTradesBinance[[#This Row],[Resultado]]&gt;0,0,TbTradesBinance[[#This Row],[Taxa]]),0),0))</f>
        <v>60.349858055862811</v>
      </c>
      <c r="AQ203" s="145">
        <f t="shared" si="67"/>
        <v>1574.0498443124845</v>
      </c>
      <c r="AR20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Row],[Tipo]]="DROP"),AR202+TbTradesBinance[[#This Row],[Qtt]],AR202-TbTradesBinance[[#This Row],[Qtt]]),IF(TbTradesBinance[[#This Row],[Tipo]]="BUY",AR202-TbTradesBinance[[#This Row],[Qtt]]*TbTradesBinance[[#This Row],[Preço]],AR202+TbTradesBinance[[#This Row],[Qtt]]*TbTradesBinance[[#This Row],[Preço]])),AR202)-IF(TbTradesBinance[[#This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Row],[Tipo]]="DROP"),AR202+TbTradesBinance[[#This Row],[Qtt]],AR202-TbTradesBinance[[#This Row],[Qtt]]),IF(TbTradesBinance[[#This Row],[Tipo]]="BUY",AR202-TbTradesBinance[[#This Row],[Qtt]]*TbTradesBinance[[#This Row],[Preço]],AR202+TbTradesBinance[[#This Row],[Qtt]]*TbTradesBinance[[#This Row],[Preço]])),AR202)-IF(TbTradesBinance[[#This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Row],[Tipo]]="DROP"),AR202+TbTradesBinance[[#This Row],[Qtt]],AR202-TbTradesBinance[[#This Row],[Qtt]]),IF(TbTradesBinance[[#This Row],[Tipo]]="BUY",AR202-TbTradesBinance[[#This Row],[Qtt]]*TbTradesBinance[[#This Row],[Preço]],AR202+TbTradesBinance[[#This Row],[Qtt]]*TbTradesBinance[[#This Row],[Preço]])),AR202)-IF(TbTradesBinance[[#This Row],[Moeda da Taxa]]=MID(AR$1,9,5),TbTradesBinance[[#This Row],[Taxa]],0),8)))</f>
        <v>0</v>
      </c>
      <c r="AS203" s="145" cm="1">
        <f t="array" ref="AS203">IF(TbTradesBinance[[#This Row],[Tipo]]="EMPTY",0,AS202+IF(TbTradesBinance[[#This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Row],[Par]]))),$1:$1,0)),-(AR202-AR203)/AR202*AS202),0),0)+IF(TbTradesBinance[[#This Row],[Tipo]]="SELL",IF(ISNUMBER(FIND(MID(AS$1,10,5),TbTradesBinance[[#This Row],[Par]])),IF(FIND(MID(AS$1,10,5),TbTradesBinance[[#This Row],[Par]])=1, -(AR202-AR203)/AR202*AS202,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Row],[Par]])),(-(AR202-AR203)/AR202*AS202)+IF(TbTradesBinance[[#This Row],[Resultado]]&gt;0,0,TbTradesBinance[[#This Row],[Taxa]]),0),0))</f>
        <v>0</v>
      </c>
      <c r="AT203" s="145">
        <f t="shared" si="68"/>
        <v>0</v>
      </c>
      <c r="AU20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Row],[Tipo]]="DROP"),AU202+TbTradesBinance[[#This Row],[Qtt]],AU202-TbTradesBinance[[#This Row],[Qtt]]),IF(TbTradesBinance[[#This Row],[Tipo]]="BUY",AU202-TbTradesBinance[[#This Row],[Qtt]]*TbTradesBinance[[#This Row],[Preço]],AU202+TbTradesBinance[[#This Row],[Qtt]]*TbTradesBinance[[#This Row],[Preço]])),AU202)-IF(TbTradesBinance[[#This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Row],[Tipo]]="DROP"),AU202+TbTradesBinance[[#This Row],[Qtt]],AU202-TbTradesBinance[[#This Row],[Qtt]]),IF(TbTradesBinance[[#This Row],[Tipo]]="BUY",AU202-TbTradesBinance[[#This Row],[Qtt]]*TbTradesBinance[[#This Row],[Preço]],AU202+TbTradesBinance[[#This Row],[Qtt]]*TbTradesBinance[[#This Row],[Preço]])),AU202)-IF(TbTradesBinance[[#This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Row],[Tipo]]="DROP"),AU202+TbTradesBinance[[#This Row],[Qtt]],AU202-TbTradesBinance[[#This Row],[Qtt]]),IF(TbTradesBinance[[#This Row],[Tipo]]="BUY",AU202-TbTradesBinance[[#This Row],[Qtt]]*TbTradesBinance[[#This Row],[Preço]],AU202+TbTradesBinance[[#This Row],[Qtt]]*TbTradesBinance[[#This Row],[Preço]])),AU202)-IF(TbTradesBinance[[#This Row],[Moeda da Taxa]]=MID(AU$1,9,5),TbTradesBinance[[#This Row],[Taxa]],0),8)))</f>
        <v>0.51</v>
      </c>
      <c r="AV203" s="145" cm="1">
        <f t="array" ref="AV203">IF(TbTradesBinance[[#This Row],[Tipo]]="EMPTY",0,AV202+IF(TbTradesBinance[[#This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Row],[Par]]))),$1:$1,0)),-(AU202-AU203)/AU202*AV202),0),0)+IF(TbTradesBinance[[#This Row],[Tipo]]="SELL",IF(ISNUMBER(FIND(MID(AV$1,10,5),TbTradesBinance[[#This Row],[Par]])),IF(FIND(MID(AV$1,10,5),TbTradesBinance[[#This Row],[Par]])=1, -(AU202-AU203)/AU202*AV202,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Row],[Par]])),(-(AU202-AU203)/AU202*AV202)+IF(TbTradesBinance[[#This Row],[Resultado]]&gt;0,0,TbTradesBinance[[#This Row],[Taxa]]),0),0))</f>
        <v>95.466693037374753</v>
      </c>
      <c r="AW203" s="145">
        <f t="shared" si="69"/>
        <v>187.18959419093088</v>
      </c>
      <c r="AX20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Row],[Tipo]]="DROP"),AX202+TbTradesBinance[[#This Row],[Qtt]],AX202-TbTradesBinance[[#This Row],[Qtt]]),IF(TbTradesBinance[[#This Row],[Tipo]]="BUY",AX202-TbTradesBinance[[#This Row],[Qtt]]*TbTradesBinance[[#This Row],[Preço]],AX202+TbTradesBinance[[#This Row],[Qtt]]*TbTradesBinance[[#This Row],[Preço]])),AX202)-IF(TbTradesBinance[[#This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Row],[Tipo]]="DROP"),AX202+TbTradesBinance[[#This Row],[Qtt]],AX202-TbTradesBinance[[#This Row],[Qtt]]),IF(TbTradesBinance[[#This Row],[Tipo]]="BUY",AX202-TbTradesBinance[[#This Row],[Qtt]]*TbTradesBinance[[#This Row],[Preço]],AX202+TbTradesBinance[[#This Row],[Qtt]]*TbTradesBinance[[#This Row],[Preço]])),AX202)-IF(TbTradesBinance[[#This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Row],[Tipo]]="DROP"),AX202+TbTradesBinance[[#This Row],[Qtt]],AX202-TbTradesBinance[[#This Row],[Qtt]]),IF(TbTradesBinance[[#This Row],[Tipo]]="BUY",AX202-TbTradesBinance[[#This Row],[Qtt]]*TbTradesBinance[[#This Row],[Preço]],AX202+TbTradesBinance[[#This Row],[Qtt]]*TbTradesBinance[[#This Row],[Preço]])),AX202)-IF(TbTradesBinance[[#This Row],[Moeda da Taxa]]=MID(AX$1,9,5),TbTradesBinance[[#This Row],[Taxa]],0),8)))</f>
        <v>0.32838000000000001</v>
      </c>
      <c r="AY203" s="145" cm="1">
        <f t="array" ref="AY203">IF(TbTradesBinance[[#This Row],[Tipo]]="EMPTY",0,AY202+IF(TbTradesBinance[[#This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Row],[Par]]))),$1:$1,0)),-(AX202-AX203)/AX202*AY202),0),0)+IF(TbTradesBinance[[#This Row],[Tipo]]="SELL",IF(ISNUMBER(FIND(MID(AY$1,10,5),TbTradesBinance[[#This Row],[Par]])),IF(FIND(MID(AY$1,10,5),TbTradesBinance[[#This Row],[Par]])=1, -(AX202-AX203)/AX202*AY202,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Row],[Par]])),(-(AX202-AX203)/AX202*AY202)+IF(TbTradesBinance[[#This Row],[Resultado]]&gt;0,0,TbTradesBinance[[#This Row],[Taxa]]),0),0))</f>
        <v>61.364116058805678</v>
      </c>
      <c r="AZ203" s="145">
        <f t="shared" si="70"/>
        <v>186.869224857804</v>
      </c>
      <c r="BA20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Row],[Tipo]]="DROP"),BA202+TbTradesBinance[[#This Row],[Qtt]],BA202-TbTradesBinance[[#This Row],[Qtt]]),IF(TbTradesBinance[[#This Row],[Tipo]]="BUY",BA202-TbTradesBinance[[#This Row],[Qtt]]*TbTradesBinance[[#This Row],[Preço]],BA202+TbTradesBinance[[#This Row],[Qtt]]*TbTradesBinance[[#This Row],[Preço]])),BA202)-IF(TbTradesBinance[[#This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Row],[Tipo]]="DROP"),BA202+TbTradesBinance[[#This Row],[Qtt]],BA202-TbTradesBinance[[#This Row],[Qtt]]),IF(TbTradesBinance[[#This Row],[Tipo]]="BUY",BA202-TbTradesBinance[[#This Row],[Qtt]]*TbTradesBinance[[#This Row],[Preço]],BA202+TbTradesBinance[[#This Row],[Qtt]]*TbTradesBinance[[#This Row],[Preço]])),BA202)-IF(TbTradesBinance[[#This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Row],[Tipo]]="DROP"),BA202+TbTradesBinance[[#This Row],[Qtt]],BA202-TbTradesBinance[[#This Row],[Qtt]]),IF(TbTradesBinance[[#This Row],[Tipo]]="BUY",BA202-TbTradesBinance[[#This Row],[Qtt]]*TbTradesBinance[[#This Row],[Preço]],BA202+TbTradesBinance[[#This Row],[Qtt]]*TbTradesBinance[[#This Row],[Preço]])),BA202)-IF(TbTradesBinance[[#This Row],[Moeda da Taxa]]=MID(BA$1,9,5),TbTradesBinance[[#This Row],[Taxa]],0),8)))</f>
        <v>0</v>
      </c>
      <c r="BB203" s="145" cm="1">
        <f t="array" ref="BB203">IF(TbTradesBinance[[#This Row],[Tipo]]="EMPTY",0,BB202+IF(TbTradesBinance[[#This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Row],[Par]]))),$1:$1,0)),-(BA202-BA203)/BA202*BB202),0),0)+IF(TbTradesBinance[[#This Row],[Tipo]]="SELL",IF(ISNUMBER(FIND(MID(BB$1,10,5),TbTradesBinance[[#This Row],[Par]])),IF(FIND(MID(BB$1,10,5),TbTradesBinance[[#This Row],[Par]])=1, -(BA202-BA203)/BA202*BB202,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Row],[Par]])),(-(BA202-BA203)/BA202*BB202)+IF(TbTradesBinance[[#This Row],[Resultado]]&gt;0,0,TbTradesBinance[[#This Row],[Taxa]]),0),0))</f>
        <v>0</v>
      </c>
      <c r="BC203" s="145">
        <f t="shared" si="71"/>
        <v>0</v>
      </c>
      <c r="BD20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Row],[Tipo]]="DROP"),BD202+TbTradesBinance[[#This Row],[Qtt]],BD202-TbTradesBinance[[#This Row],[Qtt]]),IF(TbTradesBinance[[#This Row],[Tipo]]="BUY",BD202-TbTradesBinance[[#This Row],[Qtt]]*TbTradesBinance[[#This Row],[Preço]],BD202+TbTradesBinance[[#This Row],[Qtt]]*TbTradesBinance[[#This Row],[Preço]])),BD202)-IF(TbTradesBinance[[#This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Row],[Tipo]]="DROP"),BD202+TbTradesBinance[[#This Row],[Qtt]],BD202-TbTradesBinance[[#This Row],[Qtt]]),IF(TbTradesBinance[[#This Row],[Tipo]]="BUY",BD202-TbTradesBinance[[#This Row],[Qtt]]*TbTradesBinance[[#This Row],[Preço]],BD202+TbTradesBinance[[#This Row],[Qtt]]*TbTradesBinance[[#This Row],[Preço]])),BD202)-IF(TbTradesBinance[[#This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Row],[Tipo]]="DROP"),BD202+TbTradesBinance[[#This Row],[Qtt]],BD202-TbTradesBinance[[#This Row],[Qtt]]),IF(TbTradesBinance[[#This Row],[Tipo]]="BUY",BD202-TbTradesBinance[[#This Row],[Qtt]]*TbTradesBinance[[#This Row],[Preço]],BD202+TbTradesBinance[[#This Row],[Qtt]]*TbTradesBinance[[#This Row],[Preço]])),BD202)-IF(TbTradesBinance[[#This Row],[Moeda da Taxa]]=MID(BD$1,9,5),TbTradesBinance[[#This Row],[Taxa]],0),8)))</f>
        <v>0</v>
      </c>
      <c r="BE203" s="145" cm="1">
        <f t="array" ref="BE203">IF(TbTradesBinance[[#This Row],[Tipo]]="EMPTY",0,BE202+IF(TbTradesBinance[[#This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Row],[Par]]))),$1:$1,0)),-(BD202-BD203)/BD202*BE202),0),0)+IF(TbTradesBinance[[#This Row],[Tipo]]="SELL",IF(ISNUMBER(FIND(MID(BE$1,10,5),TbTradesBinance[[#This Row],[Par]])),IF(FIND(MID(BE$1,10,5),TbTradesBinance[[#This Row],[Par]])=1, -(BD202-BD203)/BD202*BE202,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Row],[Par]])),(-(BD202-BD203)/BD202*BE202)+IF(TbTradesBinance[[#This Row],[Resultado]]&gt;0,0,TbTradesBinance[[#This Row],[Taxa]]),0),0))</f>
        <v>0</v>
      </c>
      <c r="BF203" s="145">
        <f t="shared" si="72"/>
        <v>0</v>
      </c>
      <c r="BG20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Row],[Tipo]]="DROP"),BG202+TbTradesBinance[[#This Row],[Qtt]],BG202-TbTradesBinance[[#This Row],[Qtt]]),IF(TbTradesBinance[[#This Row],[Tipo]]="BUY",BG202-TbTradesBinance[[#This Row],[Qtt]]*TbTradesBinance[[#This Row],[Preço]],BG202+TbTradesBinance[[#This Row],[Qtt]]*TbTradesBinance[[#This Row],[Preço]])),BG202)-IF(TbTradesBinance[[#This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Row],[Tipo]]="DROP"),BG202+TbTradesBinance[[#This Row],[Qtt]],BG202-TbTradesBinance[[#This Row],[Qtt]]),IF(TbTradesBinance[[#This Row],[Tipo]]="BUY",BG202-TbTradesBinance[[#This Row],[Qtt]]*TbTradesBinance[[#This Row],[Preço]],BG202+TbTradesBinance[[#This Row],[Qtt]]*TbTradesBinance[[#This Row],[Preço]])),BG202)-IF(TbTradesBinance[[#This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Row],[Tipo]]="DROP"),BG202+TbTradesBinance[[#This Row],[Qtt]],BG202-TbTradesBinance[[#This Row],[Qtt]]),IF(TbTradesBinance[[#This Row],[Tipo]]="BUY",BG202-TbTradesBinance[[#This Row],[Qtt]]*TbTradesBinance[[#This Row],[Preço]],BG202+TbTradesBinance[[#This Row],[Qtt]]*TbTradesBinance[[#This Row],[Preço]])),BG202)-IF(TbTradesBinance[[#This Row],[Moeda da Taxa]]=MID(BG$1,9,5),TbTradesBinance[[#This Row],[Taxa]],0),8)))</f>
        <v>0</v>
      </c>
      <c r="BH203" s="145" cm="1">
        <f t="array" ref="BH203">IF(TbTradesBinance[[#This Row],[Tipo]]="EMPTY",0,BH202+IF(TbTradesBinance[[#This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Row],[Par]]))),$1:$1,0)),-(BG202-BG203)/BG202*BH202),0),0)+IF(TbTradesBinance[[#This Row],[Tipo]]="SELL",IF(ISNUMBER(FIND(MID(BH$1,10,5),TbTradesBinance[[#This Row],[Par]])),IF(FIND(MID(BH$1,10,5),TbTradesBinance[[#This Row],[Par]])=1, -(BG202-BG203)/BG202*BH202,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Row],[Par]])),(-(BG202-BG203)/BG202*BH202)+IF(TbTradesBinance[[#This Row],[Resultado]]&gt;0,0,TbTradesBinance[[#This Row],[Taxa]]),0),0))</f>
        <v>0</v>
      </c>
      <c r="BI203" s="145">
        <f t="shared" si="73"/>
        <v>0</v>
      </c>
      <c r="BJ20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Row],[Tipo]]="DROP"),BJ202+TbTradesBinance[[#This Row],[Qtt]],BJ202-TbTradesBinance[[#This Row],[Qtt]]),IF(TbTradesBinance[[#This Row],[Tipo]]="BUY",BJ202-TbTradesBinance[[#This Row],[Qtt]]*TbTradesBinance[[#This Row],[Preço]],BJ202+TbTradesBinance[[#This Row],[Qtt]]*TbTradesBinance[[#This Row],[Preço]])),BJ202)-IF(TbTradesBinance[[#This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Row],[Tipo]]="DROP"),BJ202+TbTradesBinance[[#This Row],[Qtt]],BJ202-TbTradesBinance[[#This Row],[Qtt]]),IF(TbTradesBinance[[#This Row],[Tipo]]="BUY",BJ202-TbTradesBinance[[#This Row],[Qtt]]*TbTradesBinance[[#This Row],[Preço]],BJ202+TbTradesBinance[[#This Row],[Qtt]]*TbTradesBinance[[#This Row],[Preço]])),BJ202)-IF(TbTradesBinance[[#This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Row],[Tipo]]="DROP"),BJ202+TbTradesBinance[[#This Row],[Qtt]],BJ202-TbTradesBinance[[#This Row],[Qtt]]),IF(TbTradesBinance[[#This Row],[Tipo]]="BUY",BJ202-TbTradesBinance[[#This Row],[Qtt]]*TbTradesBinance[[#This Row],[Preço]],BJ202+TbTradesBinance[[#This Row],[Qtt]]*TbTradesBinance[[#This Row],[Preço]])),BJ202)-IF(TbTradesBinance[[#This Row],[Moeda da Taxa]]=MID(BJ$1,9,5),TbTradesBinance[[#This Row],[Taxa]],0),8)))</f>
        <v>0</v>
      </c>
      <c r="BK203" s="145" cm="1">
        <f t="array" ref="BK203">IF(TbTradesBinance[[#This Row],[Tipo]]="EMPTY",0,BK202+IF(TbTradesBinance[[#This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Row],[Par]]))),$1:$1,0)),-(BJ202-BJ203)/BJ202*BK202),0),0)+IF(TbTradesBinance[[#This Row],[Tipo]]="SELL",IF(ISNUMBER(FIND(MID(BK$1,10,5),TbTradesBinance[[#This Row],[Par]])),IF(FIND(MID(BK$1,10,5),TbTradesBinance[[#This Row],[Par]])=1, -(BJ202-BJ203)/BJ202*BK202,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Row],[Par]])),(-(BJ202-BJ203)/BJ202*BK202)+IF(TbTradesBinance[[#This Row],[Resultado]]&gt;0,0,TbTradesBinance[[#This Row],[Taxa]]),0),0))</f>
        <v>0</v>
      </c>
      <c r="BL203" s="145">
        <f t="shared" si="74"/>
        <v>0</v>
      </c>
      <c r="BM20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Row],[Tipo]]="DROP"),BM202+TbTradesBinance[[#This Row],[Qtt]],BM202-TbTradesBinance[[#This Row],[Qtt]]),IF(TbTradesBinance[[#This Row],[Tipo]]="BUY",BM202-TbTradesBinance[[#This Row],[Qtt]]*TbTradesBinance[[#This Row],[Preço]],BM202+TbTradesBinance[[#This Row],[Qtt]]*TbTradesBinance[[#This Row],[Preço]])),BM202)-IF(TbTradesBinance[[#This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Row],[Tipo]]="DROP"),BM202+TbTradesBinance[[#This Row],[Qtt]],BM202-TbTradesBinance[[#This Row],[Qtt]]),IF(TbTradesBinance[[#This Row],[Tipo]]="BUY",BM202-TbTradesBinance[[#This Row],[Qtt]]*TbTradesBinance[[#This Row],[Preço]],BM202+TbTradesBinance[[#This Row],[Qtt]]*TbTradesBinance[[#This Row],[Preço]])),BM202)-IF(TbTradesBinance[[#This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Row],[Tipo]]="DROP"),BM202+TbTradesBinance[[#This Row],[Qtt]],BM202-TbTradesBinance[[#This Row],[Qtt]]),IF(TbTradesBinance[[#This Row],[Tipo]]="BUY",BM202-TbTradesBinance[[#This Row],[Qtt]]*TbTradesBinance[[#This Row],[Preço]],BM202+TbTradesBinance[[#This Row],[Qtt]]*TbTradesBinance[[#This Row],[Preço]])),BM202)-IF(TbTradesBinance[[#This Row],[Moeda da Taxa]]=MID(BM$1,9,5),TbTradesBinance[[#This Row],[Taxa]],0),8)))</f>
        <v>0</v>
      </c>
      <c r="BN203" s="145" cm="1">
        <f t="array" ref="BN203">IF(TbTradesBinance[[#This Row],[Tipo]]="EMPTY",0,BN202+IF(TbTradesBinance[[#This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Row],[Par]]))),$1:$1,0)),-(BM202-BM203)/BM202*BN202),0),0)+IF(TbTradesBinance[[#This Row],[Tipo]]="SELL",IF(ISNUMBER(FIND(MID(BN$1,10,5),TbTradesBinance[[#This Row],[Par]])),IF(FIND(MID(BN$1,10,5),TbTradesBinance[[#This Row],[Par]])=1, -(BM202-BM203)/BM202*BN202,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Row],[Par]])),(-(BM202-BM203)/BM202*BN202)+IF(TbTradesBinance[[#This Row],[Resultado]]&gt;0,0,TbTradesBinance[[#This Row],[Taxa]]),0),0))</f>
        <v>0</v>
      </c>
      <c r="BO203" s="145">
        <f t="shared" si="75"/>
        <v>0</v>
      </c>
    </row>
    <row r="204" spans="2:67" x14ac:dyDescent="0.3">
      <c r="B204" s="51"/>
      <c r="C204" s="40">
        <f>TRUNC(IF(AND(TbTradesBinance[[#This Row],[Tipo]]="SEND",TbTradesBinance[[#This Row],[Par]]="BRL"),TbTradesBinance[[#This Row],[Qtt]]*(1-P202)-IF(TbTradesBinance[[#This Row],[Moeda da Taxa]]="BRL",TbTradesBinance[[#This Row],[Taxa]],0),0)+IF(AND(TbTradesBinance[[#This Row],[Tipo]]="BURN",TbTradesBinance[[#This Row],[Par]]="BRL"),-TbTradesBinance[[#This Row],[Qtt]]*P202,0),2)</f>
        <v>0</v>
      </c>
      <c r="D204" s="53">
        <v>44367.424629629626</v>
      </c>
      <c r="E204" s="37" t="s">
        <v>249</v>
      </c>
      <c r="F204" s="47" t="s">
        <v>139</v>
      </c>
      <c r="G204" s="38">
        <v>34169.01</v>
      </c>
      <c r="H204" s="38">
        <v>3.908E-3</v>
      </c>
      <c r="I204" s="38">
        <v>3.9099999999999998E-6</v>
      </c>
      <c r="J204" s="37" t="s">
        <v>6</v>
      </c>
      <c r="K204" s="52">
        <v>5.0229999999999997</v>
      </c>
      <c r="L204" s="40">
        <f t="shared" si="57"/>
        <v>171630.93</v>
      </c>
      <c r="M204" s="40">
        <f>IF(OR(TbTradesBinance[[#This Row],[Tipo]]="BUY",TbTradesBinance[[#This Row],[Tipo]]="RECEIVE",TbTradesBinance[[#This Row],[Tipo]]="DROP"),L204*H204,-L204*H204)</f>
        <v>670.73367443999996</v>
      </c>
      <c r="N20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Row],[Tipo]]="DROP"),N203+TbTradesBinance[[#This Row],[Qtt]],N203-TbTradesBinance[[#This Row],[Qtt]]),IF(TbTradesBinance[[#This Row],[Tipo]]="BUY",N203-TbTradesBinance[[#This Row],[Qtt]]*TbTradesBinance[[#This Row],[Preço]],N203+TbTradesBinance[[#This Row],[Qtt]]*TbTradesBinance[[#This Row],[Preço]])),N203)-IF(TbTradesBinance[[#This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Row],[Tipo]]="DROP"),N203+TbTradesBinance[[#This Row],[Qtt]],N203-TbTradesBinance[[#This Row],[Qtt]]),IF(TbTradesBinance[[#This Row],[Tipo]]="BUY",N203-TbTradesBinance[[#This Row],[Qtt]]*TbTradesBinance[[#This Row],[Preço]],N203+TbTradesBinance[[#This Row],[Qtt]]*TbTradesBinance[[#This Row],[Preço]])),N203)-IF(TbTradesBinance[[#This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Row],[Tipo]]="DROP"),N203+TbTradesBinance[[#This Row],[Qtt]],N203-TbTradesBinance[[#This Row],[Qtt]]),IF(TbTradesBinance[[#This Row],[Tipo]]="BUY",N203-TbTradesBinance[[#This Row],[Qtt]]*TbTradesBinance[[#This Row],[Preço]],N203+TbTradesBinance[[#This Row],[Qtt]]*TbTradesBinance[[#This Row],[Preço]])),N203)-IF(TbTradesBinance[[#This Row],[Moeda da Taxa]]=MID(N$1,9,5),TbTradesBinance[[#This Row],[Taxa]],0),8)))</f>
        <v>120678.39511781</v>
      </c>
      <c r="O204" s="145" cm="1">
        <f t="array" ref="O204">IF(TbTradesBinance[[#This Row],[Tipo]]="EMPTY",0,O203+IF(TbTradesBinance[[#This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Row],[Par]]))),$1:$1,0)),-(N203-N204)/N203*O203),0),0)+IF(TbTradesBinance[[#This Row],[Tipo]]="SELL",IF(ISNUMBER(FIND(MID(O$1,10,5),TbTradesBinance[[#This Row],[Par]])),IF(FIND(MID(O$1,10,5),TbTradesBinance[[#This Row],[Par]])=1, -(N203-N204)/N203*O203,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Row],[Par]])),(-(N203-N204)/N203*O203)+IF(TbTradesBinance[[#This Row],[Resultado]]&gt;0,0,TbTradesBinance[[#This Row],[Taxa]]),0),0))</f>
        <v>121343.08135798256</v>
      </c>
      <c r="P204" s="145">
        <f t="shared" si="58"/>
        <v>1.0055079141508609</v>
      </c>
      <c r="Q20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Row],[Tipo]]="DROP"),Q203+TbTradesBinance[[#This Row],[Qtt]],Q203-TbTradesBinance[[#This Row],[Qtt]]),IF(TbTradesBinance[[#This Row],[Tipo]]="BUY",Q203-TbTradesBinance[[#This Row],[Qtt]]*TbTradesBinance[[#This Row],[Preço]],Q203+TbTradesBinance[[#This Row],[Qtt]]*TbTradesBinance[[#This Row],[Preço]])),Q203)-IF(TbTradesBinance[[#This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Row],[Tipo]]="DROP"),Q203+TbTradesBinance[[#This Row],[Qtt]],Q203-TbTradesBinance[[#This Row],[Qtt]]),IF(TbTradesBinance[[#This Row],[Tipo]]="BUY",Q203-TbTradesBinance[[#This Row],[Qtt]]*TbTradesBinance[[#This Row],[Preço]],Q203+TbTradesBinance[[#This Row],[Qtt]]*TbTradesBinance[[#This Row],[Preço]])),Q203)-IF(TbTradesBinance[[#This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Row],[Tipo]]="DROP"),Q203+TbTradesBinance[[#This Row],[Qtt]],Q203-TbTradesBinance[[#This Row],[Qtt]]),IF(TbTradesBinance[[#This Row],[Tipo]]="BUY",Q203-TbTradesBinance[[#This Row],[Qtt]]*TbTradesBinance[[#This Row],[Preço]],Q203+TbTradesBinance[[#This Row],[Qtt]]*TbTradesBinance[[#This Row],[Preço]])),Q203)-IF(TbTradesBinance[[#This Row],[Moeda da Taxa]]=MID(Q$1,9,5),TbTradesBinance[[#This Row],[Taxa]],0),8)))</f>
        <v>44.562766369999999</v>
      </c>
      <c r="R204" s="145" cm="1">
        <f t="array" ref="R204">IF(TbTradesBinance[[#This Row],[Tipo]]="EMPTY",0,R203+IF(TbTradesBinance[[#This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Row],[Par]]))),$1:$1,0)),-(Q203-Q204)/Q203*R203),0),0)+IF(TbTradesBinance[[#This Row],[Tipo]]="SELL",IF(ISNUMBER(FIND(MID(R$1,10,5),TbTradesBinance[[#This Row],[Par]])),IF(FIND(MID(R$1,10,5),TbTradesBinance[[#This Row],[Par]])=1, -(Q203-Q204)/Q203*R203,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Row],[Par]])),(-(Q203-Q204)/Q203*R203)+IF(TbTradesBinance[[#This Row],[Resultado]]&gt;0,0,TbTradesBinance[[#This Row],[Taxa]]),0),0))</f>
        <v>227.87322046972838</v>
      </c>
      <c r="S204" s="145">
        <f t="shared" si="59"/>
        <v>5.1135339888399391</v>
      </c>
      <c r="T20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Row],[Tipo]]="DROP"),T203+TbTradesBinance[[#This Row],[Qtt]],T203-TbTradesBinance[[#This Row],[Qtt]]),IF(TbTradesBinance[[#This Row],[Tipo]]="BUY",T203-TbTradesBinance[[#This Row],[Qtt]]*TbTradesBinance[[#This Row],[Preço]],T203+TbTradesBinance[[#This Row],[Qtt]]*TbTradesBinance[[#This Row],[Preço]])),T203)-IF(TbTradesBinance[[#This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Row],[Tipo]]="DROP"),T203+TbTradesBinance[[#This Row],[Qtt]],T203-TbTradesBinance[[#This Row],[Qtt]]),IF(TbTradesBinance[[#This Row],[Tipo]]="BUY",T203-TbTradesBinance[[#This Row],[Qtt]]*TbTradesBinance[[#This Row],[Preço]],T203+TbTradesBinance[[#This Row],[Qtt]]*TbTradesBinance[[#This Row],[Preço]])),T203)-IF(TbTradesBinance[[#This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Row],[Tipo]]="DROP"),T203+TbTradesBinance[[#This Row],[Qtt]],T203-TbTradesBinance[[#This Row],[Qtt]]),IF(TbTradesBinance[[#This Row],[Tipo]]="BUY",T203-TbTradesBinance[[#This Row],[Qtt]]*TbTradesBinance[[#This Row],[Preço]],T203+TbTradesBinance[[#This Row],[Qtt]]*TbTradesBinance[[#This Row],[Preço]])),T203)-IF(TbTradesBinance[[#This Row],[Moeda da Taxa]]=MID(T$1,9,5),TbTradesBinance[[#This Row],[Taxa]],0),8)))</f>
        <v>101223913.720009</v>
      </c>
      <c r="U204" s="145" cm="1">
        <f t="array" ref="U204">IF(TbTradesBinance[[#This Row],[Tipo]]="EMPTY",0,U203+IF(TbTradesBinance[[#This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Row],[Par]]))),$1:$1,0)),-(T203-T204)/T203*U203),0),0)+IF(TbTradesBinance[[#This Row],[Tipo]]="SELL",IF(ISNUMBER(FIND(MID(U$1,10,5),TbTradesBinance[[#This Row],[Par]])),IF(FIND(MID(U$1,10,5),TbTradesBinance[[#This Row],[Par]])=1, -(T203-T204)/T203*U203,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Row],[Par]])),(-(T203-T204)/T203*U203)+IF(TbTradesBinance[[#This Row],[Resultado]]&gt;0,0,TbTradesBinance[[#This Row],[Taxa]]),0),0))</f>
        <v>617586601.27364206</v>
      </c>
      <c r="V204" s="145">
        <f t="shared" si="60"/>
        <v>6.1011926784605572</v>
      </c>
      <c r="W20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Row],[Tipo]]="DROP"),W203+TbTradesBinance[[#This Row],[Qtt]],W203-TbTradesBinance[[#This Row],[Qtt]]),IF(TbTradesBinance[[#This Row],[Tipo]]="BUY",W203-TbTradesBinance[[#This Row],[Qtt]]*TbTradesBinance[[#This Row],[Preço]],W203+TbTradesBinance[[#This Row],[Qtt]]*TbTradesBinance[[#This Row],[Preço]])),W203)-IF(TbTradesBinance[[#This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Row],[Tipo]]="DROP"),W203+TbTradesBinance[[#This Row],[Qtt]],W203-TbTradesBinance[[#This Row],[Qtt]]),IF(TbTradesBinance[[#This Row],[Tipo]]="BUY",W203-TbTradesBinance[[#This Row],[Qtt]]*TbTradesBinance[[#This Row],[Preço]],W203+TbTradesBinance[[#This Row],[Qtt]]*TbTradesBinance[[#This Row],[Preço]])),W203)-IF(TbTradesBinance[[#This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Row],[Tipo]]="DROP"),W203+TbTradesBinance[[#This Row],[Qtt]],W203-TbTradesBinance[[#This Row],[Qtt]]),IF(TbTradesBinance[[#This Row],[Tipo]]="BUY",W203-TbTradesBinance[[#This Row],[Qtt]]*TbTradesBinance[[#This Row],[Preço]],W203+TbTradesBinance[[#This Row],[Qtt]]*TbTradesBinance[[#This Row],[Preço]])),W203)-IF(TbTradesBinance[[#This Row],[Moeda da Taxa]]=MID(W$1,9,5),TbTradesBinance[[#This Row],[Taxa]],0),8)))</f>
        <v>8.2238799999999994E-3</v>
      </c>
      <c r="X204" s="145" cm="1">
        <f t="array" ref="X204">IF(TbTradesBinance[[#This Row],[Tipo]]="EMPTY",0,X203+IF(TbTradesBinance[[#This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Row],[Par]]))),$1:$1,0)),-(W203-W204)/W203*X203),0),0)+IF(TbTradesBinance[[#This Row],[Tipo]]="SELL",IF(ISNUMBER(FIND(MID(X$1,10,5),TbTradesBinance[[#This Row],[Par]])),IF(FIND(MID(X$1,10,5),TbTradesBinance[[#This Row],[Par]])=1, -(W203-W204)/W203*X203,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Row],[Par]])),(-(W203-W204)/W203*X203)+IF(TbTradesBinance[[#This Row],[Resultado]]&gt;0,0,TbTradesBinance[[#This Row],[Taxa]]),0),0))</f>
        <v>1459.2665278872728</v>
      </c>
      <c r="Y204" s="145">
        <f t="shared" si="61"/>
        <v>177442.58523802305</v>
      </c>
      <c r="Z20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Row],[Tipo]]="DROP"),Z203+TbTradesBinance[[#This Row],[Qtt]],Z203-TbTradesBinance[[#This Row],[Qtt]]),IF(TbTradesBinance[[#This Row],[Tipo]]="BUY",Z203-TbTradesBinance[[#This Row],[Qtt]]*TbTradesBinance[[#This Row],[Preço]],Z203+TbTradesBinance[[#This Row],[Qtt]]*TbTradesBinance[[#This Row],[Preço]])),Z203)-IF(TbTradesBinance[[#This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Row],[Tipo]]="DROP"),Z203+TbTradesBinance[[#This Row],[Qtt]],Z203-TbTradesBinance[[#This Row],[Qtt]]),IF(TbTradesBinance[[#This Row],[Tipo]]="BUY",Z203-TbTradesBinance[[#This Row],[Qtt]]*TbTradesBinance[[#This Row],[Preço]],Z203+TbTradesBinance[[#This Row],[Qtt]]*TbTradesBinance[[#This Row],[Preço]])),Z203)-IF(TbTradesBinance[[#This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Row],[Tipo]]="DROP"),Z203+TbTradesBinance[[#This Row],[Qtt]],Z203-TbTradesBinance[[#This Row],[Qtt]]),IF(TbTradesBinance[[#This Row],[Tipo]]="BUY",Z203-TbTradesBinance[[#This Row],[Qtt]]*TbTradesBinance[[#This Row],[Preço]],Z203+TbTradesBinance[[#This Row],[Qtt]]*TbTradesBinance[[#This Row],[Preço]])),Z203)-IF(TbTradesBinance[[#This Row],[Moeda da Taxa]]=MID(Z$1,9,5),TbTradesBinance[[#This Row],[Taxa]],0),8)))</f>
        <v>0</v>
      </c>
      <c r="AA204" s="145" cm="1">
        <f t="array" ref="AA204">IF(TbTradesBinance[[#This Row],[Tipo]]="EMPTY",0,AA203+IF(TbTradesBinance[[#This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Row],[Par]]))),$1:$1,0)),-(Z203-Z204)/Z203*AA203),0),0)+IF(TbTradesBinance[[#This Row],[Tipo]]="SELL",IF(ISNUMBER(FIND(MID(AA$1,10,5),TbTradesBinance[[#This Row],[Par]])),IF(FIND(MID(AA$1,10,5),TbTradesBinance[[#This Row],[Par]])=1, -(Z203-Z204)/Z203*AA203,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Row],[Par]])),(-(Z203-Z204)/Z203*AA203)+IF(TbTradesBinance[[#This Row],[Resultado]]&gt;0,0,TbTradesBinance[[#This Row],[Taxa]]),0),0))</f>
        <v>0</v>
      </c>
      <c r="AB204" s="145">
        <f t="shared" si="62"/>
        <v>0</v>
      </c>
      <c r="AC20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Row],[Tipo]]="DROP"),AC203+TbTradesBinance[[#This Row],[Qtt]],AC203-TbTradesBinance[[#This Row],[Qtt]]),IF(TbTradesBinance[[#This Row],[Tipo]]="BUY",AC203-TbTradesBinance[[#This Row],[Qtt]]*TbTradesBinance[[#This Row],[Preço]],AC203+TbTradesBinance[[#This Row],[Qtt]]*TbTradesBinance[[#This Row],[Preço]])),AC203)-IF(TbTradesBinance[[#This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Row],[Tipo]]="DROP"),AC203+TbTradesBinance[[#This Row],[Qtt]],AC203-TbTradesBinance[[#This Row],[Qtt]]),IF(TbTradesBinance[[#This Row],[Tipo]]="BUY",AC203-TbTradesBinance[[#This Row],[Qtt]]*TbTradesBinance[[#This Row],[Preço]],AC203+TbTradesBinance[[#This Row],[Qtt]]*TbTradesBinance[[#This Row],[Preço]])),AC203)-IF(TbTradesBinance[[#This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Row],[Tipo]]="DROP"),AC203+TbTradesBinance[[#This Row],[Qtt]],AC203-TbTradesBinance[[#This Row],[Qtt]]),IF(TbTradesBinance[[#This Row],[Tipo]]="BUY",AC203-TbTradesBinance[[#This Row],[Qtt]]*TbTradesBinance[[#This Row],[Preço]],AC203+TbTradesBinance[[#This Row],[Qtt]]*TbTradesBinance[[#This Row],[Preço]])),AC203)-IF(TbTradesBinance[[#This Row],[Moeda da Taxa]]=MID(AC$1,9,5),TbTradesBinance[[#This Row],[Taxa]],0),8)))</f>
        <v>0</v>
      </c>
      <c r="AD204" s="145" cm="1">
        <f t="array" ref="AD204">IF(TbTradesBinance[[#This Row],[Tipo]]="EMPTY",0,AD203+IF(TbTradesBinance[[#This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Row],[Par]]))),$1:$1,0)),-(AC203-AC204)/AC203*AD203),0),0)+IF(TbTradesBinance[[#This Row],[Tipo]]="SELL",IF(ISNUMBER(FIND(MID(AD$1,10,5),TbTradesBinance[[#This Row],[Par]])),IF(FIND(MID(AD$1,10,5),TbTradesBinance[[#This Row],[Par]])=1, -(AC203-AC204)/AC203*AD203,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Row],[Par]])),(-(AC203-AC204)/AC203*AD203)+IF(TbTradesBinance[[#This Row],[Resultado]]&gt;0,0,TbTradesBinance[[#This Row],[Taxa]]),0),0))</f>
        <v>0</v>
      </c>
      <c r="AE204" s="145">
        <f t="shared" si="63"/>
        <v>0</v>
      </c>
      <c r="AF20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Row],[Tipo]]="DROP"),AF203+TbTradesBinance[[#This Row],[Qtt]],AF203-TbTradesBinance[[#This Row],[Qtt]]),IF(TbTradesBinance[[#This Row],[Tipo]]="BUY",AF203-TbTradesBinance[[#This Row],[Qtt]]*TbTradesBinance[[#This Row],[Preço]],AF203+TbTradesBinance[[#This Row],[Qtt]]*TbTradesBinance[[#This Row],[Preço]])),AF203)-IF(TbTradesBinance[[#This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Row],[Tipo]]="DROP"),AF203+TbTradesBinance[[#This Row],[Qtt]],AF203-TbTradesBinance[[#This Row],[Qtt]]),IF(TbTradesBinance[[#This Row],[Tipo]]="BUY",AF203-TbTradesBinance[[#This Row],[Qtt]]*TbTradesBinance[[#This Row],[Preço]],AF203+TbTradesBinance[[#This Row],[Qtt]]*TbTradesBinance[[#This Row],[Preço]])),AF203)-IF(TbTradesBinance[[#This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Row],[Tipo]]="DROP"),AF203+TbTradesBinance[[#This Row],[Qtt]],AF203-TbTradesBinance[[#This Row],[Qtt]]),IF(TbTradesBinance[[#This Row],[Tipo]]="BUY",AF203-TbTradesBinance[[#This Row],[Qtt]]*TbTradesBinance[[#This Row],[Preço]],AF203+TbTradesBinance[[#This Row],[Qtt]]*TbTradesBinance[[#This Row],[Preço]])),AF203)-IF(TbTradesBinance[[#This Row],[Moeda da Taxa]]=MID(AF$1,9,5),TbTradesBinance[[#This Row],[Taxa]],0),8)))</f>
        <v>0</v>
      </c>
      <c r="AG204" s="145" cm="1">
        <f t="array" ref="AG204">IF(TbTradesBinance[[#This Row],[Tipo]]="EMPTY",0,AG203+IF(TbTradesBinance[[#This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Row],[Par]]))),$1:$1,0)),-(AF203-AF204)/AF203*AG203),0),0)+IF(TbTradesBinance[[#This Row],[Tipo]]="SELL",IF(ISNUMBER(FIND(MID(AG$1,10,5),TbTradesBinance[[#This Row],[Par]])),IF(FIND(MID(AG$1,10,5),TbTradesBinance[[#This Row],[Par]])=1, -(AF203-AF204)/AF203*AG203,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Row],[Par]])),(-(AF203-AF204)/AF203*AG203)+IF(TbTradesBinance[[#This Row],[Resultado]]&gt;0,0,TbTradesBinance[[#This Row],[Taxa]]),0),0))</f>
        <v>0</v>
      </c>
      <c r="AH204" s="145">
        <f t="shared" si="64"/>
        <v>0</v>
      </c>
      <c r="AI20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Row],[Tipo]]="DROP"),AI203+TbTradesBinance[[#This Row],[Qtt]],AI203-TbTradesBinance[[#This Row],[Qtt]]),IF(TbTradesBinance[[#This Row],[Tipo]]="BUY",AI203-TbTradesBinance[[#This Row],[Qtt]]*TbTradesBinance[[#This Row],[Preço]],AI203+TbTradesBinance[[#This Row],[Qtt]]*TbTradesBinance[[#This Row],[Preço]])),AI203)-IF(TbTradesBinance[[#This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Row],[Tipo]]="DROP"),AI203+TbTradesBinance[[#This Row],[Qtt]],AI203-TbTradesBinance[[#This Row],[Qtt]]),IF(TbTradesBinance[[#This Row],[Tipo]]="BUY",AI203-TbTradesBinance[[#This Row],[Qtt]]*TbTradesBinance[[#This Row],[Preço]],AI203+TbTradesBinance[[#This Row],[Qtt]]*TbTradesBinance[[#This Row],[Preço]])),AI203)-IF(TbTradesBinance[[#This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Row],[Tipo]]="DROP"),AI203+TbTradesBinance[[#This Row],[Qtt]],AI203-TbTradesBinance[[#This Row],[Qtt]]),IF(TbTradesBinance[[#This Row],[Tipo]]="BUY",AI203-TbTradesBinance[[#This Row],[Qtt]]*TbTradesBinance[[#This Row],[Preço]],AI203+TbTradesBinance[[#This Row],[Qtt]]*TbTradesBinance[[#This Row],[Preço]])),AI203)-IF(TbTradesBinance[[#This Row],[Moeda da Taxa]]=MID(AI$1,9,5),TbTradesBinance[[#This Row],[Taxa]],0),8)))</f>
        <v>0</v>
      </c>
      <c r="AJ204" s="145" cm="1">
        <f t="array" ref="AJ204">IF(TbTradesBinance[[#This Row],[Tipo]]="EMPTY",0,AJ203+IF(TbTradesBinance[[#This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Row],[Par]]))),$1:$1,0)),-(AI203-AI204)/AI203*AJ203),0),0)+IF(TbTradesBinance[[#This Row],[Tipo]]="SELL",IF(ISNUMBER(FIND(MID(AJ$1,10,5),TbTradesBinance[[#This Row],[Par]])),IF(FIND(MID(AJ$1,10,5),TbTradesBinance[[#This Row],[Par]])=1, -(AI203-AI204)/AI203*AJ203,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Row],[Par]])),(-(AI203-AI204)/AI203*AJ203)+IF(TbTradesBinance[[#This Row],[Resultado]]&gt;0,0,TbTradesBinance[[#This Row],[Taxa]]),0),0))</f>
        <v>0</v>
      </c>
      <c r="AK204" s="145">
        <f t="shared" si="65"/>
        <v>0</v>
      </c>
      <c r="AL20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Row],[Tipo]]="DROP"),AL203+TbTradesBinance[[#This Row],[Qtt]],AL203-TbTradesBinance[[#This Row],[Qtt]]),IF(TbTradesBinance[[#This Row],[Tipo]]="BUY",AL203-TbTradesBinance[[#This Row],[Qtt]]*TbTradesBinance[[#This Row],[Preço]],AL203+TbTradesBinance[[#This Row],[Qtt]]*TbTradesBinance[[#This Row],[Preço]])),AL203)-IF(TbTradesBinance[[#This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Row],[Tipo]]="DROP"),AL203+TbTradesBinance[[#This Row],[Qtt]],AL203-TbTradesBinance[[#This Row],[Qtt]]),IF(TbTradesBinance[[#This Row],[Tipo]]="BUY",AL203-TbTradesBinance[[#This Row],[Qtt]]*TbTradesBinance[[#This Row],[Preço]],AL203+TbTradesBinance[[#This Row],[Qtt]]*TbTradesBinance[[#This Row],[Preço]])),AL203)-IF(TbTradesBinance[[#This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Row],[Tipo]]="DROP"),AL203+TbTradesBinance[[#This Row],[Qtt]],AL203-TbTradesBinance[[#This Row],[Qtt]]),IF(TbTradesBinance[[#This Row],[Tipo]]="BUY",AL203-TbTradesBinance[[#This Row],[Qtt]]*TbTradesBinance[[#This Row],[Preço]],AL203+TbTradesBinance[[#This Row],[Qtt]]*TbTradesBinance[[#This Row],[Preço]])),AL203)-IF(TbTradesBinance[[#This Row],[Moeda da Taxa]]=MID(AL$1,9,5),TbTradesBinance[[#This Row],[Taxa]],0),8)))</f>
        <v>0</v>
      </c>
      <c r="AM204" s="145" cm="1">
        <f t="array" ref="AM204">IF(TbTradesBinance[[#This Row],[Tipo]]="EMPTY",0,AM203+IF(TbTradesBinance[[#This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Row],[Par]]))),$1:$1,0)),-(AL203-AL204)/AL203*AM203),0),0)+IF(TbTradesBinance[[#This Row],[Tipo]]="SELL",IF(ISNUMBER(FIND(MID(AM$1,10,5),TbTradesBinance[[#This Row],[Par]])),IF(FIND(MID(AM$1,10,5),TbTradesBinance[[#This Row],[Par]])=1, -(AL203-AL204)/AL203*AM203,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Row],[Par]])),(-(AL203-AL204)/AL203*AM203)+IF(TbTradesBinance[[#This Row],[Resultado]]&gt;0,0,TbTradesBinance[[#This Row],[Taxa]]),0),0))</f>
        <v>0</v>
      </c>
      <c r="AN204" s="145">
        <f t="shared" si="66"/>
        <v>0</v>
      </c>
      <c r="AO20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Row],[Tipo]]="DROP"),AO203+TbTradesBinance[[#This Row],[Qtt]],AO203-TbTradesBinance[[#This Row],[Qtt]]),IF(TbTradesBinance[[#This Row],[Tipo]]="BUY",AO203-TbTradesBinance[[#This Row],[Qtt]]*TbTradesBinance[[#This Row],[Preço]],AO203+TbTradesBinance[[#This Row],[Qtt]]*TbTradesBinance[[#This Row],[Preço]])),AO203)-IF(TbTradesBinance[[#This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Row],[Tipo]]="DROP"),AO203+TbTradesBinance[[#This Row],[Qtt]],AO203-TbTradesBinance[[#This Row],[Qtt]]),IF(TbTradesBinance[[#This Row],[Tipo]]="BUY",AO203-TbTradesBinance[[#This Row],[Qtt]]*TbTradesBinance[[#This Row],[Preço]],AO203+TbTradesBinance[[#This Row],[Qtt]]*TbTradesBinance[[#This Row],[Preço]])),AO203)-IF(TbTradesBinance[[#This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Row],[Tipo]]="DROP"),AO203+TbTradesBinance[[#This Row],[Qtt]],AO203-TbTradesBinance[[#This Row],[Qtt]]),IF(TbTradesBinance[[#This Row],[Tipo]]="BUY",AO203-TbTradesBinance[[#This Row],[Qtt]]*TbTradesBinance[[#This Row],[Preço]],AO203+TbTradesBinance[[#This Row],[Qtt]]*TbTradesBinance[[#This Row],[Preço]])),AO203)-IF(TbTradesBinance[[#This Row],[Moeda da Taxa]]=MID(AO$1,9,5),TbTradesBinance[[#This Row],[Taxa]],0),8)))</f>
        <v>3.83405E-2</v>
      </c>
      <c r="AP204" s="145" cm="1">
        <f t="array" ref="AP204">IF(TbTradesBinance[[#This Row],[Tipo]]="EMPTY",0,AP203+IF(TbTradesBinance[[#This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Row],[Par]]))),$1:$1,0)),-(AO203-AO204)/AO203*AP203),0),0)+IF(TbTradesBinance[[#This Row],[Tipo]]="SELL",IF(ISNUMBER(FIND(MID(AP$1,10,5),TbTradesBinance[[#This Row],[Par]])),IF(FIND(MID(AP$1,10,5),TbTradesBinance[[#This Row],[Par]])=1, -(AO203-AO204)/AO203*AP203,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Row],[Par]])),(-(AO203-AO204)/AO203*AP203)+IF(TbTradesBinance[[#This Row],[Resultado]]&gt;0,0,TbTradesBinance[[#This Row],[Taxa]]),0),0))</f>
        <v>60.349858055862811</v>
      </c>
      <c r="AQ204" s="145">
        <f t="shared" si="67"/>
        <v>1574.0498443124845</v>
      </c>
      <c r="AR20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Row],[Tipo]]="DROP"),AR203+TbTradesBinance[[#This Row],[Qtt]],AR203-TbTradesBinance[[#This Row],[Qtt]]),IF(TbTradesBinance[[#This Row],[Tipo]]="BUY",AR203-TbTradesBinance[[#This Row],[Qtt]]*TbTradesBinance[[#This Row],[Preço]],AR203+TbTradesBinance[[#This Row],[Qtt]]*TbTradesBinance[[#This Row],[Preço]])),AR203)-IF(TbTradesBinance[[#This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Row],[Tipo]]="DROP"),AR203+TbTradesBinance[[#This Row],[Qtt]],AR203-TbTradesBinance[[#This Row],[Qtt]]),IF(TbTradesBinance[[#This Row],[Tipo]]="BUY",AR203-TbTradesBinance[[#This Row],[Qtt]]*TbTradesBinance[[#This Row],[Preço]],AR203+TbTradesBinance[[#This Row],[Qtt]]*TbTradesBinance[[#This Row],[Preço]])),AR203)-IF(TbTradesBinance[[#This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Row],[Tipo]]="DROP"),AR203+TbTradesBinance[[#This Row],[Qtt]],AR203-TbTradesBinance[[#This Row],[Qtt]]),IF(TbTradesBinance[[#This Row],[Tipo]]="BUY",AR203-TbTradesBinance[[#This Row],[Qtt]]*TbTradesBinance[[#This Row],[Preço]],AR203+TbTradesBinance[[#This Row],[Qtt]]*TbTradesBinance[[#This Row],[Preço]])),AR203)-IF(TbTradesBinance[[#This Row],[Moeda da Taxa]]=MID(AR$1,9,5),TbTradesBinance[[#This Row],[Taxa]],0),8)))</f>
        <v>0</v>
      </c>
      <c r="AS204" s="145" cm="1">
        <f t="array" ref="AS204">IF(TbTradesBinance[[#This Row],[Tipo]]="EMPTY",0,AS203+IF(TbTradesBinance[[#This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Row],[Par]]))),$1:$1,0)),-(AR203-AR204)/AR203*AS203),0),0)+IF(TbTradesBinance[[#This Row],[Tipo]]="SELL",IF(ISNUMBER(FIND(MID(AS$1,10,5),TbTradesBinance[[#This Row],[Par]])),IF(FIND(MID(AS$1,10,5),TbTradesBinance[[#This Row],[Par]])=1, -(AR203-AR204)/AR203*AS203,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Row],[Par]])),(-(AR203-AR204)/AR203*AS203)+IF(TbTradesBinance[[#This Row],[Resultado]]&gt;0,0,TbTradesBinance[[#This Row],[Taxa]]),0),0))</f>
        <v>0</v>
      </c>
      <c r="AT204" s="145">
        <f t="shared" si="68"/>
        <v>0</v>
      </c>
      <c r="AU20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Row],[Tipo]]="DROP"),AU203+TbTradesBinance[[#This Row],[Qtt]],AU203-TbTradesBinance[[#This Row],[Qtt]]),IF(TbTradesBinance[[#This Row],[Tipo]]="BUY",AU203-TbTradesBinance[[#This Row],[Qtt]]*TbTradesBinance[[#This Row],[Preço]],AU203+TbTradesBinance[[#This Row],[Qtt]]*TbTradesBinance[[#This Row],[Preço]])),AU203)-IF(TbTradesBinance[[#This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Row],[Tipo]]="DROP"),AU203+TbTradesBinance[[#This Row],[Qtt]],AU203-TbTradesBinance[[#This Row],[Qtt]]),IF(TbTradesBinance[[#This Row],[Tipo]]="BUY",AU203-TbTradesBinance[[#This Row],[Qtt]]*TbTradesBinance[[#This Row],[Preço]],AU203+TbTradesBinance[[#This Row],[Qtt]]*TbTradesBinance[[#This Row],[Preço]])),AU203)-IF(TbTradesBinance[[#This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Row],[Tipo]]="DROP"),AU203+TbTradesBinance[[#This Row],[Qtt]],AU203-TbTradesBinance[[#This Row],[Qtt]]),IF(TbTradesBinance[[#This Row],[Tipo]]="BUY",AU203-TbTradesBinance[[#This Row],[Qtt]]*TbTradesBinance[[#This Row],[Preço]],AU203+TbTradesBinance[[#This Row],[Qtt]]*TbTradesBinance[[#This Row],[Preço]])),AU203)-IF(TbTradesBinance[[#This Row],[Moeda da Taxa]]=MID(AU$1,9,5),TbTradesBinance[[#This Row],[Taxa]],0),8)))</f>
        <v>0.51</v>
      </c>
      <c r="AV204" s="145" cm="1">
        <f t="array" ref="AV204">IF(TbTradesBinance[[#This Row],[Tipo]]="EMPTY",0,AV203+IF(TbTradesBinance[[#This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Row],[Par]]))),$1:$1,0)),-(AU203-AU204)/AU203*AV203),0),0)+IF(TbTradesBinance[[#This Row],[Tipo]]="SELL",IF(ISNUMBER(FIND(MID(AV$1,10,5),TbTradesBinance[[#This Row],[Par]])),IF(FIND(MID(AV$1,10,5),TbTradesBinance[[#This Row],[Par]])=1, -(AU203-AU204)/AU203*AV203,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Row],[Par]])),(-(AU203-AU204)/AU203*AV203)+IF(TbTradesBinance[[#This Row],[Resultado]]&gt;0,0,TbTradesBinance[[#This Row],[Taxa]]),0),0))</f>
        <v>95.466693037374753</v>
      </c>
      <c r="AW204" s="145">
        <f t="shared" si="69"/>
        <v>187.18959419093088</v>
      </c>
      <c r="AX20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Row],[Tipo]]="DROP"),AX203+TbTradesBinance[[#This Row],[Qtt]],AX203-TbTradesBinance[[#This Row],[Qtt]]),IF(TbTradesBinance[[#This Row],[Tipo]]="BUY",AX203-TbTradesBinance[[#This Row],[Qtt]]*TbTradesBinance[[#This Row],[Preço]],AX203+TbTradesBinance[[#This Row],[Qtt]]*TbTradesBinance[[#This Row],[Preço]])),AX203)-IF(TbTradesBinance[[#This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Row],[Tipo]]="DROP"),AX203+TbTradesBinance[[#This Row],[Qtt]],AX203-TbTradesBinance[[#This Row],[Qtt]]),IF(TbTradesBinance[[#This Row],[Tipo]]="BUY",AX203-TbTradesBinance[[#This Row],[Qtt]]*TbTradesBinance[[#This Row],[Preço]],AX203+TbTradesBinance[[#This Row],[Qtt]]*TbTradesBinance[[#This Row],[Preço]])),AX203)-IF(TbTradesBinance[[#This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Row],[Tipo]]="DROP"),AX203+TbTradesBinance[[#This Row],[Qtt]],AX203-TbTradesBinance[[#This Row],[Qtt]]),IF(TbTradesBinance[[#This Row],[Tipo]]="BUY",AX203-TbTradesBinance[[#This Row],[Qtt]]*TbTradesBinance[[#This Row],[Preço]],AX203+TbTradesBinance[[#This Row],[Qtt]]*TbTradesBinance[[#This Row],[Preço]])),AX203)-IF(TbTradesBinance[[#This Row],[Moeda da Taxa]]=MID(AX$1,9,5),TbTradesBinance[[#This Row],[Taxa]],0),8)))</f>
        <v>0.32838000000000001</v>
      </c>
      <c r="AY204" s="145" cm="1">
        <f t="array" ref="AY204">IF(TbTradesBinance[[#This Row],[Tipo]]="EMPTY",0,AY203+IF(TbTradesBinance[[#This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Row],[Par]]))),$1:$1,0)),-(AX203-AX204)/AX203*AY203),0),0)+IF(TbTradesBinance[[#This Row],[Tipo]]="SELL",IF(ISNUMBER(FIND(MID(AY$1,10,5),TbTradesBinance[[#This Row],[Par]])),IF(FIND(MID(AY$1,10,5),TbTradesBinance[[#This Row],[Par]])=1, -(AX203-AX204)/AX203*AY203,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Row],[Par]])),(-(AX203-AX204)/AX203*AY203)+IF(TbTradesBinance[[#This Row],[Resultado]]&gt;0,0,TbTradesBinance[[#This Row],[Taxa]]),0),0))</f>
        <v>61.364116058805678</v>
      </c>
      <c r="AZ204" s="145">
        <f t="shared" si="70"/>
        <v>186.869224857804</v>
      </c>
      <c r="BA20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Row],[Tipo]]="DROP"),BA203+TbTradesBinance[[#This Row],[Qtt]],BA203-TbTradesBinance[[#This Row],[Qtt]]),IF(TbTradesBinance[[#This Row],[Tipo]]="BUY",BA203-TbTradesBinance[[#This Row],[Qtt]]*TbTradesBinance[[#This Row],[Preço]],BA203+TbTradesBinance[[#This Row],[Qtt]]*TbTradesBinance[[#This Row],[Preço]])),BA203)-IF(TbTradesBinance[[#This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Row],[Tipo]]="DROP"),BA203+TbTradesBinance[[#This Row],[Qtt]],BA203-TbTradesBinance[[#This Row],[Qtt]]),IF(TbTradesBinance[[#This Row],[Tipo]]="BUY",BA203-TbTradesBinance[[#This Row],[Qtt]]*TbTradesBinance[[#This Row],[Preço]],BA203+TbTradesBinance[[#This Row],[Qtt]]*TbTradesBinance[[#This Row],[Preço]])),BA203)-IF(TbTradesBinance[[#This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Row],[Tipo]]="DROP"),BA203+TbTradesBinance[[#This Row],[Qtt]],BA203-TbTradesBinance[[#This Row],[Qtt]]),IF(TbTradesBinance[[#This Row],[Tipo]]="BUY",BA203-TbTradesBinance[[#This Row],[Qtt]]*TbTradesBinance[[#This Row],[Preço]],BA203+TbTradesBinance[[#This Row],[Qtt]]*TbTradesBinance[[#This Row],[Preço]])),BA203)-IF(TbTradesBinance[[#This Row],[Moeda da Taxa]]=MID(BA$1,9,5),TbTradesBinance[[#This Row],[Taxa]],0),8)))</f>
        <v>0</v>
      </c>
      <c r="BB204" s="145" cm="1">
        <f t="array" ref="BB204">IF(TbTradesBinance[[#This Row],[Tipo]]="EMPTY",0,BB203+IF(TbTradesBinance[[#This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Row],[Par]]))),$1:$1,0)),-(BA203-BA204)/BA203*BB203),0),0)+IF(TbTradesBinance[[#This Row],[Tipo]]="SELL",IF(ISNUMBER(FIND(MID(BB$1,10,5),TbTradesBinance[[#This Row],[Par]])),IF(FIND(MID(BB$1,10,5),TbTradesBinance[[#This Row],[Par]])=1, -(BA203-BA204)/BA203*BB203,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Row],[Par]])),(-(BA203-BA204)/BA203*BB203)+IF(TbTradesBinance[[#This Row],[Resultado]]&gt;0,0,TbTradesBinance[[#This Row],[Taxa]]),0),0))</f>
        <v>0</v>
      </c>
      <c r="BC204" s="145">
        <f t="shared" si="71"/>
        <v>0</v>
      </c>
      <c r="BD20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Row],[Tipo]]="DROP"),BD203+TbTradesBinance[[#This Row],[Qtt]],BD203-TbTradesBinance[[#This Row],[Qtt]]),IF(TbTradesBinance[[#This Row],[Tipo]]="BUY",BD203-TbTradesBinance[[#This Row],[Qtt]]*TbTradesBinance[[#This Row],[Preço]],BD203+TbTradesBinance[[#This Row],[Qtt]]*TbTradesBinance[[#This Row],[Preço]])),BD203)-IF(TbTradesBinance[[#This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Row],[Tipo]]="DROP"),BD203+TbTradesBinance[[#This Row],[Qtt]],BD203-TbTradesBinance[[#This Row],[Qtt]]),IF(TbTradesBinance[[#This Row],[Tipo]]="BUY",BD203-TbTradesBinance[[#This Row],[Qtt]]*TbTradesBinance[[#This Row],[Preço]],BD203+TbTradesBinance[[#This Row],[Qtt]]*TbTradesBinance[[#This Row],[Preço]])),BD203)-IF(TbTradesBinance[[#This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Row],[Tipo]]="DROP"),BD203+TbTradesBinance[[#This Row],[Qtt]],BD203-TbTradesBinance[[#This Row],[Qtt]]),IF(TbTradesBinance[[#This Row],[Tipo]]="BUY",BD203-TbTradesBinance[[#This Row],[Qtt]]*TbTradesBinance[[#This Row],[Preço]],BD203+TbTradesBinance[[#This Row],[Qtt]]*TbTradesBinance[[#This Row],[Preço]])),BD203)-IF(TbTradesBinance[[#This Row],[Moeda da Taxa]]=MID(BD$1,9,5),TbTradesBinance[[#This Row],[Taxa]],0),8)))</f>
        <v>0</v>
      </c>
      <c r="BE204" s="145" cm="1">
        <f t="array" ref="BE204">IF(TbTradesBinance[[#This Row],[Tipo]]="EMPTY",0,BE203+IF(TbTradesBinance[[#This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Row],[Par]]))),$1:$1,0)),-(BD203-BD204)/BD203*BE203),0),0)+IF(TbTradesBinance[[#This Row],[Tipo]]="SELL",IF(ISNUMBER(FIND(MID(BE$1,10,5),TbTradesBinance[[#This Row],[Par]])),IF(FIND(MID(BE$1,10,5),TbTradesBinance[[#This Row],[Par]])=1, -(BD203-BD204)/BD203*BE203,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Row],[Par]])),(-(BD203-BD204)/BD203*BE203)+IF(TbTradesBinance[[#This Row],[Resultado]]&gt;0,0,TbTradesBinance[[#This Row],[Taxa]]),0),0))</f>
        <v>0</v>
      </c>
      <c r="BF204" s="145">
        <f t="shared" si="72"/>
        <v>0</v>
      </c>
      <c r="BG20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Row],[Tipo]]="DROP"),BG203+TbTradesBinance[[#This Row],[Qtt]],BG203-TbTradesBinance[[#This Row],[Qtt]]),IF(TbTradesBinance[[#This Row],[Tipo]]="BUY",BG203-TbTradesBinance[[#This Row],[Qtt]]*TbTradesBinance[[#This Row],[Preço]],BG203+TbTradesBinance[[#This Row],[Qtt]]*TbTradesBinance[[#This Row],[Preço]])),BG203)-IF(TbTradesBinance[[#This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Row],[Tipo]]="DROP"),BG203+TbTradesBinance[[#This Row],[Qtt]],BG203-TbTradesBinance[[#This Row],[Qtt]]),IF(TbTradesBinance[[#This Row],[Tipo]]="BUY",BG203-TbTradesBinance[[#This Row],[Qtt]]*TbTradesBinance[[#This Row],[Preço]],BG203+TbTradesBinance[[#This Row],[Qtt]]*TbTradesBinance[[#This Row],[Preço]])),BG203)-IF(TbTradesBinance[[#This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Row],[Tipo]]="DROP"),BG203+TbTradesBinance[[#This Row],[Qtt]],BG203-TbTradesBinance[[#This Row],[Qtt]]),IF(TbTradesBinance[[#This Row],[Tipo]]="BUY",BG203-TbTradesBinance[[#This Row],[Qtt]]*TbTradesBinance[[#This Row],[Preço]],BG203+TbTradesBinance[[#This Row],[Qtt]]*TbTradesBinance[[#This Row],[Preço]])),BG203)-IF(TbTradesBinance[[#This Row],[Moeda da Taxa]]=MID(BG$1,9,5),TbTradesBinance[[#This Row],[Taxa]],0),8)))</f>
        <v>0</v>
      </c>
      <c r="BH204" s="145" cm="1">
        <f t="array" ref="BH204">IF(TbTradesBinance[[#This Row],[Tipo]]="EMPTY",0,BH203+IF(TbTradesBinance[[#This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Row],[Par]]))),$1:$1,0)),-(BG203-BG204)/BG203*BH203),0),0)+IF(TbTradesBinance[[#This Row],[Tipo]]="SELL",IF(ISNUMBER(FIND(MID(BH$1,10,5),TbTradesBinance[[#This Row],[Par]])),IF(FIND(MID(BH$1,10,5),TbTradesBinance[[#This Row],[Par]])=1, -(BG203-BG204)/BG203*BH203,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Row],[Par]])),(-(BG203-BG204)/BG203*BH203)+IF(TbTradesBinance[[#This Row],[Resultado]]&gt;0,0,TbTradesBinance[[#This Row],[Taxa]]),0),0))</f>
        <v>0</v>
      </c>
      <c r="BI204" s="145">
        <f t="shared" si="73"/>
        <v>0</v>
      </c>
      <c r="BJ20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Row],[Tipo]]="DROP"),BJ203+TbTradesBinance[[#This Row],[Qtt]],BJ203-TbTradesBinance[[#This Row],[Qtt]]),IF(TbTradesBinance[[#This Row],[Tipo]]="BUY",BJ203-TbTradesBinance[[#This Row],[Qtt]]*TbTradesBinance[[#This Row],[Preço]],BJ203+TbTradesBinance[[#This Row],[Qtt]]*TbTradesBinance[[#This Row],[Preço]])),BJ203)-IF(TbTradesBinance[[#This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Row],[Tipo]]="DROP"),BJ203+TbTradesBinance[[#This Row],[Qtt]],BJ203-TbTradesBinance[[#This Row],[Qtt]]),IF(TbTradesBinance[[#This Row],[Tipo]]="BUY",BJ203-TbTradesBinance[[#This Row],[Qtt]]*TbTradesBinance[[#This Row],[Preço]],BJ203+TbTradesBinance[[#This Row],[Qtt]]*TbTradesBinance[[#This Row],[Preço]])),BJ203)-IF(TbTradesBinance[[#This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Row],[Tipo]]="DROP"),BJ203+TbTradesBinance[[#This Row],[Qtt]],BJ203-TbTradesBinance[[#This Row],[Qtt]]),IF(TbTradesBinance[[#This Row],[Tipo]]="BUY",BJ203-TbTradesBinance[[#This Row],[Qtt]]*TbTradesBinance[[#This Row],[Preço]],BJ203+TbTradesBinance[[#This Row],[Qtt]]*TbTradesBinance[[#This Row],[Preço]])),BJ203)-IF(TbTradesBinance[[#This Row],[Moeda da Taxa]]=MID(BJ$1,9,5),TbTradesBinance[[#This Row],[Taxa]],0),8)))</f>
        <v>0</v>
      </c>
      <c r="BK204" s="145" cm="1">
        <f t="array" ref="BK204">IF(TbTradesBinance[[#This Row],[Tipo]]="EMPTY",0,BK203+IF(TbTradesBinance[[#This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Row],[Par]]))),$1:$1,0)),-(BJ203-BJ204)/BJ203*BK203),0),0)+IF(TbTradesBinance[[#This Row],[Tipo]]="SELL",IF(ISNUMBER(FIND(MID(BK$1,10,5),TbTradesBinance[[#This Row],[Par]])),IF(FIND(MID(BK$1,10,5),TbTradesBinance[[#This Row],[Par]])=1, -(BJ203-BJ204)/BJ203*BK203,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Row],[Par]])),(-(BJ203-BJ204)/BJ203*BK203)+IF(TbTradesBinance[[#This Row],[Resultado]]&gt;0,0,TbTradesBinance[[#This Row],[Taxa]]),0),0))</f>
        <v>0</v>
      </c>
      <c r="BL204" s="145">
        <f t="shared" si="74"/>
        <v>0</v>
      </c>
      <c r="BM20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Row],[Tipo]]="DROP"),BM203+TbTradesBinance[[#This Row],[Qtt]],BM203-TbTradesBinance[[#This Row],[Qtt]]),IF(TbTradesBinance[[#This Row],[Tipo]]="BUY",BM203-TbTradesBinance[[#This Row],[Qtt]]*TbTradesBinance[[#This Row],[Preço]],BM203+TbTradesBinance[[#This Row],[Qtt]]*TbTradesBinance[[#This Row],[Preço]])),BM203)-IF(TbTradesBinance[[#This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Row],[Tipo]]="DROP"),BM203+TbTradesBinance[[#This Row],[Qtt]],BM203-TbTradesBinance[[#This Row],[Qtt]]),IF(TbTradesBinance[[#This Row],[Tipo]]="BUY",BM203-TbTradesBinance[[#This Row],[Qtt]]*TbTradesBinance[[#This Row],[Preço]],BM203+TbTradesBinance[[#This Row],[Qtt]]*TbTradesBinance[[#This Row],[Preço]])),BM203)-IF(TbTradesBinance[[#This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Row],[Tipo]]="DROP"),BM203+TbTradesBinance[[#This Row],[Qtt]],BM203-TbTradesBinance[[#This Row],[Qtt]]),IF(TbTradesBinance[[#This Row],[Tipo]]="BUY",BM203-TbTradesBinance[[#This Row],[Qtt]]*TbTradesBinance[[#This Row],[Preço]],BM203+TbTradesBinance[[#This Row],[Qtt]]*TbTradesBinance[[#This Row],[Preço]])),BM203)-IF(TbTradesBinance[[#This Row],[Moeda da Taxa]]=MID(BM$1,9,5),TbTradesBinance[[#This Row],[Taxa]],0),8)))</f>
        <v>0</v>
      </c>
      <c r="BN204" s="145" cm="1">
        <f t="array" ref="BN204">IF(TbTradesBinance[[#This Row],[Tipo]]="EMPTY",0,BN203+IF(TbTradesBinance[[#This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Row],[Par]]))),$1:$1,0)),-(BM203-BM204)/BM203*BN203),0),0)+IF(TbTradesBinance[[#This Row],[Tipo]]="SELL",IF(ISNUMBER(FIND(MID(BN$1,10,5),TbTradesBinance[[#This Row],[Par]])),IF(FIND(MID(BN$1,10,5),TbTradesBinance[[#This Row],[Par]])=1, -(BM203-BM204)/BM203*BN203,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Row],[Par]])),(-(BM203-BM204)/BM203*BN203)+IF(TbTradesBinance[[#This Row],[Resultado]]&gt;0,0,TbTradesBinance[[#This Row],[Taxa]]),0),0))</f>
        <v>0</v>
      </c>
      <c r="BO204" s="145">
        <f t="shared" si="75"/>
        <v>0</v>
      </c>
    </row>
    <row r="205" spans="2:67" x14ac:dyDescent="0.3">
      <c r="B205" s="51"/>
      <c r="C205" s="40">
        <f>TRUNC(IF(AND(TbTradesBinance[[#This Row],[Tipo]]="SEND",TbTradesBinance[[#This Row],[Par]]="BRL"),TbTradesBinance[[#This Row],[Qtt]]*(1-P203)-IF(TbTradesBinance[[#This Row],[Moeda da Taxa]]="BRL",TbTradesBinance[[#This Row],[Taxa]],0),0)+IF(AND(TbTradesBinance[[#This Row],[Tipo]]="BURN",TbTradesBinance[[#This Row],[Par]]="BRL"),-TbTradesBinance[[#This Row],[Qtt]]*P203,0),2)</f>
        <v>0</v>
      </c>
      <c r="D205" s="53">
        <v>44369.510393518518</v>
      </c>
      <c r="E205" s="37" t="s">
        <v>249</v>
      </c>
      <c r="F205" s="47" t="s">
        <v>140</v>
      </c>
      <c r="G205" s="38">
        <v>30210</v>
      </c>
      <c r="H205" s="38">
        <v>3.6600000000000001E-4</v>
      </c>
      <c r="I205" s="38">
        <v>1.105686E-2</v>
      </c>
      <c r="J205" s="37" t="s">
        <v>42</v>
      </c>
      <c r="K205" s="52">
        <v>4.9660000000000002</v>
      </c>
      <c r="L205" s="40">
        <f t="shared" si="57"/>
        <v>150022.85999999999</v>
      </c>
      <c r="M205" s="40">
        <f>IF(OR(TbTradesBinance[[#This Row],[Tipo]]="BUY",TbTradesBinance[[#This Row],[Tipo]]="RECEIVE",TbTradesBinance[[#This Row],[Tipo]]="DROP"),L205*H205,-L205*H205)</f>
        <v>-54.908366759999993</v>
      </c>
      <c r="N20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Row],[Tipo]]="DROP"),N204+TbTradesBinance[[#This Row],[Qtt]],N204-TbTradesBinance[[#This Row],[Qtt]]),IF(TbTradesBinance[[#This Row],[Tipo]]="BUY",N204-TbTradesBinance[[#This Row],[Qtt]]*TbTradesBinance[[#This Row],[Preço]],N204+TbTradesBinance[[#This Row],[Qtt]]*TbTradesBinance[[#This Row],[Preço]])),N204)-IF(TbTradesBinance[[#This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Row],[Tipo]]="DROP"),N204+TbTradesBinance[[#This Row],[Qtt]],N204-TbTradesBinance[[#This Row],[Qtt]]),IF(TbTradesBinance[[#This Row],[Tipo]]="BUY",N204-TbTradesBinance[[#This Row],[Qtt]]*TbTradesBinance[[#This Row],[Preço]],N204+TbTradesBinance[[#This Row],[Qtt]]*TbTradesBinance[[#This Row],[Preço]])),N204)-IF(TbTradesBinance[[#This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Row],[Tipo]]="DROP"),N204+TbTradesBinance[[#This Row],[Qtt]],N204-TbTradesBinance[[#This Row],[Qtt]]),IF(TbTradesBinance[[#This Row],[Tipo]]="BUY",N204-TbTradesBinance[[#This Row],[Qtt]]*TbTradesBinance[[#This Row],[Preço]],N204+TbTradesBinance[[#This Row],[Qtt]]*TbTradesBinance[[#This Row],[Preço]])),N204)-IF(TbTradesBinance[[#This Row],[Moeda da Taxa]]=MID(N$1,9,5),TbTradesBinance[[#This Row],[Taxa]],0),8)))</f>
        <v>120678.39511781</v>
      </c>
      <c r="O205" s="145" cm="1">
        <f t="array" ref="O205">IF(TbTradesBinance[[#This Row],[Tipo]]="EMPTY",0,O204+IF(TbTradesBinance[[#This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Row],[Par]]))),$1:$1,0)),-(N204-N205)/N204*O204),0),0)+IF(TbTradesBinance[[#This Row],[Tipo]]="SELL",IF(ISNUMBER(FIND(MID(O$1,10,5),TbTradesBinance[[#This Row],[Par]])),IF(FIND(MID(O$1,10,5),TbTradesBinance[[#This Row],[Par]])=1, -(N204-N205)/N204*O204,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Row],[Par]])),(-(N204-N205)/N204*O204)+IF(TbTradesBinance[[#This Row],[Resultado]]&gt;0,0,TbTradesBinance[[#This Row],[Taxa]]),0),0))</f>
        <v>121343.08135798256</v>
      </c>
      <c r="P205" s="145">
        <f t="shared" si="58"/>
        <v>1.0055079141508609</v>
      </c>
      <c r="Q20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Row],[Tipo]]="DROP"),Q204+TbTradesBinance[[#This Row],[Qtt]],Q204-TbTradesBinance[[#This Row],[Qtt]]),IF(TbTradesBinance[[#This Row],[Tipo]]="BUY",Q204-TbTradesBinance[[#This Row],[Qtt]]*TbTradesBinance[[#This Row],[Preço]],Q204+TbTradesBinance[[#This Row],[Qtt]]*TbTradesBinance[[#This Row],[Preço]])),Q204)-IF(TbTradesBinance[[#This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Row],[Tipo]]="DROP"),Q204+TbTradesBinance[[#This Row],[Qtt]],Q204-TbTradesBinance[[#This Row],[Qtt]]),IF(TbTradesBinance[[#This Row],[Tipo]]="BUY",Q204-TbTradesBinance[[#This Row],[Qtt]]*TbTradesBinance[[#This Row],[Preço]],Q204+TbTradesBinance[[#This Row],[Qtt]]*TbTradesBinance[[#This Row],[Preço]])),Q204)-IF(TbTradesBinance[[#This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Row],[Tipo]]="DROP"),Q204+TbTradesBinance[[#This Row],[Qtt]],Q204-TbTradesBinance[[#This Row],[Qtt]]),IF(TbTradesBinance[[#This Row],[Tipo]]="BUY",Q204-TbTradesBinance[[#This Row],[Qtt]]*TbTradesBinance[[#This Row],[Preço]],Q204+TbTradesBinance[[#This Row],[Qtt]]*TbTradesBinance[[#This Row],[Preço]])),Q204)-IF(TbTradesBinance[[#This Row],[Moeda da Taxa]]=MID(Q$1,9,5),TbTradesBinance[[#This Row],[Taxa]],0),8)))</f>
        <v>55.608569510000002</v>
      </c>
      <c r="R205" s="145" cm="1">
        <f t="array" ref="R205">IF(TbTradesBinance[[#This Row],[Tipo]]="EMPTY",0,R204+IF(TbTradesBinance[[#This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Row],[Par]]))),$1:$1,0)),-(Q204-Q205)/Q204*R204),0),0)+IF(TbTradesBinance[[#This Row],[Tipo]]="SELL",IF(ISNUMBER(FIND(MID(R$1,10,5),TbTradesBinance[[#This Row],[Par]])),IF(FIND(MID(R$1,10,5),TbTradesBinance[[#This Row],[Par]])=1, -(Q204-Q205)/Q204*R204,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Row],[Par]])),(-(Q204-Q205)/Q204*R204)+IF(TbTradesBinance[[#This Row],[Resultado]]&gt;0,0,TbTradesBinance[[#This Row],[Taxa]]),0),0))</f>
        <v>292.81720666684481</v>
      </c>
      <c r="S205" s="145">
        <f t="shared" si="59"/>
        <v>5.2656849339414844</v>
      </c>
      <c r="T20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Row],[Tipo]]="DROP"),T204+TbTradesBinance[[#This Row],[Qtt]],T204-TbTradesBinance[[#This Row],[Qtt]]),IF(TbTradesBinance[[#This Row],[Tipo]]="BUY",T204-TbTradesBinance[[#This Row],[Qtt]]*TbTradesBinance[[#This Row],[Preço]],T204+TbTradesBinance[[#This Row],[Qtt]]*TbTradesBinance[[#This Row],[Preço]])),T204)-IF(TbTradesBinance[[#This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Row],[Tipo]]="DROP"),T204+TbTradesBinance[[#This Row],[Qtt]],T204-TbTradesBinance[[#This Row],[Qtt]]),IF(TbTradesBinance[[#This Row],[Tipo]]="BUY",T204-TbTradesBinance[[#This Row],[Qtt]]*TbTradesBinance[[#This Row],[Preço]],T204+TbTradesBinance[[#This Row],[Qtt]]*TbTradesBinance[[#This Row],[Preço]])),T204)-IF(TbTradesBinance[[#This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Row],[Tipo]]="DROP"),T204+TbTradesBinance[[#This Row],[Qtt]],T204-TbTradesBinance[[#This Row],[Qtt]]),IF(TbTradesBinance[[#This Row],[Tipo]]="BUY",T204-TbTradesBinance[[#This Row],[Qtt]]*TbTradesBinance[[#This Row],[Preço]],T204+TbTradesBinance[[#This Row],[Qtt]]*TbTradesBinance[[#This Row],[Preço]])),T204)-IF(TbTradesBinance[[#This Row],[Moeda da Taxa]]=MID(T$1,9,5),TbTradesBinance[[#This Row],[Taxa]],0),8)))</f>
        <v>101223913.720009</v>
      </c>
      <c r="U205" s="145" cm="1">
        <f t="array" ref="U205">IF(TbTradesBinance[[#This Row],[Tipo]]="EMPTY",0,U204+IF(TbTradesBinance[[#This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Row],[Par]]))),$1:$1,0)),-(T204-T205)/T204*U204),0),0)+IF(TbTradesBinance[[#This Row],[Tipo]]="SELL",IF(ISNUMBER(FIND(MID(U$1,10,5),TbTradesBinance[[#This Row],[Par]])),IF(FIND(MID(U$1,10,5),TbTradesBinance[[#This Row],[Par]])=1, -(T204-T205)/T204*U204,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Row],[Par]])),(-(T204-T205)/T204*U204)+IF(TbTradesBinance[[#This Row],[Resultado]]&gt;0,0,TbTradesBinance[[#This Row],[Taxa]]),0),0))</f>
        <v>617586601.27364206</v>
      </c>
      <c r="V205" s="145">
        <f t="shared" si="60"/>
        <v>6.1011926784605572</v>
      </c>
      <c r="W20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Row],[Tipo]]="DROP"),W204+TbTradesBinance[[#This Row],[Qtt]],W204-TbTradesBinance[[#This Row],[Qtt]]),IF(TbTradesBinance[[#This Row],[Tipo]]="BUY",W204-TbTradesBinance[[#This Row],[Qtt]]*TbTradesBinance[[#This Row],[Preço]],W204+TbTradesBinance[[#This Row],[Qtt]]*TbTradesBinance[[#This Row],[Preço]])),W204)-IF(TbTradesBinance[[#This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Row],[Tipo]]="DROP"),W204+TbTradesBinance[[#This Row],[Qtt]],W204-TbTradesBinance[[#This Row],[Qtt]]),IF(TbTradesBinance[[#This Row],[Tipo]]="BUY",W204-TbTradesBinance[[#This Row],[Qtt]]*TbTradesBinance[[#This Row],[Preço]],W204+TbTradesBinance[[#This Row],[Qtt]]*TbTradesBinance[[#This Row],[Preço]])),W204)-IF(TbTradesBinance[[#This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Row],[Tipo]]="DROP"),W204+TbTradesBinance[[#This Row],[Qtt]],W204-TbTradesBinance[[#This Row],[Qtt]]),IF(TbTradesBinance[[#This Row],[Tipo]]="BUY",W204-TbTradesBinance[[#This Row],[Qtt]]*TbTradesBinance[[#This Row],[Preço]],W204+TbTradesBinance[[#This Row],[Qtt]]*TbTradesBinance[[#This Row],[Preço]])),W204)-IF(TbTradesBinance[[#This Row],[Moeda da Taxa]]=MID(W$1,9,5),TbTradesBinance[[#This Row],[Taxa]],0),8)))</f>
        <v>7.8578799999999994E-3</v>
      </c>
      <c r="X205" s="145" cm="1">
        <f t="array" ref="X205">IF(TbTradesBinance[[#This Row],[Tipo]]="EMPTY",0,X204+IF(TbTradesBinance[[#This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Row],[Par]]))),$1:$1,0)),-(W204-W205)/W204*X204),0),0)+IF(TbTradesBinance[[#This Row],[Tipo]]="SELL",IF(ISNUMBER(FIND(MID(X$1,10,5),TbTradesBinance[[#This Row],[Par]])),IF(FIND(MID(X$1,10,5),TbTradesBinance[[#This Row],[Par]])=1, -(W204-W205)/W204*X204,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Row],[Par]])),(-(W204-W205)/W204*X204)+IF(TbTradesBinance[[#This Row],[Resultado]]&gt;0,0,TbTradesBinance[[#This Row],[Taxa]]),0),0))</f>
        <v>1394.3225416901564</v>
      </c>
      <c r="Y205" s="145">
        <f t="shared" si="61"/>
        <v>177442.58523802305</v>
      </c>
      <c r="Z20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Row],[Tipo]]="DROP"),Z204+TbTradesBinance[[#This Row],[Qtt]],Z204-TbTradesBinance[[#This Row],[Qtt]]),IF(TbTradesBinance[[#This Row],[Tipo]]="BUY",Z204-TbTradesBinance[[#This Row],[Qtt]]*TbTradesBinance[[#This Row],[Preço]],Z204+TbTradesBinance[[#This Row],[Qtt]]*TbTradesBinance[[#This Row],[Preço]])),Z204)-IF(TbTradesBinance[[#This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Row],[Tipo]]="DROP"),Z204+TbTradesBinance[[#This Row],[Qtt]],Z204-TbTradesBinance[[#This Row],[Qtt]]),IF(TbTradesBinance[[#This Row],[Tipo]]="BUY",Z204-TbTradesBinance[[#This Row],[Qtt]]*TbTradesBinance[[#This Row],[Preço]],Z204+TbTradesBinance[[#This Row],[Qtt]]*TbTradesBinance[[#This Row],[Preço]])),Z204)-IF(TbTradesBinance[[#This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Row],[Tipo]]="DROP"),Z204+TbTradesBinance[[#This Row],[Qtt]],Z204-TbTradesBinance[[#This Row],[Qtt]]),IF(TbTradesBinance[[#This Row],[Tipo]]="BUY",Z204-TbTradesBinance[[#This Row],[Qtt]]*TbTradesBinance[[#This Row],[Preço]],Z204+TbTradesBinance[[#This Row],[Qtt]]*TbTradesBinance[[#This Row],[Preço]])),Z204)-IF(TbTradesBinance[[#This Row],[Moeda da Taxa]]=MID(Z$1,9,5),TbTradesBinance[[#This Row],[Taxa]],0),8)))</f>
        <v>0</v>
      </c>
      <c r="AA205" s="145" cm="1">
        <f t="array" ref="AA205">IF(TbTradesBinance[[#This Row],[Tipo]]="EMPTY",0,AA204+IF(TbTradesBinance[[#This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Row],[Par]]))),$1:$1,0)),-(Z204-Z205)/Z204*AA204),0),0)+IF(TbTradesBinance[[#This Row],[Tipo]]="SELL",IF(ISNUMBER(FIND(MID(AA$1,10,5),TbTradesBinance[[#This Row],[Par]])),IF(FIND(MID(AA$1,10,5),TbTradesBinance[[#This Row],[Par]])=1, -(Z204-Z205)/Z204*AA204,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Row],[Par]])),(-(Z204-Z205)/Z204*AA204)+IF(TbTradesBinance[[#This Row],[Resultado]]&gt;0,0,TbTradesBinance[[#This Row],[Taxa]]),0),0))</f>
        <v>0</v>
      </c>
      <c r="AB205" s="145">
        <f t="shared" si="62"/>
        <v>0</v>
      </c>
      <c r="AC20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Row],[Tipo]]="DROP"),AC204+TbTradesBinance[[#This Row],[Qtt]],AC204-TbTradesBinance[[#This Row],[Qtt]]),IF(TbTradesBinance[[#This Row],[Tipo]]="BUY",AC204-TbTradesBinance[[#This Row],[Qtt]]*TbTradesBinance[[#This Row],[Preço]],AC204+TbTradesBinance[[#This Row],[Qtt]]*TbTradesBinance[[#This Row],[Preço]])),AC204)-IF(TbTradesBinance[[#This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Row],[Tipo]]="DROP"),AC204+TbTradesBinance[[#This Row],[Qtt]],AC204-TbTradesBinance[[#This Row],[Qtt]]),IF(TbTradesBinance[[#This Row],[Tipo]]="BUY",AC204-TbTradesBinance[[#This Row],[Qtt]]*TbTradesBinance[[#This Row],[Preço]],AC204+TbTradesBinance[[#This Row],[Qtt]]*TbTradesBinance[[#This Row],[Preço]])),AC204)-IF(TbTradesBinance[[#This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Row],[Tipo]]="DROP"),AC204+TbTradesBinance[[#This Row],[Qtt]],AC204-TbTradesBinance[[#This Row],[Qtt]]),IF(TbTradesBinance[[#This Row],[Tipo]]="BUY",AC204-TbTradesBinance[[#This Row],[Qtt]]*TbTradesBinance[[#This Row],[Preço]],AC204+TbTradesBinance[[#This Row],[Qtt]]*TbTradesBinance[[#This Row],[Preço]])),AC204)-IF(TbTradesBinance[[#This Row],[Moeda da Taxa]]=MID(AC$1,9,5),TbTradesBinance[[#This Row],[Taxa]],0),8)))</f>
        <v>0</v>
      </c>
      <c r="AD205" s="145" cm="1">
        <f t="array" ref="AD205">IF(TbTradesBinance[[#This Row],[Tipo]]="EMPTY",0,AD204+IF(TbTradesBinance[[#This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Row],[Par]]))),$1:$1,0)),-(AC204-AC205)/AC204*AD204),0),0)+IF(TbTradesBinance[[#This Row],[Tipo]]="SELL",IF(ISNUMBER(FIND(MID(AD$1,10,5),TbTradesBinance[[#This Row],[Par]])),IF(FIND(MID(AD$1,10,5),TbTradesBinance[[#This Row],[Par]])=1, -(AC204-AC205)/AC204*AD204,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Row],[Par]])),(-(AC204-AC205)/AC204*AD204)+IF(TbTradesBinance[[#This Row],[Resultado]]&gt;0,0,TbTradesBinance[[#This Row],[Taxa]]),0),0))</f>
        <v>0</v>
      </c>
      <c r="AE205" s="145">
        <f t="shared" si="63"/>
        <v>0</v>
      </c>
      <c r="AF20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Row],[Tipo]]="DROP"),AF204+TbTradesBinance[[#This Row],[Qtt]],AF204-TbTradesBinance[[#This Row],[Qtt]]),IF(TbTradesBinance[[#This Row],[Tipo]]="BUY",AF204-TbTradesBinance[[#This Row],[Qtt]]*TbTradesBinance[[#This Row],[Preço]],AF204+TbTradesBinance[[#This Row],[Qtt]]*TbTradesBinance[[#This Row],[Preço]])),AF204)-IF(TbTradesBinance[[#This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Row],[Tipo]]="DROP"),AF204+TbTradesBinance[[#This Row],[Qtt]],AF204-TbTradesBinance[[#This Row],[Qtt]]),IF(TbTradesBinance[[#This Row],[Tipo]]="BUY",AF204-TbTradesBinance[[#This Row],[Qtt]]*TbTradesBinance[[#This Row],[Preço]],AF204+TbTradesBinance[[#This Row],[Qtt]]*TbTradesBinance[[#This Row],[Preço]])),AF204)-IF(TbTradesBinance[[#This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Row],[Tipo]]="DROP"),AF204+TbTradesBinance[[#This Row],[Qtt]],AF204-TbTradesBinance[[#This Row],[Qtt]]),IF(TbTradesBinance[[#This Row],[Tipo]]="BUY",AF204-TbTradesBinance[[#This Row],[Qtt]]*TbTradesBinance[[#This Row],[Preço]],AF204+TbTradesBinance[[#This Row],[Qtt]]*TbTradesBinance[[#This Row],[Preço]])),AF204)-IF(TbTradesBinance[[#This Row],[Moeda da Taxa]]=MID(AF$1,9,5),TbTradesBinance[[#This Row],[Taxa]],0),8)))</f>
        <v>0</v>
      </c>
      <c r="AG205" s="145" cm="1">
        <f t="array" ref="AG205">IF(TbTradesBinance[[#This Row],[Tipo]]="EMPTY",0,AG204+IF(TbTradesBinance[[#This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Row],[Par]]))),$1:$1,0)),-(AF204-AF205)/AF204*AG204),0),0)+IF(TbTradesBinance[[#This Row],[Tipo]]="SELL",IF(ISNUMBER(FIND(MID(AG$1,10,5),TbTradesBinance[[#This Row],[Par]])),IF(FIND(MID(AG$1,10,5),TbTradesBinance[[#This Row],[Par]])=1, -(AF204-AF205)/AF204*AG204,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Row],[Par]])),(-(AF204-AF205)/AF204*AG204)+IF(TbTradesBinance[[#This Row],[Resultado]]&gt;0,0,TbTradesBinance[[#This Row],[Taxa]]),0),0))</f>
        <v>0</v>
      </c>
      <c r="AH205" s="145">
        <f t="shared" si="64"/>
        <v>0</v>
      </c>
      <c r="AI20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Row],[Tipo]]="DROP"),AI204+TbTradesBinance[[#This Row],[Qtt]],AI204-TbTradesBinance[[#This Row],[Qtt]]),IF(TbTradesBinance[[#This Row],[Tipo]]="BUY",AI204-TbTradesBinance[[#This Row],[Qtt]]*TbTradesBinance[[#This Row],[Preço]],AI204+TbTradesBinance[[#This Row],[Qtt]]*TbTradesBinance[[#This Row],[Preço]])),AI204)-IF(TbTradesBinance[[#This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Row],[Tipo]]="DROP"),AI204+TbTradesBinance[[#This Row],[Qtt]],AI204-TbTradesBinance[[#This Row],[Qtt]]),IF(TbTradesBinance[[#This Row],[Tipo]]="BUY",AI204-TbTradesBinance[[#This Row],[Qtt]]*TbTradesBinance[[#This Row],[Preço]],AI204+TbTradesBinance[[#This Row],[Qtt]]*TbTradesBinance[[#This Row],[Preço]])),AI204)-IF(TbTradesBinance[[#This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Row],[Tipo]]="DROP"),AI204+TbTradesBinance[[#This Row],[Qtt]],AI204-TbTradesBinance[[#This Row],[Qtt]]),IF(TbTradesBinance[[#This Row],[Tipo]]="BUY",AI204-TbTradesBinance[[#This Row],[Qtt]]*TbTradesBinance[[#This Row],[Preço]],AI204+TbTradesBinance[[#This Row],[Qtt]]*TbTradesBinance[[#This Row],[Preço]])),AI204)-IF(TbTradesBinance[[#This Row],[Moeda da Taxa]]=MID(AI$1,9,5),TbTradesBinance[[#This Row],[Taxa]],0),8)))</f>
        <v>0</v>
      </c>
      <c r="AJ205" s="145" cm="1">
        <f t="array" ref="AJ205">IF(TbTradesBinance[[#This Row],[Tipo]]="EMPTY",0,AJ204+IF(TbTradesBinance[[#This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Row],[Par]]))),$1:$1,0)),-(AI204-AI205)/AI204*AJ204),0),0)+IF(TbTradesBinance[[#This Row],[Tipo]]="SELL",IF(ISNUMBER(FIND(MID(AJ$1,10,5),TbTradesBinance[[#This Row],[Par]])),IF(FIND(MID(AJ$1,10,5),TbTradesBinance[[#This Row],[Par]])=1, -(AI204-AI205)/AI204*AJ204,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Row],[Par]])),(-(AI204-AI205)/AI204*AJ204)+IF(TbTradesBinance[[#This Row],[Resultado]]&gt;0,0,TbTradesBinance[[#This Row],[Taxa]]),0),0))</f>
        <v>0</v>
      </c>
      <c r="AK205" s="145">
        <f t="shared" si="65"/>
        <v>0</v>
      </c>
      <c r="AL20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Row],[Tipo]]="DROP"),AL204+TbTradesBinance[[#This Row],[Qtt]],AL204-TbTradesBinance[[#This Row],[Qtt]]),IF(TbTradesBinance[[#This Row],[Tipo]]="BUY",AL204-TbTradesBinance[[#This Row],[Qtt]]*TbTradesBinance[[#This Row],[Preço]],AL204+TbTradesBinance[[#This Row],[Qtt]]*TbTradesBinance[[#This Row],[Preço]])),AL204)-IF(TbTradesBinance[[#This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Row],[Tipo]]="DROP"),AL204+TbTradesBinance[[#This Row],[Qtt]],AL204-TbTradesBinance[[#This Row],[Qtt]]),IF(TbTradesBinance[[#This Row],[Tipo]]="BUY",AL204-TbTradesBinance[[#This Row],[Qtt]]*TbTradesBinance[[#This Row],[Preço]],AL204+TbTradesBinance[[#This Row],[Qtt]]*TbTradesBinance[[#This Row],[Preço]])),AL204)-IF(TbTradesBinance[[#This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Row],[Tipo]]="DROP"),AL204+TbTradesBinance[[#This Row],[Qtt]],AL204-TbTradesBinance[[#This Row],[Qtt]]),IF(TbTradesBinance[[#This Row],[Tipo]]="BUY",AL204-TbTradesBinance[[#This Row],[Qtt]]*TbTradesBinance[[#This Row],[Preço]],AL204+TbTradesBinance[[#This Row],[Qtt]]*TbTradesBinance[[#This Row],[Preço]])),AL204)-IF(TbTradesBinance[[#This Row],[Moeda da Taxa]]=MID(AL$1,9,5),TbTradesBinance[[#This Row],[Taxa]],0),8)))</f>
        <v>0</v>
      </c>
      <c r="AM205" s="145" cm="1">
        <f t="array" ref="AM205">IF(TbTradesBinance[[#This Row],[Tipo]]="EMPTY",0,AM204+IF(TbTradesBinance[[#This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Row],[Par]]))),$1:$1,0)),-(AL204-AL205)/AL204*AM204),0),0)+IF(TbTradesBinance[[#This Row],[Tipo]]="SELL",IF(ISNUMBER(FIND(MID(AM$1,10,5),TbTradesBinance[[#This Row],[Par]])),IF(FIND(MID(AM$1,10,5),TbTradesBinance[[#This Row],[Par]])=1, -(AL204-AL205)/AL204*AM204,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Row],[Par]])),(-(AL204-AL205)/AL204*AM204)+IF(TbTradesBinance[[#This Row],[Resultado]]&gt;0,0,TbTradesBinance[[#This Row],[Taxa]]),0),0))</f>
        <v>0</v>
      </c>
      <c r="AN205" s="145">
        <f t="shared" si="66"/>
        <v>0</v>
      </c>
      <c r="AO20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Row],[Tipo]]="DROP"),AO204+TbTradesBinance[[#This Row],[Qtt]],AO204-TbTradesBinance[[#This Row],[Qtt]]),IF(TbTradesBinance[[#This Row],[Tipo]]="BUY",AO204-TbTradesBinance[[#This Row],[Qtt]]*TbTradesBinance[[#This Row],[Preço]],AO204+TbTradesBinance[[#This Row],[Qtt]]*TbTradesBinance[[#This Row],[Preço]])),AO204)-IF(TbTradesBinance[[#This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Row],[Tipo]]="DROP"),AO204+TbTradesBinance[[#This Row],[Qtt]],AO204-TbTradesBinance[[#This Row],[Qtt]]),IF(TbTradesBinance[[#This Row],[Tipo]]="BUY",AO204-TbTradesBinance[[#This Row],[Qtt]]*TbTradesBinance[[#This Row],[Preço]],AO204+TbTradesBinance[[#This Row],[Qtt]]*TbTradesBinance[[#This Row],[Preço]])),AO204)-IF(TbTradesBinance[[#This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Row],[Tipo]]="DROP"),AO204+TbTradesBinance[[#This Row],[Qtt]],AO204-TbTradesBinance[[#This Row],[Qtt]]),IF(TbTradesBinance[[#This Row],[Tipo]]="BUY",AO204-TbTradesBinance[[#This Row],[Qtt]]*TbTradesBinance[[#This Row],[Preço]],AO204+TbTradesBinance[[#This Row],[Qtt]]*TbTradesBinance[[#This Row],[Preço]])),AO204)-IF(TbTradesBinance[[#This Row],[Moeda da Taxa]]=MID(AO$1,9,5),TbTradesBinance[[#This Row],[Taxa]],0),8)))</f>
        <v>3.83405E-2</v>
      </c>
      <c r="AP205" s="145" cm="1">
        <f t="array" ref="AP205">IF(TbTradesBinance[[#This Row],[Tipo]]="EMPTY",0,AP204+IF(TbTradesBinance[[#This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Row],[Par]]))),$1:$1,0)),-(AO204-AO205)/AO204*AP204),0),0)+IF(TbTradesBinance[[#This Row],[Tipo]]="SELL",IF(ISNUMBER(FIND(MID(AP$1,10,5),TbTradesBinance[[#This Row],[Par]])),IF(FIND(MID(AP$1,10,5),TbTradesBinance[[#This Row],[Par]])=1, -(AO204-AO205)/AO204*AP204,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Row],[Par]])),(-(AO204-AO205)/AO204*AP204)+IF(TbTradesBinance[[#This Row],[Resultado]]&gt;0,0,TbTradesBinance[[#This Row],[Taxa]]),0),0))</f>
        <v>60.349858055862811</v>
      </c>
      <c r="AQ205" s="145">
        <f t="shared" si="67"/>
        <v>1574.0498443124845</v>
      </c>
      <c r="AR20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Row],[Tipo]]="DROP"),AR204+TbTradesBinance[[#This Row],[Qtt]],AR204-TbTradesBinance[[#This Row],[Qtt]]),IF(TbTradesBinance[[#This Row],[Tipo]]="BUY",AR204-TbTradesBinance[[#This Row],[Qtt]]*TbTradesBinance[[#This Row],[Preço]],AR204+TbTradesBinance[[#This Row],[Qtt]]*TbTradesBinance[[#This Row],[Preço]])),AR204)-IF(TbTradesBinance[[#This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Row],[Tipo]]="DROP"),AR204+TbTradesBinance[[#This Row],[Qtt]],AR204-TbTradesBinance[[#This Row],[Qtt]]),IF(TbTradesBinance[[#This Row],[Tipo]]="BUY",AR204-TbTradesBinance[[#This Row],[Qtt]]*TbTradesBinance[[#This Row],[Preço]],AR204+TbTradesBinance[[#This Row],[Qtt]]*TbTradesBinance[[#This Row],[Preço]])),AR204)-IF(TbTradesBinance[[#This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Row],[Tipo]]="DROP"),AR204+TbTradesBinance[[#This Row],[Qtt]],AR204-TbTradesBinance[[#This Row],[Qtt]]),IF(TbTradesBinance[[#This Row],[Tipo]]="BUY",AR204-TbTradesBinance[[#This Row],[Qtt]]*TbTradesBinance[[#This Row],[Preço]],AR204+TbTradesBinance[[#This Row],[Qtt]]*TbTradesBinance[[#This Row],[Preço]])),AR204)-IF(TbTradesBinance[[#This Row],[Moeda da Taxa]]=MID(AR$1,9,5),TbTradesBinance[[#This Row],[Taxa]],0),8)))</f>
        <v>0</v>
      </c>
      <c r="AS205" s="145" cm="1">
        <f t="array" ref="AS205">IF(TbTradesBinance[[#This Row],[Tipo]]="EMPTY",0,AS204+IF(TbTradesBinance[[#This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Row],[Par]]))),$1:$1,0)),-(AR204-AR205)/AR204*AS204),0),0)+IF(TbTradesBinance[[#This Row],[Tipo]]="SELL",IF(ISNUMBER(FIND(MID(AS$1,10,5),TbTradesBinance[[#This Row],[Par]])),IF(FIND(MID(AS$1,10,5),TbTradesBinance[[#This Row],[Par]])=1, -(AR204-AR205)/AR204*AS204,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Row],[Par]])),(-(AR204-AR205)/AR204*AS204)+IF(TbTradesBinance[[#This Row],[Resultado]]&gt;0,0,TbTradesBinance[[#This Row],[Taxa]]),0),0))</f>
        <v>0</v>
      </c>
      <c r="AT205" s="145">
        <f t="shared" si="68"/>
        <v>0</v>
      </c>
      <c r="AU20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Row],[Tipo]]="DROP"),AU204+TbTradesBinance[[#This Row],[Qtt]],AU204-TbTradesBinance[[#This Row],[Qtt]]),IF(TbTradesBinance[[#This Row],[Tipo]]="BUY",AU204-TbTradesBinance[[#This Row],[Qtt]]*TbTradesBinance[[#This Row],[Preço]],AU204+TbTradesBinance[[#This Row],[Qtt]]*TbTradesBinance[[#This Row],[Preço]])),AU204)-IF(TbTradesBinance[[#This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Row],[Tipo]]="DROP"),AU204+TbTradesBinance[[#This Row],[Qtt]],AU204-TbTradesBinance[[#This Row],[Qtt]]),IF(TbTradesBinance[[#This Row],[Tipo]]="BUY",AU204-TbTradesBinance[[#This Row],[Qtt]]*TbTradesBinance[[#This Row],[Preço]],AU204+TbTradesBinance[[#This Row],[Qtt]]*TbTradesBinance[[#This Row],[Preço]])),AU204)-IF(TbTradesBinance[[#This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Row],[Tipo]]="DROP"),AU204+TbTradesBinance[[#This Row],[Qtt]],AU204-TbTradesBinance[[#This Row],[Qtt]]),IF(TbTradesBinance[[#This Row],[Tipo]]="BUY",AU204-TbTradesBinance[[#This Row],[Qtt]]*TbTradesBinance[[#This Row],[Preço]],AU204+TbTradesBinance[[#This Row],[Qtt]]*TbTradesBinance[[#This Row],[Preço]])),AU204)-IF(TbTradesBinance[[#This Row],[Moeda da Taxa]]=MID(AU$1,9,5),TbTradesBinance[[#This Row],[Taxa]],0),8)))</f>
        <v>0.51</v>
      </c>
      <c r="AV205" s="145" cm="1">
        <f t="array" ref="AV205">IF(TbTradesBinance[[#This Row],[Tipo]]="EMPTY",0,AV204+IF(TbTradesBinance[[#This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Row],[Par]]))),$1:$1,0)),-(AU204-AU205)/AU204*AV204),0),0)+IF(TbTradesBinance[[#This Row],[Tipo]]="SELL",IF(ISNUMBER(FIND(MID(AV$1,10,5),TbTradesBinance[[#This Row],[Par]])),IF(FIND(MID(AV$1,10,5),TbTradesBinance[[#This Row],[Par]])=1, -(AU204-AU205)/AU204*AV204,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Row],[Par]])),(-(AU204-AU205)/AU204*AV204)+IF(TbTradesBinance[[#This Row],[Resultado]]&gt;0,0,TbTradesBinance[[#This Row],[Taxa]]),0),0))</f>
        <v>95.466693037374753</v>
      </c>
      <c r="AW205" s="145">
        <f t="shared" si="69"/>
        <v>187.18959419093088</v>
      </c>
      <c r="AX20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Row],[Tipo]]="DROP"),AX204+TbTradesBinance[[#This Row],[Qtt]],AX204-TbTradesBinance[[#This Row],[Qtt]]),IF(TbTradesBinance[[#This Row],[Tipo]]="BUY",AX204-TbTradesBinance[[#This Row],[Qtt]]*TbTradesBinance[[#This Row],[Preço]],AX204+TbTradesBinance[[#This Row],[Qtt]]*TbTradesBinance[[#This Row],[Preço]])),AX204)-IF(TbTradesBinance[[#This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Row],[Tipo]]="DROP"),AX204+TbTradesBinance[[#This Row],[Qtt]],AX204-TbTradesBinance[[#This Row],[Qtt]]),IF(TbTradesBinance[[#This Row],[Tipo]]="BUY",AX204-TbTradesBinance[[#This Row],[Qtt]]*TbTradesBinance[[#This Row],[Preço]],AX204+TbTradesBinance[[#This Row],[Qtt]]*TbTradesBinance[[#This Row],[Preço]])),AX204)-IF(TbTradesBinance[[#This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Row],[Tipo]]="DROP"),AX204+TbTradesBinance[[#This Row],[Qtt]],AX204-TbTradesBinance[[#This Row],[Qtt]]),IF(TbTradesBinance[[#This Row],[Tipo]]="BUY",AX204-TbTradesBinance[[#This Row],[Qtt]]*TbTradesBinance[[#This Row],[Preço]],AX204+TbTradesBinance[[#This Row],[Qtt]]*TbTradesBinance[[#This Row],[Preço]])),AX204)-IF(TbTradesBinance[[#This Row],[Moeda da Taxa]]=MID(AX$1,9,5),TbTradesBinance[[#This Row],[Taxa]],0),8)))</f>
        <v>0.32838000000000001</v>
      </c>
      <c r="AY205" s="145" cm="1">
        <f t="array" ref="AY205">IF(TbTradesBinance[[#This Row],[Tipo]]="EMPTY",0,AY204+IF(TbTradesBinance[[#This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Row],[Par]]))),$1:$1,0)),-(AX204-AX205)/AX204*AY204),0),0)+IF(TbTradesBinance[[#This Row],[Tipo]]="SELL",IF(ISNUMBER(FIND(MID(AY$1,10,5),TbTradesBinance[[#This Row],[Par]])),IF(FIND(MID(AY$1,10,5),TbTradesBinance[[#This Row],[Par]])=1, -(AX204-AX205)/AX204*AY204,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Row],[Par]])),(-(AX204-AX205)/AX204*AY204)+IF(TbTradesBinance[[#This Row],[Resultado]]&gt;0,0,TbTradesBinance[[#This Row],[Taxa]]),0),0))</f>
        <v>61.364116058805678</v>
      </c>
      <c r="AZ205" s="145">
        <f t="shared" si="70"/>
        <v>186.869224857804</v>
      </c>
      <c r="BA20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Row],[Tipo]]="DROP"),BA204+TbTradesBinance[[#This Row],[Qtt]],BA204-TbTradesBinance[[#This Row],[Qtt]]),IF(TbTradesBinance[[#This Row],[Tipo]]="BUY",BA204-TbTradesBinance[[#This Row],[Qtt]]*TbTradesBinance[[#This Row],[Preço]],BA204+TbTradesBinance[[#This Row],[Qtt]]*TbTradesBinance[[#This Row],[Preço]])),BA204)-IF(TbTradesBinance[[#This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Row],[Tipo]]="DROP"),BA204+TbTradesBinance[[#This Row],[Qtt]],BA204-TbTradesBinance[[#This Row],[Qtt]]),IF(TbTradesBinance[[#This Row],[Tipo]]="BUY",BA204-TbTradesBinance[[#This Row],[Qtt]]*TbTradesBinance[[#This Row],[Preço]],BA204+TbTradesBinance[[#This Row],[Qtt]]*TbTradesBinance[[#This Row],[Preço]])),BA204)-IF(TbTradesBinance[[#This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Row],[Tipo]]="DROP"),BA204+TbTradesBinance[[#This Row],[Qtt]],BA204-TbTradesBinance[[#This Row],[Qtt]]),IF(TbTradesBinance[[#This Row],[Tipo]]="BUY",BA204-TbTradesBinance[[#This Row],[Qtt]]*TbTradesBinance[[#This Row],[Preço]],BA204+TbTradesBinance[[#This Row],[Qtt]]*TbTradesBinance[[#This Row],[Preço]])),BA204)-IF(TbTradesBinance[[#This Row],[Moeda da Taxa]]=MID(BA$1,9,5),TbTradesBinance[[#This Row],[Taxa]],0),8)))</f>
        <v>0</v>
      </c>
      <c r="BB205" s="145" cm="1">
        <f t="array" ref="BB205">IF(TbTradesBinance[[#This Row],[Tipo]]="EMPTY",0,BB204+IF(TbTradesBinance[[#This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Row],[Par]]))),$1:$1,0)),-(BA204-BA205)/BA204*BB204),0),0)+IF(TbTradesBinance[[#This Row],[Tipo]]="SELL",IF(ISNUMBER(FIND(MID(BB$1,10,5),TbTradesBinance[[#This Row],[Par]])),IF(FIND(MID(BB$1,10,5),TbTradesBinance[[#This Row],[Par]])=1, -(BA204-BA205)/BA204*BB204,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Row],[Par]])),(-(BA204-BA205)/BA204*BB204)+IF(TbTradesBinance[[#This Row],[Resultado]]&gt;0,0,TbTradesBinance[[#This Row],[Taxa]]),0),0))</f>
        <v>0</v>
      </c>
      <c r="BC205" s="145">
        <f t="shared" si="71"/>
        <v>0</v>
      </c>
      <c r="BD20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Row],[Tipo]]="DROP"),BD204+TbTradesBinance[[#This Row],[Qtt]],BD204-TbTradesBinance[[#This Row],[Qtt]]),IF(TbTradesBinance[[#This Row],[Tipo]]="BUY",BD204-TbTradesBinance[[#This Row],[Qtt]]*TbTradesBinance[[#This Row],[Preço]],BD204+TbTradesBinance[[#This Row],[Qtt]]*TbTradesBinance[[#This Row],[Preço]])),BD204)-IF(TbTradesBinance[[#This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Row],[Tipo]]="DROP"),BD204+TbTradesBinance[[#This Row],[Qtt]],BD204-TbTradesBinance[[#This Row],[Qtt]]),IF(TbTradesBinance[[#This Row],[Tipo]]="BUY",BD204-TbTradesBinance[[#This Row],[Qtt]]*TbTradesBinance[[#This Row],[Preço]],BD204+TbTradesBinance[[#This Row],[Qtt]]*TbTradesBinance[[#This Row],[Preço]])),BD204)-IF(TbTradesBinance[[#This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Row],[Tipo]]="DROP"),BD204+TbTradesBinance[[#This Row],[Qtt]],BD204-TbTradesBinance[[#This Row],[Qtt]]),IF(TbTradesBinance[[#This Row],[Tipo]]="BUY",BD204-TbTradesBinance[[#This Row],[Qtt]]*TbTradesBinance[[#This Row],[Preço]],BD204+TbTradesBinance[[#This Row],[Qtt]]*TbTradesBinance[[#This Row],[Preço]])),BD204)-IF(TbTradesBinance[[#This Row],[Moeda da Taxa]]=MID(BD$1,9,5),TbTradesBinance[[#This Row],[Taxa]],0),8)))</f>
        <v>0</v>
      </c>
      <c r="BE205" s="145" cm="1">
        <f t="array" ref="BE205">IF(TbTradesBinance[[#This Row],[Tipo]]="EMPTY",0,BE204+IF(TbTradesBinance[[#This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Row],[Par]]))),$1:$1,0)),-(BD204-BD205)/BD204*BE204),0),0)+IF(TbTradesBinance[[#This Row],[Tipo]]="SELL",IF(ISNUMBER(FIND(MID(BE$1,10,5),TbTradesBinance[[#This Row],[Par]])),IF(FIND(MID(BE$1,10,5),TbTradesBinance[[#This Row],[Par]])=1, -(BD204-BD205)/BD204*BE204,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Row],[Par]])),(-(BD204-BD205)/BD204*BE204)+IF(TbTradesBinance[[#This Row],[Resultado]]&gt;0,0,TbTradesBinance[[#This Row],[Taxa]]),0),0))</f>
        <v>0</v>
      </c>
      <c r="BF205" s="145">
        <f t="shared" si="72"/>
        <v>0</v>
      </c>
      <c r="BG20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Row],[Tipo]]="DROP"),BG204+TbTradesBinance[[#This Row],[Qtt]],BG204-TbTradesBinance[[#This Row],[Qtt]]),IF(TbTradesBinance[[#This Row],[Tipo]]="BUY",BG204-TbTradesBinance[[#This Row],[Qtt]]*TbTradesBinance[[#This Row],[Preço]],BG204+TbTradesBinance[[#This Row],[Qtt]]*TbTradesBinance[[#This Row],[Preço]])),BG204)-IF(TbTradesBinance[[#This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Row],[Tipo]]="DROP"),BG204+TbTradesBinance[[#This Row],[Qtt]],BG204-TbTradesBinance[[#This Row],[Qtt]]),IF(TbTradesBinance[[#This Row],[Tipo]]="BUY",BG204-TbTradesBinance[[#This Row],[Qtt]]*TbTradesBinance[[#This Row],[Preço]],BG204+TbTradesBinance[[#This Row],[Qtt]]*TbTradesBinance[[#This Row],[Preço]])),BG204)-IF(TbTradesBinance[[#This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Row],[Tipo]]="DROP"),BG204+TbTradesBinance[[#This Row],[Qtt]],BG204-TbTradesBinance[[#This Row],[Qtt]]),IF(TbTradesBinance[[#This Row],[Tipo]]="BUY",BG204-TbTradesBinance[[#This Row],[Qtt]]*TbTradesBinance[[#This Row],[Preço]],BG204+TbTradesBinance[[#This Row],[Qtt]]*TbTradesBinance[[#This Row],[Preço]])),BG204)-IF(TbTradesBinance[[#This Row],[Moeda da Taxa]]=MID(BG$1,9,5),TbTradesBinance[[#This Row],[Taxa]],0),8)))</f>
        <v>0</v>
      </c>
      <c r="BH205" s="145" cm="1">
        <f t="array" ref="BH205">IF(TbTradesBinance[[#This Row],[Tipo]]="EMPTY",0,BH204+IF(TbTradesBinance[[#This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Row],[Par]]))),$1:$1,0)),-(BG204-BG205)/BG204*BH204),0),0)+IF(TbTradesBinance[[#This Row],[Tipo]]="SELL",IF(ISNUMBER(FIND(MID(BH$1,10,5),TbTradesBinance[[#This Row],[Par]])),IF(FIND(MID(BH$1,10,5),TbTradesBinance[[#This Row],[Par]])=1, -(BG204-BG205)/BG204*BH204,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Row],[Par]])),(-(BG204-BG205)/BG204*BH204)+IF(TbTradesBinance[[#This Row],[Resultado]]&gt;0,0,TbTradesBinance[[#This Row],[Taxa]]),0),0))</f>
        <v>0</v>
      </c>
      <c r="BI205" s="145">
        <f t="shared" si="73"/>
        <v>0</v>
      </c>
      <c r="BJ20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Row],[Tipo]]="DROP"),BJ204+TbTradesBinance[[#This Row],[Qtt]],BJ204-TbTradesBinance[[#This Row],[Qtt]]),IF(TbTradesBinance[[#This Row],[Tipo]]="BUY",BJ204-TbTradesBinance[[#This Row],[Qtt]]*TbTradesBinance[[#This Row],[Preço]],BJ204+TbTradesBinance[[#This Row],[Qtt]]*TbTradesBinance[[#This Row],[Preço]])),BJ204)-IF(TbTradesBinance[[#This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Row],[Tipo]]="DROP"),BJ204+TbTradesBinance[[#This Row],[Qtt]],BJ204-TbTradesBinance[[#This Row],[Qtt]]),IF(TbTradesBinance[[#This Row],[Tipo]]="BUY",BJ204-TbTradesBinance[[#This Row],[Qtt]]*TbTradesBinance[[#This Row],[Preço]],BJ204+TbTradesBinance[[#This Row],[Qtt]]*TbTradesBinance[[#This Row],[Preço]])),BJ204)-IF(TbTradesBinance[[#This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Row],[Tipo]]="DROP"),BJ204+TbTradesBinance[[#This Row],[Qtt]],BJ204-TbTradesBinance[[#This Row],[Qtt]]),IF(TbTradesBinance[[#This Row],[Tipo]]="BUY",BJ204-TbTradesBinance[[#This Row],[Qtt]]*TbTradesBinance[[#This Row],[Preço]],BJ204+TbTradesBinance[[#This Row],[Qtt]]*TbTradesBinance[[#This Row],[Preço]])),BJ204)-IF(TbTradesBinance[[#This Row],[Moeda da Taxa]]=MID(BJ$1,9,5),TbTradesBinance[[#This Row],[Taxa]],0),8)))</f>
        <v>0</v>
      </c>
      <c r="BK205" s="145" cm="1">
        <f t="array" ref="BK205">IF(TbTradesBinance[[#This Row],[Tipo]]="EMPTY",0,BK204+IF(TbTradesBinance[[#This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Row],[Par]]))),$1:$1,0)),-(BJ204-BJ205)/BJ204*BK204),0),0)+IF(TbTradesBinance[[#This Row],[Tipo]]="SELL",IF(ISNUMBER(FIND(MID(BK$1,10,5),TbTradesBinance[[#This Row],[Par]])),IF(FIND(MID(BK$1,10,5),TbTradesBinance[[#This Row],[Par]])=1, -(BJ204-BJ205)/BJ204*BK204,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Row],[Par]])),(-(BJ204-BJ205)/BJ204*BK204)+IF(TbTradesBinance[[#This Row],[Resultado]]&gt;0,0,TbTradesBinance[[#This Row],[Taxa]]),0),0))</f>
        <v>0</v>
      </c>
      <c r="BL205" s="145">
        <f t="shared" si="74"/>
        <v>0</v>
      </c>
      <c r="BM20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Row],[Tipo]]="DROP"),BM204+TbTradesBinance[[#This Row],[Qtt]],BM204-TbTradesBinance[[#This Row],[Qtt]]),IF(TbTradesBinance[[#This Row],[Tipo]]="BUY",BM204-TbTradesBinance[[#This Row],[Qtt]]*TbTradesBinance[[#This Row],[Preço]],BM204+TbTradesBinance[[#This Row],[Qtt]]*TbTradesBinance[[#This Row],[Preço]])),BM204)-IF(TbTradesBinance[[#This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Row],[Tipo]]="DROP"),BM204+TbTradesBinance[[#This Row],[Qtt]],BM204-TbTradesBinance[[#This Row],[Qtt]]),IF(TbTradesBinance[[#This Row],[Tipo]]="BUY",BM204-TbTradesBinance[[#This Row],[Qtt]]*TbTradesBinance[[#This Row],[Preço]],BM204+TbTradesBinance[[#This Row],[Qtt]]*TbTradesBinance[[#This Row],[Preço]])),BM204)-IF(TbTradesBinance[[#This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Row],[Tipo]]="DROP"),BM204+TbTradesBinance[[#This Row],[Qtt]],BM204-TbTradesBinance[[#This Row],[Qtt]]),IF(TbTradesBinance[[#This Row],[Tipo]]="BUY",BM204-TbTradesBinance[[#This Row],[Qtt]]*TbTradesBinance[[#This Row],[Preço]],BM204+TbTradesBinance[[#This Row],[Qtt]]*TbTradesBinance[[#This Row],[Preço]])),BM204)-IF(TbTradesBinance[[#This Row],[Moeda da Taxa]]=MID(BM$1,9,5),TbTradesBinance[[#This Row],[Taxa]],0),8)))</f>
        <v>0</v>
      </c>
      <c r="BN205" s="145" cm="1">
        <f t="array" ref="BN205">IF(TbTradesBinance[[#This Row],[Tipo]]="EMPTY",0,BN204+IF(TbTradesBinance[[#This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Row],[Par]]))),$1:$1,0)),-(BM204-BM205)/BM204*BN204),0),0)+IF(TbTradesBinance[[#This Row],[Tipo]]="SELL",IF(ISNUMBER(FIND(MID(BN$1,10,5),TbTradesBinance[[#This Row],[Par]])),IF(FIND(MID(BN$1,10,5),TbTradesBinance[[#This Row],[Par]])=1, -(BM204-BM205)/BM204*BN204,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Row],[Par]])),(-(BM204-BM205)/BM204*BN204)+IF(TbTradesBinance[[#This Row],[Resultado]]&gt;0,0,TbTradesBinance[[#This Row],[Taxa]]),0),0))</f>
        <v>0</v>
      </c>
      <c r="BO205" s="145">
        <f t="shared" si="75"/>
        <v>0</v>
      </c>
    </row>
    <row r="206" spans="2:67" x14ac:dyDescent="0.3">
      <c r="B206" s="51"/>
      <c r="C206" s="40">
        <f>TRUNC(IF(AND(TbTradesBinance[[#This Row],[Tipo]]="SEND",TbTradesBinance[[#This Row],[Par]]="BRL"),TbTradesBinance[[#This Row],[Qtt]]*(1-P204)-IF(TbTradesBinance[[#This Row],[Moeda da Taxa]]="BRL",TbTradesBinance[[#This Row],[Taxa]],0),0)+IF(AND(TbTradesBinance[[#This Row],[Tipo]]="BURN",TbTradesBinance[[#This Row],[Par]]="BRL"),-TbTradesBinance[[#This Row],[Qtt]]*P204,0),2)</f>
        <v>0</v>
      </c>
      <c r="D206" s="53">
        <v>44369.517789351848</v>
      </c>
      <c r="E206" s="37" t="s">
        <v>249</v>
      </c>
      <c r="F206" s="47" t="s">
        <v>140</v>
      </c>
      <c r="G206" s="38">
        <v>29862.13</v>
      </c>
      <c r="H206" s="38">
        <v>5.8900000000000003E-3</v>
      </c>
      <c r="I206" s="38">
        <v>0.17588794999999999</v>
      </c>
      <c r="J206" s="37" t="s">
        <v>42</v>
      </c>
      <c r="K206" s="52">
        <v>4.9660000000000002</v>
      </c>
      <c r="L206" s="40">
        <f t="shared" si="57"/>
        <v>148295.32999999999</v>
      </c>
      <c r="M206" s="40">
        <f>IF(OR(TbTradesBinance[[#This Row],[Tipo]]="BUY",TbTradesBinance[[#This Row],[Tipo]]="RECEIVE",TbTradesBinance[[#This Row],[Tipo]]="DROP"),L206*H206,-L206*H206)</f>
        <v>-873.45949369999994</v>
      </c>
      <c r="N20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Row],[Tipo]]="DROP"),N205+TbTradesBinance[[#This Row],[Qtt]],N205-TbTradesBinance[[#This Row],[Qtt]]),IF(TbTradesBinance[[#This Row],[Tipo]]="BUY",N205-TbTradesBinance[[#This Row],[Qtt]]*TbTradesBinance[[#This Row],[Preço]],N205+TbTradesBinance[[#This Row],[Qtt]]*TbTradesBinance[[#This Row],[Preço]])),N205)-IF(TbTradesBinance[[#This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Row],[Tipo]]="DROP"),N205+TbTradesBinance[[#This Row],[Qtt]],N205-TbTradesBinance[[#This Row],[Qtt]]),IF(TbTradesBinance[[#This Row],[Tipo]]="BUY",N205-TbTradesBinance[[#This Row],[Qtt]]*TbTradesBinance[[#This Row],[Preço]],N205+TbTradesBinance[[#This Row],[Qtt]]*TbTradesBinance[[#This Row],[Preço]])),N205)-IF(TbTradesBinance[[#This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Row],[Tipo]]="DROP"),N205+TbTradesBinance[[#This Row],[Qtt]],N205-TbTradesBinance[[#This Row],[Qtt]]),IF(TbTradesBinance[[#This Row],[Tipo]]="BUY",N205-TbTradesBinance[[#This Row],[Qtt]]*TbTradesBinance[[#This Row],[Preço]],N205+TbTradesBinance[[#This Row],[Qtt]]*TbTradesBinance[[#This Row],[Preço]])),N205)-IF(TbTradesBinance[[#This Row],[Moeda da Taxa]]=MID(N$1,9,5),TbTradesBinance[[#This Row],[Taxa]],0),8)))</f>
        <v>120678.39511781</v>
      </c>
      <c r="O206" s="145" cm="1">
        <f t="array" ref="O206">IF(TbTradesBinance[[#This Row],[Tipo]]="EMPTY",0,O205+IF(TbTradesBinance[[#This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Row],[Par]]))),$1:$1,0)),-(N205-N206)/N205*O205),0),0)+IF(TbTradesBinance[[#This Row],[Tipo]]="SELL",IF(ISNUMBER(FIND(MID(O$1,10,5),TbTradesBinance[[#This Row],[Par]])),IF(FIND(MID(O$1,10,5),TbTradesBinance[[#This Row],[Par]])=1, -(N205-N206)/N205*O205,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Row],[Par]])),(-(N205-N206)/N205*O205)+IF(TbTradesBinance[[#This Row],[Resultado]]&gt;0,0,TbTradesBinance[[#This Row],[Taxa]]),0),0))</f>
        <v>121343.08135798256</v>
      </c>
      <c r="P206" s="145">
        <f t="shared" si="58"/>
        <v>1.0055079141508609</v>
      </c>
      <c r="Q20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Row],[Tipo]]="DROP"),Q205+TbTradesBinance[[#This Row],[Qtt]],Q205-TbTradesBinance[[#This Row],[Qtt]]),IF(TbTradesBinance[[#This Row],[Tipo]]="BUY",Q205-TbTradesBinance[[#This Row],[Qtt]]*TbTradesBinance[[#This Row],[Preço]],Q205+TbTradesBinance[[#This Row],[Qtt]]*TbTradesBinance[[#This Row],[Preço]])),Q205)-IF(TbTradesBinance[[#This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Row],[Tipo]]="DROP"),Q205+TbTradesBinance[[#This Row],[Qtt]],Q205-TbTradesBinance[[#This Row],[Qtt]]),IF(TbTradesBinance[[#This Row],[Tipo]]="BUY",Q205-TbTradesBinance[[#This Row],[Qtt]]*TbTradesBinance[[#This Row],[Preço]],Q205+TbTradesBinance[[#This Row],[Qtt]]*TbTradesBinance[[#This Row],[Preço]])),Q205)-IF(TbTradesBinance[[#This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Row],[Tipo]]="DROP"),Q205+TbTradesBinance[[#This Row],[Qtt]],Q205-TbTradesBinance[[#This Row],[Qtt]]),IF(TbTradesBinance[[#This Row],[Tipo]]="BUY",Q205-TbTradesBinance[[#This Row],[Qtt]]*TbTradesBinance[[#This Row],[Preço]],Q205+TbTradesBinance[[#This Row],[Qtt]]*TbTradesBinance[[#This Row],[Preço]])),Q205)-IF(TbTradesBinance[[#This Row],[Moeda da Taxa]]=MID(Q$1,9,5),TbTradesBinance[[#This Row],[Taxa]],0),8)))</f>
        <v>231.32062726000001</v>
      </c>
      <c r="R206" s="145" cm="1">
        <f t="array" ref="R206">IF(TbTradesBinance[[#This Row],[Tipo]]="EMPTY",0,R205+IF(TbTradesBinance[[#This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Row],[Par]]))),$1:$1,0)),-(Q205-Q206)/Q205*R205),0),0)+IF(TbTradesBinance[[#This Row],[Tipo]]="SELL",IF(ISNUMBER(FIND(MID(R$1,10,5),TbTradesBinance[[#This Row],[Par]])),IF(FIND(MID(R$1,10,5),TbTradesBinance[[#This Row],[Par]])=1, -(Q205-Q206)/Q205*R205,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Row],[Par]])),(-(Q205-Q206)/Q205*R205)+IF(TbTradesBinance[[#This Row],[Resultado]]&gt;0,0,TbTradesBinance[[#This Row],[Taxa]]),0),0))</f>
        <v>1337.9540337188005</v>
      </c>
      <c r="S206" s="145">
        <f t="shared" si="59"/>
        <v>5.7839806573538528</v>
      </c>
      <c r="T20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Row],[Tipo]]="DROP"),T205+TbTradesBinance[[#This Row],[Qtt]],T205-TbTradesBinance[[#This Row],[Qtt]]),IF(TbTradesBinance[[#This Row],[Tipo]]="BUY",T205-TbTradesBinance[[#This Row],[Qtt]]*TbTradesBinance[[#This Row],[Preço]],T205+TbTradesBinance[[#This Row],[Qtt]]*TbTradesBinance[[#This Row],[Preço]])),T205)-IF(TbTradesBinance[[#This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Row],[Tipo]]="DROP"),T205+TbTradesBinance[[#This Row],[Qtt]],T205-TbTradesBinance[[#This Row],[Qtt]]),IF(TbTradesBinance[[#This Row],[Tipo]]="BUY",T205-TbTradesBinance[[#This Row],[Qtt]]*TbTradesBinance[[#This Row],[Preço]],T205+TbTradesBinance[[#This Row],[Qtt]]*TbTradesBinance[[#This Row],[Preço]])),T205)-IF(TbTradesBinance[[#This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Row],[Tipo]]="DROP"),T205+TbTradesBinance[[#This Row],[Qtt]],T205-TbTradesBinance[[#This Row],[Qtt]]),IF(TbTradesBinance[[#This Row],[Tipo]]="BUY",T205-TbTradesBinance[[#This Row],[Qtt]]*TbTradesBinance[[#This Row],[Preço]],T205+TbTradesBinance[[#This Row],[Qtt]]*TbTradesBinance[[#This Row],[Preço]])),T205)-IF(TbTradesBinance[[#This Row],[Moeda da Taxa]]=MID(T$1,9,5),TbTradesBinance[[#This Row],[Taxa]],0),8)))</f>
        <v>101223913.720009</v>
      </c>
      <c r="U206" s="145" cm="1">
        <f t="array" ref="U206">IF(TbTradesBinance[[#This Row],[Tipo]]="EMPTY",0,U205+IF(TbTradesBinance[[#This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Row],[Par]]))),$1:$1,0)),-(T205-T206)/T205*U205),0),0)+IF(TbTradesBinance[[#This Row],[Tipo]]="SELL",IF(ISNUMBER(FIND(MID(U$1,10,5),TbTradesBinance[[#This Row],[Par]])),IF(FIND(MID(U$1,10,5),TbTradesBinance[[#This Row],[Par]])=1, -(T205-T206)/T205*U205,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Row],[Par]])),(-(T205-T206)/T205*U205)+IF(TbTradesBinance[[#This Row],[Resultado]]&gt;0,0,TbTradesBinance[[#This Row],[Taxa]]),0),0))</f>
        <v>617586601.27364206</v>
      </c>
      <c r="V206" s="145">
        <f t="shared" si="60"/>
        <v>6.1011926784605572</v>
      </c>
      <c r="W20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Row],[Tipo]]="DROP"),W205+TbTradesBinance[[#This Row],[Qtt]],W205-TbTradesBinance[[#This Row],[Qtt]]),IF(TbTradesBinance[[#This Row],[Tipo]]="BUY",W205-TbTradesBinance[[#This Row],[Qtt]]*TbTradesBinance[[#This Row],[Preço]],W205+TbTradesBinance[[#This Row],[Qtt]]*TbTradesBinance[[#This Row],[Preço]])),W205)-IF(TbTradesBinance[[#This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Row],[Tipo]]="DROP"),W205+TbTradesBinance[[#This Row],[Qtt]],W205-TbTradesBinance[[#This Row],[Qtt]]),IF(TbTradesBinance[[#This Row],[Tipo]]="BUY",W205-TbTradesBinance[[#This Row],[Qtt]]*TbTradesBinance[[#This Row],[Preço]],W205+TbTradesBinance[[#This Row],[Qtt]]*TbTradesBinance[[#This Row],[Preço]])),W205)-IF(TbTradesBinance[[#This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Row],[Tipo]]="DROP"),W205+TbTradesBinance[[#This Row],[Qtt]],W205-TbTradesBinance[[#This Row],[Qtt]]),IF(TbTradesBinance[[#This Row],[Tipo]]="BUY",W205-TbTradesBinance[[#This Row],[Qtt]]*TbTradesBinance[[#This Row],[Preço]],W205+TbTradesBinance[[#This Row],[Qtt]]*TbTradesBinance[[#This Row],[Preço]])),W205)-IF(TbTradesBinance[[#This Row],[Moeda da Taxa]]=MID(W$1,9,5),TbTradesBinance[[#This Row],[Taxa]],0),8)))</f>
        <v>1.96788E-3</v>
      </c>
      <c r="X206" s="145" cm="1">
        <f t="array" ref="X206">IF(TbTradesBinance[[#This Row],[Tipo]]="EMPTY",0,X205+IF(TbTradesBinance[[#This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Row],[Par]]))),$1:$1,0)),-(W205-W206)/W205*X205),0),0)+IF(TbTradesBinance[[#This Row],[Tipo]]="SELL",IF(ISNUMBER(FIND(MID(X$1,10,5),TbTradesBinance[[#This Row],[Par]])),IF(FIND(MID(X$1,10,5),TbTradesBinance[[#This Row],[Par]])=1, -(W205-W206)/W205*X205,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Row],[Par]])),(-(W205-W206)/W205*X205)+IF(TbTradesBinance[[#This Row],[Resultado]]&gt;0,0,TbTradesBinance[[#This Row],[Taxa]]),0),0))</f>
        <v>349.18571463820081</v>
      </c>
      <c r="Y206" s="145">
        <f t="shared" si="61"/>
        <v>177442.58523802305</v>
      </c>
      <c r="Z20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Row],[Tipo]]="DROP"),Z205+TbTradesBinance[[#This Row],[Qtt]],Z205-TbTradesBinance[[#This Row],[Qtt]]),IF(TbTradesBinance[[#This Row],[Tipo]]="BUY",Z205-TbTradesBinance[[#This Row],[Qtt]]*TbTradesBinance[[#This Row],[Preço]],Z205+TbTradesBinance[[#This Row],[Qtt]]*TbTradesBinance[[#This Row],[Preço]])),Z205)-IF(TbTradesBinance[[#This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Row],[Tipo]]="DROP"),Z205+TbTradesBinance[[#This Row],[Qtt]],Z205-TbTradesBinance[[#This Row],[Qtt]]),IF(TbTradesBinance[[#This Row],[Tipo]]="BUY",Z205-TbTradesBinance[[#This Row],[Qtt]]*TbTradesBinance[[#This Row],[Preço]],Z205+TbTradesBinance[[#This Row],[Qtt]]*TbTradesBinance[[#This Row],[Preço]])),Z205)-IF(TbTradesBinance[[#This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Row],[Tipo]]="DROP"),Z205+TbTradesBinance[[#This Row],[Qtt]],Z205-TbTradesBinance[[#This Row],[Qtt]]),IF(TbTradesBinance[[#This Row],[Tipo]]="BUY",Z205-TbTradesBinance[[#This Row],[Qtt]]*TbTradesBinance[[#This Row],[Preço]],Z205+TbTradesBinance[[#This Row],[Qtt]]*TbTradesBinance[[#This Row],[Preço]])),Z205)-IF(TbTradesBinance[[#This Row],[Moeda da Taxa]]=MID(Z$1,9,5),TbTradesBinance[[#This Row],[Taxa]],0),8)))</f>
        <v>0</v>
      </c>
      <c r="AA206" s="145" cm="1">
        <f t="array" ref="AA206">IF(TbTradesBinance[[#This Row],[Tipo]]="EMPTY",0,AA205+IF(TbTradesBinance[[#This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Row],[Par]]))),$1:$1,0)),-(Z205-Z206)/Z205*AA205),0),0)+IF(TbTradesBinance[[#This Row],[Tipo]]="SELL",IF(ISNUMBER(FIND(MID(AA$1,10,5),TbTradesBinance[[#This Row],[Par]])),IF(FIND(MID(AA$1,10,5),TbTradesBinance[[#This Row],[Par]])=1, -(Z205-Z206)/Z205*AA205,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Row],[Par]])),(-(Z205-Z206)/Z205*AA205)+IF(TbTradesBinance[[#This Row],[Resultado]]&gt;0,0,TbTradesBinance[[#This Row],[Taxa]]),0),0))</f>
        <v>0</v>
      </c>
      <c r="AB206" s="145">
        <f t="shared" si="62"/>
        <v>0</v>
      </c>
      <c r="AC20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Row],[Tipo]]="DROP"),AC205+TbTradesBinance[[#This Row],[Qtt]],AC205-TbTradesBinance[[#This Row],[Qtt]]),IF(TbTradesBinance[[#This Row],[Tipo]]="BUY",AC205-TbTradesBinance[[#This Row],[Qtt]]*TbTradesBinance[[#This Row],[Preço]],AC205+TbTradesBinance[[#This Row],[Qtt]]*TbTradesBinance[[#This Row],[Preço]])),AC205)-IF(TbTradesBinance[[#This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Row],[Tipo]]="DROP"),AC205+TbTradesBinance[[#This Row],[Qtt]],AC205-TbTradesBinance[[#This Row],[Qtt]]),IF(TbTradesBinance[[#This Row],[Tipo]]="BUY",AC205-TbTradesBinance[[#This Row],[Qtt]]*TbTradesBinance[[#This Row],[Preço]],AC205+TbTradesBinance[[#This Row],[Qtt]]*TbTradesBinance[[#This Row],[Preço]])),AC205)-IF(TbTradesBinance[[#This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Row],[Tipo]]="DROP"),AC205+TbTradesBinance[[#This Row],[Qtt]],AC205-TbTradesBinance[[#This Row],[Qtt]]),IF(TbTradesBinance[[#This Row],[Tipo]]="BUY",AC205-TbTradesBinance[[#This Row],[Qtt]]*TbTradesBinance[[#This Row],[Preço]],AC205+TbTradesBinance[[#This Row],[Qtt]]*TbTradesBinance[[#This Row],[Preço]])),AC205)-IF(TbTradesBinance[[#This Row],[Moeda da Taxa]]=MID(AC$1,9,5),TbTradesBinance[[#This Row],[Taxa]],0),8)))</f>
        <v>0</v>
      </c>
      <c r="AD206" s="145" cm="1">
        <f t="array" ref="AD206">IF(TbTradesBinance[[#This Row],[Tipo]]="EMPTY",0,AD205+IF(TbTradesBinance[[#This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Row],[Par]]))),$1:$1,0)),-(AC205-AC206)/AC205*AD205),0),0)+IF(TbTradesBinance[[#This Row],[Tipo]]="SELL",IF(ISNUMBER(FIND(MID(AD$1,10,5),TbTradesBinance[[#This Row],[Par]])),IF(FIND(MID(AD$1,10,5),TbTradesBinance[[#This Row],[Par]])=1, -(AC205-AC206)/AC205*AD205,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Row],[Par]])),(-(AC205-AC206)/AC205*AD205)+IF(TbTradesBinance[[#This Row],[Resultado]]&gt;0,0,TbTradesBinance[[#This Row],[Taxa]]),0),0))</f>
        <v>0</v>
      </c>
      <c r="AE206" s="145">
        <f t="shared" si="63"/>
        <v>0</v>
      </c>
      <c r="AF20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Row],[Tipo]]="DROP"),AF205+TbTradesBinance[[#This Row],[Qtt]],AF205-TbTradesBinance[[#This Row],[Qtt]]),IF(TbTradesBinance[[#This Row],[Tipo]]="BUY",AF205-TbTradesBinance[[#This Row],[Qtt]]*TbTradesBinance[[#This Row],[Preço]],AF205+TbTradesBinance[[#This Row],[Qtt]]*TbTradesBinance[[#This Row],[Preço]])),AF205)-IF(TbTradesBinance[[#This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Row],[Tipo]]="DROP"),AF205+TbTradesBinance[[#This Row],[Qtt]],AF205-TbTradesBinance[[#This Row],[Qtt]]),IF(TbTradesBinance[[#This Row],[Tipo]]="BUY",AF205-TbTradesBinance[[#This Row],[Qtt]]*TbTradesBinance[[#This Row],[Preço]],AF205+TbTradesBinance[[#This Row],[Qtt]]*TbTradesBinance[[#This Row],[Preço]])),AF205)-IF(TbTradesBinance[[#This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Row],[Tipo]]="DROP"),AF205+TbTradesBinance[[#This Row],[Qtt]],AF205-TbTradesBinance[[#This Row],[Qtt]]),IF(TbTradesBinance[[#This Row],[Tipo]]="BUY",AF205-TbTradesBinance[[#This Row],[Qtt]]*TbTradesBinance[[#This Row],[Preço]],AF205+TbTradesBinance[[#This Row],[Qtt]]*TbTradesBinance[[#This Row],[Preço]])),AF205)-IF(TbTradesBinance[[#This Row],[Moeda da Taxa]]=MID(AF$1,9,5),TbTradesBinance[[#This Row],[Taxa]],0),8)))</f>
        <v>0</v>
      </c>
      <c r="AG206" s="145" cm="1">
        <f t="array" ref="AG206">IF(TbTradesBinance[[#This Row],[Tipo]]="EMPTY",0,AG205+IF(TbTradesBinance[[#This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Row],[Par]]))),$1:$1,0)),-(AF205-AF206)/AF205*AG205),0),0)+IF(TbTradesBinance[[#This Row],[Tipo]]="SELL",IF(ISNUMBER(FIND(MID(AG$1,10,5),TbTradesBinance[[#This Row],[Par]])),IF(FIND(MID(AG$1,10,5),TbTradesBinance[[#This Row],[Par]])=1, -(AF205-AF206)/AF205*AG205,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Row],[Par]])),(-(AF205-AF206)/AF205*AG205)+IF(TbTradesBinance[[#This Row],[Resultado]]&gt;0,0,TbTradesBinance[[#This Row],[Taxa]]),0),0))</f>
        <v>0</v>
      </c>
      <c r="AH206" s="145">
        <f t="shared" si="64"/>
        <v>0</v>
      </c>
      <c r="AI20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Row],[Tipo]]="DROP"),AI205+TbTradesBinance[[#This Row],[Qtt]],AI205-TbTradesBinance[[#This Row],[Qtt]]),IF(TbTradesBinance[[#This Row],[Tipo]]="BUY",AI205-TbTradesBinance[[#This Row],[Qtt]]*TbTradesBinance[[#This Row],[Preço]],AI205+TbTradesBinance[[#This Row],[Qtt]]*TbTradesBinance[[#This Row],[Preço]])),AI205)-IF(TbTradesBinance[[#This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Row],[Tipo]]="DROP"),AI205+TbTradesBinance[[#This Row],[Qtt]],AI205-TbTradesBinance[[#This Row],[Qtt]]),IF(TbTradesBinance[[#This Row],[Tipo]]="BUY",AI205-TbTradesBinance[[#This Row],[Qtt]]*TbTradesBinance[[#This Row],[Preço]],AI205+TbTradesBinance[[#This Row],[Qtt]]*TbTradesBinance[[#This Row],[Preço]])),AI205)-IF(TbTradesBinance[[#This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Row],[Tipo]]="DROP"),AI205+TbTradesBinance[[#This Row],[Qtt]],AI205-TbTradesBinance[[#This Row],[Qtt]]),IF(TbTradesBinance[[#This Row],[Tipo]]="BUY",AI205-TbTradesBinance[[#This Row],[Qtt]]*TbTradesBinance[[#This Row],[Preço]],AI205+TbTradesBinance[[#This Row],[Qtt]]*TbTradesBinance[[#This Row],[Preço]])),AI205)-IF(TbTradesBinance[[#This Row],[Moeda da Taxa]]=MID(AI$1,9,5),TbTradesBinance[[#This Row],[Taxa]],0),8)))</f>
        <v>0</v>
      </c>
      <c r="AJ206" s="145" cm="1">
        <f t="array" ref="AJ206">IF(TbTradesBinance[[#This Row],[Tipo]]="EMPTY",0,AJ205+IF(TbTradesBinance[[#This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Row],[Par]]))),$1:$1,0)),-(AI205-AI206)/AI205*AJ205),0),0)+IF(TbTradesBinance[[#This Row],[Tipo]]="SELL",IF(ISNUMBER(FIND(MID(AJ$1,10,5),TbTradesBinance[[#This Row],[Par]])),IF(FIND(MID(AJ$1,10,5),TbTradesBinance[[#This Row],[Par]])=1, -(AI205-AI206)/AI205*AJ205,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Row],[Par]])),(-(AI205-AI206)/AI205*AJ205)+IF(TbTradesBinance[[#This Row],[Resultado]]&gt;0,0,TbTradesBinance[[#This Row],[Taxa]]),0),0))</f>
        <v>0</v>
      </c>
      <c r="AK206" s="145">
        <f t="shared" si="65"/>
        <v>0</v>
      </c>
      <c r="AL20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Row],[Tipo]]="DROP"),AL205+TbTradesBinance[[#This Row],[Qtt]],AL205-TbTradesBinance[[#This Row],[Qtt]]),IF(TbTradesBinance[[#This Row],[Tipo]]="BUY",AL205-TbTradesBinance[[#This Row],[Qtt]]*TbTradesBinance[[#This Row],[Preço]],AL205+TbTradesBinance[[#This Row],[Qtt]]*TbTradesBinance[[#This Row],[Preço]])),AL205)-IF(TbTradesBinance[[#This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Row],[Tipo]]="DROP"),AL205+TbTradesBinance[[#This Row],[Qtt]],AL205-TbTradesBinance[[#This Row],[Qtt]]),IF(TbTradesBinance[[#This Row],[Tipo]]="BUY",AL205-TbTradesBinance[[#This Row],[Qtt]]*TbTradesBinance[[#This Row],[Preço]],AL205+TbTradesBinance[[#This Row],[Qtt]]*TbTradesBinance[[#This Row],[Preço]])),AL205)-IF(TbTradesBinance[[#This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Row],[Tipo]]="DROP"),AL205+TbTradesBinance[[#This Row],[Qtt]],AL205-TbTradesBinance[[#This Row],[Qtt]]),IF(TbTradesBinance[[#This Row],[Tipo]]="BUY",AL205-TbTradesBinance[[#This Row],[Qtt]]*TbTradesBinance[[#This Row],[Preço]],AL205+TbTradesBinance[[#This Row],[Qtt]]*TbTradesBinance[[#This Row],[Preço]])),AL205)-IF(TbTradesBinance[[#This Row],[Moeda da Taxa]]=MID(AL$1,9,5),TbTradesBinance[[#This Row],[Taxa]],0),8)))</f>
        <v>0</v>
      </c>
      <c r="AM206" s="145" cm="1">
        <f t="array" ref="AM206">IF(TbTradesBinance[[#This Row],[Tipo]]="EMPTY",0,AM205+IF(TbTradesBinance[[#This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Row],[Par]]))),$1:$1,0)),-(AL205-AL206)/AL205*AM205),0),0)+IF(TbTradesBinance[[#This Row],[Tipo]]="SELL",IF(ISNUMBER(FIND(MID(AM$1,10,5),TbTradesBinance[[#This Row],[Par]])),IF(FIND(MID(AM$1,10,5),TbTradesBinance[[#This Row],[Par]])=1, -(AL205-AL206)/AL205*AM205,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Row],[Par]])),(-(AL205-AL206)/AL205*AM205)+IF(TbTradesBinance[[#This Row],[Resultado]]&gt;0,0,TbTradesBinance[[#This Row],[Taxa]]),0),0))</f>
        <v>0</v>
      </c>
      <c r="AN206" s="145">
        <f t="shared" si="66"/>
        <v>0</v>
      </c>
      <c r="AO20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Row],[Tipo]]="DROP"),AO205+TbTradesBinance[[#This Row],[Qtt]],AO205-TbTradesBinance[[#This Row],[Qtt]]),IF(TbTradesBinance[[#This Row],[Tipo]]="BUY",AO205-TbTradesBinance[[#This Row],[Qtt]]*TbTradesBinance[[#This Row],[Preço]],AO205+TbTradesBinance[[#This Row],[Qtt]]*TbTradesBinance[[#This Row],[Preço]])),AO205)-IF(TbTradesBinance[[#This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Row],[Tipo]]="DROP"),AO205+TbTradesBinance[[#This Row],[Qtt]],AO205-TbTradesBinance[[#This Row],[Qtt]]),IF(TbTradesBinance[[#This Row],[Tipo]]="BUY",AO205-TbTradesBinance[[#This Row],[Qtt]]*TbTradesBinance[[#This Row],[Preço]],AO205+TbTradesBinance[[#This Row],[Qtt]]*TbTradesBinance[[#This Row],[Preço]])),AO205)-IF(TbTradesBinance[[#This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Row],[Tipo]]="DROP"),AO205+TbTradesBinance[[#This Row],[Qtt]],AO205-TbTradesBinance[[#This Row],[Qtt]]),IF(TbTradesBinance[[#This Row],[Tipo]]="BUY",AO205-TbTradesBinance[[#This Row],[Qtt]]*TbTradesBinance[[#This Row],[Preço]],AO205+TbTradesBinance[[#This Row],[Qtt]]*TbTradesBinance[[#This Row],[Preço]])),AO205)-IF(TbTradesBinance[[#This Row],[Moeda da Taxa]]=MID(AO$1,9,5),TbTradesBinance[[#This Row],[Taxa]],0),8)))</f>
        <v>3.83405E-2</v>
      </c>
      <c r="AP206" s="145" cm="1">
        <f t="array" ref="AP206">IF(TbTradesBinance[[#This Row],[Tipo]]="EMPTY",0,AP205+IF(TbTradesBinance[[#This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Row],[Par]]))),$1:$1,0)),-(AO205-AO206)/AO205*AP205),0),0)+IF(TbTradesBinance[[#This Row],[Tipo]]="SELL",IF(ISNUMBER(FIND(MID(AP$1,10,5),TbTradesBinance[[#This Row],[Par]])),IF(FIND(MID(AP$1,10,5),TbTradesBinance[[#This Row],[Par]])=1, -(AO205-AO206)/AO205*AP205,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Row],[Par]])),(-(AO205-AO206)/AO205*AP205)+IF(TbTradesBinance[[#This Row],[Resultado]]&gt;0,0,TbTradesBinance[[#This Row],[Taxa]]),0),0))</f>
        <v>60.349858055862811</v>
      </c>
      <c r="AQ206" s="145">
        <f t="shared" si="67"/>
        <v>1574.0498443124845</v>
      </c>
      <c r="AR20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Row],[Tipo]]="DROP"),AR205+TbTradesBinance[[#This Row],[Qtt]],AR205-TbTradesBinance[[#This Row],[Qtt]]),IF(TbTradesBinance[[#This Row],[Tipo]]="BUY",AR205-TbTradesBinance[[#This Row],[Qtt]]*TbTradesBinance[[#This Row],[Preço]],AR205+TbTradesBinance[[#This Row],[Qtt]]*TbTradesBinance[[#This Row],[Preço]])),AR205)-IF(TbTradesBinance[[#This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Row],[Tipo]]="DROP"),AR205+TbTradesBinance[[#This Row],[Qtt]],AR205-TbTradesBinance[[#This Row],[Qtt]]),IF(TbTradesBinance[[#This Row],[Tipo]]="BUY",AR205-TbTradesBinance[[#This Row],[Qtt]]*TbTradesBinance[[#This Row],[Preço]],AR205+TbTradesBinance[[#This Row],[Qtt]]*TbTradesBinance[[#This Row],[Preço]])),AR205)-IF(TbTradesBinance[[#This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Row],[Tipo]]="DROP"),AR205+TbTradesBinance[[#This Row],[Qtt]],AR205-TbTradesBinance[[#This Row],[Qtt]]),IF(TbTradesBinance[[#This Row],[Tipo]]="BUY",AR205-TbTradesBinance[[#This Row],[Qtt]]*TbTradesBinance[[#This Row],[Preço]],AR205+TbTradesBinance[[#This Row],[Qtt]]*TbTradesBinance[[#This Row],[Preço]])),AR205)-IF(TbTradesBinance[[#This Row],[Moeda da Taxa]]=MID(AR$1,9,5),TbTradesBinance[[#This Row],[Taxa]],0),8)))</f>
        <v>0</v>
      </c>
      <c r="AS206" s="145" cm="1">
        <f t="array" ref="AS206">IF(TbTradesBinance[[#This Row],[Tipo]]="EMPTY",0,AS205+IF(TbTradesBinance[[#This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Row],[Par]]))),$1:$1,0)),-(AR205-AR206)/AR205*AS205),0),0)+IF(TbTradesBinance[[#This Row],[Tipo]]="SELL",IF(ISNUMBER(FIND(MID(AS$1,10,5),TbTradesBinance[[#This Row],[Par]])),IF(FIND(MID(AS$1,10,5),TbTradesBinance[[#This Row],[Par]])=1, -(AR205-AR206)/AR205*AS205,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Row],[Par]])),(-(AR205-AR206)/AR205*AS205)+IF(TbTradesBinance[[#This Row],[Resultado]]&gt;0,0,TbTradesBinance[[#This Row],[Taxa]]),0),0))</f>
        <v>0</v>
      </c>
      <c r="AT206" s="145">
        <f t="shared" si="68"/>
        <v>0</v>
      </c>
      <c r="AU20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Row],[Tipo]]="DROP"),AU205+TbTradesBinance[[#This Row],[Qtt]],AU205-TbTradesBinance[[#This Row],[Qtt]]),IF(TbTradesBinance[[#This Row],[Tipo]]="BUY",AU205-TbTradesBinance[[#This Row],[Qtt]]*TbTradesBinance[[#This Row],[Preço]],AU205+TbTradesBinance[[#This Row],[Qtt]]*TbTradesBinance[[#This Row],[Preço]])),AU205)-IF(TbTradesBinance[[#This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Row],[Tipo]]="DROP"),AU205+TbTradesBinance[[#This Row],[Qtt]],AU205-TbTradesBinance[[#This Row],[Qtt]]),IF(TbTradesBinance[[#This Row],[Tipo]]="BUY",AU205-TbTradesBinance[[#This Row],[Qtt]]*TbTradesBinance[[#This Row],[Preço]],AU205+TbTradesBinance[[#This Row],[Qtt]]*TbTradesBinance[[#This Row],[Preço]])),AU205)-IF(TbTradesBinance[[#This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Row],[Tipo]]="DROP"),AU205+TbTradesBinance[[#This Row],[Qtt]],AU205-TbTradesBinance[[#This Row],[Qtt]]),IF(TbTradesBinance[[#This Row],[Tipo]]="BUY",AU205-TbTradesBinance[[#This Row],[Qtt]]*TbTradesBinance[[#This Row],[Preço]],AU205+TbTradesBinance[[#This Row],[Qtt]]*TbTradesBinance[[#This Row],[Preço]])),AU205)-IF(TbTradesBinance[[#This Row],[Moeda da Taxa]]=MID(AU$1,9,5),TbTradesBinance[[#This Row],[Taxa]],0),8)))</f>
        <v>0.51</v>
      </c>
      <c r="AV206" s="145" cm="1">
        <f t="array" ref="AV206">IF(TbTradesBinance[[#This Row],[Tipo]]="EMPTY",0,AV205+IF(TbTradesBinance[[#This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Row],[Par]]))),$1:$1,0)),-(AU205-AU206)/AU205*AV205),0),0)+IF(TbTradesBinance[[#This Row],[Tipo]]="SELL",IF(ISNUMBER(FIND(MID(AV$1,10,5),TbTradesBinance[[#This Row],[Par]])),IF(FIND(MID(AV$1,10,5),TbTradesBinance[[#This Row],[Par]])=1, -(AU205-AU206)/AU205*AV205,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Row],[Par]])),(-(AU205-AU206)/AU205*AV205)+IF(TbTradesBinance[[#This Row],[Resultado]]&gt;0,0,TbTradesBinance[[#This Row],[Taxa]]),0),0))</f>
        <v>95.466693037374753</v>
      </c>
      <c r="AW206" s="145">
        <f t="shared" si="69"/>
        <v>187.18959419093088</v>
      </c>
      <c r="AX20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Row],[Tipo]]="DROP"),AX205+TbTradesBinance[[#This Row],[Qtt]],AX205-TbTradesBinance[[#This Row],[Qtt]]),IF(TbTradesBinance[[#This Row],[Tipo]]="BUY",AX205-TbTradesBinance[[#This Row],[Qtt]]*TbTradesBinance[[#This Row],[Preço]],AX205+TbTradesBinance[[#This Row],[Qtt]]*TbTradesBinance[[#This Row],[Preço]])),AX205)-IF(TbTradesBinance[[#This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Row],[Tipo]]="DROP"),AX205+TbTradesBinance[[#This Row],[Qtt]],AX205-TbTradesBinance[[#This Row],[Qtt]]),IF(TbTradesBinance[[#This Row],[Tipo]]="BUY",AX205-TbTradesBinance[[#This Row],[Qtt]]*TbTradesBinance[[#This Row],[Preço]],AX205+TbTradesBinance[[#This Row],[Qtt]]*TbTradesBinance[[#This Row],[Preço]])),AX205)-IF(TbTradesBinance[[#This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Row],[Tipo]]="DROP"),AX205+TbTradesBinance[[#This Row],[Qtt]],AX205-TbTradesBinance[[#This Row],[Qtt]]),IF(TbTradesBinance[[#This Row],[Tipo]]="BUY",AX205-TbTradesBinance[[#This Row],[Qtt]]*TbTradesBinance[[#This Row],[Preço]],AX205+TbTradesBinance[[#This Row],[Qtt]]*TbTradesBinance[[#This Row],[Preço]])),AX205)-IF(TbTradesBinance[[#This Row],[Moeda da Taxa]]=MID(AX$1,9,5),TbTradesBinance[[#This Row],[Taxa]],0),8)))</f>
        <v>0.32838000000000001</v>
      </c>
      <c r="AY206" s="145" cm="1">
        <f t="array" ref="AY206">IF(TbTradesBinance[[#This Row],[Tipo]]="EMPTY",0,AY205+IF(TbTradesBinance[[#This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Row],[Par]]))),$1:$1,0)),-(AX205-AX206)/AX205*AY205),0),0)+IF(TbTradesBinance[[#This Row],[Tipo]]="SELL",IF(ISNUMBER(FIND(MID(AY$1,10,5),TbTradesBinance[[#This Row],[Par]])),IF(FIND(MID(AY$1,10,5),TbTradesBinance[[#This Row],[Par]])=1, -(AX205-AX206)/AX205*AY205,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Row],[Par]])),(-(AX205-AX206)/AX205*AY205)+IF(TbTradesBinance[[#This Row],[Resultado]]&gt;0,0,TbTradesBinance[[#This Row],[Taxa]]),0),0))</f>
        <v>61.364116058805678</v>
      </c>
      <c r="AZ206" s="145">
        <f t="shared" si="70"/>
        <v>186.869224857804</v>
      </c>
      <c r="BA20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Row],[Tipo]]="DROP"),BA205+TbTradesBinance[[#This Row],[Qtt]],BA205-TbTradesBinance[[#This Row],[Qtt]]),IF(TbTradesBinance[[#This Row],[Tipo]]="BUY",BA205-TbTradesBinance[[#This Row],[Qtt]]*TbTradesBinance[[#This Row],[Preço]],BA205+TbTradesBinance[[#This Row],[Qtt]]*TbTradesBinance[[#This Row],[Preço]])),BA205)-IF(TbTradesBinance[[#This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Row],[Tipo]]="DROP"),BA205+TbTradesBinance[[#This Row],[Qtt]],BA205-TbTradesBinance[[#This Row],[Qtt]]),IF(TbTradesBinance[[#This Row],[Tipo]]="BUY",BA205-TbTradesBinance[[#This Row],[Qtt]]*TbTradesBinance[[#This Row],[Preço]],BA205+TbTradesBinance[[#This Row],[Qtt]]*TbTradesBinance[[#This Row],[Preço]])),BA205)-IF(TbTradesBinance[[#This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Row],[Tipo]]="DROP"),BA205+TbTradesBinance[[#This Row],[Qtt]],BA205-TbTradesBinance[[#This Row],[Qtt]]),IF(TbTradesBinance[[#This Row],[Tipo]]="BUY",BA205-TbTradesBinance[[#This Row],[Qtt]]*TbTradesBinance[[#This Row],[Preço]],BA205+TbTradesBinance[[#This Row],[Qtt]]*TbTradesBinance[[#This Row],[Preço]])),BA205)-IF(TbTradesBinance[[#This Row],[Moeda da Taxa]]=MID(BA$1,9,5),TbTradesBinance[[#This Row],[Taxa]],0),8)))</f>
        <v>0</v>
      </c>
      <c r="BB206" s="145" cm="1">
        <f t="array" ref="BB206">IF(TbTradesBinance[[#This Row],[Tipo]]="EMPTY",0,BB205+IF(TbTradesBinance[[#This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Row],[Par]]))),$1:$1,0)),-(BA205-BA206)/BA205*BB205),0),0)+IF(TbTradesBinance[[#This Row],[Tipo]]="SELL",IF(ISNUMBER(FIND(MID(BB$1,10,5),TbTradesBinance[[#This Row],[Par]])),IF(FIND(MID(BB$1,10,5),TbTradesBinance[[#This Row],[Par]])=1, -(BA205-BA206)/BA205*BB205,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Row],[Par]])),(-(BA205-BA206)/BA205*BB205)+IF(TbTradesBinance[[#This Row],[Resultado]]&gt;0,0,TbTradesBinance[[#This Row],[Taxa]]),0),0))</f>
        <v>0</v>
      </c>
      <c r="BC206" s="145">
        <f t="shared" si="71"/>
        <v>0</v>
      </c>
      <c r="BD20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Row],[Tipo]]="DROP"),BD205+TbTradesBinance[[#This Row],[Qtt]],BD205-TbTradesBinance[[#This Row],[Qtt]]),IF(TbTradesBinance[[#This Row],[Tipo]]="BUY",BD205-TbTradesBinance[[#This Row],[Qtt]]*TbTradesBinance[[#This Row],[Preço]],BD205+TbTradesBinance[[#This Row],[Qtt]]*TbTradesBinance[[#This Row],[Preço]])),BD205)-IF(TbTradesBinance[[#This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Row],[Tipo]]="DROP"),BD205+TbTradesBinance[[#This Row],[Qtt]],BD205-TbTradesBinance[[#This Row],[Qtt]]),IF(TbTradesBinance[[#This Row],[Tipo]]="BUY",BD205-TbTradesBinance[[#This Row],[Qtt]]*TbTradesBinance[[#This Row],[Preço]],BD205+TbTradesBinance[[#This Row],[Qtt]]*TbTradesBinance[[#This Row],[Preço]])),BD205)-IF(TbTradesBinance[[#This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Row],[Tipo]]="DROP"),BD205+TbTradesBinance[[#This Row],[Qtt]],BD205-TbTradesBinance[[#This Row],[Qtt]]),IF(TbTradesBinance[[#This Row],[Tipo]]="BUY",BD205-TbTradesBinance[[#This Row],[Qtt]]*TbTradesBinance[[#This Row],[Preço]],BD205+TbTradesBinance[[#This Row],[Qtt]]*TbTradesBinance[[#This Row],[Preço]])),BD205)-IF(TbTradesBinance[[#This Row],[Moeda da Taxa]]=MID(BD$1,9,5),TbTradesBinance[[#This Row],[Taxa]],0),8)))</f>
        <v>0</v>
      </c>
      <c r="BE206" s="145" cm="1">
        <f t="array" ref="BE206">IF(TbTradesBinance[[#This Row],[Tipo]]="EMPTY",0,BE205+IF(TbTradesBinance[[#This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Row],[Par]]))),$1:$1,0)),-(BD205-BD206)/BD205*BE205),0),0)+IF(TbTradesBinance[[#This Row],[Tipo]]="SELL",IF(ISNUMBER(FIND(MID(BE$1,10,5),TbTradesBinance[[#This Row],[Par]])),IF(FIND(MID(BE$1,10,5),TbTradesBinance[[#This Row],[Par]])=1, -(BD205-BD206)/BD205*BE205,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Row],[Par]])),(-(BD205-BD206)/BD205*BE205)+IF(TbTradesBinance[[#This Row],[Resultado]]&gt;0,0,TbTradesBinance[[#This Row],[Taxa]]),0),0))</f>
        <v>0</v>
      </c>
      <c r="BF206" s="145">
        <f t="shared" si="72"/>
        <v>0</v>
      </c>
      <c r="BG20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Row],[Tipo]]="DROP"),BG205+TbTradesBinance[[#This Row],[Qtt]],BG205-TbTradesBinance[[#This Row],[Qtt]]),IF(TbTradesBinance[[#This Row],[Tipo]]="BUY",BG205-TbTradesBinance[[#This Row],[Qtt]]*TbTradesBinance[[#This Row],[Preço]],BG205+TbTradesBinance[[#This Row],[Qtt]]*TbTradesBinance[[#This Row],[Preço]])),BG205)-IF(TbTradesBinance[[#This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Row],[Tipo]]="DROP"),BG205+TbTradesBinance[[#This Row],[Qtt]],BG205-TbTradesBinance[[#This Row],[Qtt]]),IF(TbTradesBinance[[#This Row],[Tipo]]="BUY",BG205-TbTradesBinance[[#This Row],[Qtt]]*TbTradesBinance[[#This Row],[Preço]],BG205+TbTradesBinance[[#This Row],[Qtt]]*TbTradesBinance[[#This Row],[Preço]])),BG205)-IF(TbTradesBinance[[#This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Row],[Tipo]]="DROP"),BG205+TbTradesBinance[[#This Row],[Qtt]],BG205-TbTradesBinance[[#This Row],[Qtt]]),IF(TbTradesBinance[[#This Row],[Tipo]]="BUY",BG205-TbTradesBinance[[#This Row],[Qtt]]*TbTradesBinance[[#This Row],[Preço]],BG205+TbTradesBinance[[#This Row],[Qtt]]*TbTradesBinance[[#This Row],[Preço]])),BG205)-IF(TbTradesBinance[[#This Row],[Moeda da Taxa]]=MID(BG$1,9,5),TbTradesBinance[[#This Row],[Taxa]],0),8)))</f>
        <v>0</v>
      </c>
      <c r="BH206" s="145" cm="1">
        <f t="array" ref="BH206">IF(TbTradesBinance[[#This Row],[Tipo]]="EMPTY",0,BH205+IF(TbTradesBinance[[#This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Row],[Par]]))),$1:$1,0)),-(BG205-BG206)/BG205*BH205),0),0)+IF(TbTradesBinance[[#This Row],[Tipo]]="SELL",IF(ISNUMBER(FIND(MID(BH$1,10,5),TbTradesBinance[[#This Row],[Par]])),IF(FIND(MID(BH$1,10,5),TbTradesBinance[[#This Row],[Par]])=1, -(BG205-BG206)/BG205*BH205,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Row],[Par]])),(-(BG205-BG206)/BG205*BH205)+IF(TbTradesBinance[[#This Row],[Resultado]]&gt;0,0,TbTradesBinance[[#This Row],[Taxa]]),0),0))</f>
        <v>0</v>
      </c>
      <c r="BI206" s="145">
        <f t="shared" si="73"/>
        <v>0</v>
      </c>
      <c r="BJ20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Row],[Tipo]]="DROP"),BJ205+TbTradesBinance[[#This Row],[Qtt]],BJ205-TbTradesBinance[[#This Row],[Qtt]]),IF(TbTradesBinance[[#This Row],[Tipo]]="BUY",BJ205-TbTradesBinance[[#This Row],[Qtt]]*TbTradesBinance[[#This Row],[Preço]],BJ205+TbTradesBinance[[#This Row],[Qtt]]*TbTradesBinance[[#This Row],[Preço]])),BJ205)-IF(TbTradesBinance[[#This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Row],[Tipo]]="DROP"),BJ205+TbTradesBinance[[#This Row],[Qtt]],BJ205-TbTradesBinance[[#This Row],[Qtt]]),IF(TbTradesBinance[[#This Row],[Tipo]]="BUY",BJ205-TbTradesBinance[[#This Row],[Qtt]]*TbTradesBinance[[#This Row],[Preço]],BJ205+TbTradesBinance[[#This Row],[Qtt]]*TbTradesBinance[[#This Row],[Preço]])),BJ205)-IF(TbTradesBinance[[#This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Row],[Tipo]]="DROP"),BJ205+TbTradesBinance[[#This Row],[Qtt]],BJ205-TbTradesBinance[[#This Row],[Qtt]]),IF(TbTradesBinance[[#This Row],[Tipo]]="BUY",BJ205-TbTradesBinance[[#This Row],[Qtt]]*TbTradesBinance[[#This Row],[Preço]],BJ205+TbTradesBinance[[#This Row],[Qtt]]*TbTradesBinance[[#This Row],[Preço]])),BJ205)-IF(TbTradesBinance[[#This Row],[Moeda da Taxa]]=MID(BJ$1,9,5),TbTradesBinance[[#This Row],[Taxa]],0),8)))</f>
        <v>0</v>
      </c>
      <c r="BK206" s="145" cm="1">
        <f t="array" ref="BK206">IF(TbTradesBinance[[#This Row],[Tipo]]="EMPTY",0,BK205+IF(TbTradesBinance[[#This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Row],[Par]]))),$1:$1,0)),-(BJ205-BJ206)/BJ205*BK205),0),0)+IF(TbTradesBinance[[#This Row],[Tipo]]="SELL",IF(ISNUMBER(FIND(MID(BK$1,10,5),TbTradesBinance[[#This Row],[Par]])),IF(FIND(MID(BK$1,10,5),TbTradesBinance[[#This Row],[Par]])=1, -(BJ205-BJ206)/BJ205*BK205,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Row],[Par]])),(-(BJ205-BJ206)/BJ205*BK205)+IF(TbTradesBinance[[#This Row],[Resultado]]&gt;0,0,TbTradesBinance[[#This Row],[Taxa]]),0),0))</f>
        <v>0</v>
      </c>
      <c r="BL206" s="145">
        <f t="shared" si="74"/>
        <v>0</v>
      </c>
      <c r="BM20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Row],[Tipo]]="DROP"),BM205+TbTradesBinance[[#This Row],[Qtt]],BM205-TbTradesBinance[[#This Row],[Qtt]]),IF(TbTradesBinance[[#This Row],[Tipo]]="BUY",BM205-TbTradesBinance[[#This Row],[Qtt]]*TbTradesBinance[[#This Row],[Preço]],BM205+TbTradesBinance[[#This Row],[Qtt]]*TbTradesBinance[[#This Row],[Preço]])),BM205)-IF(TbTradesBinance[[#This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Row],[Tipo]]="DROP"),BM205+TbTradesBinance[[#This Row],[Qtt]],BM205-TbTradesBinance[[#This Row],[Qtt]]),IF(TbTradesBinance[[#This Row],[Tipo]]="BUY",BM205-TbTradesBinance[[#This Row],[Qtt]]*TbTradesBinance[[#This Row],[Preço]],BM205+TbTradesBinance[[#This Row],[Qtt]]*TbTradesBinance[[#This Row],[Preço]])),BM205)-IF(TbTradesBinance[[#This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Row],[Tipo]]="DROP"),BM205+TbTradesBinance[[#This Row],[Qtt]],BM205-TbTradesBinance[[#This Row],[Qtt]]),IF(TbTradesBinance[[#This Row],[Tipo]]="BUY",BM205-TbTradesBinance[[#This Row],[Qtt]]*TbTradesBinance[[#This Row],[Preço]],BM205+TbTradesBinance[[#This Row],[Qtt]]*TbTradesBinance[[#This Row],[Preço]])),BM205)-IF(TbTradesBinance[[#This Row],[Moeda da Taxa]]=MID(BM$1,9,5),TbTradesBinance[[#This Row],[Taxa]],0),8)))</f>
        <v>0</v>
      </c>
      <c r="BN206" s="145" cm="1">
        <f t="array" ref="BN206">IF(TbTradesBinance[[#This Row],[Tipo]]="EMPTY",0,BN205+IF(TbTradesBinance[[#This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Row],[Par]]))),$1:$1,0)),-(BM205-BM206)/BM205*BN205),0),0)+IF(TbTradesBinance[[#This Row],[Tipo]]="SELL",IF(ISNUMBER(FIND(MID(BN$1,10,5),TbTradesBinance[[#This Row],[Par]])),IF(FIND(MID(BN$1,10,5),TbTradesBinance[[#This Row],[Par]])=1, -(BM205-BM206)/BM205*BN205,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Row],[Par]])),(-(BM205-BM206)/BM205*BN205)+IF(TbTradesBinance[[#This Row],[Resultado]]&gt;0,0,TbTradesBinance[[#This Row],[Taxa]]),0),0))</f>
        <v>0</v>
      </c>
      <c r="BO206" s="145">
        <f t="shared" si="75"/>
        <v>0</v>
      </c>
    </row>
    <row r="207" spans="2:67" x14ac:dyDescent="0.3">
      <c r="B207" s="51"/>
      <c r="C207" s="40">
        <f>TRUNC(IF(AND(TbTradesBinance[[#This Row],[Tipo]]="SEND",TbTradesBinance[[#This Row],[Par]]="BRL"),TbTradesBinance[[#This Row],[Qtt]]*(1-P205)-IF(TbTradesBinance[[#This Row],[Moeda da Taxa]]="BRL",TbTradesBinance[[#This Row],[Taxa]],0),0)+IF(AND(TbTradesBinance[[#This Row],[Tipo]]="BURN",TbTradesBinance[[#This Row],[Par]]="BRL"),-TbTradesBinance[[#This Row],[Qtt]]*P205,0),2)</f>
        <v>0</v>
      </c>
      <c r="D207" s="53">
        <v>44370.006527777776</v>
      </c>
      <c r="E207" s="37" t="s">
        <v>249</v>
      </c>
      <c r="F207" s="47" t="s">
        <v>139</v>
      </c>
      <c r="G207" s="38">
        <v>32079.52</v>
      </c>
      <c r="H207" s="38">
        <v>3.5179999999999999E-3</v>
      </c>
      <c r="I207" s="38">
        <v>3.5200000000000002E-6</v>
      </c>
      <c r="J207" s="37" t="s">
        <v>6</v>
      </c>
      <c r="K207" s="52">
        <v>4.9630000000000001</v>
      </c>
      <c r="L207" s="40">
        <f t="shared" si="57"/>
        <v>159210.65</v>
      </c>
      <c r="M207" s="40">
        <f>IF(OR(TbTradesBinance[[#This Row],[Tipo]]="BUY",TbTradesBinance[[#This Row],[Tipo]]="RECEIVE",TbTradesBinance[[#This Row],[Tipo]]="DROP"),L207*H207,-L207*H207)</f>
        <v>560.1030667</v>
      </c>
      <c r="N20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Row],[Tipo]]="DROP"),N206+TbTradesBinance[[#This Row],[Qtt]],N206-TbTradesBinance[[#This Row],[Qtt]]),IF(TbTradesBinance[[#This Row],[Tipo]]="BUY",N206-TbTradesBinance[[#This Row],[Qtt]]*TbTradesBinance[[#This Row],[Preço]],N206+TbTradesBinance[[#This Row],[Qtt]]*TbTradesBinance[[#This Row],[Preço]])),N206)-IF(TbTradesBinance[[#This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Row],[Tipo]]="DROP"),N206+TbTradesBinance[[#This Row],[Qtt]],N206-TbTradesBinance[[#This Row],[Qtt]]),IF(TbTradesBinance[[#This Row],[Tipo]]="BUY",N206-TbTradesBinance[[#This Row],[Qtt]]*TbTradesBinance[[#This Row],[Preço]],N206+TbTradesBinance[[#This Row],[Qtt]]*TbTradesBinance[[#This Row],[Preço]])),N206)-IF(TbTradesBinance[[#This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Row],[Tipo]]="DROP"),N206+TbTradesBinance[[#This Row],[Qtt]],N206-TbTradesBinance[[#This Row],[Qtt]]),IF(TbTradesBinance[[#This Row],[Tipo]]="BUY",N206-TbTradesBinance[[#This Row],[Qtt]]*TbTradesBinance[[#This Row],[Preço]],N206+TbTradesBinance[[#This Row],[Qtt]]*TbTradesBinance[[#This Row],[Preço]])),N206)-IF(TbTradesBinance[[#This Row],[Moeda da Taxa]]=MID(N$1,9,5),TbTradesBinance[[#This Row],[Taxa]],0),8)))</f>
        <v>120678.39511781</v>
      </c>
      <c r="O207" s="145" cm="1">
        <f t="array" ref="O207">IF(TbTradesBinance[[#This Row],[Tipo]]="EMPTY",0,O206+IF(TbTradesBinance[[#This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Row],[Par]]))),$1:$1,0)),-(N206-N207)/N206*O206),0),0)+IF(TbTradesBinance[[#This Row],[Tipo]]="SELL",IF(ISNUMBER(FIND(MID(O$1,10,5),TbTradesBinance[[#This Row],[Par]])),IF(FIND(MID(O$1,10,5),TbTradesBinance[[#This Row],[Par]])=1, -(N206-N207)/N206*O206,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Row],[Par]])),(-(N206-N207)/N206*O206)+IF(TbTradesBinance[[#This Row],[Resultado]]&gt;0,0,TbTradesBinance[[#This Row],[Taxa]]),0),0))</f>
        <v>121343.08135798256</v>
      </c>
      <c r="P207" s="145">
        <f t="shared" si="58"/>
        <v>1.0055079141508609</v>
      </c>
      <c r="Q20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Row],[Tipo]]="DROP"),Q206+TbTradesBinance[[#This Row],[Qtt]],Q206-TbTradesBinance[[#This Row],[Qtt]]),IF(TbTradesBinance[[#This Row],[Tipo]]="BUY",Q206-TbTradesBinance[[#This Row],[Qtt]]*TbTradesBinance[[#This Row],[Preço]],Q206+TbTradesBinance[[#This Row],[Qtt]]*TbTradesBinance[[#This Row],[Preço]])),Q206)-IF(TbTradesBinance[[#This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Row],[Tipo]]="DROP"),Q206+TbTradesBinance[[#This Row],[Qtt]],Q206-TbTradesBinance[[#This Row],[Qtt]]),IF(TbTradesBinance[[#This Row],[Tipo]]="BUY",Q206-TbTradesBinance[[#This Row],[Qtt]]*TbTradesBinance[[#This Row],[Preço]],Q206+TbTradesBinance[[#This Row],[Qtt]]*TbTradesBinance[[#This Row],[Preço]])),Q206)-IF(TbTradesBinance[[#This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Row],[Tipo]]="DROP"),Q206+TbTradesBinance[[#This Row],[Qtt]],Q206-TbTradesBinance[[#This Row],[Qtt]]),IF(TbTradesBinance[[#This Row],[Tipo]]="BUY",Q206-TbTradesBinance[[#This Row],[Qtt]]*TbTradesBinance[[#This Row],[Preço]],Q206+TbTradesBinance[[#This Row],[Qtt]]*TbTradesBinance[[#This Row],[Preço]])),Q206)-IF(TbTradesBinance[[#This Row],[Moeda da Taxa]]=MID(Q$1,9,5),TbTradesBinance[[#This Row],[Taxa]],0),8)))</f>
        <v>118.4648759</v>
      </c>
      <c r="R207" s="145" cm="1">
        <f t="array" ref="R207">IF(TbTradesBinance[[#This Row],[Tipo]]="EMPTY",0,R206+IF(TbTradesBinance[[#This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Row],[Par]]))),$1:$1,0)),-(Q206-Q207)/Q206*R206),0),0)+IF(TbTradesBinance[[#This Row],[Tipo]]="SELL",IF(ISNUMBER(FIND(MID(R$1,10,5),TbTradesBinance[[#This Row],[Par]])),IF(FIND(MID(R$1,10,5),TbTradesBinance[[#This Row],[Par]])=1, -(Q206-Q207)/Q206*R206,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Row],[Par]])),(-(Q206-Q207)/Q206*R206)+IF(TbTradesBinance[[#This Row],[Resultado]]&gt;0,0,TbTradesBinance[[#This Row],[Taxa]]),0),0))</f>
        <v>685.19855078142461</v>
      </c>
      <c r="S207" s="145">
        <f t="shared" si="59"/>
        <v>5.7839806573538528</v>
      </c>
      <c r="T20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Row],[Tipo]]="DROP"),T206+TbTradesBinance[[#This Row],[Qtt]],T206-TbTradesBinance[[#This Row],[Qtt]]),IF(TbTradesBinance[[#This Row],[Tipo]]="BUY",T206-TbTradesBinance[[#This Row],[Qtt]]*TbTradesBinance[[#This Row],[Preço]],T206+TbTradesBinance[[#This Row],[Qtt]]*TbTradesBinance[[#This Row],[Preço]])),T206)-IF(TbTradesBinance[[#This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Row],[Tipo]]="DROP"),T206+TbTradesBinance[[#This Row],[Qtt]],T206-TbTradesBinance[[#This Row],[Qtt]]),IF(TbTradesBinance[[#This Row],[Tipo]]="BUY",T206-TbTradesBinance[[#This Row],[Qtt]]*TbTradesBinance[[#This Row],[Preço]],T206+TbTradesBinance[[#This Row],[Qtt]]*TbTradesBinance[[#This Row],[Preço]])),T206)-IF(TbTradesBinance[[#This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Row],[Tipo]]="DROP"),T206+TbTradesBinance[[#This Row],[Qtt]],T206-TbTradesBinance[[#This Row],[Qtt]]),IF(TbTradesBinance[[#This Row],[Tipo]]="BUY",T206-TbTradesBinance[[#This Row],[Qtt]]*TbTradesBinance[[#This Row],[Preço]],T206+TbTradesBinance[[#This Row],[Qtt]]*TbTradesBinance[[#This Row],[Preço]])),T206)-IF(TbTradesBinance[[#This Row],[Moeda da Taxa]]=MID(T$1,9,5),TbTradesBinance[[#This Row],[Taxa]],0),8)))</f>
        <v>101223913.720009</v>
      </c>
      <c r="U207" s="145" cm="1">
        <f t="array" ref="U207">IF(TbTradesBinance[[#This Row],[Tipo]]="EMPTY",0,U206+IF(TbTradesBinance[[#This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Row],[Par]]))),$1:$1,0)),-(T206-T207)/T206*U206),0),0)+IF(TbTradesBinance[[#This Row],[Tipo]]="SELL",IF(ISNUMBER(FIND(MID(U$1,10,5),TbTradesBinance[[#This Row],[Par]])),IF(FIND(MID(U$1,10,5),TbTradesBinance[[#This Row],[Par]])=1, -(T206-T207)/T206*U206,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Row],[Par]])),(-(T206-T207)/T206*U206)+IF(TbTradesBinance[[#This Row],[Resultado]]&gt;0,0,TbTradesBinance[[#This Row],[Taxa]]),0),0))</f>
        <v>617586601.27364206</v>
      </c>
      <c r="V207" s="145">
        <f t="shared" si="60"/>
        <v>6.1011926784605572</v>
      </c>
      <c r="W20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Row],[Tipo]]="DROP"),W206+TbTradesBinance[[#This Row],[Qtt]],W206-TbTradesBinance[[#This Row],[Qtt]]),IF(TbTradesBinance[[#This Row],[Tipo]]="BUY",W206-TbTradesBinance[[#This Row],[Qtt]]*TbTradesBinance[[#This Row],[Preço]],W206+TbTradesBinance[[#This Row],[Qtt]]*TbTradesBinance[[#This Row],[Preço]])),W206)-IF(TbTradesBinance[[#This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Row],[Tipo]]="DROP"),W206+TbTradesBinance[[#This Row],[Qtt]],W206-TbTradesBinance[[#This Row],[Qtt]]),IF(TbTradesBinance[[#This Row],[Tipo]]="BUY",W206-TbTradesBinance[[#This Row],[Qtt]]*TbTradesBinance[[#This Row],[Preço]],W206+TbTradesBinance[[#This Row],[Qtt]]*TbTradesBinance[[#This Row],[Preço]])),W206)-IF(TbTradesBinance[[#This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Row],[Tipo]]="DROP"),W206+TbTradesBinance[[#This Row],[Qtt]],W206-TbTradesBinance[[#This Row],[Qtt]]),IF(TbTradesBinance[[#This Row],[Tipo]]="BUY",W206-TbTradesBinance[[#This Row],[Qtt]]*TbTradesBinance[[#This Row],[Preço]],W206+TbTradesBinance[[#This Row],[Qtt]]*TbTradesBinance[[#This Row],[Preço]])),W206)-IF(TbTradesBinance[[#This Row],[Moeda da Taxa]]=MID(W$1,9,5),TbTradesBinance[[#This Row],[Taxa]],0),8)))</f>
        <v>5.4823600000000004E-3</v>
      </c>
      <c r="X207" s="145" cm="1">
        <f t="array" ref="X207">IF(TbTradesBinance[[#This Row],[Tipo]]="EMPTY",0,X206+IF(TbTradesBinance[[#This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Row],[Par]]))),$1:$1,0)),-(W206-W207)/W206*X206),0),0)+IF(TbTradesBinance[[#This Row],[Tipo]]="SELL",IF(ISNUMBER(FIND(MID(X$1,10,5),TbTradesBinance[[#This Row],[Par]])),IF(FIND(MID(X$1,10,5),TbTradesBinance[[#This Row],[Par]])=1, -(W206-W207)/W206*X206,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Row],[Par]])),(-(W206-W207)/W206*X206)+IF(TbTradesBinance[[#This Row],[Resultado]]&gt;0,0,TbTradesBinance[[#This Row],[Taxa]]),0),0))</f>
        <v>1001.9411975755767</v>
      </c>
      <c r="Y207" s="145">
        <f t="shared" si="61"/>
        <v>182757.27926943445</v>
      </c>
      <c r="Z20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Row],[Tipo]]="DROP"),Z206+TbTradesBinance[[#This Row],[Qtt]],Z206-TbTradesBinance[[#This Row],[Qtt]]),IF(TbTradesBinance[[#This Row],[Tipo]]="BUY",Z206-TbTradesBinance[[#This Row],[Qtt]]*TbTradesBinance[[#This Row],[Preço]],Z206+TbTradesBinance[[#This Row],[Qtt]]*TbTradesBinance[[#This Row],[Preço]])),Z206)-IF(TbTradesBinance[[#This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Row],[Tipo]]="DROP"),Z206+TbTradesBinance[[#This Row],[Qtt]],Z206-TbTradesBinance[[#This Row],[Qtt]]),IF(TbTradesBinance[[#This Row],[Tipo]]="BUY",Z206-TbTradesBinance[[#This Row],[Qtt]]*TbTradesBinance[[#This Row],[Preço]],Z206+TbTradesBinance[[#This Row],[Qtt]]*TbTradesBinance[[#This Row],[Preço]])),Z206)-IF(TbTradesBinance[[#This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Row],[Tipo]]="DROP"),Z206+TbTradesBinance[[#This Row],[Qtt]],Z206-TbTradesBinance[[#This Row],[Qtt]]),IF(TbTradesBinance[[#This Row],[Tipo]]="BUY",Z206-TbTradesBinance[[#This Row],[Qtt]]*TbTradesBinance[[#This Row],[Preço]],Z206+TbTradesBinance[[#This Row],[Qtt]]*TbTradesBinance[[#This Row],[Preço]])),Z206)-IF(TbTradesBinance[[#This Row],[Moeda da Taxa]]=MID(Z$1,9,5),TbTradesBinance[[#This Row],[Taxa]],0),8)))</f>
        <v>0</v>
      </c>
      <c r="AA207" s="145" cm="1">
        <f t="array" ref="AA207">IF(TbTradesBinance[[#This Row],[Tipo]]="EMPTY",0,AA206+IF(TbTradesBinance[[#This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Row],[Par]]))),$1:$1,0)),-(Z206-Z207)/Z206*AA206),0),0)+IF(TbTradesBinance[[#This Row],[Tipo]]="SELL",IF(ISNUMBER(FIND(MID(AA$1,10,5),TbTradesBinance[[#This Row],[Par]])),IF(FIND(MID(AA$1,10,5),TbTradesBinance[[#This Row],[Par]])=1, -(Z206-Z207)/Z206*AA206,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Row],[Par]])),(-(Z206-Z207)/Z206*AA206)+IF(TbTradesBinance[[#This Row],[Resultado]]&gt;0,0,TbTradesBinance[[#This Row],[Taxa]]),0),0))</f>
        <v>0</v>
      </c>
      <c r="AB207" s="145">
        <f t="shared" si="62"/>
        <v>0</v>
      </c>
      <c r="AC20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Row],[Tipo]]="DROP"),AC206+TbTradesBinance[[#This Row],[Qtt]],AC206-TbTradesBinance[[#This Row],[Qtt]]),IF(TbTradesBinance[[#This Row],[Tipo]]="BUY",AC206-TbTradesBinance[[#This Row],[Qtt]]*TbTradesBinance[[#This Row],[Preço]],AC206+TbTradesBinance[[#This Row],[Qtt]]*TbTradesBinance[[#This Row],[Preço]])),AC206)-IF(TbTradesBinance[[#This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Row],[Tipo]]="DROP"),AC206+TbTradesBinance[[#This Row],[Qtt]],AC206-TbTradesBinance[[#This Row],[Qtt]]),IF(TbTradesBinance[[#This Row],[Tipo]]="BUY",AC206-TbTradesBinance[[#This Row],[Qtt]]*TbTradesBinance[[#This Row],[Preço]],AC206+TbTradesBinance[[#This Row],[Qtt]]*TbTradesBinance[[#This Row],[Preço]])),AC206)-IF(TbTradesBinance[[#This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Row],[Tipo]]="DROP"),AC206+TbTradesBinance[[#This Row],[Qtt]],AC206-TbTradesBinance[[#This Row],[Qtt]]),IF(TbTradesBinance[[#This Row],[Tipo]]="BUY",AC206-TbTradesBinance[[#This Row],[Qtt]]*TbTradesBinance[[#This Row],[Preço]],AC206+TbTradesBinance[[#This Row],[Qtt]]*TbTradesBinance[[#This Row],[Preço]])),AC206)-IF(TbTradesBinance[[#This Row],[Moeda da Taxa]]=MID(AC$1,9,5),TbTradesBinance[[#This Row],[Taxa]],0),8)))</f>
        <v>0</v>
      </c>
      <c r="AD207" s="145" cm="1">
        <f t="array" ref="AD207">IF(TbTradesBinance[[#This Row],[Tipo]]="EMPTY",0,AD206+IF(TbTradesBinance[[#This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Row],[Par]]))),$1:$1,0)),-(AC206-AC207)/AC206*AD206),0),0)+IF(TbTradesBinance[[#This Row],[Tipo]]="SELL",IF(ISNUMBER(FIND(MID(AD$1,10,5),TbTradesBinance[[#This Row],[Par]])),IF(FIND(MID(AD$1,10,5),TbTradesBinance[[#This Row],[Par]])=1, -(AC206-AC207)/AC206*AD206,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Row],[Par]])),(-(AC206-AC207)/AC206*AD206)+IF(TbTradesBinance[[#This Row],[Resultado]]&gt;0,0,TbTradesBinance[[#This Row],[Taxa]]),0),0))</f>
        <v>0</v>
      </c>
      <c r="AE207" s="145">
        <f t="shared" si="63"/>
        <v>0</v>
      </c>
      <c r="AF20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Row],[Tipo]]="DROP"),AF206+TbTradesBinance[[#This Row],[Qtt]],AF206-TbTradesBinance[[#This Row],[Qtt]]),IF(TbTradesBinance[[#This Row],[Tipo]]="BUY",AF206-TbTradesBinance[[#This Row],[Qtt]]*TbTradesBinance[[#This Row],[Preço]],AF206+TbTradesBinance[[#This Row],[Qtt]]*TbTradesBinance[[#This Row],[Preço]])),AF206)-IF(TbTradesBinance[[#This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Row],[Tipo]]="DROP"),AF206+TbTradesBinance[[#This Row],[Qtt]],AF206-TbTradesBinance[[#This Row],[Qtt]]),IF(TbTradesBinance[[#This Row],[Tipo]]="BUY",AF206-TbTradesBinance[[#This Row],[Qtt]]*TbTradesBinance[[#This Row],[Preço]],AF206+TbTradesBinance[[#This Row],[Qtt]]*TbTradesBinance[[#This Row],[Preço]])),AF206)-IF(TbTradesBinance[[#This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Row],[Tipo]]="DROP"),AF206+TbTradesBinance[[#This Row],[Qtt]],AF206-TbTradesBinance[[#This Row],[Qtt]]),IF(TbTradesBinance[[#This Row],[Tipo]]="BUY",AF206-TbTradesBinance[[#This Row],[Qtt]]*TbTradesBinance[[#This Row],[Preço]],AF206+TbTradesBinance[[#This Row],[Qtt]]*TbTradesBinance[[#This Row],[Preço]])),AF206)-IF(TbTradesBinance[[#This Row],[Moeda da Taxa]]=MID(AF$1,9,5),TbTradesBinance[[#This Row],[Taxa]],0),8)))</f>
        <v>0</v>
      </c>
      <c r="AG207" s="145" cm="1">
        <f t="array" ref="AG207">IF(TbTradesBinance[[#This Row],[Tipo]]="EMPTY",0,AG206+IF(TbTradesBinance[[#This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Row],[Par]]))),$1:$1,0)),-(AF206-AF207)/AF206*AG206),0),0)+IF(TbTradesBinance[[#This Row],[Tipo]]="SELL",IF(ISNUMBER(FIND(MID(AG$1,10,5),TbTradesBinance[[#This Row],[Par]])),IF(FIND(MID(AG$1,10,5),TbTradesBinance[[#This Row],[Par]])=1, -(AF206-AF207)/AF206*AG206,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Row],[Par]])),(-(AF206-AF207)/AF206*AG206)+IF(TbTradesBinance[[#This Row],[Resultado]]&gt;0,0,TbTradesBinance[[#This Row],[Taxa]]),0),0))</f>
        <v>0</v>
      </c>
      <c r="AH207" s="145">
        <f t="shared" si="64"/>
        <v>0</v>
      </c>
      <c r="AI20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Row],[Tipo]]="DROP"),AI206+TbTradesBinance[[#This Row],[Qtt]],AI206-TbTradesBinance[[#This Row],[Qtt]]),IF(TbTradesBinance[[#This Row],[Tipo]]="BUY",AI206-TbTradesBinance[[#This Row],[Qtt]]*TbTradesBinance[[#This Row],[Preço]],AI206+TbTradesBinance[[#This Row],[Qtt]]*TbTradesBinance[[#This Row],[Preço]])),AI206)-IF(TbTradesBinance[[#This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Row],[Tipo]]="DROP"),AI206+TbTradesBinance[[#This Row],[Qtt]],AI206-TbTradesBinance[[#This Row],[Qtt]]),IF(TbTradesBinance[[#This Row],[Tipo]]="BUY",AI206-TbTradesBinance[[#This Row],[Qtt]]*TbTradesBinance[[#This Row],[Preço]],AI206+TbTradesBinance[[#This Row],[Qtt]]*TbTradesBinance[[#This Row],[Preço]])),AI206)-IF(TbTradesBinance[[#This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Row],[Tipo]]="DROP"),AI206+TbTradesBinance[[#This Row],[Qtt]],AI206-TbTradesBinance[[#This Row],[Qtt]]),IF(TbTradesBinance[[#This Row],[Tipo]]="BUY",AI206-TbTradesBinance[[#This Row],[Qtt]]*TbTradesBinance[[#This Row],[Preço]],AI206+TbTradesBinance[[#This Row],[Qtt]]*TbTradesBinance[[#This Row],[Preço]])),AI206)-IF(TbTradesBinance[[#This Row],[Moeda da Taxa]]=MID(AI$1,9,5),TbTradesBinance[[#This Row],[Taxa]],0),8)))</f>
        <v>0</v>
      </c>
      <c r="AJ207" s="145" cm="1">
        <f t="array" ref="AJ207">IF(TbTradesBinance[[#This Row],[Tipo]]="EMPTY",0,AJ206+IF(TbTradesBinance[[#This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Row],[Par]]))),$1:$1,0)),-(AI206-AI207)/AI206*AJ206),0),0)+IF(TbTradesBinance[[#This Row],[Tipo]]="SELL",IF(ISNUMBER(FIND(MID(AJ$1,10,5),TbTradesBinance[[#This Row],[Par]])),IF(FIND(MID(AJ$1,10,5),TbTradesBinance[[#This Row],[Par]])=1, -(AI206-AI207)/AI206*AJ206,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Row],[Par]])),(-(AI206-AI207)/AI206*AJ206)+IF(TbTradesBinance[[#This Row],[Resultado]]&gt;0,0,TbTradesBinance[[#This Row],[Taxa]]),0),0))</f>
        <v>0</v>
      </c>
      <c r="AK207" s="145">
        <f t="shared" si="65"/>
        <v>0</v>
      </c>
      <c r="AL20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Row],[Tipo]]="DROP"),AL206+TbTradesBinance[[#This Row],[Qtt]],AL206-TbTradesBinance[[#This Row],[Qtt]]),IF(TbTradesBinance[[#This Row],[Tipo]]="BUY",AL206-TbTradesBinance[[#This Row],[Qtt]]*TbTradesBinance[[#This Row],[Preço]],AL206+TbTradesBinance[[#This Row],[Qtt]]*TbTradesBinance[[#This Row],[Preço]])),AL206)-IF(TbTradesBinance[[#This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Row],[Tipo]]="DROP"),AL206+TbTradesBinance[[#This Row],[Qtt]],AL206-TbTradesBinance[[#This Row],[Qtt]]),IF(TbTradesBinance[[#This Row],[Tipo]]="BUY",AL206-TbTradesBinance[[#This Row],[Qtt]]*TbTradesBinance[[#This Row],[Preço]],AL206+TbTradesBinance[[#This Row],[Qtt]]*TbTradesBinance[[#This Row],[Preço]])),AL206)-IF(TbTradesBinance[[#This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Row],[Tipo]]="DROP"),AL206+TbTradesBinance[[#This Row],[Qtt]],AL206-TbTradesBinance[[#This Row],[Qtt]]),IF(TbTradesBinance[[#This Row],[Tipo]]="BUY",AL206-TbTradesBinance[[#This Row],[Qtt]]*TbTradesBinance[[#This Row],[Preço]],AL206+TbTradesBinance[[#This Row],[Qtt]]*TbTradesBinance[[#This Row],[Preço]])),AL206)-IF(TbTradesBinance[[#This Row],[Moeda da Taxa]]=MID(AL$1,9,5),TbTradesBinance[[#This Row],[Taxa]],0),8)))</f>
        <v>0</v>
      </c>
      <c r="AM207" s="145" cm="1">
        <f t="array" ref="AM207">IF(TbTradesBinance[[#This Row],[Tipo]]="EMPTY",0,AM206+IF(TbTradesBinance[[#This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Row],[Par]]))),$1:$1,0)),-(AL206-AL207)/AL206*AM206),0),0)+IF(TbTradesBinance[[#This Row],[Tipo]]="SELL",IF(ISNUMBER(FIND(MID(AM$1,10,5),TbTradesBinance[[#This Row],[Par]])),IF(FIND(MID(AM$1,10,5),TbTradesBinance[[#This Row],[Par]])=1, -(AL206-AL207)/AL206*AM206,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Row],[Par]])),(-(AL206-AL207)/AL206*AM206)+IF(TbTradesBinance[[#This Row],[Resultado]]&gt;0,0,TbTradesBinance[[#This Row],[Taxa]]),0),0))</f>
        <v>0</v>
      </c>
      <c r="AN207" s="145">
        <f t="shared" si="66"/>
        <v>0</v>
      </c>
      <c r="AO20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Row],[Tipo]]="DROP"),AO206+TbTradesBinance[[#This Row],[Qtt]],AO206-TbTradesBinance[[#This Row],[Qtt]]),IF(TbTradesBinance[[#This Row],[Tipo]]="BUY",AO206-TbTradesBinance[[#This Row],[Qtt]]*TbTradesBinance[[#This Row],[Preço]],AO206+TbTradesBinance[[#This Row],[Qtt]]*TbTradesBinance[[#This Row],[Preço]])),AO206)-IF(TbTradesBinance[[#This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Row],[Tipo]]="DROP"),AO206+TbTradesBinance[[#This Row],[Qtt]],AO206-TbTradesBinance[[#This Row],[Qtt]]),IF(TbTradesBinance[[#This Row],[Tipo]]="BUY",AO206-TbTradesBinance[[#This Row],[Qtt]]*TbTradesBinance[[#This Row],[Preço]],AO206+TbTradesBinance[[#This Row],[Qtt]]*TbTradesBinance[[#This Row],[Preço]])),AO206)-IF(TbTradesBinance[[#This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Row],[Tipo]]="DROP"),AO206+TbTradesBinance[[#This Row],[Qtt]],AO206-TbTradesBinance[[#This Row],[Qtt]]),IF(TbTradesBinance[[#This Row],[Tipo]]="BUY",AO206-TbTradesBinance[[#This Row],[Qtt]]*TbTradesBinance[[#This Row],[Preço]],AO206+TbTradesBinance[[#This Row],[Qtt]]*TbTradesBinance[[#This Row],[Preço]])),AO206)-IF(TbTradesBinance[[#This Row],[Moeda da Taxa]]=MID(AO$1,9,5),TbTradesBinance[[#This Row],[Taxa]],0),8)))</f>
        <v>3.83405E-2</v>
      </c>
      <c r="AP207" s="145" cm="1">
        <f t="array" ref="AP207">IF(TbTradesBinance[[#This Row],[Tipo]]="EMPTY",0,AP206+IF(TbTradesBinance[[#This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Row],[Par]]))),$1:$1,0)),-(AO206-AO207)/AO206*AP206),0),0)+IF(TbTradesBinance[[#This Row],[Tipo]]="SELL",IF(ISNUMBER(FIND(MID(AP$1,10,5),TbTradesBinance[[#This Row],[Par]])),IF(FIND(MID(AP$1,10,5),TbTradesBinance[[#This Row],[Par]])=1, -(AO206-AO207)/AO206*AP206,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Row],[Par]])),(-(AO206-AO207)/AO206*AP206)+IF(TbTradesBinance[[#This Row],[Resultado]]&gt;0,0,TbTradesBinance[[#This Row],[Taxa]]),0),0))</f>
        <v>60.349858055862811</v>
      </c>
      <c r="AQ207" s="145">
        <f t="shared" si="67"/>
        <v>1574.0498443124845</v>
      </c>
      <c r="AR20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Row],[Tipo]]="DROP"),AR206+TbTradesBinance[[#This Row],[Qtt]],AR206-TbTradesBinance[[#This Row],[Qtt]]),IF(TbTradesBinance[[#This Row],[Tipo]]="BUY",AR206-TbTradesBinance[[#This Row],[Qtt]]*TbTradesBinance[[#This Row],[Preço]],AR206+TbTradesBinance[[#This Row],[Qtt]]*TbTradesBinance[[#This Row],[Preço]])),AR206)-IF(TbTradesBinance[[#This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Row],[Tipo]]="DROP"),AR206+TbTradesBinance[[#This Row],[Qtt]],AR206-TbTradesBinance[[#This Row],[Qtt]]),IF(TbTradesBinance[[#This Row],[Tipo]]="BUY",AR206-TbTradesBinance[[#This Row],[Qtt]]*TbTradesBinance[[#This Row],[Preço]],AR206+TbTradesBinance[[#This Row],[Qtt]]*TbTradesBinance[[#This Row],[Preço]])),AR206)-IF(TbTradesBinance[[#This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Row],[Tipo]]="DROP"),AR206+TbTradesBinance[[#This Row],[Qtt]],AR206-TbTradesBinance[[#This Row],[Qtt]]),IF(TbTradesBinance[[#This Row],[Tipo]]="BUY",AR206-TbTradesBinance[[#This Row],[Qtt]]*TbTradesBinance[[#This Row],[Preço]],AR206+TbTradesBinance[[#This Row],[Qtt]]*TbTradesBinance[[#This Row],[Preço]])),AR206)-IF(TbTradesBinance[[#This Row],[Moeda da Taxa]]=MID(AR$1,9,5),TbTradesBinance[[#This Row],[Taxa]],0),8)))</f>
        <v>0</v>
      </c>
      <c r="AS207" s="145" cm="1">
        <f t="array" ref="AS207">IF(TbTradesBinance[[#This Row],[Tipo]]="EMPTY",0,AS206+IF(TbTradesBinance[[#This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Row],[Par]]))),$1:$1,0)),-(AR206-AR207)/AR206*AS206),0),0)+IF(TbTradesBinance[[#This Row],[Tipo]]="SELL",IF(ISNUMBER(FIND(MID(AS$1,10,5),TbTradesBinance[[#This Row],[Par]])),IF(FIND(MID(AS$1,10,5),TbTradesBinance[[#This Row],[Par]])=1, -(AR206-AR207)/AR206*AS206,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Row],[Par]])),(-(AR206-AR207)/AR206*AS206)+IF(TbTradesBinance[[#This Row],[Resultado]]&gt;0,0,TbTradesBinance[[#This Row],[Taxa]]),0),0))</f>
        <v>0</v>
      </c>
      <c r="AT207" s="145">
        <f t="shared" si="68"/>
        <v>0</v>
      </c>
      <c r="AU20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Row],[Tipo]]="DROP"),AU206+TbTradesBinance[[#This Row],[Qtt]],AU206-TbTradesBinance[[#This Row],[Qtt]]),IF(TbTradesBinance[[#This Row],[Tipo]]="BUY",AU206-TbTradesBinance[[#This Row],[Qtt]]*TbTradesBinance[[#This Row],[Preço]],AU206+TbTradesBinance[[#This Row],[Qtt]]*TbTradesBinance[[#This Row],[Preço]])),AU206)-IF(TbTradesBinance[[#This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Row],[Tipo]]="DROP"),AU206+TbTradesBinance[[#This Row],[Qtt]],AU206-TbTradesBinance[[#This Row],[Qtt]]),IF(TbTradesBinance[[#This Row],[Tipo]]="BUY",AU206-TbTradesBinance[[#This Row],[Qtt]]*TbTradesBinance[[#This Row],[Preço]],AU206+TbTradesBinance[[#This Row],[Qtt]]*TbTradesBinance[[#This Row],[Preço]])),AU206)-IF(TbTradesBinance[[#This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Row],[Tipo]]="DROP"),AU206+TbTradesBinance[[#This Row],[Qtt]],AU206-TbTradesBinance[[#This Row],[Qtt]]),IF(TbTradesBinance[[#This Row],[Tipo]]="BUY",AU206-TbTradesBinance[[#This Row],[Qtt]]*TbTradesBinance[[#This Row],[Preço]],AU206+TbTradesBinance[[#This Row],[Qtt]]*TbTradesBinance[[#This Row],[Preço]])),AU206)-IF(TbTradesBinance[[#This Row],[Moeda da Taxa]]=MID(AU$1,9,5),TbTradesBinance[[#This Row],[Taxa]],0),8)))</f>
        <v>0.51</v>
      </c>
      <c r="AV207" s="145" cm="1">
        <f t="array" ref="AV207">IF(TbTradesBinance[[#This Row],[Tipo]]="EMPTY",0,AV206+IF(TbTradesBinance[[#This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Row],[Par]]))),$1:$1,0)),-(AU206-AU207)/AU206*AV206),0),0)+IF(TbTradesBinance[[#This Row],[Tipo]]="SELL",IF(ISNUMBER(FIND(MID(AV$1,10,5),TbTradesBinance[[#This Row],[Par]])),IF(FIND(MID(AV$1,10,5),TbTradesBinance[[#This Row],[Par]])=1, -(AU206-AU207)/AU206*AV206,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Row],[Par]])),(-(AU206-AU207)/AU206*AV206)+IF(TbTradesBinance[[#This Row],[Resultado]]&gt;0,0,TbTradesBinance[[#This Row],[Taxa]]),0),0))</f>
        <v>95.466693037374753</v>
      </c>
      <c r="AW207" s="145">
        <f t="shared" si="69"/>
        <v>187.18959419093088</v>
      </c>
      <c r="AX20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Row],[Tipo]]="DROP"),AX206+TbTradesBinance[[#This Row],[Qtt]],AX206-TbTradesBinance[[#This Row],[Qtt]]),IF(TbTradesBinance[[#This Row],[Tipo]]="BUY",AX206-TbTradesBinance[[#This Row],[Qtt]]*TbTradesBinance[[#This Row],[Preço]],AX206+TbTradesBinance[[#This Row],[Qtt]]*TbTradesBinance[[#This Row],[Preço]])),AX206)-IF(TbTradesBinance[[#This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Row],[Tipo]]="DROP"),AX206+TbTradesBinance[[#This Row],[Qtt]],AX206-TbTradesBinance[[#This Row],[Qtt]]),IF(TbTradesBinance[[#This Row],[Tipo]]="BUY",AX206-TbTradesBinance[[#This Row],[Qtt]]*TbTradesBinance[[#This Row],[Preço]],AX206+TbTradesBinance[[#This Row],[Qtt]]*TbTradesBinance[[#This Row],[Preço]])),AX206)-IF(TbTradesBinance[[#This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Row],[Tipo]]="DROP"),AX206+TbTradesBinance[[#This Row],[Qtt]],AX206-TbTradesBinance[[#This Row],[Qtt]]),IF(TbTradesBinance[[#This Row],[Tipo]]="BUY",AX206-TbTradesBinance[[#This Row],[Qtt]]*TbTradesBinance[[#This Row],[Preço]],AX206+TbTradesBinance[[#This Row],[Qtt]]*TbTradesBinance[[#This Row],[Preço]])),AX206)-IF(TbTradesBinance[[#This Row],[Moeda da Taxa]]=MID(AX$1,9,5),TbTradesBinance[[#This Row],[Taxa]],0),8)))</f>
        <v>0.32838000000000001</v>
      </c>
      <c r="AY207" s="145" cm="1">
        <f t="array" ref="AY207">IF(TbTradesBinance[[#This Row],[Tipo]]="EMPTY",0,AY206+IF(TbTradesBinance[[#This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Row],[Par]]))),$1:$1,0)),-(AX206-AX207)/AX206*AY206),0),0)+IF(TbTradesBinance[[#This Row],[Tipo]]="SELL",IF(ISNUMBER(FIND(MID(AY$1,10,5),TbTradesBinance[[#This Row],[Par]])),IF(FIND(MID(AY$1,10,5),TbTradesBinance[[#This Row],[Par]])=1, -(AX206-AX207)/AX206*AY206,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Row],[Par]])),(-(AX206-AX207)/AX206*AY206)+IF(TbTradesBinance[[#This Row],[Resultado]]&gt;0,0,TbTradesBinance[[#This Row],[Taxa]]),0),0))</f>
        <v>61.364116058805678</v>
      </c>
      <c r="AZ207" s="145">
        <f t="shared" si="70"/>
        <v>186.869224857804</v>
      </c>
      <c r="BA20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Row],[Tipo]]="DROP"),BA206+TbTradesBinance[[#This Row],[Qtt]],BA206-TbTradesBinance[[#This Row],[Qtt]]),IF(TbTradesBinance[[#This Row],[Tipo]]="BUY",BA206-TbTradesBinance[[#This Row],[Qtt]]*TbTradesBinance[[#This Row],[Preço]],BA206+TbTradesBinance[[#This Row],[Qtt]]*TbTradesBinance[[#This Row],[Preço]])),BA206)-IF(TbTradesBinance[[#This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Row],[Tipo]]="DROP"),BA206+TbTradesBinance[[#This Row],[Qtt]],BA206-TbTradesBinance[[#This Row],[Qtt]]),IF(TbTradesBinance[[#This Row],[Tipo]]="BUY",BA206-TbTradesBinance[[#This Row],[Qtt]]*TbTradesBinance[[#This Row],[Preço]],BA206+TbTradesBinance[[#This Row],[Qtt]]*TbTradesBinance[[#This Row],[Preço]])),BA206)-IF(TbTradesBinance[[#This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Row],[Tipo]]="DROP"),BA206+TbTradesBinance[[#This Row],[Qtt]],BA206-TbTradesBinance[[#This Row],[Qtt]]),IF(TbTradesBinance[[#This Row],[Tipo]]="BUY",BA206-TbTradesBinance[[#This Row],[Qtt]]*TbTradesBinance[[#This Row],[Preço]],BA206+TbTradesBinance[[#This Row],[Qtt]]*TbTradesBinance[[#This Row],[Preço]])),BA206)-IF(TbTradesBinance[[#This Row],[Moeda da Taxa]]=MID(BA$1,9,5),TbTradesBinance[[#This Row],[Taxa]],0),8)))</f>
        <v>0</v>
      </c>
      <c r="BB207" s="145" cm="1">
        <f t="array" ref="BB207">IF(TbTradesBinance[[#This Row],[Tipo]]="EMPTY",0,BB206+IF(TbTradesBinance[[#This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Row],[Par]]))),$1:$1,0)),-(BA206-BA207)/BA206*BB206),0),0)+IF(TbTradesBinance[[#This Row],[Tipo]]="SELL",IF(ISNUMBER(FIND(MID(BB$1,10,5),TbTradesBinance[[#This Row],[Par]])),IF(FIND(MID(BB$1,10,5),TbTradesBinance[[#This Row],[Par]])=1, -(BA206-BA207)/BA206*BB206,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Row],[Par]])),(-(BA206-BA207)/BA206*BB206)+IF(TbTradesBinance[[#This Row],[Resultado]]&gt;0,0,TbTradesBinance[[#This Row],[Taxa]]),0),0))</f>
        <v>0</v>
      </c>
      <c r="BC207" s="145">
        <f t="shared" si="71"/>
        <v>0</v>
      </c>
      <c r="BD20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Row],[Tipo]]="DROP"),BD206+TbTradesBinance[[#This Row],[Qtt]],BD206-TbTradesBinance[[#This Row],[Qtt]]),IF(TbTradesBinance[[#This Row],[Tipo]]="BUY",BD206-TbTradesBinance[[#This Row],[Qtt]]*TbTradesBinance[[#This Row],[Preço]],BD206+TbTradesBinance[[#This Row],[Qtt]]*TbTradesBinance[[#This Row],[Preço]])),BD206)-IF(TbTradesBinance[[#This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Row],[Tipo]]="DROP"),BD206+TbTradesBinance[[#This Row],[Qtt]],BD206-TbTradesBinance[[#This Row],[Qtt]]),IF(TbTradesBinance[[#This Row],[Tipo]]="BUY",BD206-TbTradesBinance[[#This Row],[Qtt]]*TbTradesBinance[[#This Row],[Preço]],BD206+TbTradesBinance[[#This Row],[Qtt]]*TbTradesBinance[[#This Row],[Preço]])),BD206)-IF(TbTradesBinance[[#This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Row],[Tipo]]="DROP"),BD206+TbTradesBinance[[#This Row],[Qtt]],BD206-TbTradesBinance[[#This Row],[Qtt]]),IF(TbTradesBinance[[#This Row],[Tipo]]="BUY",BD206-TbTradesBinance[[#This Row],[Qtt]]*TbTradesBinance[[#This Row],[Preço]],BD206+TbTradesBinance[[#This Row],[Qtt]]*TbTradesBinance[[#This Row],[Preço]])),BD206)-IF(TbTradesBinance[[#This Row],[Moeda da Taxa]]=MID(BD$1,9,5),TbTradesBinance[[#This Row],[Taxa]],0),8)))</f>
        <v>0</v>
      </c>
      <c r="BE207" s="145" cm="1">
        <f t="array" ref="BE207">IF(TbTradesBinance[[#This Row],[Tipo]]="EMPTY",0,BE206+IF(TbTradesBinance[[#This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Row],[Par]]))),$1:$1,0)),-(BD206-BD207)/BD206*BE206),0),0)+IF(TbTradesBinance[[#This Row],[Tipo]]="SELL",IF(ISNUMBER(FIND(MID(BE$1,10,5),TbTradesBinance[[#This Row],[Par]])),IF(FIND(MID(BE$1,10,5),TbTradesBinance[[#This Row],[Par]])=1, -(BD206-BD207)/BD206*BE206,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Row],[Par]])),(-(BD206-BD207)/BD206*BE206)+IF(TbTradesBinance[[#This Row],[Resultado]]&gt;0,0,TbTradesBinance[[#This Row],[Taxa]]),0),0))</f>
        <v>0</v>
      </c>
      <c r="BF207" s="145">
        <f t="shared" si="72"/>
        <v>0</v>
      </c>
      <c r="BG20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Row],[Tipo]]="DROP"),BG206+TbTradesBinance[[#This Row],[Qtt]],BG206-TbTradesBinance[[#This Row],[Qtt]]),IF(TbTradesBinance[[#This Row],[Tipo]]="BUY",BG206-TbTradesBinance[[#This Row],[Qtt]]*TbTradesBinance[[#This Row],[Preço]],BG206+TbTradesBinance[[#This Row],[Qtt]]*TbTradesBinance[[#This Row],[Preço]])),BG206)-IF(TbTradesBinance[[#This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Row],[Tipo]]="DROP"),BG206+TbTradesBinance[[#This Row],[Qtt]],BG206-TbTradesBinance[[#This Row],[Qtt]]),IF(TbTradesBinance[[#This Row],[Tipo]]="BUY",BG206-TbTradesBinance[[#This Row],[Qtt]]*TbTradesBinance[[#This Row],[Preço]],BG206+TbTradesBinance[[#This Row],[Qtt]]*TbTradesBinance[[#This Row],[Preço]])),BG206)-IF(TbTradesBinance[[#This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Row],[Tipo]]="DROP"),BG206+TbTradesBinance[[#This Row],[Qtt]],BG206-TbTradesBinance[[#This Row],[Qtt]]),IF(TbTradesBinance[[#This Row],[Tipo]]="BUY",BG206-TbTradesBinance[[#This Row],[Qtt]]*TbTradesBinance[[#This Row],[Preço]],BG206+TbTradesBinance[[#This Row],[Qtt]]*TbTradesBinance[[#This Row],[Preço]])),BG206)-IF(TbTradesBinance[[#This Row],[Moeda da Taxa]]=MID(BG$1,9,5),TbTradesBinance[[#This Row],[Taxa]],0),8)))</f>
        <v>0</v>
      </c>
      <c r="BH207" s="145" cm="1">
        <f t="array" ref="BH207">IF(TbTradesBinance[[#This Row],[Tipo]]="EMPTY",0,BH206+IF(TbTradesBinance[[#This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Row],[Par]]))),$1:$1,0)),-(BG206-BG207)/BG206*BH206),0),0)+IF(TbTradesBinance[[#This Row],[Tipo]]="SELL",IF(ISNUMBER(FIND(MID(BH$1,10,5),TbTradesBinance[[#This Row],[Par]])),IF(FIND(MID(BH$1,10,5),TbTradesBinance[[#This Row],[Par]])=1, -(BG206-BG207)/BG206*BH206,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Row],[Par]])),(-(BG206-BG207)/BG206*BH206)+IF(TbTradesBinance[[#This Row],[Resultado]]&gt;0,0,TbTradesBinance[[#This Row],[Taxa]]),0),0))</f>
        <v>0</v>
      </c>
      <c r="BI207" s="145">
        <f t="shared" si="73"/>
        <v>0</v>
      </c>
      <c r="BJ20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Row],[Tipo]]="DROP"),BJ206+TbTradesBinance[[#This Row],[Qtt]],BJ206-TbTradesBinance[[#This Row],[Qtt]]),IF(TbTradesBinance[[#This Row],[Tipo]]="BUY",BJ206-TbTradesBinance[[#This Row],[Qtt]]*TbTradesBinance[[#This Row],[Preço]],BJ206+TbTradesBinance[[#This Row],[Qtt]]*TbTradesBinance[[#This Row],[Preço]])),BJ206)-IF(TbTradesBinance[[#This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Row],[Tipo]]="DROP"),BJ206+TbTradesBinance[[#This Row],[Qtt]],BJ206-TbTradesBinance[[#This Row],[Qtt]]),IF(TbTradesBinance[[#This Row],[Tipo]]="BUY",BJ206-TbTradesBinance[[#This Row],[Qtt]]*TbTradesBinance[[#This Row],[Preço]],BJ206+TbTradesBinance[[#This Row],[Qtt]]*TbTradesBinance[[#This Row],[Preço]])),BJ206)-IF(TbTradesBinance[[#This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Row],[Tipo]]="DROP"),BJ206+TbTradesBinance[[#This Row],[Qtt]],BJ206-TbTradesBinance[[#This Row],[Qtt]]),IF(TbTradesBinance[[#This Row],[Tipo]]="BUY",BJ206-TbTradesBinance[[#This Row],[Qtt]]*TbTradesBinance[[#This Row],[Preço]],BJ206+TbTradesBinance[[#This Row],[Qtt]]*TbTradesBinance[[#This Row],[Preço]])),BJ206)-IF(TbTradesBinance[[#This Row],[Moeda da Taxa]]=MID(BJ$1,9,5),TbTradesBinance[[#This Row],[Taxa]],0),8)))</f>
        <v>0</v>
      </c>
      <c r="BK207" s="145" cm="1">
        <f t="array" ref="BK207">IF(TbTradesBinance[[#This Row],[Tipo]]="EMPTY",0,BK206+IF(TbTradesBinance[[#This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Row],[Par]]))),$1:$1,0)),-(BJ206-BJ207)/BJ206*BK206),0),0)+IF(TbTradesBinance[[#This Row],[Tipo]]="SELL",IF(ISNUMBER(FIND(MID(BK$1,10,5),TbTradesBinance[[#This Row],[Par]])),IF(FIND(MID(BK$1,10,5),TbTradesBinance[[#This Row],[Par]])=1, -(BJ206-BJ207)/BJ206*BK206,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Row],[Par]])),(-(BJ206-BJ207)/BJ206*BK206)+IF(TbTradesBinance[[#This Row],[Resultado]]&gt;0,0,TbTradesBinance[[#This Row],[Taxa]]),0),0))</f>
        <v>0</v>
      </c>
      <c r="BL207" s="145">
        <f t="shared" si="74"/>
        <v>0</v>
      </c>
      <c r="BM20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Row],[Tipo]]="DROP"),BM206+TbTradesBinance[[#This Row],[Qtt]],BM206-TbTradesBinance[[#This Row],[Qtt]]),IF(TbTradesBinance[[#This Row],[Tipo]]="BUY",BM206-TbTradesBinance[[#This Row],[Qtt]]*TbTradesBinance[[#This Row],[Preço]],BM206+TbTradesBinance[[#This Row],[Qtt]]*TbTradesBinance[[#This Row],[Preço]])),BM206)-IF(TbTradesBinance[[#This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Row],[Tipo]]="DROP"),BM206+TbTradesBinance[[#This Row],[Qtt]],BM206-TbTradesBinance[[#This Row],[Qtt]]),IF(TbTradesBinance[[#This Row],[Tipo]]="BUY",BM206-TbTradesBinance[[#This Row],[Qtt]]*TbTradesBinance[[#This Row],[Preço]],BM206+TbTradesBinance[[#This Row],[Qtt]]*TbTradesBinance[[#This Row],[Preço]])),BM206)-IF(TbTradesBinance[[#This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Row],[Tipo]]="DROP"),BM206+TbTradesBinance[[#This Row],[Qtt]],BM206-TbTradesBinance[[#This Row],[Qtt]]),IF(TbTradesBinance[[#This Row],[Tipo]]="BUY",BM206-TbTradesBinance[[#This Row],[Qtt]]*TbTradesBinance[[#This Row],[Preço]],BM206+TbTradesBinance[[#This Row],[Qtt]]*TbTradesBinance[[#This Row],[Preço]])),BM206)-IF(TbTradesBinance[[#This Row],[Moeda da Taxa]]=MID(BM$1,9,5),TbTradesBinance[[#This Row],[Taxa]],0),8)))</f>
        <v>0</v>
      </c>
      <c r="BN207" s="145" cm="1">
        <f t="array" ref="BN207">IF(TbTradesBinance[[#This Row],[Tipo]]="EMPTY",0,BN206+IF(TbTradesBinance[[#This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Row],[Par]]))),$1:$1,0)),-(BM206-BM207)/BM206*BN206),0),0)+IF(TbTradesBinance[[#This Row],[Tipo]]="SELL",IF(ISNUMBER(FIND(MID(BN$1,10,5),TbTradesBinance[[#This Row],[Par]])),IF(FIND(MID(BN$1,10,5),TbTradesBinance[[#This Row],[Par]])=1, -(BM206-BM207)/BM206*BN206,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Row],[Par]])),(-(BM206-BM207)/BM206*BN206)+IF(TbTradesBinance[[#This Row],[Resultado]]&gt;0,0,TbTradesBinance[[#This Row],[Taxa]]),0),0))</f>
        <v>0</v>
      </c>
      <c r="BO207" s="145">
        <f t="shared" si="75"/>
        <v>0</v>
      </c>
    </row>
    <row r="208" spans="2:67" x14ac:dyDescent="0.3">
      <c r="B208" s="51"/>
      <c r="C208" s="40">
        <f>TRUNC(IF(AND(TbTradesBinance[[#This Row],[Tipo]]="SEND",TbTradesBinance[[#This Row],[Par]]="BRL"),TbTradesBinance[[#This Row],[Qtt]]*(1-P206)-IF(TbTradesBinance[[#This Row],[Moeda da Taxa]]="BRL",TbTradesBinance[[#This Row],[Taxa]],0),0)+IF(AND(TbTradesBinance[[#This Row],[Tipo]]="BURN",TbTradesBinance[[#This Row],[Par]]="BRL"),-TbTradesBinance[[#This Row],[Qtt]]*P206,0),2)</f>
        <v>0</v>
      </c>
      <c r="D208" s="53">
        <v>44372.682037037041</v>
      </c>
      <c r="E208" s="37" t="s">
        <v>138</v>
      </c>
      <c r="F208" s="47" t="s">
        <v>139</v>
      </c>
      <c r="G208" s="38">
        <v>160300</v>
      </c>
      <c r="H208" s="38">
        <v>5.8199999999999997E-3</v>
      </c>
      <c r="I208" s="38">
        <v>5.8200000000000002E-6</v>
      </c>
      <c r="J208" s="37" t="s">
        <v>6</v>
      </c>
      <c r="K208" s="52">
        <v>1</v>
      </c>
      <c r="L208" s="40">
        <f t="shared" si="57"/>
        <v>160300</v>
      </c>
      <c r="M208" s="40">
        <f>IF(OR(TbTradesBinance[[#This Row],[Tipo]]="BUY",TbTradesBinance[[#This Row],[Tipo]]="RECEIVE",TbTradesBinance[[#This Row],[Tipo]]="DROP"),L208*H208,-L208*H208)</f>
        <v>932.94599999999991</v>
      </c>
      <c r="N20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Row],[Tipo]]="DROP"),N207+TbTradesBinance[[#This Row],[Qtt]],N207-TbTradesBinance[[#This Row],[Qtt]]),IF(TbTradesBinance[[#This Row],[Tipo]]="BUY",N207-TbTradesBinance[[#This Row],[Qtt]]*TbTradesBinance[[#This Row],[Preço]],N207+TbTradesBinance[[#This Row],[Qtt]]*TbTradesBinance[[#This Row],[Preço]])),N207)-IF(TbTradesBinance[[#This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Row],[Tipo]]="DROP"),N207+TbTradesBinance[[#This Row],[Qtt]],N207-TbTradesBinance[[#This Row],[Qtt]]),IF(TbTradesBinance[[#This Row],[Tipo]]="BUY",N207-TbTradesBinance[[#This Row],[Qtt]]*TbTradesBinance[[#This Row],[Preço]],N207+TbTradesBinance[[#This Row],[Qtt]]*TbTradesBinance[[#This Row],[Preço]])),N207)-IF(TbTradesBinance[[#This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Row],[Tipo]]="DROP"),N207+TbTradesBinance[[#This Row],[Qtt]],N207-TbTradesBinance[[#This Row],[Qtt]]),IF(TbTradesBinance[[#This Row],[Tipo]]="BUY",N207-TbTradesBinance[[#This Row],[Qtt]]*TbTradesBinance[[#This Row],[Preço]],N207+TbTradesBinance[[#This Row],[Qtt]]*TbTradesBinance[[#This Row],[Preço]])),N207)-IF(TbTradesBinance[[#This Row],[Moeda da Taxa]]=MID(N$1,9,5),TbTradesBinance[[#This Row],[Taxa]],0),8)))</f>
        <v>119745.44911781</v>
      </c>
      <c r="O208" s="145" cm="1">
        <f t="array" ref="O208">IF(TbTradesBinance[[#This Row],[Tipo]]="EMPTY",0,O207+IF(TbTradesBinance[[#This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Row],[Par]]))),$1:$1,0)),-(N207-N208)/N207*O207),0),0)+IF(TbTradesBinance[[#This Row],[Tipo]]="SELL",IF(ISNUMBER(FIND(MID(O$1,10,5),TbTradesBinance[[#This Row],[Par]])),IF(FIND(MID(O$1,10,5),TbTradesBinance[[#This Row],[Par]])=1, -(N207-N208)/N207*O207,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Row],[Par]])),(-(N207-N208)/N207*O207)+IF(TbTradesBinance[[#This Row],[Resultado]]&gt;0,0,TbTradesBinance[[#This Row],[Taxa]]),0),0))</f>
        <v>120404.99677150718</v>
      </c>
      <c r="P208" s="145">
        <f t="shared" si="58"/>
        <v>1.0055079141508609</v>
      </c>
      <c r="Q20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Row],[Tipo]]="DROP"),Q207+TbTradesBinance[[#This Row],[Qtt]],Q207-TbTradesBinance[[#This Row],[Qtt]]),IF(TbTradesBinance[[#This Row],[Tipo]]="BUY",Q207-TbTradesBinance[[#This Row],[Qtt]]*TbTradesBinance[[#This Row],[Preço]],Q207+TbTradesBinance[[#This Row],[Qtt]]*TbTradesBinance[[#This Row],[Preço]])),Q207)-IF(TbTradesBinance[[#This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Row],[Tipo]]="DROP"),Q207+TbTradesBinance[[#This Row],[Qtt]],Q207-TbTradesBinance[[#This Row],[Qtt]]),IF(TbTradesBinance[[#This Row],[Tipo]]="BUY",Q207-TbTradesBinance[[#This Row],[Qtt]]*TbTradesBinance[[#This Row],[Preço]],Q207+TbTradesBinance[[#This Row],[Qtt]]*TbTradesBinance[[#This Row],[Preço]])),Q207)-IF(TbTradesBinance[[#This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Row],[Tipo]]="DROP"),Q207+TbTradesBinance[[#This Row],[Qtt]],Q207-TbTradesBinance[[#This Row],[Qtt]]),IF(TbTradesBinance[[#This Row],[Tipo]]="BUY",Q207-TbTradesBinance[[#This Row],[Qtt]]*TbTradesBinance[[#This Row],[Preço]],Q207+TbTradesBinance[[#This Row],[Qtt]]*TbTradesBinance[[#This Row],[Preço]])),Q207)-IF(TbTradesBinance[[#This Row],[Moeda da Taxa]]=MID(Q$1,9,5),TbTradesBinance[[#This Row],[Taxa]],0),8)))</f>
        <v>118.4648759</v>
      </c>
      <c r="R208" s="145" cm="1">
        <f t="array" ref="R208">IF(TbTradesBinance[[#This Row],[Tipo]]="EMPTY",0,R207+IF(TbTradesBinance[[#This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Row],[Par]]))),$1:$1,0)),-(Q207-Q208)/Q207*R207),0),0)+IF(TbTradesBinance[[#This Row],[Tipo]]="SELL",IF(ISNUMBER(FIND(MID(R$1,10,5),TbTradesBinance[[#This Row],[Par]])),IF(FIND(MID(R$1,10,5),TbTradesBinance[[#This Row],[Par]])=1, -(Q207-Q208)/Q207*R207,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Row],[Par]])),(-(Q207-Q208)/Q207*R207)+IF(TbTradesBinance[[#This Row],[Resultado]]&gt;0,0,TbTradesBinance[[#This Row],[Taxa]]),0),0))</f>
        <v>685.19855078142461</v>
      </c>
      <c r="S208" s="145">
        <f t="shared" si="59"/>
        <v>5.7839806573538528</v>
      </c>
      <c r="T20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Row],[Tipo]]="DROP"),T207+TbTradesBinance[[#This Row],[Qtt]],T207-TbTradesBinance[[#This Row],[Qtt]]),IF(TbTradesBinance[[#This Row],[Tipo]]="BUY",T207-TbTradesBinance[[#This Row],[Qtt]]*TbTradesBinance[[#This Row],[Preço]],T207+TbTradesBinance[[#This Row],[Qtt]]*TbTradesBinance[[#This Row],[Preço]])),T207)-IF(TbTradesBinance[[#This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Row],[Tipo]]="DROP"),T207+TbTradesBinance[[#This Row],[Qtt]],T207-TbTradesBinance[[#This Row],[Qtt]]),IF(TbTradesBinance[[#This Row],[Tipo]]="BUY",T207-TbTradesBinance[[#This Row],[Qtt]]*TbTradesBinance[[#This Row],[Preço]],T207+TbTradesBinance[[#This Row],[Qtt]]*TbTradesBinance[[#This Row],[Preço]])),T207)-IF(TbTradesBinance[[#This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Row],[Tipo]]="DROP"),T207+TbTradesBinance[[#This Row],[Qtt]],T207-TbTradesBinance[[#This Row],[Qtt]]),IF(TbTradesBinance[[#This Row],[Tipo]]="BUY",T207-TbTradesBinance[[#This Row],[Qtt]]*TbTradesBinance[[#This Row],[Preço]],T207+TbTradesBinance[[#This Row],[Qtt]]*TbTradesBinance[[#This Row],[Preço]])),T207)-IF(TbTradesBinance[[#This Row],[Moeda da Taxa]]=MID(T$1,9,5),TbTradesBinance[[#This Row],[Taxa]],0),8)))</f>
        <v>101223913.720009</v>
      </c>
      <c r="U208" s="145" cm="1">
        <f t="array" ref="U208">IF(TbTradesBinance[[#This Row],[Tipo]]="EMPTY",0,U207+IF(TbTradesBinance[[#This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Row],[Par]]))),$1:$1,0)),-(T207-T208)/T207*U207),0),0)+IF(TbTradesBinance[[#This Row],[Tipo]]="SELL",IF(ISNUMBER(FIND(MID(U$1,10,5),TbTradesBinance[[#This Row],[Par]])),IF(FIND(MID(U$1,10,5),TbTradesBinance[[#This Row],[Par]])=1, -(T207-T208)/T207*U207,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Row],[Par]])),(-(T207-T208)/T207*U207)+IF(TbTradesBinance[[#This Row],[Resultado]]&gt;0,0,TbTradesBinance[[#This Row],[Taxa]]),0),0))</f>
        <v>617586601.27364206</v>
      </c>
      <c r="V208" s="145">
        <f t="shared" si="60"/>
        <v>6.1011926784605572</v>
      </c>
      <c r="W20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Row],[Tipo]]="DROP"),W207+TbTradesBinance[[#This Row],[Qtt]],W207-TbTradesBinance[[#This Row],[Qtt]]),IF(TbTradesBinance[[#This Row],[Tipo]]="BUY",W207-TbTradesBinance[[#This Row],[Qtt]]*TbTradesBinance[[#This Row],[Preço]],W207+TbTradesBinance[[#This Row],[Qtt]]*TbTradesBinance[[#This Row],[Preço]])),W207)-IF(TbTradesBinance[[#This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Row],[Tipo]]="DROP"),W207+TbTradesBinance[[#This Row],[Qtt]],W207-TbTradesBinance[[#This Row],[Qtt]]),IF(TbTradesBinance[[#This Row],[Tipo]]="BUY",W207-TbTradesBinance[[#This Row],[Qtt]]*TbTradesBinance[[#This Row],[Preço]],W207+TbTradesBinance[[#This Row],[Qtt]]*TbTradesBinance[[#This Row],[Preço]])),W207)-IF(TbTradesBinance[[#This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Row],[Tipo]]="DROP"),W207+TbTradesBinance[[#This Row],[Qtt]],W207-TbTradesBinance[[#This Row],[Qtt]]),IF(TbTradesBinance[[#This Row],[Tipo]]="BUY",W207-TbTradesBinance[[#This Row],[Qtt]]*TbTradesBinance[[#This Row],[Preço]],W207+TbTradesBinance[[#This Row],[Qtt]]*TbTradesBinance[[#This Row],[Preço]])),W207)-IF(TbTradesBinance[[#This Row],[Moeda da Taxa]]=MID(W$1,9,5),TbTradesBinance[[#This Row],[Taxa]],0),8)))</f>
        <v>1.1296540000000001E-2</v>
      </c>
      <c r="X208" s="145" cm="1">
        <f t="array" ref="X208">IF(TbTradesBinance[[#This Row],[Tipo]]="EMPTY",0,X207+IF(TbTradesBinance[[#This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Row],[Par]]))),$1:$1,0)),-(W207-W208)/W207*X207),0),0)+IF(TbTradesBinance[[#This Row],[Tipo]]="SELL",IF(ISNUMBER(FIND(MID(X$1,10,5),TbTradesBinance[[#This Row],[Par]])),IF(FIND(MID(X$1,10,5),TbTradesBinance[[#This Row],[Par]])=1, -(W207-W208)/W207*X207,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Row],[Par]])),(-(W207-W208)/W207*X207)+IF(TbTradesBinance[[#This Row],[Resultado]]&gt;0,0,TbTradesBinance[[#This Row],[Taxa]]),0),0))</f>
        <v>1940.0257840509621</v>
      </c>
      <c r="Y208" s="145">
        <f t="shared" si="61"/>
        <v>171736.28244143445</v>
      </c>
      <c r="Z20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Row],[Tipo]]="DROP"),Z207+TbTradesBinance[[#This Row],[Qtt]],Z207-TbTradesBinance[[#This Row],[Qtt]]),IF(TbTradesBinance[[#This Row],[Tipo]]="BUY",Z207-TbTradesBinance[[#This Row],[Qtt]]*TbTradesBinance[[#This Row],[Preço]],Z207+TbTradesBinance[[#This Row],[Qtt]]*TbTradesBinance[[#This Row],[Preço]])),Z207)-IF(TbTradesBinance[[#This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Row],[Tipo]]="DROP"),Z207+TbTradesBinance[[#This Row],[Qtt]],Z207-TbTradesBinance[[#This Row],[Qtt]]),IF(TbTradesBinance[[#This Row],[Tipo]]="BUY",Z207-TbTradesBinance[[#This Row],[Qtt]]*TbTradesBinance[[#This Row],[Preço]],Z207+TbTradesBinance[[#This Row],[Qtt]]*TbTradesBinance[[#This Row],[Preço]])),Z207)-IF(TbTradesBinance[[#This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Row],[Tipo]]="DROP"),Z207+TbTradesBinance[[#This Row],[Qtt]],Z207-TbTradesBinance[[#This Row],[Qtt]]),IF(TbTradesBinance[[#This Row],[Tipo]]="BUY",Z207-TbTradesBinance[[#This Row],[Qtt]]*TbTradesBinance[[#This Row],[Preço]],Z207+TbTradesBinance[[#This Row],[Qtt]]*TbTradesBinance[[#This Row],[Preço]])),Z207)-IF(TbTradesBinance[[#This Row],[Moeda da Taxa]]=MID(Z$1,9,5),TbTradesBinance[[#This Row],[Taxa]],0),8)))</f>
        <v>0</v>
      </c>
      <c r="AA208" s="145" cm="1">
        <f t="array" ref="AA208">IF(TbTradesBinance[[#This Row],[Tipo]]="EMPTY",0,AA207+IF(TbTradesBinance[[#This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Row],[Par]]))),$1:$1,0)),-(Z207-Z208)/Z207*AA207),0),0)+IF(TbTradesBinance[[#This Row],[Tipo]]="SELL",IF(ISNUMBER(FIND(MID(AA$1,10,5),TbTradesBinance[[#This Row],[Par]])),IF(FIND(MID(AA$1,10,5),TbTradesBinance[[#This Row],[Par]])=1, -(Z207-Z208)/Z207*AA207,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Row],[Par]])),(-(Z207-Z208)/Z207*AA207)+IF(TbTradesBinance[[#This Row],[Resultado]]&gt;0,0,TbTradesBinance[[#This Row],[Taxa]]),0),0))</f>
        <v>0</v>
      </c>
      <c r="AB208" s="145">
        <f t="shared" si="62"/>
        <v>0</v>
      </c>
      <c r="AC20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Row],[Tipo]]="DROP"),AC207+TbTradesBinance[[#This Row],[Qtt]],AC207-TbTradesBinance[[#This Row],[Qtt]]),IF(TbTradesBinance[[#This Row],[Tipo]]="BUY",AC207-TbTradesBinance[[#This Row],[Qtt]]*TbTradesBinance[[#This Row],[Preço]],AC207+TbTradesBinance[[#This Row],[Qtt]]*TbTradesBinance[[#This Row],[Preço]])),AC207)-IF(TbTradesBinance[[#This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Row],[Tipo]]="DROP"),AC207+TbTradesBinance[[#This Row],[Qtt]],AC207-TbTradesBinance[[#This Row],[Qtt]]),IF(TbTradesBinance[[#This Row],[Tipo]]="BUY",AC207-TbTradesBinance[[#This Row],[Qtt]]*TbTradesBinance[[#This Row],[Preço]],AC207+TbTradesBinance[[#This Row],[Qtt]]*TbTradesBinance[[#This Row],[Preço]])),AC207)-IF(TbTradesBinance[[#This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Row],[Tipo]]="DROP"),AC207+TbTradesBinance[[#This Row],[Qtt]],AC207-TbTradesBinance[[#This Row],[Qtt]]),IF(TbTradesBinance[[#This Row],[Tipo]]="BUY",AC207-TbTradesBinance[[#This Row],[Qtt]]*TbTradesBinance[[#This Row],[Preço]],AC207+TbTradesBinance[[#This Row],[Qtt]]*TbTradesBinance[[#This Row],[Preço]])),AC207)-IF(TbTradesBinance[[#This Row],[Moeda da Taxa]]=MID(AC$1,9,5),TbTradesBinance[[#This Row],[Taxa]],0),8)))</f>
        <v>0</v>
      </c>
      <c r="AD208" s="145" cm="1">
        <f t="array" ref="AD208">IF(TbTradesBinance[[#This Row],[Tipo]]="EMPTY",0,AD207+IF(TbTradesBinance[[#This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Row],[Par]]))),$1:$1,0)),-(AC207-AC208)/AC207*AD207),0),0)+IF(TbTradesBinance[[#This Row],[Tipo]]="SELL",IF(ISNUMBER(FIND(MID(AD$1,10,5),TbTradesBinance[[#This Row],[Par]])),IF(FIND(MID(AD$1,10,5),TbTradesBinance[[#This Row],[Par]])=1, -(AC207-AC208)/AC207*AD207,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Row],[Par]])),(-(AC207-AC208)/AC207*AD207)+IF(TbTradesBinance[[#This Row],[Resultado]]&gt;0,0,TbTradesBinance[[#This Row],[Taxa]]),0),0))</f>
        <v>0</v>
      </c>
      <c r="AE208" s="145">
        <f t="shared" si="63"/>
        <v>0</v>
      </c>
      <c r="AF20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Row],[Tipo]]="DROP"),AF207+TbTradesBinance[[#This Row],[Qtt]],AF207-TbTradesBinance[[#This Row],[Qtt]]),IF(TbTradesBinance[[#This Row],[Tipo]]="BUY",AF207-TbTradesBinance[[#This Row],[Qtt]]*TbTradesBinance[[#This Row],[Preço]],AF207+TbTradesBinance[[#This Row],[Qtt]]*TbTradesBinance[[#This Row],[Preço]])),AF207)-IF(TbTradesBinance[[#This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Row],[Tipo]]="DROP"),AF207+TbTradesBinance[[#This Row],[Qtt]],AF207-TbTradesBinance[[#This Row],[Qtt]]),IF(TbTradesBinance[[#This Row],[Tipo]]="BUY",AF207-TbTradesBinance[[#This Row],[Qtt]]*TbTradesBinance[[#This Row],[Preço]],AF207+TbTradesBinance[[#This Row],[Qtt]]*TbTradesBinance[[#This Row],[Preço]])),AF207)-IF(TbTradesBinance[[#This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Row],[Tipo]]="DROP"),AF207+TbTradesBinance[[#This Row],[Qtt]],AF207-TbTradesBinance[[#This Row],[Qtt]]),IF(TbTradesBinance[[#This Row],[Tipo]]="BUY",AF207-TbTradesBinance[[#This Row],[Qtt]]*TbTradesBinance[[#This Row],[Preço]],AF207+TbTradesBinance[[#This Row],[Qtt]]*TbTradesBinance[[#This Row],[Preço]])),AF207)-IF(TbTradesBinance[[#This Row],[Moeda da Taxa]]=MID(AF$1,9,5),TbTradesBinance[[#This Row],[Taxa]],0),8)))</f>
        <v>0</v>
      </c>
      <c r="AG208" s="145" cm="1">
        <f t="array" ref="AG208">IF(TbTradesBinance[[#This Row],[Tipo]]="EMPTY",0,AG207+IF(TbTradesBinance[[#This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Row],[Par]]))),$1:$1,0)),-(AF207-AF208)/AF207*AG207),0),0)+IF(TbTradesBinance[[#This Row],[Tipo]]="SELL",IF(ISNUMBER(FIND(MID(AG$1,10,5),TbTradesBinance[[#This Row],[Par]])),IF(FIND(MID(AG$1,10,5),TbTradesBinance[[#This Row],[Par]])=1, -(AF207-AF208)/AF207*AG207,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Row],[Par]])),(-(AF207-AF208)/AF207*AG207)+IF(TbTradesBinance[[#This Row],[Resultado]]&gt;0,0,TbTradesBinance[[#This Row],[Taxa]]),0),0))</f>
        <v>0</v>
      </c>
      <c r="AH208" s="145">
        <f t="shared" si="64"/>
        <v>0</v>
      </c>
      <c r="AI20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Row],[Tipo]]="DROP"),AI207+TbTradesBinance[[#This Row],[Qtt]],AI207-TbTradesBinance[[#This Row],[Qtt]]),IF(TbTradesBinance[[#This Row],[Tipo]]="BUY",AI207-TbTradesBinance[[#This Row],[Qtt]]*TbTradesBinance[[#This Row],[Preço]],AI207+TbTradesBinance[[#This Row],[Qtt]]*TbTradesBinance[[#This Row],[Preço]])),AI207)-IF(TbTradesBinance[[#This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Row],[Tipo]]="DROP"),AI207+TbTradesBinance[[#This Row],[Qtt]],AI207-TbTradesBinance[[#This Row],[Qtt]]),IF(TbTradesBinance[[#This Row],[Tipo]]="BUY",AI207-TbTradesBinance[[#This Row],[Qtt]]*TbTradesBinance[[#This Row],[Preço]],AI207+TbTradesBinance[[#This Row],[Qtt]]*TbTradesBinance[[#This Row],[Preço]])),AI207)-IF(TbTradesBinance[[#This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Row],[Tipo]]="DROP"),AI207+TbTradesBinance[[#This Row],[Qtt]],AI207-TbTradesBinance[[#This Row],[Qtt]]),IF(TbTradesBinance[[#This Row],[Tipo]]="BUY",AI207-TbTradesBinance[[#This Row],[Qtt]]*TbTradesBinance[[#This Row],[Preço]],AI207+TbTradesBinance[[#This Row],[Qtt]]*TbTradesBinance[[#This Row],[Preço]])),AI207)-IF(TbTradesBinance[[#This Row],[Moeda da Taxa]]=MID(AI$1,9,5),TbTradesBinance[[#This Row],[Taxa]],0),8)))</f>
        <v>0</v>
      </c>
      <c r="AJ208" s="145" cm="1">
        <f t="array" ref="AJ208">IF(TbTradesBinance[[#This Row],[Tipo]]="EMPTY",0,AJ207+IF(TbTradesBinance[[#This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Row],[Par]]))),$1:$1,0)),-(AI207-AI208)/AI207*AJ207),0),0)+IF(TbTradesBinance[[#This Row],[Tipo]]="SELL",IF(ISNUMBER(FIND(MID(AJ$1,10,5),TbTradesBinance[[#This Row],[Par]])),IF(FIND(MID(AJ$1,10,5),TbTradesBinance[[#This Row],[Par]])=1, -(AI207-AI208)/AI207*AJ207,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Row],[Par]])),(-(AI207-AI208)/AI207*AJ207)+IF(TbTradesBinance[[#This Row],[Resultado]]&gt;0,0,TbTradesBinance[[#This Row],[Taxa]]),0),0))</f>
        <v>0</v>
      </c>
      <c r="AK208" s="145">
        <f t="shared" si="65"/>
        <v>0</v>
      </c>
      <c r="AL20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Row],[Tipo]]="DROP"),AL207+TbTradesBinance[[#This Row],[Qtt]],AL207-TbTradesBinance[[#This Row],[Qtt]]),IF(TbTradesBinance[[#This Row],[Tipo]]="BUY",AL207-TbTradesBinance[[#This Row],[Qtt]]*TbTradesBinance[[#This Row],[Preço]],AL207+TbTradesBinance[[#This Row],[Qtt]]*TbTradesBinance[[#This Row],[Preço]])),AL207)-IF(TbTradesBinance[[#This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Row],[Tipo]]="DROP"),AL207+TbTradesBinance[[#This Row],[Qtt]],AL207-TbTradesBinance[[#This Row],[Qtt]]),IF(TbTradesBinance[[#This Row],[Tipo]]="BUY",AL207-TbTradesBinance[[#This Row],[Qtt]]*TbTradesBinance[[#This Row],[Preço]],AL207+TbTradesBinance[[#This Row],[Qtt]]*TbTradesBinance[[#This Row],[Preço]])),AL207)-IF(TbTradesBinance[[#This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Row],[Tipo]]="DROP"),AL207+TbTradesBinance[[#This Row],[Qtt]],AL207-TbTradesBinance[[#This Row],[Qtt]]),IF(TbTradesBinance[[#This Row],[Tipo]]="BUY",AL207-TbTradesBinance[[#This Row],[Qtt]]*TbTradesBinance[[#This Row],[Preço]],AL207+TbTradesBinance[[#This Row],[Qtt]]*TbTradesBinance[[#This Row],[Preço]])),AL207)-IF(TbTradesBinance[[#This Row],[Moeda da Taxa]]=MID(AL$1,9,5),TbTradesBinance[[#This Row],[Taxa]],0),8)))</f>
        <v>0</v>
      </c>
      <c r="AM208" s="145" cm="1">
        <f t="array" ref="AM208">IF(TbTradesBinance[[#This Row],[Tipo]]="EMPTY",0,AM207+IF(TbTradesBinance[[#This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Row],[Par]]))),$1:$1,0)),-(AL207-AL208)/AL207*AM207),0),0)+IF(TbTradesBinance[[#This Row],[Tipo]]="SELL",IF(ISNUMBER(FIND(MID(AM$1,10,5),TbTradesBinance[[#This Row],[Par]])),IF(FIND(MID(AM$1,10,5),TbTradesBinance[[#This Row],[Par]])=1, -(AL207-AL208)/AL207*AM207,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Row],[Par]])),(-(AL207-AL208)/AL207*AM207)+IF(TbTradesBinance[[#This Row],[Resultado]]&gt;0,0,TbTradesBinance[[#This Row],[Taxa]]),0),0))</f>
        <v>0</v>
      </c>
      <c r="AN208" s="145">
        <f t="shared" si="66"/>
        <v>0</v>
      </c>
      <c r="AO20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Row],[Tipo]]="DROP"),AO207+TbTradesBinance[[#This Row],[Qtt]],AO207-TbTradesBinance[[#This Row],[Qtt]]),IF(TbTradesBinance[[#This Row],[Tipo]]="BUY",AO207-TbTradesBinance[[#This Row],[Qtt]]*TbTradesBinance[[#This Row],[Preço]],AO207+TbTradesBinance[[#This Row],[Qtt]]*TbTradesBinance[[#This Row],[Preço]])),AO207)-IF(TbTradesBinance[[#This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Row],[Tipo]]="DROP"),AO207+TbTradesBinance[[#This Row],[Qtt]],AO207-TbTradesBinance[[#This Row],[Qtt]]),IF(TbTradesBinance[[#This Row],[Tipo]]="BUY",AO207-TbTradesBinance[[#This Row],[Qtt]]*TbTradesBinance[[#This Row],[Preço]],AO207+TbTradesBinance[[#This Row],[Qtt]]*TbTradesBinance[[#This Row],[Preço]])),AO207)-IF(TbTradesBinance[[#This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Row],[Tipo]]="DROP"),AO207+TbTradesBinance[[#This Row],[Qtt]],AO207-TbTradesBinance[[#This Row],[Qtt]]),IF(TbTradesBinance[[#This Row],[Tipo]]="BUY",AO207-TbTradesBinance[[#This Row],[Qtt]]*TbTradesBinance[[#This Row],[Preço]],AO207+TbTradesBinance[[#This Row],[Qtt]]*TbTradesBinance[[#This Row],[Preço]])),AO207)-IF(TbTradesBinance[[#This Row],[Moeda da Taxa]]=MID(AO$1,9,5),TbTradesBinance[[#This Row],[Taxa]],0),8)))</f>
        <v>3.83405E-2</v>
      </c>
      <c r="AP208" s="145" cm="1">
        <f t="array" ref="AP208">IF(TbTradesBinance[[#This Row],[Tipo]]="EMPTY",0,AP207+IF(TbTradesBinance[[#This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Row],[Par]]))),$1:$1,0)),-(AO207-AO208)/AO207*AP207),0),0)+IF(TbTradesBinance[[#This Row],[Tipo]]="SELL",IF(ISNUMBER(FIND(MID(AP$1,10,5),TbTradesBinance[[#This Row],[Par]])),IF(FIND(MID(AP$1,10,5),TbTradesBinance[[#This Row],[Par]])=1, -(AO207-AO208)/AO207*AP207,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Row],[Par]])),(-(AO207-AO208)/AO207*AP207)+IF(TbTradesBinance[[#This Row],[Resultado]]&gt;0,0,TbTradesBinance[[#This Row],[Taxa]]),0),0))</f>
        <v>60.349858055862811</v>
      </c>
      <c r="AQ208" s="145">
        <f t="shared" si="67"/>
        <v>1574.0498443124845</v>
      </c>
      <c r="AR20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Row],[Tipo]]="DROP"),AR207+TbTradesBinance[[#This Row],[Qtt]],AR207-TbTradesBinance[[#This Row],[Qtt]]),IF(TbTradesBinance[[#This Row],[Tipo]]="BUY",AR207-TbTradesBinance[[#This Row],[Qtt]]*TbTradesBinance[[#This Row],[Preço]],AR207+TbTradesBinance[[#This Row],[Qtt]]*TbTradesBinance[[#This Row],[Preço]])),AR207)-IF(TbTradesBinance[[#This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Row],[Tipo]]="DROP"),AR207+TbTradesBinance[[#This Row],[Qtt]],AR207-TbTradesBinance[[#This Row],[Qtt]]),IF(TbTradesBinance[[#This Row],[Tipo]]="BUY",AR207-TbTradesBinance[[#This Row],[Qtt]]*TbTradesBinance[[#This Row],[Preço]],AR207+TbTradesBinance[[#This Row],[Qtt]]*TbTradesBinance[[#This Row],[Preço]])),AR207)-IF(TbTradesBinance[[#This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Row],[Tipo]]="DROP"),AR207+TbTradesBinance[[#This Row],[Qtt]],AR207-TbTradesBinance[[#This Row],[Qtt]]),IF(TbTradesBinance[[#This Row],[Tipo]]="BUY",AR207-TbTradesBinance[[#This Row],[Qtt]]*TbTradesBinance[[#This Row],[Preço]],AR207+TbTradesBinance[[#This Row],[Qtt]]*TbTradesBinance[[#This Row],[Preço]])),AR207)-IF(TbTradesBinance[[#This Row],[Moeda da Taxa]]=MID(AR$1,9,5),TbTradesBinance[[#This Row],[Taxa]],0),8)))</f>
        <v>0</v>
      </c>
      <c r="AS208" s="145" cm="1">
        <f t="array" ref="AS208">IF(TbTradesBinance[[#This Row],[Tipo]]="EMPTY",0,AS207+IF(TbTradesBinance[[#This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Row],[Par]]))),$1:$1,0)),-(AR207-AR208)/AR207*AS207),0),0)+IF(TbTradesBinance[[#This Row],[Tipo]]="SELL",IF(ISNUMBER(FIND(MID(AS$1,10,5),TbTradesBinance[[#This Row],[Par]])),IF(FIND(MID(AS$1,10,5),TbTradesBinance[[#This Row],[Par]])=1, -(AR207-AR208)/AR207*AS207,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Row],[Par]])),(-(AR207-AR208)/AR207*AS207)+IF(TbTradesBinance[[#This Row],[Resultado]]&gt;0,0,TbTradesBinance[[#This Row],[Taxa]]),0),0))</f>
        <v>0</v>
      </c>
      <c r="AT208" s="145">
        <f t="shared" si="68"/>
        <v>0</v>
      </c>
      <c r="AU20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Row],[Tipo]]="DROP"),AU207+TbTradesBinance[[#This Row],[Qtt]],AU207-TbTradesBinance[[#This Row],[Qtt]]),IF(TbTradesBinance[[#This Row],[Tipo]]="BUY",AU207-TbTradesBinance[[#This Row],[Qtt]]*TbTradesBinance[[#This Row],[Preço]],AU207+TbTradesBinance[[#This Row],[Qtt]]*TbTradesBinance[[#This Row],[Preço]])),AU207)-IF(TbTradesBinance[[#This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Row],[Tipo]]="DROP"),AU207+TbTradesBinance[[#This Row],[Qtt]],AU207-TbTradesBinance[[#This Row],[Qtt]]),IF(TbTradesBinance[[#This Row],[Tipo]]="BUY",AU207-TbTradesBinance[[#This Row],[Qtt]]*TbTradesBinance[[#This Row],[Preço]],AU207+TbTradesBinance[[#This Row],[Qtt]]*TbTradesBinance[[#This Row],[Preço]])),AU207)-IF(TbTradesBinance[[#This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Row],[Tipo]]="DROP"),AU207+TbTradesBinance[[#This Row],[Qtt]],AU207-TbTradesBinance[[#This Row],[Qtt]]),IF(TbTradesBinance[[#This Row],[Tipo]]="BUY",AU207-TbTradesBinance[[#This Row],[Qtt]]*TbTradesBinance[[#This Row],[Preço]],AU207+TbTradesBinance[[#This Row],[Qtt]]*TbTradesBinance[[#This Row],[Preço]])),AU207)-IF(TbTradesBinance[[#This Row],[Moeda da Taxa]]=MID(AU$1,9,5),TbTradesBinance[[#This Row],[Taxa]],0),8)))</f>
        <v>0.51</v>
      </c>
      <c r="AV208" s="145" cm="1">
        <f t="array" ref="AV208">IF(TbTradesBinance[[#This Row],[Tipo]]="EMPTY",0,AV207+IF(TbTradesBinance[[#This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Row],[Par]]))),$1:$1,0)),-(AU207-AU208)/AU207*AV207),0),0)+IF(TbTradesBinance[[#This Row],[Tipo]]="SELL",IF(ISNUMBER(FIND(MID(AV$1,10,5),TbTradesBinance[[#This Row],[Par]])),IF(FIND(MID(AV$1,10,5),TbTradesBinance[[#This Row],[Par]])=1, -(AU207-AU208)/AU207*AV207,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Row],[Par]])),(-(AU207-AU208)/AU207*AV207)+IF(TbTradesBinance[[#This Row],[Resultado]]&gt;0,0,TbTradesBinance[[#This Row],[Taxa]]),0),0))</f>
        <v>95.466693037374753</v>
      </c>
      <c r="AW208" s="145">
        <f t="shared" si="69"/>
        <v>187.18959419093088</v>
      </c>
      <c r="AX20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Row],[Tipo]]="DROP"),AX207+TbTradesBinance[[#This Row],[Qtt]],AX207-TbTradesBinance[[#This Row],[Qtt]]),IF(TbTradesBinance[[#This Row],[Tipo]]="BUY",AX207-TbTradesBinance[[#This Row],[Qtt]]*TbTradesBinance[[#This Row],[Preço]],AX207+TbTradesBinance[[#This Row],[Qtt]]*TbTradesBinance[[#This Row],[Preço]])),AX207)-IF(TbTradesBinance[[#This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Row],[Tipo]]="DROP"),AX207+TbTradesBinance[[#This Row],[Qtt]],AX207-TbTradesBinance[[#This Row],[Qtt]]),IF(TbTradesBinance[[#This Row],[Tipo]]="BUY",AX207-TbTradesBinance[[#This Row],[Qtt]]*TbTradesBinance[[#This Row],[Preço]],AX207+TbTradesBinance[[#This Row],[Qtt]]*TbTradesBinance[[#This Row],[Preço]])),AX207)-IF(TbTradesBinance[[#This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Row],[Tipo]]="DROP"),AX207+TbTradesBinance[[#This Row],[Qtt]],AX207-TbTradesBinance[[#This Row],[Qtt]]),IF(TbTradesBinance[[#This Row],[Tipo]]="BUY",AX207-TbTradesBinance[[#This Row],[Qtt]]*TbTradesBinance[[#This Row],[Preço]],AX207+TbTradesBinance[[#This Row],[Qtt]]*TbTradesBinance[[#This Row],[Preço]])),AX207)-IF(TbTradesBinance[[#This Row],[Moeda da Taxa]]=MID(AX$1,9,5),TbTradesBinance[[#This Row],[Taxa]],0),8)))</f>
        <v>0.32838000000000001</v>
      </c>
      <c r="AY208" s="145" cm="1">
        <f t="array" ref="AY208">IF(TbTradesBinance[[#This Row],[Tipo]]="EMPTY",0,AY207+IF(TbTradesBinance[[#This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Row],[Par]]))),$1:$1,0)),-(AX207-AX208)/AX207*AY207),0),0)+IF(TbTradesBinance[[#This Row],[Tipo]]="SELL",IF(ISNUMBER(FIND(MID(AY$1,10,5),TbTradesBinance[[#This Row],[Par]])),IF(FIND(MID(AY$1,10,5),TbTradesBinance[[#This Row],[Par]])=1, -(AX207-AX208)/AX207*AY207,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Row],[Par]])),(-(AX207-AX208)/AX207*AY207)+IF(TbTradesBinance[[#This Row],[Resultado]]&gt;0,0,TbTradesBinance[[#This Row],[Taxa]]),0),0))</f>
        <v>61.364116058805678</v>
      </c>
      <c r="AZ208" s="145">
        <f t="shared" si="70"/>
        <v>186.869224857804</v>
      </c>
      <c r="BA20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Row],[Tipo]]="DROP"),BA207+TbTradesBinance[[#This Row],[Qtt]],BA207-TbTradesBinance[[#This Row],[Qtt]]),IF(TbTradesBinance[[#This Row],[Tipo]]="BUY",BA207-TbTradesBinance[[#This Row],[Qtt]]*TbTradesBinance[[#This Row],[Preço]],BA207+TbTradesBinance[[#This Row],[Qtt]]*TbTradesBinance[[#This Row],[Preço]])),BA207)-IF(TbTradesBinance[[#This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Row],[Tipo]]="DROP"),BA207+TbTradesBinance[[#This Row],[Qtt]],BA207-TbTradesBinance[[#This Row],[Qtt]]),IF(TbTradesBinance[[#This Row],[Tipo]]="BUY",BA207-TbTradesBinance[[#This Row],[Qtt]]*TbTradesBinance[[#This Row],[Preço]],BA207+TbTradesBinance[[#This Row],[Qtt]]*TbTradesBinance[[#This Row],[Preço]])),BA207)-IF(TbTradesBinance[[#This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Row],[Tipo]]="DROP"),BA207+TbTradesBinance[[#This Row],[Qtt]],BA207-TbTradesBinance[[#This Row],[Qtt]]),IF(TbTradesBinance[[#This Row],[Tipo]]="BUY",BA207-TbTradesBinance[[#This Row],[Qtt]]*TbTradesBinance[[#This Row],[Preço]],BA207+TbTradesBinance[[#This Row],[Qtt]]*TbTradesBinance[[#This Row],[Preço]])),BA207)-IF(TbTradesBinance[[#This Row],[Moeda da Taxa]]=MID(BA$1,9,5),TbTradesBinance[[#This Row],[Taxa]],0),8)))</f>
        <v>0</v>
      </c>
      <c r="BB208" s="145" cm="1">
        <f t="array" ref="BB208">IF(TbTradesBinance[[#This Row],[Tipo]]="EMPTY",0,BB207+IF(TbTradesBinance[[#This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Row],[Par]]))),$1:$1,0)),-(BA207-BA208)/BA207*BB207),0),0)+IF(TbTradesBinance[[#This Row],[Tipo]]="SELL",IF(ISNUMBER(FIND(MID(BB$1,10,5),TbTradesBinance[[#This Row],[Par]])),IF(FIND(MID(BB$1,10,5),TbTradesBinance[[#This Row],[Par]])=1, -(BA207-BA208)/BA207*BB207,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Row],[Par]])),(-(BA207-BA208)/BA207*BB207)+IF(TbTradesBinance[[#This Row],[Resultado]]&gt;0,0,TbTradesBinance[[#This Row],[Taxa]]),0),0))</f>
        <v>0</v>
      </c>
      <c r="BC208" s="145">
        <f t="shared" si="71"/>
        <v>0</v>
      </c>
      <c r="BD20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Row],[Tipo]]="DROP"),BD207+TbTradesBinance[[#This Row],[Qtt]],BD207-TbTradesBinance[[#This Row],[Qtt]]),IF(TbTradesBinance[[#This Row],[Tipo]]="BUY",BD207-TbTradesBinance[[#This Row],[Qtt]]*TbTradesBinance[[#This Row],[Preço]],BD207+TbTradesBinance[[#This Row],[Qtt]]*TbTradesBinance[[#This Row],[Preço]])),BD207)-IF(TbTradesBinance[[#This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Row],[Tipo]]="DROP"),BD207+TbTradesBinance[[#This Row],[Qtt]],BD207-TbTradesBinance[[#This Row],[Qtt]]),IF(TbTradesBinance[[#This Row],[Tipo]]="BUY",BD207-TbTradesBinance[[#This Row],[Qtt]]*TbTradesBinance[[#This Row],[Preço]],BD207+TbTradesBinance[[#This Row],[Qtt]]*TbTradesBinance[[#This Row],[Preço]])),BD207)-IF(TbTradesBinance[[#This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Row],[Tipo]]="DROP"),BD207+TbTradesBinance[[#This Row],[Qtt]],BD207-TbTradesBinance[[#This Row],[Qtt]]),IF(TbTradesBinance[[#This Row],[Tipo]]="BUY",BD207-TbTradesBinance[[#This Row],[Qtt]]*TbTradesBinance[[#This Row],[Preço]],BD207+TbTradesBinance[[#This Row],[Qtt]]*TbTradesBinance[[#This Row],[Preço]])),BD207)-IF(TbTradesBinance[[#This Row],[Moeda da Taxa]]=MID(BD$1,9,5),TbTradesBinance[[#This Row],[Taxa]],0),8)))</f>
        <v>0</v>
      </c>
      <c r="BE208" s="145" cm="1">
        <f t="array" ref="BE208">IF(TbTradesBinance[[#This Row],[Tipo]]="EMPTY",0,BE207+IF(TbTradesBinance[[#This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Row],[Par]]))),$1:$1,0)),-(BD207-BD208)/BD207*BE207),0),0)+IF(TbTradesBinance[[#This Row],[Tipo]]="SELL",IF(ISNUMBER(FIND(MID(BE$1,10,5),TbTradesBinance[[#This Row],[Par]])),IF(FIND(MID(BE$1,10,5),TbTradesBinance[[#This Row],[Par]])=1, -(BD207-BD208)/BD207*BE207,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Row],[Par]])),(-(BD207-BD208)/BD207*BE207)+IF(TbTradesBinance[[#This Row],[Resultado]]&gt;0,0,TbTradesBinance[[#This Row],[Taxa]]),0),0))</f>
        <v>0</v>
      </c>
      <c r="BF208" s="145">
        <f t="shared" si="72"/>
        <v>0</v>
      </c>
      <c r="BG20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Row],[Tipo]]="DROP"),BG207+TbTradesBinance[[#This Row],[Qtt]],BG207-TbTradesBinance[[#This Row],[Qtt]]),IF(TbTradesBinance[[#This Row],[Tipo]]="BUY",BG207-TbTradesBinance[[#This Row],[Qtt]]*TbTradesBinance[[#This Row],[Preço]],BG207+TbTradesBinance[[#This Row],[Qtt]]*TbTradesBinance[[#This Row],[Preço]])),BG207)-IF(TbTradesBinance[[#This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Row],[Tipo]]="DROP"),BG207+TbTradesBinance[[#This Row],[Qtt]],BG207-TbTradesBinance[[#This Row],[Qtt]]),IF(TbTradesBinance[[#This Row],[Tipo]]="BUY",BG207-TbTradesBinance[[#This Row],[Qtt]]*TbTradesBinance[[#This Row],[Preço]],BG207+TbTradesBinance[[#This Row],[Qtt]]*TbTradesBinance[[#This Row],[Preço]])),BG207)-IF(TbTradesBinance[[#This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Row],[Tipo]]="DROP"),BG207+TbTradesBinance[[#This Row],[Qtt]],BG207-TbTradesBinance[[#This Row],[Qtt]]),IF(TbTradesBinance[[#This Row],[Tipo]]="BUY",BG207-TbTradesBinance[[#This Row],[Qtt]]*TbTradesBinance[[#This Row],[Preço]],BG207+TbTradesBinance[[#This Row],[Qtt]]*TbTradesBinance[[#This Row],[Preço]])),BG207)-IF(TbTradesBinance[[#This Row],[Moeda da Taxa]]=MID(BG$1,9,5),TbTradesBinance[[#This Row],[Taxa]],0),8)))</f>
        <v>0</v>
      </c>
      <c r="BH208" s="145" cm="1">
        <f t="array" ref="BH208">IF(TbTradesBinance[[#This Row],[Tipo]]="EMPTY",0,BH207+IF(TbTradesBinance[[#This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Row],[Par]]))),$1:$1,0)),-(BG207-BG208)/BG207*BH207),0),0)+IF(TbTradesBinance[[#This Row],[Tipo]]="SELL",IF(ISNUMBER(FIND(MID(BH$1,10,5),TbTradesBinance[[#This Row],[Par]])),IF(FIND(MID(BH$1,10,5),TbTradesBinance[[#This Row],[Par]])=1, -(BG207-BG208)/BG207*BH207,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Row],[Par]])),(-(BG207-BG208)/BG207*BH207)+IF(TbTradesBinance[[#This Row],[Resultado]]&gt;0,0,TbTradesBinance[[#This Row],[Taxa]]),0),0))</f>
        <v>0</v>
      </c>
      <c r="BI208" s="145">
        <f t="shared" si="73"/>
        <v>0</v>
      </c>
      <c r="BJ20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Row],[Tipo]]="DROP"),BJ207+TbTradesBinance[[#This Row],[Qtt]],BJ207-TbTradesBinance[[#This Row],[Qtt]]),IF(TbTradesBinance[[#This Row],[Tipo]]="BUY",BJ207-TbTradesBinance[[#This Row],[Qtt]]*TbTradesBinance[[#This Row],[Preço]],BJ207+TbTradesBinance[[#This Row],[Qtt]]*TbTradesBinance[[#This Row],[Preço]])),BJ207)-IF(TbTradesBinance[[#This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Row],[Tipo]]="DROP"),BJ207+TbTradesBinance[[#This Row],[Qtt]],BJ207-TbTradesBinance[[#This Row],[Qtt]]),IF(TbTradesBinance[[#This Row],[Tipo]]="BUY",BJ207-TbTradesBinance[[#This Row],[Qtt]]*TbTradesBinance[[#This Row],[Preço]],BJ207+TbTradesBinance[[#This Row],[Qtt]]*TbTradesBinance[[#This Row],[Preço]])),BJ207)-IF(TbTradesBinance[[#This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Row],[Tipo]]="DROP"),BJ207+TbTradesBinance[[#This Row],[Qtt]],BJ207-TbTradesBinance[[#This Row],[Qtt]]),IF(TbTradesBinance[[#This Row],[Tipo]]="BUY",BJ207-TbTradesBinance[[#This Row],[Qtt]]*TbTradesBinance[[#This Row],[Preço]],BJ207+TbTradesBinance[[#This Row],[Qtt]]*TbTradesBinance[[#This Row],[Preço]])),BJ207)-IF(TbTradesBinance[[#This Row],[Moeda da Taxa]]=MID(BJ$1,9,5),TbTradesBinance[[#This Row],[Taxa]],0),8)))</f>
        <v>0</v>
      </c>
      <c r="BK208" s="145" cm="1">
        <f t="array" ref="BK208">IF(TbTradesBinance[[#This Row],[Tipo]]="EMPTY",0,BK207+IF(TbTradesBinance[[#This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Row],[Par]]))),$1:$1,0)),-(BJ207-BJ208)/BJ207*BK207),0),0)+IF(TbTradesBinance[[#This Row],[Tipo]]="SELL",IF(ISNUMBER(FIND(MID(BK$1,10,5),TbTradesBinance[[#This Row],[Par]])),IF(FIND(MID(BK$1,10,5),TbTradesBinance[[#This Row],[Par]])=1, -(BJ207-BJ208)/BJ207*BK207,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Row],[Par]])),(-(BJ207-BJ208)/BJ207*BK207)+IF(TbTradesBinance[[#This Row],[Resultado]]&gt;0,0,TbTradesBinance[[#This Row],[Taxa]]),0),0))</f>
        <v>0</v>
      </c>
      <c r="BL208" s="145">
        <f t="shared" si="74"/>
        <v>0</v>
      </c>
      <c r="BM20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Row],[Tipo]]="DROP"),BM207+TbTradesBinance[[#This Row],[Qtt]],BM207-TbTradesBinance[[#This Row],[Qtt]]),IF(TbTradesBinance[[#This Row],[Tipo]]="BUY",BM207-TbTradesBinance[[#This Row],[Qtt]]*TbTradesBinance[[#This Row],[Preço]],BM207+TbTradesBinance[[#This Row],[Qtt]]*TbTradesBinance[[#This Row],[Preço]])),BM207)-IF(TbTradesBinance[[#This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Row],[Tipo]]="DROP"),BM207+TbTradesBinance[[#This Row],[Qtt]],BM207-TbTradesBinance[[#This Row],[Qtt]]),IF(TbTradesBinance[[#This Row],[Tipo]]="BUY",BM207-TbTradesBinance[[#This Row],[Qtt]]*TbTradesBinance[[#This Row],[Preço]],BM207+TbTradesBinance[[#This Row],[Qtt]]*TbTradesBinance[[#This Row],[Preço]])),BM207)-IF(TbTradesBinance[[#This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Row],[Tipo]]="DROP"),BM207+TbTradesBinance[[#This Row],[Qtt]],BM207-TbTradesBinance[[#This Row],[Qtt]]),IF(TbTradesBinance[[#This Row],[Tipo]]="BUY",BM207-TbTradesBinance[[#This Row],[Qtt]]*TbTradesBinance[[#This Row],[Preço]],BM207+TbTradesBinance[[#This Row],[Qtt]]*TbTradesBinance[[#This Row],[Preço]])),BM207)-IF(TbTradesBinance[[#This Row],[Moeda da Taxa]]=MID(BM$1,9,5),TbTradesBinance[[#This Row],[Taxa]],0),8)))</f>
        <v>0</v>
      </c>
      <c r="BN208" s="145" cm="1">
        <f t="array" ref="BN208">IF(TbTradesBinance[[#This Row],[Tipo]]="EMPTY",0,BN207+IF(TbTradesBinance[[#This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Row],[Par]]))),$1:$1,0)),-(BM207-BM208)/BM207*BN207),0),0)+IF(TbTradesBinance[[#This Row],[Tipo]]="SELL",IF(ISNUMBER(FIND(MID(BN$1,10,5),TbTradesBinance[[#This Row],[Par]])),IF(FIND(MID(BN$1,10,5),TbTradesBinance[[#This Row],[Par]])=1, -(BM207-BM208)/BM207*BN207,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Row],[Par]])),(-(BM207-BM208)/BM207*BN207)+IF(TbTradesBinance[[#This Row],[Resultado]]&gt;0,0,TbTradesBinance[[#This Row],[Taxa]]),0),0))</f>
        <v>0</v>
      </c>
      <c r="BO208" s="145">
        <f t="shared" si="75"/>
        <v>0</v>
      </c>
    </row>
    <row r="209" spans="2:67" x14ac:dyDescent="0.3">
      <c r="B209" s="51"/>
      <c r="C209" s="40">
        <f>TRUNC(IF(AND(TbTradesBinance[[#This Row],[Tipo]]="SEND",TbTradesBinance[[#This Row],[Par]]="BRL"),TbTradesBinance[[#This Row],[Qtt]]*(1-P207)-IF(TbTradesBinance[[#This Row],[Moeda da Taxa]]="BRL",TbTradesBinance[[#This Row],[Taxa]],0),0)+IF(AND(TbTradesBinance[[#This Row],[Tipo]]="BURN",TbTradesBinance[[#This Row],[Par]]="BRL"),-TbTradesBinance[[#This Row],[Qtt]]*P207,0),2)</f>
        <v>0</v>
      </c>
      <c r="D209" s="53">
        <v>44372.752500000002</v>
      </c>
      <c r="E209" s="37" t="s">
        <v>249</v>
      </c>
      <c r="F209" s="47" t="s">
        <v>139</v>
      </c>
      <c r="G209" s="38">
        <v>31500</v>
      </c>
      <c r="H209" s="38">
        <v>2.7330000000000002E-3</v>
      </c>
      <c r="I209" s="38">
        <v>2.7300000000000001E-6</v>
      </c>
      <c r="J209" s="37" t="s">
        <v>6</v>
      </c>
      <c r="K209" s="52">
        <v>4.9379999999999997</v>
      </c>
      <c r="L209" s="40">
        <f t="shared" si="57"/>
        <v>155547</v>
      </c>
      <c r="M209" s="40">
        <f>IF(OR(TbTradesBinance[[#This Row],[Tipo]]="BUY",TbTradesBinance[[#This Row],[Tipo]]="RECEIVE",TbTradesBinance[[#This Row],[Tipo]]="DROP"),L209*H209,-L209*H209)</f>
        <v>425.10995100000002</v>
      </c>
      <c r="N20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Row],[Tipo]]="DROP"),N208+TbTradesBinance[[#This Row],[Qtt]],N208-TbTradesBinance[[#This Row],[Qtt]]),IF(TbTradesBinance[[#This Row],[Tipo]]="BUY",N208-TbTradesBinance[[#This Row],[Qtt]]*TbTradesBinance[[#This Row],[Preço]],N208+TbTradesBinance[[#This Row],[Qtt]]*TbTradesBinance[[#This Row],[Preço]])),N208)-IF(TbTradesBinance[[#This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Row],[Tipo]]="DROP"),N208+TbTradesBinance[[#This Row],[Qtt]],N208-TbTradesBinance[[#This Row],[Qtt]]),IF(TbTradesBinance[[#This Row],[Tipo]]="BUY",N208-TbTradesBinance[[#This Row],[Qtt]]*TbTradesBinance[[#This Row],[Preço]],N208+TbTradesBinance[[#This Row],[Qtt]]*TbTradesBinance[[#This Row],[Preço]])),N208)-IF(TbTradesBinance[[#This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Row],[Tipo]]="DROP"),N208+TbTradesBinance[[#This Row],[Qtt]],N208-TbTradesBinance[[#This Row],[Qtt]]),IF(TbTradesBinance[[#This Row],[Tipo]]="BUY",N208-TbTradesBinance[[#This Row],[Qtt]]*TbTradesBinance[[#This Row],[Preço]],N208+TbTradesBinance[[#This Row],[Qtt]]*TbTradesBinance[[#This Row],[Preço]])),N208)-IF(TbTradesBinance[[#This Row],[Moeda da Taxa]]=MID(N$1,9,5),TbTradesBinance[[#This Row],[Taxa]],0),8)))</f>
        <v>119745.44911781</v>
      </c>
      <c r="O209" s="145" cm="1">
        <f t="array" ref="O209">IF(TbTradesBinance[[#This Row],[Tipo]]="EMPTY",0,O208+IF(TbTradesBinance[[#This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Row],[Par]]))),$1:$1,0)),-(N208-N209)/N208*O208),0),0)+IF(TbTradesBinance[[#This Row],[Tipo]]="SELL",IF(ISNUMBER(FIND(MID(O$1,10,5),TbTradesBinance[[#This Row],[Par]])),IF(FIND(MID(O$1,10,5),TbTradesBinance[[#This Row],[Par]])=1, -(N208-N209)/N208*O208,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Row],[Par]])),(-(N208-N209)/N208*O208)+IF(TbTradesBinance[[#This Row],[Resultado]]&gt;0,0,TbTradesBinance[[#This Row],[Taxa]]),0),0))</f>
        <v>120404.99677150718</v>
      </c>
      <c r="P209" s="145">
        <f t="shared" si="58"/>
        <v>1.0055079141508609</v>
      </c>
      <c r="Q20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Row],[Tipo]]="DROP"),Q208+TbTradesBinance[[#This Row],[Qtt]],Q208-TbTradesBinance[[#This Row],[Qtt]]),IF(TbTradesBinance[[#This Row],[Tipo]]="BUY",Q208-TbTradesBinance[[#This Row],[Qtt]]*TbTradesBinance[[#This Row],[Preço]],Q208+TbTradesBinance[[#This Row],[Qtt]]*TbTradesBinance[[#This Row],[Preço]])),Q208)-IF(TbTradesBinance[[#This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Row],[Tipo]]="DROP"),Q208+TbTradesBinance[[#This Row],[Qtt]],Q208-TbTradesBinance[[#This Row],[Qtt]]),IF(TbTradesBinance[[#This Row],[Tipo]]="BUY",Q208-TbTradesBinance[[#This Row],[Qtt]]*TbTradesBinance[[#This Row],[Preço]],Q208+TbTradesBinance[[#This Row],[Qtt]]*TbTradesBinance[[#This Row],[Preço]])),Q208)-IF(TbTradesBinance[[#This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Row],[Tipo]]="DROP"),Q208+TbTradesBinance[[#This Row],[Qtt]],Q208-TbTradesBinance[[#This Row],[Qtt]]),IF(TbTradesBinance[[#This Row],[Tipo]]="BUY",Q208-TbTradesBinance[[#This Row],[Qtt]]*TbTradesBinance[[#This Row],[Preço]],Q208+TbTradesBinance[[#This Row],[Qtt]]*TbTradesBinance[[#This Row],[Preço]])),Q208)-IF(TbTradesBinance[[#This Row],[Moeda da Taxa]]=MID(Q$1,9,5),TbTradesBinance[[#This Row],[Taxa]],0),8)))</f>
        <v>32.375375900000002</v>
      </c>
      <c r="R209" s="145" cm="1">
        <f t="array" ref="R209">IF(TbTradesBinance[[#This Row],[Tipo]]="EMPTY",0,R208+IF(TbTradesBinance[[#This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Row],[Par]]))),$1:$1,0)),-(Q208-Q209)/Q208*R208),0),0)+IF(TbTradesBinance[[#This Row],[Tipo]]="SELL",IF(ISNUMBER(FIND(MID(R$1,10,5),TbTradesBinance[[#This Row],[Par]])),IF(FIND(MID(R$1,10,5),TbTradesBinance[[#This Row],[Par]])=1, -(Q208-Q209)/Q208*R208,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Row],[Par]])),(-(Q208-Q209)/Q208*R208)+IF(TbTradesBinance[[#This Row],[Resultado]]&gt;0,0,TbTradesBinance[[#This Row],[Taxa]]),0),0))</f>
        <v>187.25854798016013</v>
      </c>
      <c r="S209" s="145">
        <f t="shared" si="59"/>
        <v>5.7839806573538537</v>
      </c>
      <c r="T20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Row],[Tipo]]="DROP"),T208+TbTradesBinance[[#This Row],[Qtt]],T208-TbTradesBinance[[#This Row],[Qtt]]),IF(TbTradesBinance[[#This Row],[Tipo]]="BUY",T208-TbTradesBinance[[#This Row],[Qtt]]*TbTradesBinance[[#This Row],[Preço]],T208+TbTradesBinance[[#This Row],[Qtt]]*TbTradesBinance[[#This Row],[Preço]])),T208)-IF(TbTradesBinance[[#This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Row],[Tipo]]="DROP"),T208+TbTradesBinance[[#This Row],[Qtt]],T208-TbTradesBinance[[#This Row],[Qtt]]),IF(TbTradesBinance[[#This Row],[Tipo]]="BUY",T208-TbTradesBinance[[#This Row],[Qtt]]*TbTradesBinance[[#This Row],[Preço]],T208+TbTradesBinance[[#This Row],[Qtt]]*TbTradesBinance[[#This Row],[Preço]])),T208)-IF(TbTradesBinance[[#This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Row],[Tipo]]="DROP"),T208+TbTradesBinance[[#This Row],[Qtt]],T208-TbTradesBinance[[#This Row],[Qtt]]),IF(TbTradesBinance[[#This Row],[Tipo]]="BUY",T208-TbTradesBinance[[#This Row],[Qtt]]*TbTradesBinance[[#This Row],[Preço]],T208+TbTradesBinance[[#This Row],[Qtt]]*TbTradesBinance[[#This Row],[Preço]])),T208)-IF(TbTradesBinance[[#This Row],[Moeda da Taxa]]=MID(T$1,9,5),TbTradesBinance[[#This Row],[Taxa]],0),8)))</f>
        <v>101223913.720009</v>
      </c>
      <c r="U209" s="145" cm="1">
        <f t="array" ref="U209">IF(TbTradesBinance[[#This Row],[Tipo]]="EMPTY",0,U208+IF(TbTradesBinance[[#This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Row],[Par]]))),$1:$1,0)),-(T208-T209)/T208*U208),0),0)+IF(TbTradesBinance[[#This Row],[Tipo]]="SELL",IF(ISNUMBER(FIND(MID(U$1,10,5),TbTradesBinance[[#This Row],[Par]])),IF(FIND(MID(U$1,10,5),TbTradesBinance[[#This Row],[Par]])=1, -(T208-T209)/T208*U208,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Row],[Par]])),(-(T208-T209)/T208*U208)+IF(TbTradesBinance[[#This Row],[Resultado]]&gt;0,0,TbTradesBinance[[#This Row],[Taxa]]),0),0))</f>
        <v>617586601.27364206</v>
      </c>
      <c r="V209" s="145">
        <f t="shared" si="60"/>
        <v>6.1011926784605572</v>
      </c>
      <c r="W20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Row],[Tipo]]="DROP"),W208+TbTradesBinance[[#This Row],[Qtt]],W208-TbTradesBinance[[#This Row],[Qtt]]),IF(TbTradesBinance[[#This Row],[Tipo]]="BUY",W208-TbTradesBinance[[#This Row],[Qtt]]*TbTradesBinance[[#This Row],[Preço]],W208+TbTradesBinance[[#This Row],[Qtt]]*TbTradesBinance[[#This Row],[Preço]])),W208)-IF(TbTradesBinance[[#This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Row],[Tipo]]="DROP"),W208+TbTradesBinance[[#This Row],[Qtt]],W208-TbTradesBinance[[#This Row],[Qtt]]),IF(TbTradesBinance[[#This Row],[Tipo]]="BUY",W208-TbTradesBinance[[#This Row],[Qtt]]*TbTradesBinance[[#This Row],[Preço]],W208+TbTradesBinance[[#This Row],[Qtt]]*TbTradesBinance[[#This Row],[Preço]])),W208)-IF(TbTradesBinance[[#This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Row],[Tipo]]="DROP"),W208+TbTradesBinance[[#This Row],[Qtt]],W208-TbTradesBinance[[#This Row],[Qtt]]),IF(TbTradesBinance[[#This Row],[Tipo]]="BUY",W208-TbTradesBinance[[#This Row],[Qtt]]*TbTradesBinance[[#This Row],[Preço]],W208+TbTradesBinance[[#This Row],[Qtt]]*TbTradesBinance[[#This Row],[Preço]])),W208)-IF(TbTradesBinance[[#This Row],[Moeda da Taxa]]=MID(W$1,9,5),TbTradesBinance[[#This Row],[Taxa]],0),8)))</f>
        <v>1.4026810000000001E-2</v>
      </c>
      <c r="X209" s="145" cm="1">
        <f t="array" ref="X209">IF(TbTradesBinance[[#This Row],[Tipo]]="EMPTY",0,X208+IF(TbTradesBinance[[#This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Row],[Par]]))),$1:$1,0)),-(W208-W209)/W208*X208),0),0)+IF(TbTradesBinance[[#This Row],[Tipo]]="SELL",IF(ISNUMBER(FIND(MID(X$1,10,5),TbTradesBinance[[#This Row],[Par]])),IF(FIND(MID(X$1,10,5),TbTradesBinance[[#This Row],[Par]])=1, -(W208-W209)/W208*X208,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Row],[Par]])),(-(W208-W209)/W208*X208)+IF(TbTradesBinance[[#This Row],[Resultado]]&gt;0,0,TbTradesBinance[[#This Row],[Taxa]]),0),0))</f>
        <v>2437.9657868522268</v>
      </c>
      <c r="Y209" s="145">
        <f t="shared" si="61"/>
        <v>173807.57184650155</v>
      </c>
      <c r="Z20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Row],[Tipo]]="DROP"),Z208+TbTradesBinance[[#This Row],[Qtt]],Z208-TbTradesBinance[[#This Row],[Qtt]]),IF(TbTradesBinance[[#This Row],[Tipo]]="BUY",Z208-TbTradesBinance[[#This Row],[Qtt]]*TbTradesBinance[[#This Row],[Preço]],Z208+TbTradesBinance[[#This Row],[Qtt]]*TbTradesBinance[[#This Row],[Preço]])),Z208)-IF(TbTradesBinance[[#This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Row],[Tipo]]="DROP"),Z208+TbTradesBinance[[#This Row],[Qtt]],Z208-TbTradesBinance[[#This Row],[Qtt]]),IF(TbTradesBinance[[#This Row],[Tipo]]="BUY",Z208-TbTradesBinance[[#This Row],[Qtt]]*TbTradesBinance[[#This Row],[Preço]],Z208+TbTradesBinance[[#This Row],[Qtt]]*TbTradesBinance[[#This Row],[Preço]])),Z208)-IF(TbTradesBinance[[#This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Row],[Tipo]]="DROP"),Z208+TbTradesBinance[[#This Row],[Qtt]],Z208-TbTradesBinance[[#This Row],[Qtt]]),IF(TbTradesBinance[[#This Row],[Tipo]]="BUY",Z208-TbTradesBinance[[#This Row],[Qtt]]*TbTradesBinance[[#This Row],[Preço]],Z208+TbTradesBinance[[#This Row],[Qtt]]*TbTradesBinance[[#This Row],[Preço]])),Z208)-IF(TbTradesBinance[[#This Row],[Moeda da Taxa]]=MID(Z$1,9,5),TbTradesBinance[[#This Row],[Taxa]],0),8)))</f>
        <v>0</v>
      </c>
      <c r="AA209" s="145" cm="1">
        <f t="array" ref="AA209">IF(TbTradesBinance[[#This Row],[Tipo]]="EMPTY",0,AA208+IF(TbTradesBinance[[#This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Row],[Par]]))),$1:$1,0)),-(Z208-Z209)/Z208*AA208),0),0)+IF(TbTradesBinance[[#This Row],[Tipo]]="SELL",IF(ISNUMBER(FIND(MID(AA$1,10,5),TbTradesBinance[[#This Row],[Par]])),IF(FIND(MID(AA$1,10,5),TbTradesBinance[[#This Row],[Par]])=1, -(Z208-Z209)/Z208*AA208,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Row],[Par]])),(-(Z208-Z209)/Z208*AA208)+IF(TbTradesBinance[[#This Row],[Resultado]]&gt;0,0,TbTradesBinance[[#This Row],[Taxa]]),0),0))</f>
        <v>0</v>
      </c>
      <c r="AB209" s="145">
        <f t="shared" si="62"/>
        <v>0</v>
      </c>
      <c r="AC20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Row],[Tipo]]="DROP"),AC208+TbTradesBinance[[#This Row],[Qtt]],AC208-TbTradesBinance[[#This Row],[Qtt]]),IF(TbTradesBinance[[#This Row],[Tipo]]="BUY",AC208-TbTradesBinance[[#This Row],[Qtt]]*TbTradesBinance[[#This Row],[Preço]],AC208+TbTradesBinance[[#This Row],[Qtt]]*TbTradesBinance[[#This Row],[Preço]])),AC208)-IF(TbTradesBinance[[#This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Row],[Tipo]]="DROP"),AC208+TbTradesBinance[[#This Row],[Qtt]],AC208-TbTradesBinance[[#This Row],[Qtt]]),IF(TbTradesBinance[[#This Row],[Tipo]]="BUY",AC208-TbTradesBinance[[#This Row],[Qtt]]*TbTradesBinance[[#This Row],[Preço]],AC208+TbTradesBinance[[#This Row],[Qtt]]*TbTradesBinance[[#This Row],[Preço]])),AC208)-IF(TbTradesBinance[[#This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Row],[Tipo]]="DROP"),AC208+TbTradesBinance[[#This Row],[Qtt]],AC208-TbTradesBinance[[#This Row],[Qtt]]),IF(TbTradesBinance[[#This Row],[Tipo]]="BUY",AC208-TbTradesBinance[[#This Row],[Qtt]]*TbTradesBinance[[#This Row],[Preço]],AC208+TbTradesBinance[[#This Row],[Qtt]]*TbTradesBinance[[#This Row],[Preço]])),AC208)-IF(TbTradesBinance[[#This Row],[Moeda da Taxa]]=MID(AC$1,9,5),TbTradesBinance[[#This Row],[Taxa]],0),8)))</f>
        <v>0</v>
      </c>
      <c r="AD209" s="145" cm="1">
        <f t="array" ref="AD209">IF(TbTradesBinance[[#This Row],[Tipo]]="EMPTY",0,AD208+IF(TbTradesBinance[[#This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Row],[Par]]))),$1:$1,0)),-(AC208-AC209)/AC208*AD208),0),0)+IF(TbTradesBinance[[#This Row],[Tipo]]="SELL",IF(ISNUMBER(FIND(MID(AD$1,10,5),TbTradesBinance[[#This Row],[Par]])),IF(FIND(MID(AD$1,10,5),TbTradesBinance[[#This Row],[Par]])=1, -(AC208-AC209)/AC208*AD208,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Row],[Par]])),(-(AC208-AC209)/AC208*AD208)+IF(TbTradesBinance[[#This Row],[Resultado]]&gt;0,0,TbTradesBinance[[#This Row],[Taxa]]),0),0))</f>
        <v>0</v>
      </c>
      <c r="AE209" s="145">
        <f t="shared" si="63"/>
        <v>0</v>
      </c>
      <c r="AF20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Row],[Tipo]]="DROP"),AF208+TbTradesBinance[[#This Row],[Qtt]],AF208-TbTradesBinance[[#This Row],[Qtt]]),IF(TbTradesBinance[[#This Row],[Tipo]]="BUY",AF208-TbTradesBinance[[#This Row],[Qtt]]*TbTradesBinance[[#This Row],[Preço]],AF208+TbTradesBinance[[#This Row],[Qtt]]*TbTradesBinance[[#This Row],[Preço]])),AF208)-IF(TbTradesBinance[[#This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Row],[Tipo]]="DROP"),AF208+TbTradesBinance[[#This Row],[Qtt]],AF208-TbTradesBinance[[#This Row],[Qtt]]),IF(TbTradesBinance[[#This Row],[Tipo]]="BUY",AF208-TbTradesBinance[[#This Row],[Qtt]]*TbTradesBinance[[#This Row],[Preço]],AF208+TbTradesBinance[[#This Row],[Qtt]]*TbTradesBinance[[#This Row],[Preço]])),AF208)-IF(TbTradesBinance[[#This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Row],[Tipo]]="DROP"),AF208+TbTradesBinance[[#This Row],[Qtt]],AF208-TbTradesBinance[[#This Row],[Qtt]]),IF(TbTradesBinance[[#This Row],[Tipo]]="BUY",AF208-TbTradesBinance[[#This Row],[Qtt]]*TbTradesBinance[[#This Row],[Preço]],AF208+TbTradesBinance[[#This Row],[Qtt]]*TbTradesBinance[[#This Row],[Preço]])),AF208)-IF(TbTradesBinance[[#This Row],[Moeda da Taxa]]=MID(AF$1,9,5),TbTradesBinance[[#This Row],[Taxa]],0),8)))</f>
        <v>0</v>
      </c>
      <c r="AG209" s="145" cm="1">
        <f t="array" ref="AG209">IF(TbTradesBinance[[#This Row],[Tipo]]="EMPTY",0,AG208+IF(TbTradesBinance[[#This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Row],[Par]]))),$1:$1,0)),-(AF208-AF209)/AF208*AG208),0),0)+IF(TbTradesBinance[[#This Row],[Tipo]]="SELL",IF(ISNUMBER(FIND(MID(AG$1,10,5),TbTradesBinance[[#This Row],[Par]])),IF(FIND(MID(AG$1,10,5),TbTradesBinance[[#This Row],[Par]])=1, -(AF208-AF209)/AF208*AG208,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Row],[Par]])),(-(AF208-AF209)/AF208*AG208)+IF(TbTradesBinance[[#This Row],[Resultado]]&gt;0,0,TbTradesBinance[[#This Row],[Taxa]]),0),0))</f>
        <v>0</v>
      </c>
      <c r="AH209" s="145">
        <f t="shared" si="64"/>
        <v>0</v>
      </c>
      <c r="AI20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Row],[Tipo]]="DROP"),AI208+TbTradesBinance[[#This Row],[Qtt]],AI208-TbTradesBinance[[#This Row],[Qtt]]),IF(TbTradesBinance[[#This Row],[Tipo]]="BUY",AI208-TbTradesBinance[[#This Row],[Qtt]]*TbTradesBinance[[#This Row],[Preço]],AI208+TbTradesBinance[[#This Row],[Qtt]]*TbTradesBinance[[#This Row],[Preço]])),AI208)-IF(TbTradesBinance[[#This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Row],[Tipo]]="DROP"),AI208+TbTradesBinance[[#This Row],[Qtt]],AI208-TbTradesBinance[[#This Row],[Qtt]]),IF(TbTradesBinance[[#This Row],[Tipo]]="BUY",AI208-TbTradesBinance[[#This Row],[Qtt]]*TbTradesBinance[[#This Row],[Preço]],AI208+TbTradesBinance[[#This Row],[Qtt]]*TbTradesBinance[[#This Row],[Preço]])),AI208)-IF(TbTradesBinance[[#This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Row],[Tipo]]="DROP"),AI208+TbTradesBinance[[#This Row],[Qtt]],AI208-TbTradesBinance[[#This Row],[Qtt]]),IF(TbTradesBinance[[#This Row],[Tipo]]="BUY",AI208-TbTradesBinance[[#This Row],[Qtt]]*TbTradesBinance[[#This Row],[Preço]],AI208+TbTradesBinance[[#This Row],[Qtt]]*TbTradesBinance[[#This Row],[Preço]])),AI208)-IF(TbTradesBinance[[#This Row],[Moeda da Taxa]]=MID(AI$1,9,5),TbTradesBinance[[#This Row],[Taxa]],0),8)))</f>
        <v>0</v>
      </c>
      <c r="AJ209" s="145" cm="1">
        <f t="array" ref="AJ209">IF(TbTradesBinance[[#This Row],[Tipo]]="EMPTY",0,AJ208+IF(TbTradesBinance[[#This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Row],[Par]]))),$1:$1,0)),-(AI208-AI209)/AI208*AJ208),0),0)+IF(TbTradesBinance[[#This Row],[Tipo]]="SELL",IF(ISNUMBER(FIND(MID(AJ$1,10,5),TbTradesBinance[[#This Row],[Par]])),IF(FIND(MID(AJ$1,10,5),TbTradesBinance[[#This Row],[Par]])=1, -(AI208-AI209)/AI208*AJ208,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Row],[Par]])),(-(AI208-AI209)/AI208*AJ208)+IF(TbTradesBinance[[#This Row],[Resultado]]&gt;0,0,TbTradesBinance[[#This Row],[Taxa]]),0),0))</f>
        <v>0</v>
      </c>
      <c r="AK209" s="145">
        <f t="shared" si="65"/>
        <v>0</v>
      </c>
      <c r="AL20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Row],[Tipo]]="DROP"),AL208+TbTradesBinance[[#This Row],[Qtt]],AL208-TbTradesBinance[[#This Row],[Qtt]]),IF(TbTradesBinance[[#This Row],[Tipo]]="BUY",AL208-TbTradesBinance[[#This Row],[Qtt]]*TbTradesBinance[[#This Row],[Preço]],AL208+TbTradesBinance[[#This Row],[Qtt]]*TbTradesBinance[[#This Row],[Preço]])),AL208)-IF(TbTradesBinance[[#This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Row],[Tipo]]="DROP"),AL208+TbTradesBinance[[#This Row],[Qtt]],AL208-TbTradesBinance[[#This Row],[Qtt]]),IF(TbTradesBinance[[#This Row],[Tipo]]="BUY",AL208-TbTradesBinance[[#This Row],[Qtt]]*TbTradesBinance[[#This Row],[Preço]],AL208+TbTradesBinance[[#This Row],[Qtt]]*TbTradesBinance[[#This Row],[Preço]])),AL208)-IF(TbTradesBinance[[#This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Row],[Tipo]]="DROP"),AL208+TbTradesBinance[[#This Row],[Qtt]],AL208-TbTradesBinance[[#This Row],[Qtt]]),IF(TbTradesBinance[[#This Row],[Tipo]]="BUY",AL208-TbTradesBinance[[#This Row],[Qtt]]*TbTradesBinance[[#This Row],[Preço]],AL208+TbTradesBinance[[#This Row],[Qtt]]*TbTradesBinance[[#This Row],[Preço]])),AL208)-IF(TbTradesBinance[[#This Row],[Moeda da Taxa]]=MID(AL$1,9,5),TbTradesBinance[[#This Row],[Taxa]],0),8)))</f>
        <v>0</v>
      </c>
      <c r="AM209" s="145" cm="1">
        <f t="array" ref="AM209">IF(TbTradesBinance[[#This Row],[Tipo]]="EMPTY",0,AM208+IF(TbTradesBinance[[#This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Row],[Par]]))),$1:$1,0)),-(AL208-AL209)/AL208*AM208),0),0)+IF(TbTradesBinance[[#This Row],[Tipo]]="SELL",IF(ISNUMBER(FIND(MID(AM$1,10,5),TbTradesBinance[[#This Row],[Par]])),IF(FIND(MID(AM$1,10,5),TbTradesBinance[[#This Row],[Par]])=1, -(AL208-AL209)/AL208*AM208,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Row],[Par]])),(-(AL208-AL209)/AL208*AM208)+IF(TbTradesBinance[[#This Row],[Resultado]]&gt;0,0,TbTradesBinance[[#This Row],[Taxa]]),0),0))</f>
        <v>0</v>
      </c>
      <c r="AN209" s="145">
        <f t="shared" si="66"/>
        <v>0</v>
      </c>
      <c r="AO20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Row],[Tipo]]="DROP"),AO208+TbTradesBinance[[#This Row],[Qtt]],AO208-TbTradesBinance[[#This Row],[Qtt]]),IF(TbTradesBinance[[#This Row],[Tipo]]="BUY",AO208-TbTradesBinance[[#This Row],[Qtt]]*TbTradesBinance[[#This Row],[Preço]],AO208+TbTradesBinance[[#This Row],[Qtt]]*TbTradesBinance[[#This Row],[Preço]])),AO208)-IF(TbTradesBinance[[#This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Row],[Tipo]]="DROP"),AO208+TbTradesBinance[[#This Row],[Qtt]],AO208-TbTradesBinance[[#This Row],[Qtt]]),IF(TbTradesBinance[[#This Row],[Tipo]]="BUY",AO208-TbTradesBinance[[#This Row],[Qtt]]*TbTradesBinance[[#This Row],[Preço]],AO208+TbTradesBinance[[#This Row],[Qtt]]*TbTradesBinance[[#This Row],[Preço]])),AO208)-IF(TbTradesBinance[[#This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Row],[Tipo]]="DROP"),AO208+TbTradesBinance[[#This Row],[Qtt]],AO208-TbTradesBinance[[#This Row],[Qtt]]),IF(TbTradesBinance[[#This Row],[Tipo]]="BUY",AO208-TbTradesBinance[[#This Row],[Qtt]]*TbTradesBinance[[#This Row],[Preço]],AO208+TbTradesBinance[[#This Row],[Qtt]]*TbTradesBinance[[#This Row],[Preço]])),AO208)-IF(TbTradesBinance[[#This Row],[Moeda da Taxa]]=MID(AO$1,9,5),TbTradesBinance[[#This Row],[Taxa]],0),8)))</f>
        <v>3.83405E-2</v>
      </c>
      <c r="AP209" s="145" cm="1">
        <f t="array" ref="AP209">IF(TbTradesBinance[[#This Row],[Tipo]]="EMPTY",0,AP208+IF(TbTradesBinance[[#This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Row],[Par]]))),$1:$1,0)),-(AO208-AO209)/AO208*AP208),0),0)+IF(TbTradesBinance[[#This Row],[Tipo]]="SELL",IF(ISNUMBER(FIND(MID(AP$1,10,5),TbTradesBinance[[#This Row],[Par]])),IF(FIND(MID(AP$1,10,5),TbTradesBinance[[#This Row],[Par]])=1, -(AO208-AO209)/AO208*AP208,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Row],[Par]])),(-(AO208-AO209)/AO208*AP208)+IF(TbTradesBinance[[#This Row],[Resultado]]&gt;0,0,TbTradesBinance[[#This Row],[Taxa]]),0),0))</f>
        <v>60.349858055862811</v>
      </c>
      <c r="AQ209" s="145">
        <f t="shared" si="67"/>
        <v>1574.0498443124845</v>
      </c>
      <c r="AR20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Row],[Tipo]]="DROP"),AR208+TbTradesBinance[[#This Row],[Qtt]],AR208-TbTradesBinance[[#This Row],[Qtt]]),IF(TbTradesBinance[[#This Row],[Tipo]]="BUY",AR208-TbTradesBinance[[#This Row],[Qtt]]*TbTradesBinance[[#This Row],[Preço]],AR208+TbTradesBinance[[#This Row],[Qtt]]*TbTradesBinance[[#This Row],[Preço]])),AR208)-IF(TbTradesBinance[[#This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Row],[Tipo]]="DROP"),AR208+TbTradesBinance[[#This Row],[Qtt]],AR208-TbTradesBinance[[#This Row],[Qtt]]),IF(TbTradesBinance[[#This Row],[Tipo]]="BUY",AR208-TbTradesBinance[[#This Row],[Qtt]]*TbTradesBinance[[#This Row],[Preço]],AR208+TbTradesBinance[[#This Row],[Qtt]]*TbTradesBinance[[#This Row],[Preço]])),AR208)-IF(TbTradesBinance[[#This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Row],[Tipo]]="DROP"),AR208+TbTradesBinance[[#This Row],[Qtt]],AR208-TbTradesBinance[[#This Row],[Qtt]]),IF(TbTradesBinance[[#This Row],[Tipo]]="BUY",AR208-TbTradesBinance[[#This Row],[Qtt]]*TbTradesBinance[[#This Row],[Preço]],AR208+TbTradesBinance[[#This Row],[Qtt]]*TbTradesBinance[[#This Row],[Preço]])),AR208)-IF(TbTradesBinance[[#This Row],[Moeda da Taxa]]=MID(AR$1,9,5),TbTradesBinance[[#This Row],[Taxa]],0),8)))</f>
        <v>0</v>
      </c>
      <c r="AS209" s="145" cm="1">
        <f t="array" ref="AS209">IF(TbTradesBinance[[#This Row],[Tipo]]="EMPTY",0,AS208+IF(TbTradesBinance[[#This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Row],[Par]]))),$1:$1,0)),-(AR208-AR209)/AR208*AS208),0),0)+IF(TbTradesBinance[[#This Row],[Tipo]]="SELL",IF(ISNUMBER(FIND(MID(AS$1,10,5),TbTradesBinance[[#This Row],[Par]])),IF(FIND(MID(AS$1,10,5),TbTradesBinance[[#This Row],[Par]])=1, -(AR208-AR209)/AR208*AS208,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Row],[Par]])),(-(AR208-AR209)/AR208*AS208)+IF(TbTradesBinance[[#This Row],[Resultado]]&gt;0,0,TbTradesBinance[[#This Row],[Taxa]]),0),0))</f>
        <v>0</v>
      </c>
      <c r="AT209" s="145">
        <f t="shared" si="68"/>
        <v>0</v>
      </c>
      <c r="AU20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Row],[Tipo]]="DROP"),AU208+TbTradesBinance[[#This Row],[Qtt]],AU208-TbTradesBinance[[#This Row],[Qtt]]),IF(TbTradesBinance[[#This Row],[Tipo]]="BUY",AU208-TbTradesBinance[[#This Row],[Qtt]]*TbTradesBinance[[#This Row],[Preço]],AU208+TbTradesBinance[[#This Row],[Qtt]]*TbTradesBinance[[#This Row],[Preço]])),AU208)-IF(TbTradesBinance[[#This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Row],[Tipo]]="DROP"),AU208+TbTradesBinance[[#This Row],[Qtt]],AU208-TbTradesBinance[[#This Row],[Qtt]]),IF(TbTradesBinance[[#This Row],[Tipo]]="BUY",AU208-TbTradesBinance[[#This Row],[Qtt]]*TbTradesBinance[[#This Row],[Preço]],AU208+TbTradesBinance[[#This Row],[Qtt]]*TbTradesBinance[[#This Row],[Preço]])),AU208)-IF(TbTradesBinance[[#This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Row],[Tipo]]="DROP"),AU208+TbTradesBinance[[#This Row],[Qtt]],AU208-TbTradesBinance[[#This Row],[Qtt]]),IF(TbTradesBinance[[#This Row],[Tipo]]="BUY",AU208-TbTradesBinance[[#This Row],[Qtt]]*TbTradesBinance[[#This Row],[Preço]],AU208+TbTradesBinance[[#This Row],[Qtt]]*TbTradesBinance[[#This Row],[Preço]])),AU208)-IF(TbTradesBinance[[#This Row],[Moeda da Taxa]]=MID(AU$1,9,5),TbTradesBinance[[#This Row],[Taxa]],0),8)))</f>
        <v>0.51</v>
      </c>
      <c r="AV209" s="145" cm="1">
        <f t="array" ref="AV209">IF(TbTradesBinance[[#This Row],[Tipo]]="EMPTY",0,AV208+IF(TbTradesBinance[[#This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Row],[Par]]))),$1:$1,0)),-(AU208-AU209)/AU208*AV208),0),0)+IF(TbTradesBinance[[#This Row],[Tipo]]="SELL",IF(ISNUMBER(FIND(MID(AV$1,10,5),TbTradesBinance[[#This Row],[Par]])),IF(FIND(MID(AV$1,10,5),TbTradesBinance[[#This Row],[Par]])=1, -(AU208-AU209)/AU208*AV208,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Row],[Par]])),(-(AU208-AU209)/AU208*AV208)+IF(TbTradesBinance[[#This Row],[Resultado]]&gt;0,0,TbTradesBinance[[#This Row],[Taxa]]),0),0))</f>
        <v>95.466693037374753</v>
      </c>
      <c r="AW209" s="145">
        <f t="shared" si="69"/>
        <v>187.18959419093088</v>
      </c>
      <c r="AX20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Row],[Tipo]]="DROP"),AX208+TbTradesBinance[[#This Row],[Qtt]],AX208-TbTradesBinance[[#This Row],[Qtt]]),IF(TbTradesBinance[[#This Row],[Tipo]]="BUY",AX208-TbTradesBinance[[#This Row],[Qtt]]*TbTradesBinance[[#This Row],[Preço]],AX208+TbTradesBinance[[#This Row],[Qtt]]*TbTradesBinance[[#This Row],[Preço]])),AX208)-IF(TbTradesBinance[[#This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Row],[Tipo]]="DROP"),AX208+TbTradesBinance[[#This Row],[Qtt]],AX208-TbTradesBinance[[#This Row],[Qtt]]),IF(TbTradesBinance[[#This Row],[Tipo]]="BUY",AX208-TbTradesBinance[[#This Row],[Qtt]]*TbTradesBinance[[#This Row],[Preço]],AX208+TbTradesBinance[[#This Row],[Qtt]]*TbTradesBinance[[#This Row],[Preço]])),AX208)-IF(TbTradesBinance[[#This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Row],[Tipo]]="DROP"),AX208+TbTradesBinance[[#This Row],[Qtt]],AX208-TbTradesBinance[[#This Row],[Qtt]]),IF(TbTradesBinance[[#This Row],[Tipo]]="BUY",AX208-TbTradesBinance[[#This Row],[Qtt]]*TbTradesBinance[[#This Row],[Preço]],AX208+TbTradesBinance[[#This Row],[Qtt]]*TbTradesBinance[[#This Row],[Preço]])),AX208)-IF(TbTradesBinance[[#This Row],[Moeda da Taxa]]=MID(AX$1,9,5),TbTradesBinance[[#This Row],[Taxa]],0),8)))</f>
        <v>0.32838000000000001</v>
      </c>
      <c r="AY209" s="145" cm="1">
        <f t="array" ref="AY209">IF(TbTradesBinance[[#This Row],[Tipo]]="EMPTY",0,AY208+IF(TbTradesBinance[[#This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Row],[Par]]))),$1:$1,0)),-(AX208-AX209)/AX208*AY208),0),0)+IF(TbTradesBinance[[#This Row],[Tipo]]="SELL",IF(ISNUMBER(FIND(MID(AY$1,10,5),TbTradesBinance[[#This Row],[Par]])),IF(FIND(MID(AY$1,10,5),TbTradesBinance[[#This Row],[Par]])=1, -(AX208-AX209)/AX208*AY208,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Row],[Par]])),(-(AX208-AX209)/AX208*AY208)+IF(TbTradesBinance[[#This Row],[Resultado]]&gt;0,0,TbTradesBinance[[#This Row],[Taxa]]),0),0))</f>
        <v>61.364116058805678</v>
      </c>
      <c r="AZ209" s="145">
        <f t="shared" si="70"/>
        <v>186.869224857804</v>
      </c>
      <c r="BA20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Row],[Tipo]]="DROP"),BA208+TbTradesBinance[[#This Row],[Qtt]],BA208-TbTradesBinance[[#This Row],[Qtt]]),IF(TbTradesBinance[[#This Row],[Tipo]]="BUY",BA208-TbTradesBinance[[#This Row],[Qtt]]*TbTradesBinance[[#This Row],[Preço]],BA208+TbTradesBinance[[#This Row],[Qtt]]*TbTradesBinance[[#This Row],[Preço]])),BA208)-IF(TbTradesBinance[[#This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Row],[Tipo]]="DROP"),BA208+TbTradesBinance[[#This Row],[Qtt]],BA208-TbTradesBinance[[#This Row],[Qtt]]),IF(TbTradesBinance[[#This Row],[Tipo]]="BUY",BA208-TbTradesBinance[[#This Row],[Qtt]]*TbTradesBinance[[#This Row],[Preço]],BA208+TbTradesBinance[[#This Row],[Qtt]]*TbTradesBinance[[#This Row],[Preço]])),BA208)-IF(TbTradesBinance[[#This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Row],[Tipo]]="DROP"),BA208+TbTradesBinance[[#This Row],[Qtt]],BA208-TbTradesBinance[[#This Row],[Qtt]]),IF(TbTradesBinance[[#This Row],[Tipo]]="BUY",BA208-TbTradesBinance[[#This Row],[Qtt]]*TbTradesBinance[[#This Row],[Preço]],BA208+TbTradesBinance[[#This Row],[Qtt]]*TbTradesBinance[[#This Row],[Preço]])),BA208)-IF(TbTradesBinance[[#This Row],[Moeda da Taxa]]=MID(BA$1,9,5),TbTradesBinance[[#This Row],[Taxa]],0),8)))</f>
        <v>0</v>
      </c>
      <c r="BB209" s="145" cm="1">
        <f t="array" ref="BB209">IF(TbTradesBinance[[#This Row],[Tipo]]="EMPTY",0,BB208+IF(TbTradesBinance[[#This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Row],[Par]]))),$1:$1,0)),-(BA208-BA209)/BA208*BB208),0),0)+IF(TbTradesBinance[[#This Row],[Tipo]]="SELL",IF(ISNUMBER(FIND(MID(BB$1,10,5),TbTradesBinance[[#This Row],[Par]])),IF(FIND(MID(BB$1,10,5),TbTradesBinance[[#This Row],[Par]])=1, -(BA208-BA209)/BA208*BB208,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Row],[Par]])),(-(BA208-BA209)/BA208*BB208)+IF(TbTradesBinance[[#This Row],[Resultado]]&gt;0,0,TbTradesBinance[[#This Row],[Taxa]]),0),0))</f>
        <v>0</v>
      </c>
      <c r="BC209" s="145">
        <f t="shared" si="71"/>
        <v>0</v>
      </c>
      <c r="BD20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Row],[Tipo]]="DROP"),BD208+TbTradesBinance[[#This Row],[Qtt]],BD208-TbTradesBinance[[#This Row],[Qtt]]),IF(TbTradesBinance[[#This Row],[Tipo]]="BUY",BD208-TbTradesBinance[[#This Row],[Qtt]]*TbTradesBinance[[#This Row],[Preço]],BD208+TbTradesBinance[[#This Row],[Qtt]]*TbTradesBinance[[#This Row],[Preço]])),BD208)-IF(TbTradesBinance[[#This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Row],[Tipo]]="DROP"),BD208+TbTradesBinance[[#This Row],[Qtt]],BD208-TbTradesBinance[[#This Row],[Qtt]]),IF(TbTradesBinance[[#This Row],[Tipo]]="BUY",BD208-TbTradesBinance[[#This Row],[Qtt]]*TbTradesBinance[[#This Row],[Preço]],BD208+TbTradesBinance[[#This Row],[Qtt]]*TbTradesBinance[[#This Row],[Preço]])),BD208)-IF(TbTradesBinance[[#This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Row],[Tipo]]="DROP"),BD208+TbTradesBinance[[#This Row],[Qtt]],BD208-TbTradesBinance[[#This Row],[Qtt]]),IF(TbTradesBinance[[#This Row],[Tipo]]="BUY",BD208-TbTradesBinance[[#This Row],[Qtt]]*TbTradesBinance[[#This Row],[Preço]],BD208+TbTradesBinance[[#This Row],[Qtt]]*TbTradesBinance[[#This Row],[Preço]])),BD208)-IF(TbTradesBinance[[#This Row],[Moeda da Taxa]]=MID(BD$1,9,5),TbTradesBinance[[#This Row],[Taxa]],0),8)))</f>
        <v>0</v>
      </c>
      <c r="BE209" s="145" cm="1">
        <f t="array" ref="BE209">IF(TbTradesBinance[[#This Row],[Tipo]]="EMPTY",0,BE208+IF(TbTradesBinance[[#This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Row],[Par]]))),$1:$1,0)),-(BD208-BD209)/BD208*BE208),0),0)+IF(TbTradesBinance[[#This Row],[Tipo]]="SELL",IF(ISNUMBER(FIND(MID(BE$1,10,5),TbTradesBinance[[#This Row],[Par]])),IF(FIND(MID(BE$1,10,5),TbTradesBinance[[#This Row],[Par]])=1, -(BD208-BD209)/BD208*BE208,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Row],[Par]])),(-(BD208-BD209)/BD208*BE208)+IF(TbTradesBinance[[#This Row],[Resultado]]&gt;0,0,TbTradesBinance[[#This Row],[Taxa]]),0),0))</f>
        <v>0</v>
      </c>
      <c r="BF209" s="145">
        <f t="shared" si="72"/>
        <v>0</v>
      </c>
      <c r="BG20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Row],[Tipo]]="DROP"),BG208+TbTradesBinance[[#This Row],[Qtt]],BG208-TbTradesBinance[[#This Row],[Qtt]]),IF(TbTradesBinance[[#This Row],[Tipo]]="BUY",BG208-TbTradesBinance[[#This Row],[Qtt]]*TbTradesBinance[[#This Row],[Preço]],BG208+TbTradesBinance[[#This Row],[Qtt]]*TbTradesBinance[[#This Row],[Preço]])),BG208)-IF(TbTradesBinance[[#This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Row],[Tipo]]="DROP"),BG208+TbTradesBinance[[#This Row],[Qtt]],BG208-TbTradesBinance[[#This Row],[Qtt]]),IF(TbTradesBinance[[#This Row],[Tipo]]="BUY",BG208-TbTradesBinance[[#This Row],[Qtt]]*TbTradesBinance[[#This Row],[Preço]],BG208+TbTradesBinance[[#This Row],[Qtt]]*TbTradesBinance[[#This Row],[Preço]])),BG208)-IF(TbTradesBinance[[#This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Row],[Tipo]]="DROP"),BG208+TbTradesBinance[[#This Row],[Qtt]],BG208-TbTradesBinance[[#This Row],[Qtt]]),IF(TbTradesBinance[[#This Row],[Tipo]]="BUY",BG208-TbTradesBinance[[#This Row],[Qtt]]*TbTradesBinance[[#This Row],[Preço]],BG208+TbTradesBinance[[#This Row],[Qtt]]*TbTradesBinance[[#This Row],[Preço]])),BG208)-IF(TbTradesBinance[[#This Row],[Moeda da Taxa]]=MID(BG$1,9,5),TbTradesBinance[[#This Row],[Taxa]],0),8)))</f>
        <v>0</v>
      </c>
      <c r="BH209" s="145" cm="1">
        <f t="array" ref="BH209">IF(TbTradesBinance[[#This Row],[Tipo]]="EMPTY",0,BH208+IF(TbTradesBinance[[#This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Row],[Par]]))),$1:$1,0)),-(BG208-BG209)/BG208*BH208),0),0)+IF(TbTradesBinance[[#This Row],[Tipo]]="SELL",IF(ISNUMBER(FIND(MID(BH$1,10,5),TbTradesBinance[[#This Row],[Par]])),IF(FIND(MID(BH$1,10,5),TbTradesBinance[[#This Row],[Par]])=1, -(BG208-BG209)/BG208*BH208,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Row],[Par]])),(-(BG208-BG209)/BG208*BH208)+IF(TbTradesBinance[[#This Row],[Resultado]]&gt;0,0,TbTradesBinance[[#This Row],[Taxa]]),0),0))</f>
        <v>0</v>
      </c>
      <c r="BI209" s="145">
        <f t="shared" si="73"/>
        <v>0</v>
      </c>
      <c r="BJ20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Row],[Tipo]]="DROP"),BJ208+TbTradesBinance[[#This Row],[Qtt]],BJ208-TbTradesBinance[[#This Row],[Qtt]]),IF(TbTradesBinance[[#This Row],[Tipo]]="BUY",BJ208-TbTradesBinance[[#This Row],[Qtt]]*TbTradesBinance[[#This Row],[Preço]],BJ208+TbTradesBinance[[#This Row],[Qtt]]*TbTradesBinance[[#This Row],[Preço]])),BJ208)-IF(TbTradesBinance[[#This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Row],[Tipo]]="DROP"),BJ208+TbTradesBinance[[#This Row],[Qtt]],BJ208-TbTradesBinance[[#This Row],[Qtt]]),IF(TbTradesBinance[[#This Row],[Tipo]]="BUY",BJ208-TbTradesBinance[[#This Row],[Qtt]]*TbTradesBinance[[#This Row],[Preço]],BJ208+TbTradesBinance[[#This Row],[Qtt]]*TbTradesBinance[[#This Row],[Preço]])),BJ208)-IF(TbTradesBinance[[#This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Row],[Tipo]]="DROP"),BJ208+TbTradesBinance[[#This Row],[Qtt]],BJ208-TbTradesBinance[[#This Row],[Qtt]]),IF(TbTradesBinance[[#This Row],[Tipo]]="BUY",BJ208-TbTradesBinance[[#This Row],[Qtt]]*TbTradesBinance[[#This Row],[Preço]],BJ208+TbTradesBinance[[#This Row],[Qtt]]*TbTradesBinance[[#This Row],[Preço]])),BJ208)-IF(TbTradesBinance[[#This Row],[Moeda da Taxa]]=MID(BJ$1,9,5),TbTradesBinance[[#This Row],[Taxa]],0),8)))</f>
        <v>0</v>
      </c>
      <c r="BK209" s="145" cm="1">
        <f t="array" ref="BK209">IF(TbTradesBinance[[#This Row],[Tipo]]="EMPTY",0,BK208+IF(TbTradesBinance[[#This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Row],[Par]]))),$1:$1,0)),-(BJ208-BJ209)/BJ208*BK208),0),0)+IF(TbTradesBinance[[#This Row],[Tipo]]="SELL",IF(ISNUMBER(FIND(MID(BK$1,10,5),TbTradesBinance[[#This Row],[Par]])),IF(FIND(MID(BK$1,10,5),TbTradesBinance[[#This Row],[Par]])=1, -(BJ208-BJ209)/BJ208*BK208,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Row],[Par]])),(-(BJ208-BJ209)/BJ208*BK208)+IF(TbTradesBinance[[#This Row],[Resultado]]&gt;0,0,TbTradesBinance[[#This Row],[Taxa]]),0),0))</f>
        <v>0</v>
      </c>
      <c r="BL209" s="145">
        <f t="shared" si="74"/>
        <v>0</v>
      </c>
      <c r="BM20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Row],[Tipo]]="DROP"),BM208+TbTradesBinance[[#This Row],[Qtt]],BM208-TbTradesBinance[[#This Row],[Qtt]]),IF(TbTradesBinance[[#This Row],[Tipo]]="BUY",BM208-TbTradesBinance[[#This Row],[Qtt]]*TbTradesBinance[[#This Row],[Preço]],BM208+TbTradesBinance[[#This Row],[Qtt]]*TbTradesBinance[[#This Row],[Preço]])),BM208)-IF(TbTradesBinance[[#This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Row],[Tipo]]="DROP"),BM208+TbTradesBinance[[#This Row],[Qtt]],BM208-TbTradesBinance[[#This Row],[Qtt]]),IF(TbTradesBinance[[#This Row],[Tipo]]="BUY",BM208-TbTradesBinance[[#This Row],[Qtt]]*TbTradesBinance[[#This Row],[Preço]],BM208+TbTradesBinance[[#This Row],[Qtt]]*TbTradesBinance[[#This Row],[Preço]])),BM208)-IF(TbTradesBinance[[#This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Row],[Tipo]]="DROP"),BM208+TbTradesBinance[[#This Row],[Qtt]],BM208-TbTradesBinance[[#This Row],[Qtt]]),IF(TbTradesBinance[[#This Row],[Tipo]]="BUY",BM208-TbTradesBinance[[#This Row],[Qtt]]*TbTradesBinance[[#This Row],[Preço]],BM208+TbTradesBinance[[#This Row],[Qtt]]*TbTradesBinance[[#This Row],[Preço]])),BM208)-IF(TbTradesBinance[[#This Row],[Moeda da Taxa]]=MID(BM$1,9,5),TbTradesBinance[[#This Row],[Taxa]],0),8)))</f>
        <v>0</v>
      </c>
      <c r="BN209" s="145" cm="1">
        <f t="array" ref="BN209">IF(TbTradesBinance[[#This Row],[Tipo]]="EMPTY",0,BN208+IF(TbTradesBinance[[#This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Row],[Par]]))),$1:$1,0)),-(BM208-BM209)/BM208*BN208),0),0)+IF(TbTradesBinance[[#This Row],[Tipo]]="SELL",IF(ISNUMBER(FIND(MID(BN$1,10,5),TbTradesBinance[[#This Row],[Par]])),IF(FIND(MID(BN$1,10,5),TbTradesBinance[[#This Row],[Par]])=1, -(BM208-BM209)/BM208*BN208,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Row],[Par]])),(-(BM208-BM209)/BM208*BN208)+IF(TbTradesBinance[[#This Row],[Resultado]]&gt;0,0,TbTradesBinance[[#This Row],[Taxa]]),0),0))</f>
        <v>0</v>
      </c>
      <c r="BO209" s="145">
        <f t="shared" si="75"/>
        <v>0</v>
      </c>
    </row>
    <row r="210" spans="2:67" x14ac:dyDescent="0.3">
      <c r="B210" s="51"/>
      <c r="C210" s="40">
        <f>TRUNC(IF(AND(TbTradesBinance[[#This Row],[Tipo]]="SEND",TbTradesBinance[[#This Row],[Par]]="BRL"),TbTradesBinance[[#This Row],[Qtt]]*(1-P208)-IF(TbTradesBinance[[#This Row],[Moeda da Taxa]]="BRL",TbTradesBinance[[#This Row],[Taxa]],0),0)+IF(AND(TbTradesBinance[[#This Row],[Tipo]]="BURN",TbTradesBinance[[#This Row],[Par]]="BRL"),-TbTradesBinance[[#This Row],[Qtt]]*P208,0),2)</f>
        <v>0</v>
      </c>
      <c r="D210" s="53">
        <v>44374.434027777781</v>
      </c>
      <c r="E210" s="37" t="s">
        <v>272</v>
      </c>
      <c r="F210" s="47" t="s">
        <v>139</v>
      </c>
      <c r="G210" s="38">
        <v>8.3099999999999997E-3</v>
      </c>
      <c r="H210" s="38">
        <v>0.06</v>
      </c>
      <c r="I210" s="38">
        <v>4.5000000000000003E-5</v>
      </c>
      <c r="J210" s="37" t="s">
        <v>45</v>
      </c>
      <c r="K210" s="52">
        <v>150000</v>
      </c>
      <c r="L210" s="40">
        <f t="shared" si="57"/>
        <v>1246.5</v>
      </c>
      <c r="M210" s="40">
        <f>IF(OR(TbTradesBinance[[#This Row],[Tipo]]="BUY",TbTradesBinance[[#This Row],[Tipo]]="RECEIVE",TbTradesBinance[[#This Row],[Tipo]]="DROP"),L210*H210,-L210*H210)</f>
        <v>74.789999999999992</v>
      </c>
      <c r="N21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Row],[Tipo]]="DROP"),N209+TbTradesBinance[[#This Row],[Qtt]],N209-TbTradesBinance[[#This Row],[Qtt]]),IF(TbTradesBinance[[#This Row],[Tipo]]="BUY",N209-TbTradesBinance[[#This Row],[Qtt]]*TbTradesBinance[[#This Row],[Preço]],N209+TbTradesBinance[[#This Row],[Qtt]]*TbTradesBinance[[#This Row],[Preço]])),N209)-IF(TbTradesBinance[[#This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Row],[Tipo]]="DROP"),N209+TbTradesBinance[[#This Row],[Qtt]],N209-TbTradesBinance[[#This Row],[Qtt]]),IF(TbTradesBinance[[#This Row],[Tipo]]="BUY",N209-TbTradesBinance[[#This Row],[Qtt]]*TbTradesBinance[[#This Row],[Preço]],N209+TbTradesBinance[[#This Row],[Qtt]]*TbTradesBinance[[#This Row],[Preço]])),N209)-IF(TbTradesBinance[[#This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Row],[Tipo]]="DROP"),N209+TbTradesBinance[[#This Row],[Qtt]],N209-TbTradesBinance[[#This Row],[Qtt]]),IF(TbTradesBinance[[#This Row],[Tipo]]="BUY",N209-TbTradesBinance[[#This Row],[Qtt]]*TbTradesBinance[[#This Row],[Preço]],N209+TbTradesBinance[[#This Row],[Qtt]]*TbTradesBinance[[#This Row],[Preço]])),N209)-IF(TbTradesBinance[[#This Row],[Moeda da Taxa]]=MID(N$1,9,5),TbTradesBinance[[#This Row],[Taxa]],0),8)))</f>
        <v>119745.44911781</v>
      </c>
      <c r="O210" s="145" cm="1">
        <f t="array" ref="O210">IF(TbTradesBinance[[#This Row],[Tipo]]="EMPTY",0,O209+IF(TbTradesBinance[[#This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Row],[Par]]))),$1:$1,0)),-(N209-N210)/N209*O209),0),0)+IF(TbTradesBinance[[#This Row],[Tipo]]="SELL",IF(ISNUMBER(FIND(MID(O$1,10,5),TbTradesBinance[[#This Row],[Par]])),IF(FIND(MID(O$1,10,5),TbTradesBinance[[#This Row],[Par]])=1, -(N209-N210)/N209*O209,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Row],[Par]])),(-(N209-N210)/N209*O209)+IF(TbTradesBinance[[#This Row],[Resultado]]&gt;0,0,TbTradesBinance[[#This Row],[Taxa]]),0),0))</f>
        <v>120404.99677150718</v>
      </c>
      <c r="P210" s="145">
        <f t="shared" si="58"/>
        <v>1.0055079141508609</v>
      </c>
      <c r="Q21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Row],[Tipo]]="DROP"),Q209+TbTradesBinance[[#This Row],[Qtt]],Q209-TbTradesBinance[[#This Row],[Qtt]]),IF(TbTradesBinance[[#This Row],[Tipo]]="BUY",Q209-TbTradesBinance[[#This Row],[Qtt]]*TbTradesBinance[[#This Row],[Preço]],Q209+TbTradesBinance[[#This Row],[Qtt]]*TbTradesBinance[[#This Row],[Preço]])),Q209)-IF(TbTradesBinance[[#This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Row],[Tipo]]="DROP"),Q209+TbTradesBinance[[#This Row],[Qtt]],Q209-TbTradesBinance[[#This Row],[Qtt]]),IF(TbTradesBinance[[#This Row],[Tipo]]="BUY",Q209-TbTradesBinance[[#This Row],[Qtt]]*TbTradesBinance[[#This Row],[Preço]],Q209+TbTradesBinance[[#This Row],[Qtt]]*TbTradesBinance[[#This Row],[Preço]])),Q209)-IF(TbTradesBinance[[#This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Row],[Tipo]]="DROP"),Q209+TbTradesBinance[[#This Row],[Qtt]],Q209-TbTradesBinance[[#This Row],[Qtt]]),IF(TbTradesBinance[[#This Row],[Tipo]]="BUY",Q209-TbTradesBinance[[#This Row],[Qtt]]*TbTradesBinance[[#This Row],[Preço]],Q209+TbTradesBinance[[#This Row],[Qtt]]*TbTradesBinance[[#This Row],[Preço]])),Q209)-IF(TbTradesBinance[[#This Row],[Moeda da Taxa]]=MID(Q$1,9,5),TbTradesBinance[[#This Row],[Taxa]],0),8)))</f>
        <v>32.375375900000002</v>
      </c>
      <c r="R210" s="145" cm="1">
        <f t="array" ref="R210">IF(TbTradesBinance[[#This Row],[Tipo]]="EMPTY",0,R209+IF(TbTradesBinance[[#This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Row],[Par]]))),$1:$1,0)),-(Q209-Q210)/Q209*R209),0),0)+IF(TbTradesBinance[[#This Row],[Tipo]]="SELL",IF(ISNUMBER(FIND(MID(R$1,10,5),TbTradesBinance[[#This Row],[Par]])),IF(FIND(MID(R$1,10,5),TbTradesBinance[[#This Row],[Par]])=1, -(Q209-Q210)/Q209*R209,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Row],[Par]])),(-(Q209-Q210)/Q209*R209)+IF(TbTradesBinance[[#This Row],[Resultado]]&gt;0,0,TbTradesBinance[[#This Row],[Taxa]]),0),0))</f>
        <v>187.25854798016013</v>
      </c>
      <c r="S210" s="145">
        <f t="shared" si="59"/>
        <v>5.7839806573538537</v>
      </c>
      <c r="T21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Row],[Tipo]]="DROP"),T209+TbTradesBinance[[#This Row],[Qtt]],T209-TbTradesBinance[[#This Row],[Qtt]]),IF(TbTradesBinance[[#This Row],[Tipo]]="BUY",T209-TbTradesBinance[[#This Row],[Qtt]]*TbTradesBinance[[#This Row],[Preço]],T209+TbTradesBinance[[#This Row],[Qtt]]*TbTradesBinance[[#This Row],[Preço]])),T209)-IF(TbTradesBinance[[#This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Row],[Tipo]]="DROP"),T209+TbTradesBinance[[#This Row],[Qtt]],T209-TbTradesBinance[[#This Row],[Qtt]]),IF(TbTradesBinance[[#This Row],[Tipo]]="BUY",T209-TbTradesBinance[[#This Row],[Qtt]]*TbTradesBinance[[#This Row],[Preço]],T209+TbTradesBinance[[#This Row],[Qtt]]*TbTradesBinance[[#This Row],[Preço]])),T209)-IF(TbTradesBinance[[#This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Row],[Tipo]]="DROP"),T209+TbTradesBinance[[#This Row],[Qtt]],T209-TbTradesBinance[[#This Row],[Qtt]]),IF(TbTradesBinance[[#This Row],[Tipo]]="BUY",T209-TbTradesBinance[[#This Row],[Qtt]]*TbTradesBinance[[#This Row],[Preço]],T209+TbTradesBinance[[#This Row],[Qtt]]*TbTradesBinance[[#This Row],[Preço]])),T209)-IF(TbTradesBinance[[#This Row],[Moeda da Taxa]]=MID(T$1,9,5),TbTradesBinance[[#This Row],[Taxa]],0),8)))</f>
        <v>101223913.720009</v>
      </c>
      <c r="U210" s="145" cm="1">
        <f t="array" ref="U210">IF(TbTradesBinance[[#This Row],[Tipo]]="EMPTY",0,U209+IF(TbTradesBinance[[#This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Row],[Par]]))),$1:$1,0)),-(T209-T210)/T209*U209),0),0)+IF(TbTradesBinance[[#This Row],[Tipo]]="SELL",IF(ISNUMBER(FIND(MID(U$1,10,5),TbTradesBinance[[#This Row],[Par]])),IF(FIND(MID(U$1,10,5),TbTradesBinance[[#This Row],[Par]])=1, -(T209-T210)/T209*U209,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Row],[Par]])),(-(T209-T210)/T209*U209)+IF(TbTradesBinance[[#This Row],[Resultado]]&gt;0,0,TbTradesBinance[[#This Row],[Taxa]]),0),0))</f>
        <v>617586601.27364206</v>
      </c>
      <c r="V210" s="145">
        <f t="shared" si="60"/>
        <v>6.1011926784605572</v>
      </c>
      <c r="W21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Row],[Tipo]]="DROP"),W209+TbTradesBinance[[#This Row],[Qtt]],W209-TbTradesBinance[[#This Row],[Qtt]]),IF(TbTradesBinance[[#This Row],[Tipo]]="BUY",W209-TbTradesBinance[[#This Row],[Qtt]]*TbTradesBinance[[#This Row],[Preço]],W209+TbTradesBinance[[#This Row],[Qtt]]*TbTradesBinance[[#This Row],[Preço]])),W209)-IF(TbTradesBinance[[#This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Row],[Tipo]]="DROP"),W209+TbTradesBinance[[#This Row],[Qtt]],W209-TbTradesBinance[[#This Row],[Qtt]]),IF(TbTradesBinance[[#This Row],[Tipo]]="BUY",W209-TbTradesBinance[[#This Row],[Qtt]]*TbTradesBinance[[#This Row],[Preço]],W209+TbTradesBinance[[#This Row],[Qtt]]*TbTradesBinance[[#This Row],[Preço]])),W209)-IF(TbTradesBinance[[#This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Row],[Tipo]]="DROP"),W209+TbTradesBinance[[#This Row],[Qtt]],W209-TbTradesBinance[[#This Row],[Qtt]]),IF(TbTradesBinance[[#This Row],[Tipo]]="BUY",W209-TbTradesBinance[[#This Row],[Qtt]]*TbTradesBinance[[#This Row],[Preço]],W209+TbTradesBinance[[#This Row],[Qtt]]*TbTradesBinance[[#This Row],[Preço]])),W209)-IF(TbTradesBinance[[#This Row],[Moeda da Taxa]]=MID(W$1,9,5),TbTradesBinance[[#This Row],[Taxa]],0),8)))</f>
        <v>1.3528210000000001E-2</v>
      </c>
      <c r="X210" s="145" cm="1">
        <f t="array" ref="X210">IF(TbTradesBinance[[#This Row],[Tipo]]="EMPTY",0,X209+IF(TbTradesBinance[[#This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Row],[Par]]))),$1:$1,0)),-(W209-W210)/W209*X209),0),0)+IF(TbTradesBinance[[#This Row],[Tipo]]="SELL",IF(ISNUMBER(FIND(MID(X$1,10,5),TbTradesBinance[[#This Row],[Par]])),IF(FIND(MID(X$1,10,5),TbTradesBinance[[#This Row],[Par]])=1, -(W209-W210)/W209*X209,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Row],[Par]])),(-(W209-W210)/W209*X209)+IF(TbTradesBinance[[#This Row],[Resultado]]&gt;0,0,TbTradesBinance[[#This Row],[Taxa]]),0),0))</f>
        <v>2351.305331529561</v>
      </c>
      <c r="Y210" s="145">
        <f t="shared" si="61"/>
        <v>173807.57184650155</v>
      </c>
      <c r="Z21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Row],[Tipo]]="DROP"),Z209+TbTradesBinance[[#This Row],[Qtt]],Z209-TbTradesBinance[[#This Row],[Qtt]]),IF(TbTradesBinance[[#This Row],[Tipo]]="BUY",Z209-TbTradesBinance[[#This Row],[Qtt]]*TbTradesBinance[[#This Row],[Preço]],Z209+TbTradesBinance[[#This Row],[Qtt]]*TbTradesBinance[[#This Row],[Preço]])),Z209)-IF(TbTradesBinance[[#This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Row],[Tipo]]="DROP"),Z209+TbTradesBinance[[#This Row],[Qtt]],Z209-TbTradesBinance[[#This Row],[Qtt]]),IF(TbTradesBinance[[#This Row],[Tipo]]="BUY",Z209-TbTradesBinance[[#This Row],[Qtt]]*TbTradesBinance[[#This Row],[Preço]],Z209+TbTradesBinance[[#This Row],[Qtt]]*TbTradesBinance[[#This Row],[Preço]])),Z209)-IF(TbTradesBinance[[#This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Row],[Tipo]]="DROP"),Z209+TbTradesBinance[[#This Row],[Qtt]],Z209-TbTradesBinance[[#This Row],[Qtt]]),IF(TbTradesBinance[[#This Row],[Tipo]]="BUY",Z209-TbTradesBinance[[#This Row],[Qtt]]*TbTradesBinance[[#This Row],[Preço]],Z209+TbTradesBinance[[#This Row],[Qtt]]*TbTradesBinance[[#This Row],[Preço]])),Z209)-IF(TbTradesBinance[[#This Row],[Moeda da Taxa]]=MID(Z$1,9,5),TbTradesBinance[[#This Row],[Taxa]],0),8)))</f>
        <v>0</v>
      </c>
      <c r="AA210" s="145" cm="1">
        <f t="array" ref="AA210">IF(TbTradesBinance[[#This Row],[Tipo]]="EMPTY",0,AA209+IF(TbTradesBinance[[#This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Row],[Par]]))),$1:$1,0)),-(Z209-Z210)/Z209*AA209),0),0)+IF(TbTradesBinance[[#This Row],[Tipo]]="SELL",IF(ISNUMBER(FIND(MID(AA$1,10,5),TbTradesBinance[[#This Row],[Par]])),IF(FIND(MID(AA$1,10,5),TbTradesBinance[[#This Row],[Par]])=1, -(Z209-Z210)/Z209*AA209,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Row],[Par]])),(-(Z209-Z210)/Z209*AA209)+IF(TbTradesBinance[[#This Row],[Resultado]]&gt;0,0,TbTradesBinance[[#This Row],[Taxa]]),0),0))</f>
        <v>0</v>
      </c>
      <c r="AB210" s="145">
        <f t="shared" si="62"/>
        <v>0</v>
      </c>
      <c r="AC21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Row],[Tipo]]="DROP"),AC209+TbTradesBinance[[#This Row],[Qtt]],AC209-TbTradesBinance[[#This Row],[Qtt]]),IF(TbTradesBinance[[#This Row],[Tipo]]="BUY",AC209-TbTradesBinance[[#This Row],[Qtt]]*TbTradesBinance[[#This Row],[Preço]],AC209+TbTradesBinance[[#This Row],[Qtt]]*TbTradesBinance[[#This Row],[Preço]])),AC209)-IF(TbTradesBinance[[#This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Row],[Tipo]]="DROP"),AC209+TbTradesBinance[[#This Row],[Qtt]],AC209-TbTradesBinance[[#This Row],[Qtt]]),IF(TbTradesBinance[[#This Row],[Tipo]]="BUY",AC209-TbTradesBinance[[#This Row],[Qtt]]*TbTradesBinance[[#This Row],[Preço]],AC209+TbTradesBinance[[#This Row],[Qtt]]*TbTradesBinance[[#This Row],[Preço]])),AC209)-IF(TbTradesBinance[[#This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Row],[Tipo]]="DROP"),AC209+TbTradesBinance[[#This Row],[Qtt]],AC209-TbTradesBinance[[#This Row],[Qtt]]),IF(TbTradesBinance[[#This Row],[Tipo]]="BUY",AC209-TbTradesBinance[[#This Row],[Qtt]]*TbTradesBinance[[#This Row],[Preço]],AC209+TbTradesBinance[[#This Row],[Qtt]]*TbTradesBinance[[#This Row],[Preço]])),AC209)-IF(TbTradesBinance[[#This Row],[Moeda da Taxa]]=MID(AC$1,9,5),TbTradesBinance[[#This Row],[Taxa]],0),8)))</f>
        <v>0</v>
      </c>
      <c r="AD210" s="145" cm="1">
        <f t="array" ref="AD210">IF(TbTradesBinance[[#This Row],[Tipo]]="EMPTY",0,AD209+IF(TbTradesBinance[[#This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Row],[Par]]))),$1:$1,0)),-(AC209-AC210)/AC209*AD209),0),0)+IF(TbTradesBinance[[#This Row],[Tipo]]="SELL",IF(ISNUMBER(FIND(MID(AD$1,10,5),TbTradesBinance[[#This Row],[Par]])),IF(FIND(MID(AD$1,10,5),TbTradesBinance[[#This Row],[Par]])=1, -(AC209-AC210)/AC209*AD209,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Row],[Par]])),(-(AC209-AC210)/AC209*AD209)+IF(TbTradesBinance[[#This Row],[Resultado]]&gt;0,0,TbTradesBinance[[#This Row],[Taxa]]),0),0))</f>
        <v>0</v>
      </c>
      <c r="AE210" s="145">
        <f t="shared" si="63"/>
        <v>0</v>
      </c>
      <c r="AF21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Row],[Tipo]]="DROP"),AF209+TbTradesBinance[[#This Row],[Qtt]],AF209-TbTradesBinance[[#This Row],[Qtt]]),IF(TbTradesBinance[[#This Row],[Tipo]]="BUY",AF209-TbTradesBinance[[#This Row],[Qtt]]*TbTradesBinance[[#This Row],[Preço]],AF209+TbTradesBinance[[#This Row],[Qtt]]*TbTradesBinance[[#This Row],[Preço]])),AF209)-IF(TbTradesBinance[[#This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Row],[Tipo]]="DROP"),AF209+TbTradesBinance[[#This Row],[Qtt]],AF209-TbTradesBinance[[#This Row],[Qtt]]),IF(TbTradesBinance[[#This Row],[Tipo]]="BUY",AF209-TbTradesBinance[[#This Row],[Qtt]]*TbTradesBinance[[#This Row],[Preço]],AF209+TbTradesBinance[[#This Row],[Qtt]]*TbTradesBinance[[#This Row],[Preço]])),AF209)-IF(TbTradesBinance[[#This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Row],[Tipo]]="DROP"),AF209+TbTradesBinance[[#This Row],[Qtt]],AF209-TbTradesBinance[[#This Row],[Qtt]]),IF(TbTradesBinance[[#This Row],[Tipo]]="BUY",AF209-TbTradesBinance[[#This Row],[Qtt]]*TbTradesBinance[[#This Row],[Preço]],AF209+TbTradesBinance[[#This Row],[Qtt]]*TbTradesBinance[[#This Row],[Preço]])),AF209)-IF(TbTradesBinance[[#This Row],[Moeda da Taxa]]=MID(AF$1,9,5),TbTradesBinance[[#This Row],[Taxa]],0),8)))</f>
        <v>0</v>
      </c>
      <c r="AG210" s="145" cm="1">
        <f t="array" ref="AG210">IF(TbTradesBinance[[#This Row],[Tipo]]="EMPTY",0,AG209+IF(TbTradesBinance[[#This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Row],[Par]]))),$1:$1,0)),-(AF209-AF210)/AF209*AG209),0),0)+IF(TbTradesBinance[[#This Row],[Tipo]]="SELL",IF(ISNUMBER(FIND(MID(AG$1,10,5),TbTradesBinance[[#This Row],[Par]])),IF(FIND(MID(AG$1,10,5),TbTradesBinance[[#This Row],[Par]])=1, -(AF209-AF210)/AF209*AG209,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Row],[Par]])),(-(AF209-AF210)/AF209*AG209)+IF(TbTradesBinance[[#This Row],[Resultado]]&gt;0,0,TbTradesBinance[[#This Row],[Taxa]]),0),0))</f>
        <v>0</v>
      </c>
      <c r="AH210" s="145">
        <f t="shared" si="64"/>
        <v>0</v>
      </c>
      <c r="AI21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Row],[Tipo]]="DROP"),AI209+TbTradesBinance[[#This Row],[Qtt]],AI209-TbTradesBinance[[#This Row],[Qtt]]),IF(TbTradesBinance[[#This Row],[Tipo]]="BUY",AI209-TbTradesBinance[[#This Row],[Qtt]]*TbTradesBinance[[#This Row],[Preço]],AI209+TbTradesBinance[[#This Row],[Qtt]]*TbTradesBinance[[#This Row],[Preço]])),AI209)-IF(TbTradesBinance[[#This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Row],[Tipo]]="DROP"),AI209+TbTradesBinance[[#This Row],[Qtt]],AI209-TbTradesBinance[[#This Row],[Qtt]]),IF(TbTradesBinance[[#This Row],[Tipo]]="BUY",AI209-TbTradesBinance[[#This Row],[Qtt]]*TbTradesBinance[[#This Row],[Preço]],AI209+TbTradesBinance[[#This Row],[Qtt]]*TbTradesBinance[[#This Row],[Preço]])),AI209)-IF(TbTradesBinance[[#This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Row],[Tipo]]="DROP"),AI209+TbTradesBinance[[#This Row],[Qtt]],AI209-TbTradesBinance[[#This Row],[Qtt]]),IF(TbTradesBinance[[#This Row],[Tipo]]="BUY",AI209-TbTradesBinance[[#This Row],[Qtt]]*TbTradesBinance[[#This Row],[Preço]],AI209+TbTradesBinance[[#This Row],[Qtt]]*TbTradesBinance[[#This Row],[Preço]])),AI209)-IF(TbTradesBinance[[#This Row],[Moeda da Taxa]]=MID(AI$1,9,5),TbTradesBinance[[#This Row],[Taxa]],0),8)))</f>
        <v>0</v>
      </c>
      <c r="AJ210" s="145" cm="1">
        <f t="array" ref="AJ210">IF(TbTradesBinance[[#This Row],[Tipo]]="EMPTY",0,AJ209+IF(TbTradesBinance[[#This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Row],[Par]]))),$1:$1,0)),-(AI209-AI210)/AI209*AJ209),0),0)+IF(TbTradesBinance[[#This Row],[Tipo]]="SELL",IF(ISNUMBER(FIND(MID(AJ$1,10,5),TbTradesBinance[[#This Row],[Par]])),IF(FIND(MID(AJ$1,10,5),TbTradesBinance[[#This Row],[Par]])=1, -(AI209-AI210)/AI209*AJ209,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Row],[Par]])),(-(AI209-AI210)/AI209*AJ209)+IF(TbTradesBinance[[#This Row],[Resultado]]&gt;0,0,TbTradesBinance[[#This Row],[Taxa]]),0),0))</f>
        <v>0</v>
      </c>
      <c r="AK210" s="145">
        <f t="shared" si="65"/>
        <v>0</v>
      </c>
      <c r="AL21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Row],[Tipo]]="DROP"),AL209+TbTradesBinance[[#This Row],[Qtt]],AL209-TbTradesBinance[[#This Row],[Qtt]]),IF(TbTradesBinance[[#This Row],[Tipo]]="BUY",AL209-TbTradesBinance[[#This Row],[Qtt]]*TbTradesBinance[[#This Row],[Preço]],AL209+TbTradesBinance[[#This Row],[Qtt]]*TbTradesBinance[[#This Row],[Preço]])),AL209)-IF(TbTradesBinance[[#This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Row],[Tipo]]="DROP"),AL209+TbTradesBinance[[#This Row],[Qtt]],AL209-TbTradesBinance[[#This Row],[Qtt]]),IF(TbTradesBinance[[#This Row],[Tipo]]="BUY",AL209-TbTradesBinance[[#This Row],[Qtt]]*TbTradesBinance[[#This Row],[Preço]],AL209+TbTradesBinance[[#This Row],[Qtt]]*TbTradesBinance[[#This Row],[Preço]])),AL209)-IF(TbTradesBinance[[#This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Row],[Tipo]]="DROP"),AL209+TbTradesBinance[[#This Row],[Qtt]],AL209-TbTradesBinance[[#This Row],[Qtt]]),IF(TbTradesBinance[[#This Row],[Tipo]]="BUY",AL209-TbTradesBinance[[#This Row],[Qtt]]*TbTradesBinance[[#This Row],[Preço]],AL209+TbTradesBinance[[#This Row],[Qtt]]*TbTradesBinance[[#This Row],[Preço]])),AL209)-IF(TbTradesBinance[[#This Row],[Moeda da Taxa]]=MID(AL$1,9,5),TbTradesBinance[[#This Row],[Taxa]],0),8)))</f>
        <v>0</v>
      </c>
      <c r="AM210" s="145" cm="1">
        <f t="array" ref="AM210">IF(TbTradesBinance[[#This Row],[Tipo]]="EMPTY",0,AM209+IF(TbTradesBinance[[#This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Row],[Par]]))),$1:$1,0)),-(AL209-AL210)/AL209*AM209),0),0)+IF(TbTradesBinance[[#This Row],[Tipo]]="SELL",IF(ISNUMBER(FIND(MID(AM$1,10,5),TbTradesBinance[[#This Row],[Par]])),IF(FIND(MID(AM$1,10,5),TbTradesBinance[[#This Row],[Par]])=1, -(AL209-AL210)/AL209*AM209,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Row],[Par]])),(-(AL209-AL210)/AL209*AM209)+IF(TbTradesBinance[[#This Row],[Resultado]]&gt;0,0,TbTradesBinance[[#This Row],[Taxa]]),0),0))</f>
        <v>0</v>
      </c>
      <c r="AN210" s="145">
        <f t="shared" si="66"/>
        <v>0</v>
      </c>
      <c r="AO21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Row],[Tipo]]="DROP"),AO209+TbTradesBinance[[#This Row],[Qtt]],AO209-TbTradesBinance[[#This Row],[Qtt]]),IF(TbTradesBinance[[#This Row],[Tipo]]="BUY",AO209-TbTradesBinance[[#This Row],[Qtt]]*TbTradesBinance[[#This Row],[Preço]],AO209+TbTradesBinance[[#This Row],[Qtt]]*TbTradesBinance[[#This Row],[Preço]])),AO209)-IF(TbTradesBinance[[#This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Row],[Tipo]]="DROP"),AO209+TbTradesBinance[[#This Row],[Qtt]],AO209-TbTradesBinance[[#This Row],[Qtt]]),IF(TbTradesBinance[[#This Row],[Tipo]]="BUY",AO209-TbTradesBinance[[#This Row],[Qtt]]*TbTradesBinance[[#This Row],[Preço]],AO209+TbTradesBinance[[#This Row],[Qtt]]*TbTradesBinance[[#This Row],[Preço]])),AO209)-IF(TbTradesBinance[[#This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Row],[Tipo]]="DROP"),AO209+TbTradesBinance[[#This Row],[Qtt]],AO209-TbTradesBinance[[#This Row],[Qtt]]),IF(TbTradesBinance[[#This Row],[Tipo]]="BUY",AO209-TbTradesBinance[[#This Row],[Qtt]]*TbTradesBinance[[#This Row],[Preço]],AO209+TbTradesBinance[[#This Row],[Qtt]]*TbTradesBinance[[#This Row],[Preço]])),AO209)-IF(TbTradesBinance[[#This Row],[Moeda da Taxa]]=MID(AO$1,9,5),TbTradesBinance[[#This Row],[Taxa]],0),8)))</f>
        <v>9.8295499999999994E-2</v>
      </c>
      <c r="AP210" s="145" cm="1">
        <f t="array" ref="AP210">IF(TbTradesBinance[[#This Row],[Tipo]]="EMPTY",0,AP209+IF(TbTradesBinance[[#This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Row],[Par]]))),$1:$1,0)),-(AO209-AO210)/AO209*AP209),0),0)+IF(TbTradesBinance[[#This Row],[Tipo]]="SELL",IF(ISNUMBER(FIND(MID(AP$1,10,5),TbTradesBinance[[#This Row],[Par]])),IF(FIND(MID(AP$1,10,5),TbTradesBinance[[#This Row],[Par]])=1, -(AO209-AO210)/AO209*AP209,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Row],[Par]])),(-(AO209-AO210)/AO209*AP209)+IF(TbTradesBinance[[#This Row],[Resultado]]&gt;0,0,TbTradesBinance[[#This Row],[Taxa]]),0),0))</f>
        <v>147.01031337852851</v>
      </c>
      <c r="AQ210" s="145">
        <f t="shared" si="67"/>
        <v>1495.5955601073144</v>
      </c>
      <c r="AR21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Row],[Tipo]]="DROP"),AR209+TbTradesBinance[[#This Row],[Qtt]],AR209-TbTradesBinance[[#This Row],[Qtt]]),IF(TbTradesBinance[[#This Row],[Tipo]]="BUY",AR209-TbTradesBinance[[#This Row],[Qtt]]*TbTradesBinance[[#This Row],[Preço]],AR209+TbTradesBinance[[#This Row],[Qtt]]*TbTradesBinance[[#This Row],[Preço]])),AR209)-IF(TbTradesBinance[[#This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Row],[Tipo]]="DROP"),AR209+TbTradesBinance[[#This Row],[Qtt]],AR209-TbTradesBinance[[#This Row],[Qtt]]),IF(TbTradesBinance[[#This Row],[Tipo]]="BUY",AR209-TbTradesBinance[[#This Row],[Qtt]]*TbTradesBinance[[#This Row],[Preço]],AR209+TbTradesBinance[[#This Row],[Qtt]]*TbTradesBinance[[#This Row],[Preço]])),AR209)-IF(TbTradesBinance[[#This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Row],[Tipo]]="DROP"),AR209+TbTradesBinance[[#This Row],[Qtt]],AR209-TbTradesBinance[[#This Row],[Qtt]]),IF(TbTradesBinance[[#This Row],[Tipo]]="BUY",AR209-TbTradesBinance[[#This Row],[Qtt]]*TbTradesBinance[[#This Row],[Preço]],AR209+TbTradesBinance[[#This Row],[Qtt]]*TbTradesBinance[[#This Row],[Preço]])),AR209)-IF(TbTradesBinance[[#This Row],[Moeda da Taxa]]=MID(AR$1,9,5),TbTradesBinance[[#This Row],[Taxa]],0),8)))</f>
        <v>0</v>
      </c>
      <c r="AS210" s="145" cm="1">
        <f t="array" ref="AS210">IF(TbTradesBinance[[#This Row],[Tipo]]="EMPTY",0,AS209+IF(TbTradesBinance[[#This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Row],[Par]]))),$1:$1,0)),-(AR209-AR210)/AR209*AS209),0),0)+IF(TbTradesBinance[[#This Row],[Tipo]]="SELL",IF(ISNUMBER(FIND(MID(AS$1,10,5),TbTradesBinance[[#This Row],[Par]])),IF(FIND(MID(AS$1,10,5),TbTradesBinance[[#This Row],[Par]])=1, -(AR209-AR210)/AR209*AS209,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Row],[Par]])),(-(AR209-AR210)/AR209*AS209)+IF(TbTradesBinance[[#This Row],[Resultado]]&gt;0,0,TbTradesBinance[[#This Row],[Taxa]]),0),0))</f>
        <v>0</v>
      </c>
      <c r="AT210" s="145">
        <f t="shared" si="68"/>
        <v>0</v>
      </c>
      <c r="AU21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Row],[Tipo]]="DROP"),AU209+TbTradesBinance[[#This Row],[Qtt]],AU209-TbTradesBinance[[#This Row],[Qtt]]),IF(TbTradesBinance[[#This Row],[Tipo]]="BUY",AU209-TbTradesBinance[[#This Row],[Qtt]]*TbTradesBinance[[#This Row],[Preço]],AU209+TbTradesBinance[[#This Row],[Qtt]]*TbTradesBinance[[#This Row],[Preço]])),AU209)-IF(TbTradesBinance[[#This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Row],[Tipo]]="DROP"),AU209+TbTradesBinance[[#This Row],[Qtt]],AU209-TbTradesBinance[[#This Row],[Qtt]]),IF(TbTradesBinance[[#This Row],[Tipo]]="BUY",AU209-TbTradesBinance[[#This Row],[Qtt]]*TbTradesBinance[[#This Row],[Preço]],AU209+TbTradesBinance[[#This Row],[Qtt]]*TbTradesBinance[[#This Row],[Preço]])),AU209)-IF(TbTradesBinance[[#This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Row],[Tipo]]="DROP"),AU209+TbTradesBinance[[#This Row],[Qtt]],AU209-TbTradesBinance[[#This Row],[Qtt]]),IF(TbTradesBinance[[#This Row],[Tipo]]="BUY",AU209-TbTradesBinance[[#This Row],[Qtt]]*TbTradesBinance[[#This Row],[Preço]],AU209+TbTradesBinance[[#This Row],[Qtt]]*TbTradesBinance[[#This Row],[Preço]])),AU209)-IF(TbTradesBinance[[#This Row],[Moeda da Taxa]]=MID(AU$1,9,5),TbTradesBinance[[#This Row],[Taxa]],0),8)))</f>
        <v>0.51</v>
      </c>
      <c r="AV210" s="145" cm="1">
        <f t="array" ref="AV210">IF(TbTradesBinance[[#This Row],[Tipo]]="EMPTY",0,AV209+IF(TbTradesBinance[[#This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Row],[Par]]))),$1:$1,0)),-(AU209-AU210)/AU209*AV209),0),0)+IF(TbTradesBinance[[#This Row],[Tipo]]="SELL",IF(ISNUMBER(FIND(MID(AV$1,10,5),TbTradesBinance[[#This Row],[Par]])),IF(FIND(MID(AV$1,10,5),TbTradesBinance[[#This Row],[Par]])=1, -(AU209-AU210)/AU209*AV209,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Row],[Par]])),(-(AU209-AU210)/AU209*AV209)+IF(TbTradesBinance[[#This Row],[Resultado]]&gt;0,0,TbTradesBinance[[#This Row],[Taxa]]),0),0))</f>
        <v>95.466693037374753</v>
      </c>
      <c r="AW210" s="145">
        <f t="shared" si="69"/>
        <v>187.18959419093088</v>
      </c>
      <c r="AX21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Row],[Tipo]]="DROP"),AX209+TbTradesBinance[[#This Row],[Qtt]],AX209-TbTradesBinance[[#This Row],[Qtt]]),IF(TbTradesBinance[[#This Row],[Tipo]]="BUY",AX209-TbTradesBinance[[#This Row],[Qtt]]*TbTradesBinance[[#This Row],[Preço]],AX209+TbTradesBinance[[#This Row],[Qtt]]*TbTradesBinance[[#This Row],[Preço]])),AX209)-IF(TbTradesBinance[[#This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Row],[Tipo]]="DROP"),AX209+TbTradesBinance[[#This Row],[Qtt]],AX209-TbTradesBinance[[#This Row],[Qtt]]),IF(TbTradesBinance[[#This Row],[Tipo]]="BUY",AX209-TbTradesBinance[[#This Row],[Qtt]]*TbTradesBinance[[#This Row],[Preço]],AX209+TbTradesBinance[[#This Row],[Qtt]]*TbTradesBinance[[#This Row],[Preço]])),AX209)-IF(TbTradesBinance[[#This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Row],[Tipo]]="DROP"),AX209+TbTradesBinance[[#This Row],[Qtt]],AX209-TbTradesBinance[[#This Row],[Qtt]]),IF(TbTradesBinance[[#This Row],[Tipo]]="BUY",AX209-TbTradesBinance[[#This Row],[Qtt]]*TbTradesBinance[[#This Row],[Preço]],AX209+TbTradesBinance[[#This Row],[Qtt]]*TbTradesBinance[[#This Row],[Preço]])),AX209)-IF(TbTradesBinance[[#This Row],[Moeda da Taxa]]=MID(AX$1,9,5),TbTradesBinance[[#This Row],[Taxa]],0),8)))</f>
        <v>0.32838000000000001</v>
      </c>
      <c r="AY210" s="145" cm="1">
        <f t="array" ref="AY210">IF(TbTradesBinance[[#This Row],[Tipo]]="EMPTY",0,AY209+IF(TbTradesBinance[[#This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Row],[Par]]))),$1:$1,0)),-(AX209-AX210)/AX209*AY209),0),0)+IF(TbTradesBinance[[#This Row],[Tipo]]="SELL",IF(ISNUMBER(FIND(MID(AY$1,10,5),TbTradesBinance[[#This Row],[Par]])),IF(FIND(MID(AY$1,10,5),TbTradesBinance[[#This Row],[Par]])=1, -(AX209-AX210)/AX209*AY209,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Row],[Par]])),(-(AX209-AX210)/AX209*AY209)+IF(TbTradesBinance[[#This Row],[Resultado]]&gt;0,0,TbTradesBinance[[#This Row],[Taxa]]),0),0))</f>
        <v>61.364116058805678</v>
      </c>
      <c r="AZ210" s="145">
        <f t="shared" si="70"/>
        <v>186.869224857804</v>
      </c>
      <c r="BA21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Row],[Tipo]]="DROP"),BA209+TbTradesBinance[[#This Row],[Qtt]],BA209-TbTradesBinance[[#This Row],[Qtt]]),IF(TbTradesBinance[[#This Row],[Tipo]]="BUY",BA209-TbTradesBinance[[#This Row],[Qtt]]*TbTradesBinance[[#This Row],[Preço]],BA209+TbTradesBinance[[#This Row],[Qtt]]*TbTradesBinance[[#This Row],[Preço]])),BA209)-IF(TbTradesBinance[[#This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Row],[Tipo]]="DROP"),BA209+TbTradesBinance[[#This Row],[Qtt]],BA209-TbTradesBinance[[#This Row],[Qtt]]),IF(TbTradesBinance[[#This Row],[Tipo]]="BUY",BA209-TbTradesBinance[[#This Row],[Qtt]]*TbTradesBinance[[#This Row],[Preço]],BA209+TbTradesBinance[[#This Row],[Qtt]]*TbTradesBinance[[#This Row],[Preço]])),BA209)-IF(TbTradesBinance[[#This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Row],[Tipo]]="DROP"),BA209+TbTradesBinance[[#This Row],[Qtt]],BA209-TbTradesBinance[[#This Row],[Qtt]]),IF(TbTradesBinance[[#This Row],[Tipo]]="BUY",BA209-TbTradesBinance[[#This Row],[Qtt]]*TbTradesBinance[[#This Row],[Preço]],BA209+TbTradesBinance[[#This Row],[Qtt]]*TbTradesBinance[[#This Row],[Preço]])),BA209)-IF(TbTradesBinance[[#This Row],[Moeda da Taxa]]=MID(BA$1,9,5),TbTradesBinance[[#This Row],[Taxa]],0),8)))</f>
        <v>0</v>
      </c>
      <c r="BB210" s="145" cm="1">
        <f t="array" ref="BB210">IF(TbTradesBinance[[#This Row],[Tipo]]="EMPTY",0,BB209+IF(TbTradesBinance[[#This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Row],[Par]]))),$1:$1,0)),-(BA209-BA210)/BA209*BB209),0),0)+IF(TbTradesBinance[[#This Row],[Tipo]]="SELL",IF(ISNUMBER(FIND(MID(BB$1,10,5),TbTradesBinance[[#This Row],[Par]])),IF(FIND(MID(BB$1,10,5),TbTradesBinance[[#This Row],[Par]])=1, -(BA209-BA210)/BA209*BB209,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Row],[Par]])),(-(BA209-BA210)/BA209*BB209)+IF(TbTradesBinance[[#This Row],[Resultado]]&gt;0,0,TbTradesBinance[[#This Row],[Taxa]]),0),0))</f>
        <v>0</v>
      </c>
      <c r="BC210" s="145">
        <f t="shared" si="71"/>
        <v>0</v>
      </c>
      <c r="BD21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Row],[Tipo]]="DROP"),BD209+TbTradesBinance[[#This Row],[Qtt]],BD209-TbTradesBinance[[#This Row],[Qtt]]),IF(TbTradesBinance[[#This Row],[Tipo]]="BUY",BD209-TbTradesBinance[[#This Row],[Qtt]]*TbTradesBinance[[#This Row],[Preço]],BD209+TbTradesBinance[[#This Row],[Qtt]]*TbTradesBinance[[#This Row],[Preço]])),BD209)-IF(TbTradesBinance[[#This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Row],[Tipo]]="DROP"),BD209+TbTradesBinance[[#This Row],[Qtt]],BD209-TbTradesBinance[[#This Row],[Qtt]]),IF(TbTradesBinance[[#This Row],[Tipo]]="BUY",BD209-TbTradesBinance[[#This Row],[Qtt]]*TbTradesBinance[[#This Row],[Preço]],BD209+TbTradesBinance[[#This Row],[Qtt]]*TbTradesBinance[[#This Row],[Preço]])),BD209)-IF(TbTradesBinance[[#This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Row],[Tipo]]="DROP"),BD209+TbTradesBinance[[#This Row],[Qtt]],BD209-TbTradesBinance[[#This Row],[Qtt]]),IF(TbTradesBinance[[#This Row],[Tipo]]="BUY",BD209-TbTradesBinance[[#This Row],[Qtt]]*TbTradesBinance[[#This Row],[Preço]],BD209+TbTradesBinance[[#This Row],[Qtt]]*TbTradesBinance[[#This Row],[Preço]])),BD209)-IF(TbTradesBinance[[#This Row],[Moeda da Taxa]]=MID(BD$1,9,5),TbTradesBinance[[#This Row],[Taxa]],0),8)))</f>
        <v>0</v>
      </c>
      <c r="BE210" s="145" cm="1">
        <f t="array" ref="BE210">IF(TbTradesBinance[[#This Row],[Tipo]]="EMPTY",0,BE209+IF(TbTradesBinance[[#This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Row],[Par]]))),$1:$1,0)),-(BD209-BD210)/BD209*BE209),0),0)+IF(TbTradesBinance[[#This Row],[Tipo]]="SELL",IF(ISNUMBER(FIND(MID(BE$1,10,5),TbTradesBinance[[#This Row],[Par]])),IF(FIND(MID(BE$1,10,5),TbTradesBinance[[#This Row],[Par]])=1, -(BD209-BD210)/BD209*BE209,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Row],[Par]])),(-(BD209-BD210)/BD209*BE209)+IF(TbTradesBinance[[#This Row],[Resultado]]&gt;0,0,TbTradesBinance[[#This Row],[Taxa]]),0),0))</f>
        <v>0</v>
      </c>
      <c r="BF210" s="145">
        <f t="shared" si="72"/>
        <v>0</v>
      </c>
      <c r="BG21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Row],[Tipo]]="DROP"),BG209+TbTradesBinance[[#This Row],[Qtt]],BG209-TbTradesBinance[[#This Row],[Qtt]]),IF(TbTradesBinance[[#This Row],[Tipo]]="BUY",BG209-TbTradesBinance[[#This Row],[Qtt]]*TbTradesBinance[[#This Row],[Preço]],BG209+TbTradesBinance[[#This Row],[Qtt]]*TbTradesBinance[[#This Row],[Preço]])),BG209)-IF(TbTradesBinance[[#This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Row],[Tipo]]="DROP"),BG209+TbTradesBinance[[#This Row],[Qtt]],BG209-TbTradesBinance[[#This Row],[Qtt]]),IF(TbTradesBinance[[#This Row],[Tipo]]="BUY",BG209-TbTradesBinance[[#This Row],[Qtt]]*TbTradesBinance[[#This Row],[Preço]],BG209+TbTradesBinance[[#This Row],[Qtt]]*TbTradesBinance[[#This Row],[Preço]])),BG209)-IF(TbTradesBinance[[#This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Row],[Tipo]]="DROP"),BG209+TbTradesBinance[[#This Row],[Qtt]],BG209-TbTradesBinance[[#This Row],[Qtt]]),IF(TbTradesBinance[[#This Row],[Tipo]]="BUY",BG209-TbTradesBinance[[#This Row],[Qtt]]*TbTradesBinance[[#This Row],[Preço]],BG209+TbTradesBinance[[#This Row],[Qtt]]*TbTradesBinance[[#This Row],[Preço]])),BG209)-IF(TbTradesBinance[[#This Row],[Moeda da Taxa]]=MID(BG$1,9,5),TbTradesBinance[[#This Row],[Taxa]],0),8)))</f>
        <v>0</v>
      </c>
      <c r="BH210" s="145" cm="1">
        <f t="array" ref="BH210">IF(TbTradesBinance[[#This Row],[Tipo]]="EMPTY",0,BH209+IF(TbTradesBinance[[#This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Row],[Par]]))),$1:$1,0)),-(BG209-BG210)/BG209*BH209),0),0)+IF(TbTradesBinance[[#This Row],[Tipo]]="SELL",IF(ISNUMBER(FIND(MID(BH$1,10,5),TbTradesBinance[[#This Row],[Par]])),IF(FIND(MID(BH$1,10,5),TbTradesBinance[[#This Row],[Par]])=1, -(BG209-BG210)/BG209*BH209,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Row],[Par]])),(-(BG209-BG210)/BG209*BH209)+IF(TbTradesBinance[[#This Row],[Resultado]]&gt;0,0,TbTradesBinance[[#This Row],[Taxa]]),0),0))</f>
        <v>0</v>
      </c>
      <c r="BI210" s="145">
        <f t="shared" si="73"/>
        <v>0</v>
      </c>
      <c r="BJ21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Row],[Tipo]]="DROP"),BJ209+TbTradesBinance[[#This Row],[Qtt]],BJ209-TbTradesBinance[[#This Row],[Qtt]]),IF(TbTradesBinance[[#This Row],[Tipo]]="BUY",BJ209-TbTradesBinance[[#This Row],[Qtt]]*TbTradesBinance[[#This Row],[Preço]],BJ209+TbTradesBinance[[#This Row],[Qtt]]*TbTradesBinance[[#This Row],[Preço]])),BJ209)-IF(TbTradesBinance[[#This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Row],[Tipo]]="DROP"),BJ209+TbTradesBinance[[#This Row],[Qtt]],BJ209-TbTradesBinance[[#This Row],[Qtt]]),IF(TbTradesBinance[[#This Row],[Tipo]]="BUY",BJ209-TbTradesBinance[[#This Row],[Qtt]]*TbTradesBinance[[#This Row],[Preço]],BJ209+TbTradesBinance[[#This Row],[Qtt]]*TbTradesBinance[[#This Row],[Preço]])),BJ209)-IF(TbTradesBinance[[#This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Row],[Tipo]]="DROP"),BJ209+TbTradesBinance[[#This Row],[Qtt]],BJ209-TbTradesBinance[[#This Row],[Qtt]]),IF(TbTradesBinance[[#This Row],[Tipo]]="BUY",BJ209-TbTradesBinance[[#This Row],[Qtt]]*TbTradesBinance[[#This Row],[Preço]],BJ209+TbTradesBinance[[#This Row],[Qtt]]*TbTradesBinance[[#This Row],[Preço]])),BJ209)-IF(TbTradesBinance[[#This Row],[Moeda da Taxa]]=MID(BJ$1,9,5),TbTradesBinance[[#This Row],[Taxa]],0),8)))</f>
        <v>0</v>
      </c>
      <c r="BK210" s="145" cm="1">
        <f t="array" ref="BK210">IF(TbTradesBinance[[#This Row],[Tipo]]="EMPTY",0,BK209+IF(TbTradesBinance[[#This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Row],[Par]]))),$1:$1,0)),-(BJ209-BJ210)/BJ209*BK209),0),0)+IF(TbTradesBinance[[#This Row],[Tipo]]="SELL",IF(ISNUMBER(FIND(MID(BK$1,10,5),TbTradesBinance[[#This Row],[Par]])),IF(FIND(MID(BK$1,10,5),TbTradesBinance[[#This Row],[Par]])=1, -(BJ209-BJ210)/BJ209*BK209,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Row],[Par]])),(-(BJ209-BJ210)/BJ209*BK209)+IF(TbTradesBinance[[#This Row],[Resultado]]&gt;0,0,TbTradesBinance[[#This Row],[Taxa]]),0),0))</f>
        <v>0</v>
      </c>
      <c r="BL210" s="145">
        <f t="shared" si="74"/>
        <v>0</v>
      </c>
      <c r="BM21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Row],[Tipo]]="DROP"),BM209+TbTradesBinance[[#This Row],[Qtt]],BM209-TbTradesBinance[[#This Row],[Qtt]]),IF(TbTradesBinance[[#This Row],[Tipo]]="BUY",BM209-TbTradesBinance[[#This Row],[Qtt]]*TbTradesBinance[[#This Row],[Preço]],BM209+TbTradesBinance[[#This Row],[Qtt]]*TbTradesBinance[[#This Row],[Preço]])),BM209)-IF(TbTradesBinance[[#This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Row],[Tipo]]="DROP"),BM209+TbTradesBinance[[#This Row],[Qtt]],BM209-TbTradesBinance[[#This Row],[Qtt]]),IF(TbTradesBinance[[#This Row],[Tipo]]="BUY",BM209-TbTradesBinance[[#This Row],[Qtt]]*TbTradesBinance[[#This Row],[Preço]],BM209+TbTradesBinance[[#This Row],[Qtt]]*TbTradesBinance[[#This Row],[Preço]])),BM209)-IF(TbTradesBinance[[#This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Row],[Tipo]]="DROP"),BM209+TbTradesBinance[[#This Row],[Qtt]],BM209-TbTradesBinance[[#This Row],[Qtt]]),IF(TbTradesBinance[[#This Row],[Tipo]]="BUY",BM209-TbTradesBinance[[#This Row],[Qtt]]*TbTradesBinance[[#This Row],[Preço]],BM209+TbTradesBinance[[#This Row],[Qtt]]*TbTradesBinance[[#This Row],[Preço]])),BM209)-IF(TbTradesBinance[[#This Row],[Moeda da Taxa]]=MID(BM$1,9,5),TbTradesBinance[[#This Row],[Taxa]],0),8)))</f>
        <v>0</v>
      </c>
      <c r="BN210" s="145" cm="1">
        <f t="array" ref="BN210">IF(TbTradesBinance[[#This Row],[Tipo]]="EMPTY",0,BN209+IF(TbTradesBinance[[#This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Row],[Par]]))),$1:$1,0)),-(BM209-BM210)/BM209*BN209),0),0)+IF(TbTradesBinance[[#This Row],[Tipo]]="SELL",IF(ISNUMBER(FIND(MID(BN$1,10,5),TbTradesBinance[[#This Row],[Par]])),IF(FIND(MID(BN$1,10,5),TbTradesBinance[[#This Row],[Par]])=1, -(BM209-BM210)/BM209*BN209,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Row],[Par]])),(-(BM209-BM210)/BM209*BN209)+IF(TbTradesBinance[[#This Row],[Resultado]]&gt;0,0,TbTradesBinance[[#This Row],[Taxa]]),0),0))</f>
        <v>0</v>
      </c>
      <c r="BO210" s="145">
        <f t="shared" si="75"/>
        <v>0</v>
      </c>
    </row>
    <row r="211" spans="2:67" x14ac:dyDescent="0.3">
      <c r="B211" s="51"/>
      <c r="C211" s="40">
        <f>TRUNC(IF(AND(TbTradesBinance[[#This Row],[Tipo]]="SEND",TbTradesBinance[[#This Row],[Par]]="BRL"),TbTradesBinance[[#This Row],[Qtt]]*(1-P209)-IF(TbTradesBinance[[#This Row],[Moeda da Taxa]]="BRL",TbTradesBinance[[#This Row],[Taxa]],0),0)+IF(AND(TbTradesBinance[[#This Row],[Tipo]]="BURN",TbTradesBinance[[#This Row],[Par]]="BRL"),-TbTradesBinance[[#This Row],[Qtt]]*P209,0),2)</f>
        <v>0</v>
      </c>
      <c r="D211" s="53">
        <v>44374.718969907408</v>
      </c>
      <c r="E211" s="37" t="s">
        <v>249</v>
      </c>
      <c r="F211" s="47" t="s">
        <v>140</v>
      </c>
      <c r="G211" s="38">
        <v>34293.18</v>
      </c>
      <c r="H211" s="38">
        <v>3.4200000000000002E-4</v>
      </c>
      <c r="I211" s="38">
        <v>3.0889999999999997E-5</v>
      </c>
      <c r="J211" s="37" t="s">
        <v>45</v>
      </c>
      <c r="K211" s="52">
        <v>4.9400000000000004</v>
      </c>
      <c r="L211" s="40">
        <f t="shared" si="57"/>
        <v>169408.3</v>
      </c>
      <c r="M211" s="40">
        <f>IF(OR(TbTradesBinance[[#This Row],[Tipo]]="BUY",TbTradesBinance[[#This Row],[Tipo]]="RECEIVE",TbTradesBinance[[#This Row],[Tipo]]="DROP"),L211*H211,-L211*H211)</f>
        <v>-57.9376386</v>
      </c>
      <c r="N21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Row],[Tipo]]="DROP"),N210+TbTradesBinance[[#This Row],[Qtt]],N210-TbTradesBinance[[#This Row],[Qtt]]),IF(TbTradesBinance[[#This Row],[Tipo]]="BUY",N210-TbTradesBinance[[#This Row],[Qtt]]*TbTradesBinance[[#This Row],[Preço]],N210+TbTradesBinance[[#This Row],[Qtt]]*TbTradesBinance[[#This Row],[Preço]])),N210)-IF(TbTradesBinance[[#This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Row],[Tipo]]="DROP"),N210+TbTradesBinance[[#This Row],[Qtt]],N210-TbTradesBinance[[#This Row],[Qtt]]),IF(TbTradesBinance[[#This Row],[Tipo]]="BUY",N210-TbTradesBinance[[#This Row],[Qtt]]*TbTradesBinance[[#This Row],[Preço]],N210+TbTradesBinance[[#This Row],[Qtt]]*TbTradesBinance[[#This Row],[Preço]])),N210)-IF(TbTradesBinance[[#This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Row],[Tipo]]="DROP"),N210+TbTradesBinance[[#This Row],[Qtt]],N210-TbTradesBinance[[#This Row],[Qtt]]),IF(TbTradesBinance[[#This Row],[Tipo]]="BUY",N210-TbTradesBinance[[#This Row],[Qtt]]*TbTradesBinance[[#This Row],[Preço]],N210+TbTradesBinance[[#This Row],[Qtt]]*TbTradesBinance[[#This Row],[Preço]])),N210)-IF(TbTradesBinance[[#This Row],[Moeda da Taxa]]=MID(N$1,9,5),TbTradesBinance[[#This Row],[Taxa]],0),8)))</f>
        <v>119745.44911781</v>
      </c>
      <c r="O211" s="145" cm="1">
        <f t="array" ref="O211">IF(TbTradesBinance[[#This Row],[Tipo]]="EMPTY",0,O210+IF(TbTradesBinance[[#This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Row],[Par]]))),$1:$1,0)),-(N210-N211)/N210*O210),0),0)+IF(TbTradesBinance[[#This Row],[Tipo]]="SELL",IF(ISNUMBER(FIND(MID(O$1,10,5),TbTradesBinance[[#This Row],[Par]])),IF(FIND(MID(O$1,10,5),TbTradesBinance[[#This Row],[Par]])=1, -(N210-N211)/N210*O210,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Row],[Par]])),(-(N210-N211)/N210*O210)+IF(TbTradesBinance[[#This Row],[Resultado]]&gt;0,0,TbTradesBinance[[#This Row],[Taxa]]),0),0))</f>
        <v>120404.99677150718</v>
      </c>
      <c r="P211" s="145">
        <f t="shared" si="58"/>
        <v>1.0055079141508609</v>
      </c>
      <c r="Q21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Row],[Tipo]]="DROP"),Q210+TbTradesBinance[[#This Row],[Qtt]],Q210-TbTradesBinance[[#This Row],[Qtt]]),IF(TbTradesBinance[[#This Row],[Tipo]]="BUY",Q210-TbTradesBinance[[#This Row],[Qtt]]*TbTradesBinance[[#This Row],[Preço]],Q210+TbTradesBinance[[#This Row],[Qtt]]*TbTradesBinance[[#This Row],[Preço]])),Q210)-IF(TbTradesBinance[[#This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Row],[Tipo]]="DROP"),Q210+TbTradesBinance[[#This Row],[Qtt]],Q210-TbTradesBinance[[#This Row],[Qtt]]),IF(TbTradesBinance[[#This Row],[Tipo]]="BUY",Q210-TbTradesBinance[[#This Row],[Qtt]]*TbTradesBinance[[#This Row],[Preço]],Q210+TbTradesBinance[[#This Row],[Qtt]]*TbTradesBinance[[#This Row],[Preço]])),Q210)-IF(TbTradesBinance[[#This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Row],[Tipo]]="DROP"),Q210+TbTradesBinance[[#This Row],[Qtt]],Q210-TbTradesBinance[[#This Row],[Qtt]]),IF(TbTradesBinance[[#This Row],[Tipo]]="BUY",Q210-TbTradesBinance[[#This Row],[Qtt]]*TbTradesBinance[[#This Row],[Preço]],Q210+TbTradesBinance[[#This Row],[Qtt]]*TbTradesBinance[[#This Row],[Preço]])),Q210)-IF(TbTradesBinance[[#This Row],[Moeda da Taxa]]=MID(Q$1,9,5),TbTradesBinance[[#This Row],[Taxa]],0),8)))</f>
        <v>44.103643460000001</v>
      </c>
      <c r="R211" s="145" cm="1">
        <f t="array" ref="R211">IF(TbTradesBinance[[#This Row],[Tipo]]="EMPTY",0,R210+IF(TbTradesBinance[[#This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Row],[Par]]))),$1:$1,0)),-(Q210-Q211)/Q210*R210),0),0)+IF(TbTradesBinance[[#This Row],[Tipo]]="SELL",IF(ISNUMBER(FIND(MID(R$1,10,5),TbTradesBinance[[#This Row],[Par]])),IF(FIND(MID(R$1,10,5),TbTradesBinance[[#This Row],[Par]])=1, -(Q210-Q211)/Q210*R210,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Row],[Par]])),(-(Q210-Q211)/Q210*R210)+IF(TbTradesBinance[[#This Row],[Resultado]]&gt;0,0,TbTradesBinance[[#This Row],[Taxa]]),0),0))</f>
        <v>246.70073755166371</v>
      </c>
      <c r="S211" s="145">
        <f t="shared" si="59"/>
        <v>5.5936588952205293</v>
      </c>
      <c r="T21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Row],[Tipo]]="DROP"),T210+TbTradesBinance[[#This Row],[Qtt]],T210-TbTradesBinance[[#This Row],[Qtt]]),IF(TbTradesBinance[[#This Row],[Tipo]]="BUY",T210-TbTradesBinance[[#This Row],[Qtt]]*TbTradesBinance[[#This Row],[Preço]],T210+TbTradesBinance[[#This Row],[Qtt]]*TbTradesBinance[[#This Row],[Preço]])),T210)-IF(TbTradesBinance[[#This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Row],[Tipo]]="DROP"),T210+TbTradesBinance[[#This Row],[Qtt]],T210-TbTradesBinance[[#This Row],[Qtt]]),IF(TbTradesBinance[[#This Row],[Tipo]]="BUY",T210-TbTradesBinance[[#This Row],[Qtt]]*TbTradesBinance[[#This Row],[Preço]],T210+TbTradesBinance[[#This Row],[Qtt]]*TbTradesBinance[[#This Row],[Preço]])),T210)-IF(TbTradesBinance[[#This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Row],[Tipo]]="DROP"),T210+TbTradesBinance[[#This Row],[Qtt]],T210-TbTradesBinance[[#This Row],[Qtt]]),IF(TbTradesBinance[[#This Row],[Tipo]]="BUY",T210-TbTradesBinance[[#This Row],[Qtt]]*TbTradesBinance[[#This Row],[Preço]],T210+TbTradesBinance[[#This Row],[Qtt]]*TbTradesBinance[[#This Row],[Preço]])),T210)-IF(TbTradesBinance[[#This Row],[Moeda da Taxa]]=MID(T$1,9,5),TbTradesBinance[[#This Row],[Taxa]],0),8)))</f>
        <v>101223913.720009</v>
      </c>
      <c r="U211" s="145" cm="1">
        <f t="array" ref="U211">IF(TbTradesBinance[[#This Row],[Tipo]]="EMPTY",0,U210+IF(TbTradesBinance[[#This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Row],[Par]]))),$1:$1,0)),-(T210-T211)/T210*U210),0),0)+IF(TbTradesBinance[[#This Row],[Tipo]]="SELL",IF(ISNUMBER(FIND(MID(U$1,10,5),TbTradesBinance[[#This Row],[Par]])),IF(FIND(MID(U$1,10,5),TbTradesBinance[[#This Row],[Par]])=1, -(T210-T211)/T210*U210,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Row],[Par]])),(-(T210-T211)/T210*U210)+IF(TbTradesBinance[[#This Row],[Resultado]]&gt;0,0,TbTradesBinance[[#This Row],[Taxa]]),0),0))</f>
        <v>617586601.27364206</v>
      </c>
      <c r="V211" s="145">
        <f t="shared" si="60"/>
        <v>6.1011926784605572</v>
      </c>
      <c r="W21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Row],[Tipo]]="DROP"),W210+TbTradesBinance[[#This Row],[Qtt]],W210-TbTradesBinance[[#This Row],[Qtt]]),IF(TbTradesBinance[[#This Row],[Tipo]]="BUY",W210-TbTradesBinance[[#This Row],[Qtt]]*TbTradesBinance[[#This Row],[Preço]],W210+TbTradesBinance[[#This Row],[Qtt]]*TbTradesBinance[[#This Row],[Preço]])),W210)-IF(TbTradesBinance[[#This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Row],[Tipo]]="DROP"),W210+TbTradesBinance[[#This Row],[Qtt]],W210-TbTradesBinance[[#This Row],[Qtt]]),IF(TbTradesBinance[[#This Row],[Tipo]]="BUY",W210-TbTradesBinance[[#This Row],[Qtt]]*TbTradesBinance[[#This Row],[Preço]],W210+TbTradesBinance[[#This Row],[Qtt]]*TbTradesBinance[[#This Row],[Preço]])),W210)-IF(TbTradesBinance[[#This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Row],[Tipo]]="DROP"),W210+TbTradesBinance[[#This Row],[Qtt]],W210-TbTradesBinance[[#This Row],[Qtt]]),IF(TbTradesBinance[[#This Row],[Tipo]]="BUY",W210-TbTradesBinance[[#This Row],[Qtt]]*TbTradesBinance[[#This Row],[Preço]],W210+TbTradesBinance[[#This Row],[Qtt]]*TbTradesBinance[[#This Row],[Preço]])),W210)-IF(TbTradesBinance[[#This Row],[Moeda da Taxa]]=MID(W$1,9,5),TbTradesBinance[[#This Row],[Taxa]],0),8)))</f>
        <v>1.318621E-2</v>
      </c>
      <c r="X211" s="145" cm="1">
        <f t="array" ref="X211">IF(TbTradesBinance[[#This Row],[Tipo]]="EMPTY",0,X210+IF(TbTradesBinance[[#This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Row],[Par]]))),$1:$1,0)),-(W210-W211)/W210*X210),0),0)+IF(TbTradesBinance[[#This Row],[Tipo]]="SELL",IF(ISNUMBER(FIND(MID(X$1,10,5),TbTradesBinance[[#This Row],[Par]])),IF(FIND(MID(X$1,10,5),TbTradesBinance[[#This Row],[Par]])=1, -(W210-W211)/W210*X210,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Row],[Par]])),(-(W210-W211)/W210*X210)+IF(TbTradesBinance[[#This Row],[Resultado]]&gt;0,0,TbTradesBinance[[#This Row],[Taxa]]),0),0))</f>
        <v>2291.8631419580574</v>
      </c>
      <c r="Y211" s="145">
        <f t="shared" si="61"/>
        <v>173807.57184650155</v>
      </c>
      <c r="Z21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Row],[Tipo]]="DROP"),Z210+TbTradesBinance[[#This Row],[Qtt]],Z210-TbTradesBinance[[#This Row],[Qtt]]),IF(TbTradesBinance[[#This Row],[Tipo]]="BUY",Z210-TbTradesBinance[[#This Row],[Qtt]]*TbTradesBinance[[#This Row],[Preço]],Z210+TbTradesBinance[[#This Row],[Qtt]]*TbTradesBinance[[#This Row],[Preço]])),Z210)-IF(TbTradesBinance[[#This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Row],[Tipo]]="DROP"),Z210+TbTradesBinance[[#This Row],[Qtt]],Z210-TbTradesBinance[[#This Row],[Qtt]]),IF(TbTradesBinance[[#This Row],[Tipo]]="BUY",Z210-TbTradesBinance[[#This Row],[Qtt]]*TbTradesBinance[[#This Row],[Preço]],Z210+TbTradesBinance[[#This Row],[Qtt]]*TbTradesBinance[[#This Row],[Preço]])),Z210)-IF(TbTradesBinance[[#This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Row],[Tipo]]="DROP"),Z210+TbTradesBinance[[#This Row],[Qtt]],Z210-TbTradesBinance[[#This Row],[Qtt]]),IF(TbTradesBinance[[#This Row],[Tipo]]="BUY",Z210-TbTradesBinance[[#This Row],[Qtt]]*TbTradesBinance[[#This Row],[Preço]],Z210+TbTradesBinance[[#This Row],[Qtt]]*TbTradesBinance[[#This Row],[Preço]])),Z210)-IF(TbTradesBinance[[#This Row],[Moeda da Taxa]]=MID(Z$1,9,5),TbTradesBinance[[#This Row],[Taxa]],0),8)))</f>
        <v>0</v>
      </c>
      <c r="AA211" s="145" cm="1">
        <f t="array" ref="AA211">IF(TbTradesBinance[[#This Row],[Tipo]]="EMPTY",0,AA210+IF(TbTradesBinance[[#This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Row],[Par]]))),$1:$1,0)),-(Z210-Z211)/Z210*AA210),0),0)+IF(TbTradesBinance[[#This Row],[Tipo]]="SELL",IF(ISNUMBER(FIND(MID(AA$1,10,5),TbTradesBinance[[#This Row],[Par]])),IF(FIND(MID(AA$1,10,5),TbTradesBinance[[#This Row],[Par]])=1, -(Z210-Z211)/Z210*AA210,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Row],[Par]])),(-(Z210-Z211)/Z210*AA210)+IF(TbTradesBinance[[#This Row],[Resultado]]&gt;0,0,TbTradesBinance[[#This Row],[Taxa]]),0),0))</f>
        <v>0</v>
      </c>
      <c r="AB211" s="145">
        <f t="shared" si="62"/>
        <v>0</v>
      </c>
      <c r="AC21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Row],[Tipo]]="DROP"),AC210+TbTradesBinance[[#This Row],[Qtt]],AC210-TbTradesBinance[[#This Row],[Qtt]]),IF(TbTradesBinance[[#This Row],[Tipo]]="BUY",AC210-TbTradesBinance[[#This Row],[Qtt]]*TbTradesBinance[[#This Row],[Preço]],AC210+TbTradesBinance[[#This Row],[Qtt]]*TbTradesBinance[[#This Row],[Preço]])),AC210)-IF(TbTradesBinance[[#This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Row],[Tipo]]="DROP"),AC210+TbTradesBinance[[#This Row],[Qtt]],AC210-TbTradesBinance[[#This Row],[Qtt]]),IF(TbTradesBinance[[#This Row],[Tipo]]="BUY",AC210-TbTradesBinance[[#This Row],[Qtt]]*TbTradesBinance[[#This Row],[Preço]],AC210+TbTradesBinance[[#This Row],[Qtt]]*TbTradesBinance[[#This Row],[Preço]])),AC210)-IF(TbTradesBinance[[#This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Row],[Tipo]]="DROP"),AC210+TbTradesBinance[[#This Row],[Qtt]],AC210-TbTradesBinance[[#This Row],[Qtt]]),IF(TbTradesBinance[[#This Row],[Tipo]]="BUY",AC210-TbTradesBinance[[#This Row],[Qtt]]*TbTradesBinance[[#This Row],[Preço]],AC210+TbTradesBinance[[#This Row],[Qtt]]*TbTradesBinance[[#This Row],[Preço]])),AC210)-IF(TbTradesBinance[[#This Row],[Moeda da Taxa]]=MID(AC$1,9,5),TbTradesBinance[[#This Row],[Taxa]],0),8)))</f>
        <v>0</v>
      </c>
      <c r="AD211" s="145" cm="1">
        <f t="array" ref="AD211">IF(TbTradesBinance[[#This Row],[Tipo]]="EMPTY",0,AD210+IF(TbTradesBinance[[#This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Row],[Par]]))),$1:$1,0)),-(AC210-AC211)/AC210*AD210),0),0)+IF(TbTradesBinance[[#This Row],[Tipo]]="SELL",IF(ISNUMBER(FIND(MID(AD$1,10,5),TbTradesBinance[[#This Row],[Par]])),IF(FIND(MID(AD$1,10,5),TbTradesBinance[[#This Row],[Par]])=1, -(AC210-AC211)/AC210*AD210,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Row],[Par]])),(-(AC210-AC211)/AC210*AD210)+IF(TbTradesBinance[[#This Row],[Resultado]]&gt;0,0,TbTradesBinance[[#This Row],[Taxa]]),0),0))</f>
        <v>0</v>
      </c>
      <c r="AE211" s="145">
        <f t="shared" si="63"/>
        <v>0</v>
      </c>
      <c r="AF21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Row],[Tipo]]="DROP"),AF210+TbTradesBinance[[#This Row],[Qtt]],AF210-TbTradesBinance[[#This Row],[Qtt]]),IF(TbTradesBinance[[#This Row],[Tipo]]="BUY",AF210-TbTradesBinance[[#This Row],[Qtt]]*TbTradesBinance[[#This Row],[Preço]],AF210+TbTradesBinance[[#This Row],[Qtt]]*TbTradesBinance[[#This Row],[Preço]])),AF210)-IF(TbTradesBinance[[#This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Row],[Tipo]]="DROP"),AF210+TbTradesBinance[[#This Row],[Qtt]],AF210-TbTradesBinance[[#This Row],[Qtt]]),IF(TbTradesBinance[[#This Row],[Tipo]]="BUY",AF210-TbTradesBinance[[#This Row],[Qtt]]*TbTradesBinance[[#This Row],[Preço]],AF210+TbTradesBinance[[#This Row],[Qtt]]*TbTradesBinance[[#This Row],[Preço]])),AF210)-IF(TbTradesBinance[[#This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Row],[Tipo]]="DROP"),AF210+TbTradesBinance[[#This Row],[Qtt]],AF210-TbTradesBinance[[#This Row],[Qtt]]),IF(TbTradesBinance[[#This Row],[Tipo]]="BUY",AF210-TbTradesBinance[[#This Row],[Qtt]]*TbTradesBinance[[#This Row],[Preço]],AF210+TbTradesBinance[[#This Row],[Qtt]]*TbTradesBinance[[#This Row],[Preço]])),AF210)-IF(TbTradesBinance[[#This Row],[Moeda da Taxa]]=MID(AF$1,9,5),TbTradesBinance[[#This Row],[Taxa]],0),8)))</f>
        <v>0</v>
      </c>
      <c r="AG211" s="145" cm="1">
        <f t="array" ref="AG211">IF(TbTradesBinance[[#This Row],[Tipo]]="EMPTY",0,AG210+IF(TbTradesBinance[[#This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Row],[Par]]))),$1:$1,0)),-(AF210-AF211)/AF210*AG210),0),0)+IF(TbTradesBinance[[#This Row],[Tipo]]="SELL",IF(ISNUMBER(FIND(MID(AG$1,10,5),TbTradesBinance[[#This Row],[Par]])),IF(FIND(MID(AG$1,10,5),TbTradesBinance[[#This Row],[Par]])=1, -(AF210-AF211)/AF210*AG210,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Row],[Par]])),(-(AF210-AF211)/AF210*AG210)+IF(TbTradesBinance[[#This Row],[Resultado]]&gt;0,0,TbTradesBinance[[#This Row],[Taxa]]),0),0))</f>
        <v>0</v>
      </c>
      <c r="AH211" s="145">
        <f t="shared" si="64"/>
        <v>0</v>
      </c>
      <c r="AI21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Row],[Tipo]]="DROP"),AI210+TbTradesBinance[[#This Row],[Qtt]],AI210-TbTradesBinance[[#This Row],[Qtt]]),IF(TbTradesBinance[[#This Row],[Tipo]]="BUY",AI210-TbTradesBinance[[#This Row],[Qtt]]*TbTradesBinance[[#This Row],[Preço]],AI210+TbTradesBinance[[#This Row],[Qtt]]*TbTradesBinance[[#This Row],[Preço]])),AI210)-IF(TbTradesBinance[[#This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Row],[Tipo]]="DROP"),AI210+TbTradesBinance[[#This Row],[Qtt]],AI210-TbTradesBinance[[#This Row],[Qtt]]),IF(TbTradesBinance[[#This Row],[Tipo]]="BUY",AI210-TbTradesBinance[[#This Row],[Qtt]]*TbTradesBinance[[#This Row],[Preço]],AI210+TbTradesBinance[[#This Row],[Qtt]]*TbTradesBinance[[#This Row],[Preço]])),AI210)-IF(TbTradesBinance[[#This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Row],[Tipo]]="DROP"),AI210+TbTradesBinance[[#This Row],[Qtt]],AI210-TbTradesBinance[[#This Row],[Qtt]]),IF(TbTradesBinance[[#This Row],[Tipo]]="BUY",AI210-TbTradesBinance[[#This Row],[Qtt]]*TbTradesBinance[[#This Row],[Preço]],AI210+TbTradesBinance[[#This Row],[Qtt]]*TbTradesBinance[[#This Row],[Preço]])),AI210)-IF(TbTradesBinance[[#This Row],[Moeda da Taxa]]=MID(AI$1,9,5),TbTradesBinance[[#This Row],[Taxa]],0),8)))</f>
        <v>0</v>
      </c>
      <c r="AJ211" s="145" cm="1">
        <f t="array" ref="AJ211">IF(TbTradesBinance[[#This Row],[Tipo]]="EMPTY",0,AJ210+IF(TbTradesBinance[[#This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Row],[Par]]))),$1:$1,0)),-(AI210-AI211)/AI210*AJ210),0),0)+IF(TbTradesBinance[[#This Row],[Tipo]]="SELL",IF(ISNUMBER(FIND(MID(AJ$1,10,5),TbTradesBinance[[#This Row],[Par]])),IF(FIND(MID(AJ$1,10,5),TbTradesBinance[[#This Row],[Par]])=1, -(AI210-AI211)/AI210*AJ210,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Row],[Par]])),(-(AI210-AI211)/AI210*AJ210)+IF(TbTradesBinance[[#This Row],[Resultado]]&gt;0,0,TbTradesBinance[[#This Row],[Taxa]]),0),0))</f>
        <v>0</v>
      </c>
      <c r="AK211" s="145">
        <f t="shared" si="65"/>
        <v>0</v>
      </c>
      <c r="AL21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Row],[Tipo]]="DROP"),AL210+TbTradesBinance[[#This Row],[Qtt]],AL210-TbTradesBinance[[#This Row],[Qtt]]),IF(TbTradesBinance[[#This Row],[Tipo]]="BUY",AL210-TbTradesBinance[[#This Row],[Qtt]]*TbTradesBinance[[#This Row],[Preço]],AL210+TbTradesBinance[[#This Row],[Qtt]]*TbTradesBinance[[#This Row],[Preço]])),AL210)-IF(TbTradesBinance[[#This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Row],[Tipo]]="DROP"),AL210+TbTradesBinance[[#This Row],[Qtt]],AL210-TbTradesBinance[[#This Row],[Qtt]]),IF(TbTradesBinance[[#This Row],[Tipo]]="BUY",AL210-TbTradesBinance[[#This Row],[Qtt]]*TbTradesBinance[[#This Row],[Preço]],AL210+TbTradesBinance[[#This Row],[Qtt]]*TbTradesBinance[[#This Row],[Preço]])),AL210)-IF(TbTradesBinance[[#This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Row],[Tipo]]="DROP"),AL210+TbTradesBinance[[#This Row],[Qtt]],AL210-TbTradesBinance[[#This Row],[Qtt]]),IF(TbTradesBinance[[#This Row],[Tipo]]="BUY",AL210-TbTradesBinance[[#This Row],[Qtt]]*TbTradesBinance[[#This Row],[Preço]],AL210+TbTradesBinance[[#This Row],[Qtt]]*TbTradesBinance[[#This Row],[Preço]])),AL210)-IF(TbTradesBinance[[#This Row],[Moeda da Taxa]]=MID(AL$1,9,5),TbTradesBinance[[#This Row],[Taxa]],0),8)))</f>
        <v>0</v>
      </c>
      <c r="AM211" s="145" cm="1">
        <f t="array" ref="AM211">IF(TbTradesBinance[[#This Row],[Tipo]]="EMPTY",0,AM210+IF(TbTradesBinance[[#This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Row],[Par]]))),$1:$1,0)),-(AL210-AL211)/AL210*AM210),0),0)+IF(TbTradesBinance[[#This Row],[Tipo]]="SELL",IF(ISNUMBER(FIND(MID(AM$1,10,5),TbTradesBinance[[#This Row],[Par]])),IF(FIND(MID(AM$1,10,5),TbTradesBinance[[#This Row],[Par]])=1, -(AL210-AL211)/AL210*AM210,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Row],[Par]])),(-(AL210-AL211)/AL210*AM210)+IF(TbTradesBinance[[#This Row],[Resultado]]&gt;0,0,TbTradesBinance[[#This Row],[Taxa]]),0),0))</f>
        <v>0</v>
      </c>
      <c r="AN211" s="145">
        <f t="shared" si="66"/>
        <v>0</v>
      </c>
      <c r="AO21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Row],[Tipo]]="DROP"),AO210+TbTradesBinance[[#This Row],[Qtt]],AO210-TbTradesBinance[[#This Row],[Qtt]]),IF(TbTradesBinance[[#This Row],[Tipo]]="BUY",AO210-TbTradesBinance[[#This Row],[Qtt]]*TbTradesBinance[[#This Row],[Preço]],AO210+TbTradesBinance[[#This Row],[Qtt]]*TbTradesBinance[[#This Row],[Preço]])),AO210)-IF(TbTradesBinance[[#This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Row],[Tipo]]="DROP"),AO210+TbTradesBinance[[#This Row],[Qtt]],AO210-TbTradesBinance[[#This Row],[Qtt]]),IF(TbTradesBinance[[#This Row],[Tipo]]="BUY",AO210-TbTradesBinance[[#This Row],[Qtt]]*TbTradesBinance[[#This Row],[Preço]],AO210+TbTradesBinance[[#This Row],[Qtt]]*TbTradesBinance[[#This Row],[Preço]])),AO210)-IF(TbTradesBinance[[#This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Row],[Tipo]]="DROP"),AO210+TbTradesBinance[[#This Row],[Qtt]],AO210-TbTradesBinance[[#This Row],[Qtt]]),IF(TbTradesBinance[[#This Row],[Tipo]]="BUY",AO210-TbTradesBinance[[#This Row],[Qtt]]*TbTradesBinance[[#This Row],[Preço]],AO210+TbTradesBinance[[#This Row],[Qtt]]*TbTradesBinance[[#This Row],[Preço]])),AO210)-IF(TbTradesBinance[[#This Row],[Moeda da Taxa]]=MID(AO$1,9,5),TbTradesBinance[[#This Row],[Taxa]],0),8)))</f>
        <v>9.8264610000000002E-2</v>
      </c>
      <c r="AP211" s="145" cm="1">
        <f t="array" ref="AP211">IF(TbTradesBinance[[#This Row],[Tipo]]="EMPTY",0,AP210+IF(TbTradesBinance[[#This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Row],[Par]]))),$1:$1,0)),-(AO210-AO211)/AO210*AP210),0),0)+IF(TbTradesBinance[[#This Row],[Tipo]]="SELL",IF(ISNUMBER(FIND(MID(AP$1,10,5),TbTradesBinance[[#This Row],[Par]])),IF(FIND(MID(AP$1,10,5),TbTradesBinance[[#This Row],[Par]])=1, -(AO210-AO211)/AO210*AP210,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Row],[Par]])),(-(AO210-AO211)/AO210*AP210)+IF(TbTradesBinance[[#This Row],[Resultado]]&gt;0,0,TbTradesBinance[[#This Row],[Taxa]]),0),0))</f>
        <v>147.01031337852851</v>
      </c>
      <c r="AQ211" s="145">
        <f t="shared" si="67"/>
        <v>1496.065708483741</v>
      </c>
      <c r="AR21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Row],[Tipo]]="DROP"),AR210+TbTradesBinance[[#This Row],[Qtt]],AR210-TbTradesBinance[[#This Row],[Qtt]]),IF(TbTradesBinance[[#This Row],[Tipo]]="BUY",AR210-TbTradesBinance[[#This Row],[Qtt]]*TbTradesBinance[[#This Row],[Preço]],AR210+TbTradesBinance[[#This Row],[Qtt]]*TbTradesBinance[[#This Row],[Preço]])),AR210)-IF(TbTradesBinance[[#This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Row],[Tipo]]="DROP"),AR210+TbTradesBinance[[#This Row],[Qtt]],AR210-TbTradesBinance[[#This Row],[Qtt]]),IF(TbTradesBinance[[#This Row],[Tipo]]="BUY",AR210-TbTradesBinance[[#This Row],[Qtt]]*TbTradesBinance[[#This Row],[Preço]],AR210+TbTradesBinance[[#This Row],[Qtt]]*TbTradesBinance[[#This Row],[Preço]])),AR210)-IF(TbTradesBinance[[#This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Row],[Tipo]]="DROP"),AR210+TbTradesBinance[[#This Row],[Qtt]],AR210-TbTradesBinance[[#This Row],[Qtt]]),IF(TbTradesBinance[[#This Row],[Tipo]]="BUY",AR210-TbTradesBinance[[#This Row],[Qtt]]*TbTradesBinance[[#This Row],[Preço]],AR210+TbTradesBinance[[#This Row],[Qtt]]*TbTradesBinance[[#This Row],[Preço]])),AR210)-IF(TbTradesBinance[[#This Row],[Moeda da Taxa]]=MID(AR$1,9,5),TbTradesBinance[[#This Row],[Taxa]],0),8)))</f>
        <v>0</v>
      </c>
      <c r="AS211" s="145" cm="1">
        <f t="array" ref="AS211">IF(TbTradesBinance[[#This Row],[Tipo]]="EMPTY",0,AS210+IF(TbTradesBinance[[#This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Row],[Par]]))),$1:$1,0)),-(AR210-AR211)/AR210*AS210),0),0)+IF(TbTradesBinance[[#This Row],[Tipo]]="SELL",IF(ISNUMBER(FIND(MID(AS$1,10,5),TbTradesBinance[[#This Row],[Par]])),IF(FIND(MID(AS$1,10,5),TbTradesBinance[[#This Row],[Par]])=1, -(AR210-AR211)/AR210*AS210,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Row],[Par]])),(-(AR210-AR211)/AR210*AS210)+IF(TbTradesBinance[[#This Row],[Resultado]]&gt;0,0,TbTradesBinance[[#This Row],[Taxa]]),0),0))</f>
        <v>0</v>
      </c>
      <c r="AT211" s="145">
        <f t="shared" si="68"/>
        <v>0</v>
      </c>
      <c r="AU21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Row],[Tipo]]="DROP"),AU210+TbTradesBinance[[#This Row],[Qtt]],AU210-TbTradesBinance[[#This Row],[Qtt]]),IF(TbTradesBinance[[#This Row],[Tipo]]="BUY",AU210-TbTradesBinance[[#This Row],[Qtt]]*TbTradesBinance[[#This Row],[Preço]],AU210+TbTradesBinance[[#This Row],[Qtt]]*TbTradesBinance[[#This Row],[Preço]])),AU210)-IF(TbTradesBinance[[#This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Row],[Tipo]]="DROP"),AU210+TbTradesBinance[[#This Row],[Qtt]],AU210-TbTradesBinance[[#This Row],[Qtt]]),IF(TbTradesBinance[[#This Row],[Tipo]]="BUY",AU210-TbTradesBinance[[#This Row],[Qtt]]*TbTradesBinance[[#This Row],[Preço]],AU210+TbTradesBinance[[#This Row],[Qtt]]*TbTradesBinance[[#This Row],[Preço]])),AU210)-IF(TbTradesBinance[[#This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Row],[Tipo]]="DROP"),AU210+TbTradesBinance[[#This Row],[Qtt]],AU210-TbTradesBinance[[#This Row],[Qtt]]),IF(TbTradesBinance[[#This Row],[Tipo]]="BUY",AU210-TbTradesBinance[[#This Row],[Qtt]]*TbTradesBinance[[#This Row],[Preço]],AU210+TbTradesBinance[[#This Row],[Qtt]]*TbTradesBinance[[#This Row],[Preço]])),AU210)-IF(TbTradesBinance[[#This Row],[Moeda da Taxa]]=MID(AU$1,9,5),TbTradesBinance[[#This Row],[Taxa]],0),8)))</f>
        <v>0.51</v>
      </c>
      <c r="AV211" s="145" cm="1">
        <f t="array" ref="AV211">IF(TbTradesBinance[[#This Row],[Tipo]]="EMPTY",0,AV210+IF(TbTradesBinance[[#This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Row],[Par]]))),$1:$1,0)),-(AU210-AU211)/AU210*AV210),0),0)+IF(TbTradesBinance[[#This Row],[Tipo]]="SELL",IF(ISNUMBER(FIND(MID(AV$1,10,5),TbTradesBinance[[#This Row],[Par]])),IF(FIND(MID(AV$1,10,5),TbTradesBinance[[#This Row],[Par]])=1, -(AU210-AU211)/AU210*AV210,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Row],[Par]])),(-(AU210-AU211)/AU210*AV210)+IF(TbTradesBinance[[#This Row],[Resultado]]&gt;0,0,TbTradesBinance[[#This Row],[Taxa]]),0),0))</f>
        <v>95.466693037374753</v>
      </c>
      <c r="AW211" s="145">
        <f t="shared" si="69"/>
        <v>187.18959419093088</v>
      </c>
      <c r="AX21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Row],[Tipo]]="DROP"),AX210+TbTradesBinance[[#This Row],[Qtt]],AX210-TbTradesBinance[[#This Row],[Qtt]]),IF(TbTradesBinance[[#This Row],[Tipo]]="BUY",AX210-TbTradesBinance[[#This Row],[Qtt]]*TbTradesBinance[[#This Row],[Preço]],AX210+TbTradesBinance[[#This Row],[Qtt]]*TbTradesBinance[[#This Row],[Preço]])),AX210)-IF(TbTradesBinance[[#This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Row],[Tipo]]="DROP"),AX210+TbTradesBinance[[#This Row],[Qtt]],AX210-TbTradesBinance[[#This Row],[Qtt]]),IF(TbTradesBinance[[#This Row],[Tipo]]="BUY",AX210-TbTradesBinance[[#This Row],[Qtt]]*TbTradesBinance[[#This Row],[Preço]],AX210+TbTradesBinance[[#This Row],[Qtt]]*TbTradesBinance[[#This Row],[Preço]])),AX210)-IF(TbTradesBinance[[#This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Row],[Tipo]]="DROP"),AX210+TbTradesBinance[[#This Row],[Qtt]],AX210-TbTradesBinance[[#This Row],[Qtt]]),IF(TbTradesBinance[[#This Row],[Tipo]]="BUY",AX210-TbTradesBinance[[#This Row],[Qtt]]*TbTradesBinance[[#This Row],[Preço]],AX210+TbTradesBinance[[#This Row],[Qtt]]*TbTradesBinance[[#This Row],[Preço]])),AX210)-IF(TbTradesBinance[[#This Row],[Moeda da Taxa]]=MID(AX$1,9,5),TbTradesBinance[[#This Row],[Taxa]],0),8)))</f>
        <v>0.32838000000000001</v>
      </c>
      <c r="AY211" s="145" cm="1">
        <f t="array" ref="AY211">IF(TbTradesBinance[[#This Row],[Tipo]]="EMPTY",0,AY210+IF(TbTradesBinance[[#This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Row],[Par]]))),$1:$1,0)),-(AX210-AX211)/AX210*AY210),0),0)+IF(TbTradesBinance[[#This Row],[Tipo]]="SELL",IF(ISNUMBER(FIND(MID(AY$1,10,5),TbTradesBinance[[#This Row],[Par]])),IF(FIND(MID(AY$1,10,5),TbTradesBinance[[#This Row],[Par]])=1, -(AX210-AX211)/AX210*AY210,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Row],[Par]])),(-(AX210-AX211)/AX210*AY210)+IF(TbTradesBinance[[#This Row],[Resultado]]&gt;0,0,TbTradesBinance[[#This Row],[Taxa]]),0),0))</f>
        <v>61.364116058805678</v>
      </c>
      <c r="AZ211" s="145">
        <f t="shared" si="70"/>
        <v>186.869224857804</v>
      </c>
      <c r="BA21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Row],[Tipo]]="DROP"),BA210+TbTradesBinance[[#This Row],[Qtt]],BA210-TbTradesBinance[[#This Row],[Qtt]]),IF(TbTradesBinance[[#This Row],[Tipo]]="BUY",BA210-TbTradesBinance[[#This Row],[Qtt]]*TbTradesBinance[[#This Row],[Preço]],BA210+TbTradesBinance[[#This Row],[Qtt]]*TbTradesBinance[[#This Row],[Preço]])),BA210)-IF(TbTradesBinance[[#This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Row],[Tipo]]="DROP"),BA210+TbTradesBinance[[#This Row],[Qtt]],BA210-TbTradesBinance[[#This Row],[Qtt]]),IF(TbTradesBinance[[#This Row],[Tipo]]="BUY",BA210-TbTradesBinance[[#This Row],[Qtt]]*TbTradesBinance[[#This Row],[Preço]],BA210+TbTradesBinance[[#This Row],[Qtt]]*TbTradesBinance[[#This Row],[Preço]])),BA210)-IF(TbTradesBinance[[#This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Row],[Tipo]]="DROP"),BA210+TbTradesBinance[[#This Row],[Qtt]],BA210-TbTradesBinance[[#This Row],[Qtt]]),IF(TbTradesBinance[[#This Row],[Tipo]]="BUY",BA210-TbTradesBinance[[#This Row],[Qtt]]*TbTradesBinance[[#This Row],[Preço]],BA210+TbTradesBinance[[#This Row],[Qtt]]*TbTradesBinance[[#This Row],[Preço]])),BA210)-IF(TbTradesBinance[[#This Row],[Moeda da Taxa]]=MID(BA$1,9,5),TbTradesBinance[[#This Row],[Taxa]],0),8)))</f>
        <v>0</v>
      </c>
      <c r="BB211" s="145" cm="1">
        <f t="array" ref="BB211">IF(TbTradesBinance[[#This Row],[Tipo]]="EMPTY",0,BB210+IF(TbTradesBinance[[#This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Row],[Par]]))),$1:$1,0)),-(BA210-BA211)/BA210*BB210),0),0)+IF(TbTradesBinance[[#This Row],[Tipo]]="SELL",IF(ISNUMBER(FIND(MID(BB$1,10,5),TbTradesBinance[[#This Row],[Par]])),IF(FIND(MID(BB$1,10,5),TbTradesBinance[[#This Row],[Par]])=1, -(BA210-BA211)/BA210*BB210,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Row],[Par]])),(-(BA210-BA211)/BA210*BB210)+IF(TbTradesBinance[[#This Row],[Resultado]]&gt;0,0,TbTradesBinance[[#This Row],[Taxa]]),0),0))</f>
        <v>0</v>
      </c>
      <c r="BC211" s="145">
        <f t="shared" si="71"/>
        <v>0</v>
      </c>
      <c r="BD21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Row],[Tipo]]="DROP"),BD210+TbTradesBinance[[#This Row],[Qtt]],BD210-TbTradesBinance[[#This Row],[Qtt]]),IF(TbTradesBinance[[#This Row],[Tipo]]="BUY",BD210-TbTradesBinance[[#This Row],[Qtt]]*TbTradesBinance[[#This Row],[Preço]],BD210+TbTradesBinance[[#This Row],[Qtt]]*TbTradesBinance[[#This Row],[Preço]])),BD210)-IF(TbTradesBinance[[#This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Row],[Tipo]]="DROP"),BD210+TbTradesBinance[[#This Row],[Qtt]],BD210-TbTradesBinance[[#This Row],[Qtt]]),IF(TbTradesBinance[[#This Row],[Tipo]]="BUY",BD210-TbTradesBinance[[#This Row],[Qtt]]*TbTradesBinance[[#This Row],[Preço]],BD210+TbTradesBinance[[#This Row],[Qtt]]*TbTradesBinance[[#This Row],[Preço]])),BD210)-IF(TbTradesBinance[[#This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Row],[Tipo]]="DROP"),BD210+TbTradesBinance[[#This Row],[Qtt]],BD210-TbTradesBinance[[#This Row],[Qtt]]),IF(TbTradesBinance[[#This Row],[Tipo]]="BUY",BD210-TbTradesBinance[[#This Row],[Qtt]]*TbTradesBinance[[#This Row],[Preço]],BD210+TbTradesBinance[[#This Row],[Qtt]]*TbTradesBinance[[#This Row],[Preço]])),BD210)-IF(TbTradesBinance[[#This Row],[Moeda da Taxa]]=MID(BD$1,9,5),TbTradesBinance[[#This Row],[Taxa]],0),8)))</f>
        <v>0</v>
      </c>
      <c r="BE211" s="145" cm="1">
        <f t="array" ref="BE211">IF(TbTradesBinance[[#This Row],[Tipo]]="EMPTY",0,BE210+IF(TbTradesBinance[[#This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Row],[Par]]))),$1:$1,0)),-(BD210-BD211)/BD210*BE210),0),0)+IF(TbTradesBinance[[#This Row],[Tipo]]="SELL",IF(ISNUMBER(FIND(MID(BE$1,10,5),TbTradesBinance[[#This Row],[Par]])),IF(FIND(MID(BE$1,10,5),TbTradesBinance[[#This Row],[Par]])=1, -(BD210-BD211)/BD210*BE210,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Row],[Par]])),(-(BD210-BD211)/BD210*BE210)+IF(TbTradesBinance[[#This Row],[Resultado]]&gt;0,0,TbTradesBinance[[#This Row],[Taxa]]),0),0))</f>
        <v>0</v>
      </c>
      <c r="BF211" s="145">
        <f t="shared" si="72"/>
        <v>0</v>
      </c>
      <c r="BG21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Row],[Tipo]]="DROP"),BG210+TbTradesBinance[[#This Row],[Qtt]],BG210-TbTradesBinance[[#This Row],[Qtt]]),IF(TbTradesBinance[[#This Row],[Tipo]]="BUY",BG210-TbTradesBinance[[#This Row],[Qtt]]*TbTradesBinance[[#This Row],[Preço]],BG210+TbTradesBinance[[#This Row],[Qtt]]*TbTradesBinance[[#This Row],[Preço]])),BG210)-IF(TbTradesBinance[[#This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Row],[Tipo]]="DROP"),BG210+TbTradesBinance[[#This Row],[Qtt]],BG210-TbTradesBinance[[#This Row],[Qtt]]),IF(TbTradesBinance[[#This Row],[Tipo]]="BUY",BG210-TbTradesBinance[[#This Row],[Qtt]]*TbTradesBinance[[#This Row],[Preço]],BG210+TbTradesBinance[[#This Row],[Qtt]]*TbTradesBinance[[#This Row],[Preço]])),BG210)-IF(TbTradesBinance[[#This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Row],[Tipo]]="DROP"),BG210+TbTradesBinance[[#This Row],[Qtt]],BG210-TbTradesBinance[[#This Row],[Qtt]]),IF(TbTradesBinance[[#This Row],[Tipo]]="BUY",BG210-TbTradesBinance[[#This Row],[Qtt]]*TbTradesBinance[[#This Row],[Preço]],BG210+TbTradesBinance[[#This Row],[Qtt]]*TbTradesBinance[[#This Row],[Preço]])),BG210)-IF(TbTradesBinance[[#This Row],[Moeda da Taxa]]=MID(BG$1,9,5),TbTradesBinance[[#This Row],[Taxa]],0),8)))</f>
        <v>0</v>
      </c>
      <c r="BH211" s="145" cm="1">
        <f t="array" ref="BH211">IF(TbTradesBinance[[#This Row],[Tipo]]="EMPTY",0,BH210+IF(TbTradesBinance[[#This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Row],[Par]]))),$1:$1,0)),-(BG210-BG211)/BG210*BH210),0),0)+IF(TbTradesBinance[[#This Row],[Tipo]]="SELL",IF(ISNUMBER(FIND(MID(BH$1,10,5),TbTradesBinance[[#This Row],[Par]])),IF(FIND(MID(BH$1,10,5),TbTradesBinance[[#This Row],[Par]])=1, -(BG210-BG211)/BG210*BH210,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Row],[Par]])),(-(BG210-BG211)/BG210*BH210)+IF(TbTradesBinance[[#This Row],[Resultado]]&gt;0,0,TbTradesBinance[[#This Row],[Taxa]]),0),0))</f>
        <v>0</v>
      </c>
      <c r="BI211" s="145">
        <f t="shared" si="73"/>
        <v>0</v>
      </c>
      <c r="BJ21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Row],[Tipo]]="DROP"),BJ210+TbTradesBinance[[#This Row],[Qtt]],BJ210-TbTradesBinance[[#This Row],[Qtt]]),IF(TbTradesBinance[[#This Row],[Tipo]]="BUY",BJ210-TbTradesBinance[[#This Row],[Qtt]]*TbTradesBinance[[#This Row],[Preço]],BJ210+TbTradesBinance[[#This Row],[Qtt]]*TbTradesBinance[[#This Row],[Preço]])),BJ210)-IF(TbTradesBinance[[#This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Row],[Tipo]]="DROP"),BJ210+TbTradesBinance[[#This Row],[Qtt]],BJ210-TbTradesBinance[[#This Row],[Qtt]]),IF(TbTradesBinance[[#This Row],[Tipo]]="BUY",BJ210-TbTradesBinance[[#This Row],[Qtt]]*TbTradesBinance[[#This Row],[Preço]],BJ210+TbTradesBinance[[#This Row],[Qtt]]*TbTradesBinance[[#This Row],[Preço]])),BJ210)-IF(TbTradesBinance[[#This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Row],[Tipo]]="DROP"),BJ210+TbTradesBinance[[#This Row],[Qtt]],BJ210-TbTradesBinance[[#This Row],[Qtt]]),IF(TbTradesBinance[[#This Row],[Tipo]]="BUY",BJ210-TbTradesBinance[[#This Row],[Qtt]]*TbTradesBinance[[#This Row],[Preço]],BJ210+TbTradesBinance[[#This Row],[Qtt]]*TbTradesBinance[[#This Row],[Preço]])),BJ210)-IF(TbTradesBinance[[#This Row],[Moeda da Taxa]]=MID(BJ$1,9,5),TbTradesBinance[[#This Row],[Taxa]],0),8)))</f>
        <v>0</v>
      </c>
      <c r="BK211" s="145" cm="1">
        <f t="array" ref="BK211">IF(TbTradesBinance[[#This Row],[Tipo]]="EMPTY",0,BK210+IF(TbTradesBinance[[#This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Row],[Par]]))),$1:$1,0)),-(BJ210-BJ211)/BJ210*BK210),0),0)+IF(TbTradesBinance[[#This Row],[Tipo]]="SELL",IF(ISNUMBER(FIND(MID(BK$1,10,5),TbTradesBinance[[#This Row],[Par]])),IF(FIND(MID(BK$1,10,5),TbTradesBinance[[#This Row],[Par]])=1, -(BJ210-BJ211)/BJ210*BK210,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Row],[Par]])),(-(BJ210-BJ211)/BJ210*BK210)+IF(TbTradesBinance[[#This Row],[Resultado]]&gt;0,0,TbTradesBinance[[#This Row],[Taxa]]),0),0))</f>
        <v>0</v>
      </c>
      <c r="BL211" s="145">
        <f t="shared" si="74"/>
        <v>0</v>
      </c>
      <c r="BM21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Row],[Tipo]]="DROP"),BM210+TbTradesBinance[[#This Row],[Qtt]],BM210-TbTradesBinance[[#This Row],[Qtt]]),IF(TbTradesBinance[[#This Row],[Tipo]]="BUY",BM210-TbTradesBinance[[#This Row],[Qtt]]*TbTradesBinance[[#This Row],[Preço]],BM210+TbTradesBinance[[#This Row],[Qtt]]*TbTradesBinance[[#This Row],[Preço]])),BM210)-IF(TbTradesBinance[[#This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Row],[Tipo]]="DROP"),BM210+TbTradesBinance[[#This Row],[Qtt]],BM210-TbTradesBinance[[#This Row],[Qtt]]),IF(TbTradesBinance[[#This Row],[Tipo]]="BUY",BM210-TbTradesBinance[[#This Row],[Qtt]]*TbTradesBinance[[#This Row],[Preço]],BM210+TbTradesBinance[[#This Row],[Qtt]]*TbTradesBinance[[#This Row],[Preço]])),BM210)-IF(TbTradesBinance[[#This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Row],[Tipo]]="DROP"),BM210+TbTradesBinance[[#This Row],[Qtt]],BM210-TbTradesBinance[[#This Row],[Qtt]]),IF(TbTradesBinance[[#This Row],[Tipo]]="BUY",BM210-TbTradesBinance[[#This Row],[Qtt]]*TbTradesBinance[[#This Row],[Preço]],BM210+TbTradesBinance[[#This Row],[Qtt]]*TbTradesBinance[[#This Row],[Preço]])),BM210)-IF(TbTradesBinance[[#This Row],[Moeda da Taxa]]=MID(BM$1,9,5),TbTradesBinance[[#This Row],[Taxa]],0),8)))</f>
        <v>0</v>
      </c>
      <c r="BN211" s="145" cm="1">
        <f t="array" ref="BN211">IF(TbTradesBinance[[#This Row],[Tipo]]="EMPTY",0,BN210+IF(TbTradesBinance[[#This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Row],[Par]]))),$1:$1,0)),-(BM210-BM211)/BM210*BN210),0),0)+IF(TbTradesBinance[[#This Row],[Tipo]]="SELL",IF(ISNUMBER(FIND(MID(BN$1,10,5),TbTradesBinance[[#This Row],[Par]])),IF(FIND(MID(BN$1,10,5),TbTradesBinance[[#This Row],[Par]])=1, -(BM210-BM211)/BM210*BN210,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Row],[Par]])),(-(BM210-BM211)/BM210*BN210)+IF(TbTradesBinance[[#This Row],[Resultado]]&gt;0,0,TbTradesBinance[[#This Row],[Taxa]]),0),0))</f>
        <v>0</v>
      </c>
      <c r="BO211" s="145">
        <f t="shared" si="75"/>
        <v>0</v>
      </c>
    </row>
    <row r="212" spans="2:67" x14ac:dyDescent="0.3">
      <c r="B212" s="51"/>
      <c r="C212" s="40">
        <f>TRUNC(IF(AND(TbTradesBinance[[#This Row],[Tipo]]="SEND",TbTradesBinance[[#This Row],[Par]]="BRL"),TbTradesBinance[[#This Row],[Qtt]]*(1-P210)-IF(TbTradesBinance[[#This Row],[Moeda da Taxa]]="BRL",TbTradesBinance[[#This Row],[Taxa]],0),0)+IF(AND(TbTradesBinance[[#This Row],[Tipo]]="BURN",TbTradesBinance[[#This Row],[Par]]="BRL"),-TbTradesBinance[[#This Row],[Qtt]]*P210,0),2)</f>
        <v>0</v>
      </c>
      <c r="D212" s="53">
        <v>44376.20511574074</v>
      </c>
      <c r="E212" s="37" t="s">
        <v>272</v>
      </c>
      <c r="F212" s="47" t="s">
        <v>140</v>
      </c>
      <c r="G212" s="38">
        <v>8.626E-3</v>
      </c>
      <c r="H212" s="38">
        <v>0.03</v>
      </c>
      <c r="I212" s="38">
        <v>2.264E-5</v>
      </c>
      <c r="J212" s="37" t="s">
        <v>45</v>
      </c>
      <c r="K212" s="52">
        <v>173174</v>
      </c>
      <c r="L212" s="40">
        <f t="shared" si="57"/>
        <v>1493.79</v>
      </c>
      <c r="M212" s="40">
        <f>IF(OR(TbTradesBinance[[#This Row],[Tipo]]="BUY",TbTradesBinance[[#This Row],[Tipo]]="RECEIVE",TbTradesBinance[[#This Row],[Tipo]]="DROP"),L212*H212,-L212*H212)</f>
        <v>-44.813699999999997</v>
      </c>
      <c r="N21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Row],[Tipo]]="DROP"),N211+TbTradesBinance[[#This Row],[Qtt]],N211-TbTradesBinance[[#This Row],[Qtt]]),IF(TbTradesBinance[[#This Row],[Tipo]]="BUY",N211-TbTradesBinance[[#This Row],[Qtt]]*TbTradesBinance[[#This Row],[Preço]],N211+TbTradesBinance[[#This Row],[Qtt]]*TbTradesBinance[[#This Row],[Preço]])),N211)-IF(TbTradesBinance[[#This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Row],[Tipo]]="DROP"),N211+TbTradesBinance[[#This Row],[Qtt]],N211-TbTradesBinance[[#This Row],[Qtt]]),IF(TbTradesBinance[[#This Row],[Tipo]]="BUY",N211-TbTradesBinance[[#This Row],[Qtt]]*TbTradesBinance[[#This Row],[Preço]],N211+TbTradesBinance[[#This Row],[Qtt]]*TbTradesBinance[[#This Row],[Preço]])),N211)-IF(TbTradesBinance[[#This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Row],[Tipo]]="DROP"),N211+TbTradesBinance[[#This Row],[Qtt]],N211-TbTradesBinance[[#This Row],[Qtt]]),IF(TbTradesBinance[[#This Row],[Tipo]]="BUY",N211-TbTradesBinance[[#This Row],[Qtt]]*TbTradesBinance[[#This Row],[Preço]],N211+TbTradesBinance[[#This Row],[Qtt]]*TbTradesBinance[[#This Row],[Preço]])),N211)-IF(TbTradesBinance[[#This Row],[Moeda da Taxa]]=MID(N$1,9,5),TbTradesBinance[[#This Row],[Taxa]],0),8)))</f>
        <v>119745.44911781</v>
      </c>
      <c r="O212" s="145" cm="1">
        <f t="array" ref="O212">IF(TbTradesBinance[[#This Row],[Tipo]]="EMPTY",0,O211+IF(TbTradesBinance[[#This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Row],[Par]]))),$1:$1,0)),-(N211-N212)/N211*O211),0),0)+IF(TbTradesBinance[[#This Row],[Tipo]]="SELL",IF(ISNUMBER(FIND(MID(O$1,10,5),TbTradesBinance[[#This Row],[Par]])),IF(FIND(MID(O$1,10,5),TbTradesBinance[[#This Row],[Par]])=1, -(N211-N212)/N211*O211,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Row],[Par]])),(-(N211-N212)/N211*O211)+IF(TbTradesBinance[[#This Row],[Resultado]]&gt;0,0,TbTradesBinance[[#This Row],[Taxa]]),0),0))</f>
        <v>120404.99677150718</v>
      </c>
      <c r="P212" s="145">
        <f t="shared" ref="P212:P223" si="76">IF(N212=0,0,O212/N212)</f>
        <v>1.0055079141508609</v>
      </c>
      <c r="Q21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Row],[Tipo]]="DROP"),Q211+TbTradesBinance[[#This Row],[Qtt]],Q211-TbTradesBinance[[#This Row],[Qtt]]),IF(TbTradesBinance[[#This Row],[Tipo]]="BUY",Q211-TbTradesBinance[[#This Row],[Qtt]]*TbTradesBinance[[#This Row],[Preço]],Q211+TbTradesBinance[[#This Row],[Qtt]]*TbTradesBinance[[#This Row],[Preço]])),Q211)-IF(TbTradesBinance[[#This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Row],[Tipo]]="DROP"),Q211+TbTradesBinance[[#This Row],[Qtt]],Q211-TbTradesBinance[[#This Row],[Qtt]]),IF(TbTradesBinance[[#This Row],[Tipo]]="BUY",Q211-TbTradesBinance[[#This Row],[Qtt]]*TbTradesBinance[[#This Row],[Preço]],Q211+TbTradesBinance[[#This Row],[Qtt]]*TbTradesBinance[[#This Row],[Preço]])),Q211)-IF(TbTradesBinance[[#This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Row],[Tipo]]="DROP"),Q211+TbTradesBinance[[#This Row],[Qtt]],Q211-TbTradesBinance[[#This Row],[Qtt]]),IF(TbTradesBinance[[#This Row],[Tipo]]="BUY",Q211-TbTradesBinance[[#This Row],[Qtt]]*TbTradesBinance[[#This Row],[Preço]],Q211+TbTradesBinance[[#This Row],[Qtt]]*TbTradesBinance[[#This Row],[Preço]])),Q211)-IF(TbTradesBinance[[#This Row],[Moeda da Taxa]]=MID(Q$1,9,5),TbTradesBinance[[#This Row],[Taxa]],0),8)))</f>
        <v>44.103643460000001</v>
      </c>
      <c r="R212" s="145" cm="1">
        <f t="array" ref="R212">IF(TbTradesBinance[[#This Row],[Tipo]]="EMPTY",0,R211+IF(TbTradesBinance[[#This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Row],[Par]]))),$1:$1,0)),-(Q211-Q212)/Q211*R211),0),0)+IF(TbTradesBinance[[#This Row],[Tipo]]="SELL",IF(ISNUMBER(FIND(MID(R$1,10,5),TbTradesBinance[[#This Row],[Par]])),IF(FIND(MID(R$1,10,5),TbTradesBinance[[#This Row],[Par]])=1, -(Q211-Q212)/Q211*R211,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Row],[Par]])),(-(Q211-Q212)/Q211*R211)+IF(TbTradesBinance[[#This Row],[Resultado]]&gt;0,0,TbTradesBinance[[#This Row],[Taxa]]),0),0))</f>
        <v>246.70073755166371</v>
      </c>
      <c r="S212" s="145">
        <f t="shared" ref="S212:S217" si="77">IF(Q212=0,0,R212/Q212)</f>
        <v>5.5936588952205293</v>
      </c>
      <c r="T21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Row],[Tipo]]="DROP"),T211+TbTradesBinance[[#This Row],[Qtt]],T211-TbTradesBinance[[#This Row],[Qtt]]),IF(TbTradesBinance[[#This Row],[Tipo]]="BUY",T211-TbTradesBinance[[#This Row],[Qtt]]*TbTradesBinance[[#This Row],[Preço]],T211+TbTradesBinance[[#This Row],[Qtt]]*TbTradesBinance[[#This Row],[Preço]])),T211)-IF(TbTradesBinance[[#This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Row],[Tipo]]="DROP"),T211+TbTradesBinance[[#This Row],[Qtt]],T211-TbTradesBinance[[#This Row],[Qtt]]),IF(TbTradesBinance[[#This Row],[Tipo]]="BUY",T211-TbTradesBinance[[#This Row],[Qtt]]*TbTradesBinance[[#This Row],[Preço]],T211+TbTradesBinance[[#This Row],[Qtt]]*TbTradesBinance[[#This Row],[Preço]])),T211)-IF(TbTradesBinance[[#This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Row],[Tipo]]="DROP"),T211+TbTradesBinance[[#This Row],[Qtt]],T211-TbTradesBinance[[#This Row],[Qtt]]),IF(TbTradesBinance[[#This Row],[Tipo]]="BUY",T211-TbTradesBinance[[#This Row],[Qtt]]*TbTradesBinance[[#This Row],[Preço]],T211+TbTradesBinance[[#This Row],[Qtt]]*TbTradesBinance[[#This Row],[Preço]])),T211)-IF(TbTradesBinance[[#This Row],[Moeda da Taxa]]=MID(T$1,9,5),TbTradesBinance[[#This Row],[Taxa]],0),8)))</f>
        <v>101223913.720009</v>
      </c>
      <c r="U212" s="145" cm="1">
        <f t="array" ref="U212">IF(TbTradesBinance[[#This Row],[Tipo]]="EMPTY",0,U211+IF(TbTradesBinance[[#This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Row],[Par]]))),$1:$1,0)),-(T211-T212)/T211*U211),0),0)+IF(TbTradesBinance[[#This Row],[Tipo]]="SELL",IF(ISNUMBER(FIND(MID(U$1,10,5),TbTradesBinance[[#This Row],[Par]])),IF(FIND(MID(U$1,10,5),TbTradesBinance[[#This Row],[Par]])=1, -(T211-T212)/T211*U211,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Row],[Par]])),(-(T211-T212)/T211*U211)+IF(TbTradesBinance[[#This Row],[Resultado]]&gt;0,0,TbTradesBinance[[#This Row],[Taxa]]),0),0))</f>
        <v>617586601.27364206</v>
      </c>
      <c r="V212" s="145">
        <f t="shared" ref="V212:V217" si="78">IF(T212=0,0,U212/T212)</f>
        <v>6.1011926784605572</v>
      </c>
      <c r="W21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Row],[Tipo]]="DROP"),W211+TbTradesBinance[[#This Row],[Qtt]],W211-TbTradesBinance[[#This Row],[Qtt]]),IF(TbTradesBinance[[#This Row],[Tipo]]="BUY",W211-TbTradesBinance[[#This Row],[Qtt]]*TbTradesBinance[[#This Row],[Preço]],W211+TbTradesBinance[[#This Row],[Qtt]]*TbTradesBinance[[#This Row],[Preço]])),W211)-IF(TbTradesBinance[[#This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Row],[Tipo]]="DROP"),W211+TbTradesBinance[[#This Row],[Qtt]],W211-TbTradesBinance[[#This Row],[Qtt]]),IF(TbTradesBinance[[#This Row],[Tipo]]="BUY",W211-TbTradesBinance[[#This Row],[Qtt]]*TbTradesBinance[[#This Row],[Preço]],W211+TbTradesBinance[[#This Row],[Qtt]]*TbTradesBinance[[#This Row],[Preço]])),W211)-IF(TbTradesBinance[[#This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Row],[Tipo]]="DROP"),W211+TbTradesBinance[[#This Row],[Qtt]],W211-TbTradesBinance[[#This Row],[Qtt]]),IF(TbTradesBinance[[#This Row],[Tipo]]="BUY",W211-TbTradesBinance[[#This Row],[Qtt]]*TbTradesBinance[[#This Row],[Preço]],W211+TbTradesBinance[[#This Row],[Qtt]]*TbTradesBinance[[#This Row],[Preço]])),W211)-IF(TbTradesBinance[[#This Row],[Moeda da Taxa]]=MID(W$1,9,5),TbTradesBinance[[#This Row],[Taxa]],0),8)))</f>
        <v>1.344499E-2</v>
      </c>
      <c r="X212" s="145" cm="1">
        <f t="array" ref="X212">IF(TbTradesBinance[[#This Row],[Tipo]]="EMPTY",0,X211+IF(TbTradesBinance[[#This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Row],[Par]]))),$1:$1,0)),-(W211-W212)/W211*X211),0),0)+IF(TbTradesBinance[[#This Row],[Tipo]]="SELL",IF(ISNUMBER(FIND(MID(X$1,10,5),TbTradesBinance[[#This Row],[Par]])),IF(FIND(MID(X$1,10,5),TbTradesBinance[[#This Row],[Par]])=1, -(W211-W212)/W211*X211,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Row],[Par]])),(-(W211-W212)/W211*X211)+IF(TbTradesBinance[[#This Row],[Resultado]]&gt;0,0,TbTradesBinance[[#This Row],[Taxa]]),0),0))</f>
        <v>2336.7789841402096</v>
      </c>
      <c r="Y212" s="145">
        <f t="shared" ref="Y212:Y217" si="79">IF(W212=0,0,X212/W212)</f>
        <v>173802.95441946847</v>
      </c>
      <c r="Z21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Row],[Tipo]]="DROP"),Z211+TbTradesBinance[[#This Row],[Qtt]],Z211-TbTradesBinance[[#This Row],[Qtt]]),IF(TbTradesBinance[[#This Row],[Tipo]]="BUY",Z211-TbTradesBinance[[#This Row],[Qtt]]*TbTradesBinance[[#This Row],[Preço]],Z211+TbTradesBinance[[#This Row],[Qtt]]*TbTradesBinance[[#This Row],[Preço]])),Z211)-IF(TbTradesBinance[[#This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Row],[Tipo]]="DROP"),Z211+TbTradesBinance[[#This Row],[Qtt]],Z211-TbTradesBinance[[#This Row],[Qtt]]),IF(TbTradesBinance[[#This Row],[Tipo]]="BUY",Z211-TbTradesBinance[[#This Row],[Qtt]]*TbTradesBinance[[#This Row],[Preço]],Z211+TbTradesBinance[[#This Row],[Qtt]]*TbTradesBinance[[#This Row],[Preço]])),Z211)-IF(TbTradesBinance[[#This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Row],[Tipo]]="DROP"),Z211+TbTradesBinance[[#This Row],[Qtt]],Z211-TbTradesBinance[[#This Row],[Qtt]]),IF(TbTradesBinance[[#This Row],[Tipo]]="BUY",Z211-TbTradesBinance[[#This Row],[Qtt]]*TbTradesBinance[[#This Row],[Preço]],Z211+TbTradesBinance[[#This Row],[Qtt]]*TbTradesBinance[[#This Row],[Preço]])),Z211)-IF(TbTradesBinance[[#This Row],[Moeda da Taxa]]=MID(Z$1,9,5),TbTradesBinance[[#This Row],[Taxa]],0),8)))</f>
        <v>0</v>
      </c>
      <c r="AA212" s="145" cm="1">
        <f t="array" ref="AA212">IF(TbTradesBinance[[#This Row],[Tipo]]="EMPTY",0,AA211+IF(TbTradesBinance[[#This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Row],[Par]]))),$1:$1,0)),-(Z211-Z212)/Z211*AA211),0),0)+IF(TbTradesBinance[[#This Row],[Tipo]]="SELL",IF(ISNUMBER(FIND(MID(AA$1,10,5),TbTradesBinance[[#This Row],[Par]])),IF(FIND(MID(AA$1,10,5),TbTradesBinance[[#This Row],[Par]])=1, -(Z211-Z212)/Z211*AA211,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Row],[Par]])),(-(Z211-Z212)/Z211*AA211)+IF(TbTradesBinance[[#This Row],[Resultado]]&gt;0,0,TbTradesBinance[[#This Row],[Taxa]]),0),0))</f>
        <v>0</v>
      </c>
      <c r="AB212" s="145">
        <f t="shared" ref="AB212:AB217" si="80">IF(Z212=0,0,AA212/Z212)</f>
        <v>0</v>
      </c>
      <c r="AC21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Row],[Tipo]]="DROP"),AC211+TbTradesBinance[[#This Row],[Qtt]],AC211-TbTradesBinance[[#This Row],[Qtt]]),IF(TbTradesBinance[[#This Row],[Tipo]]="BUY",AC211-TbTradesBinance[[#This Row],[Qtt]]*TbTradesBinance[[#This Row],[Preço]],AC211+TbTradesBinance[[#This Row],[Qtt]]*TbTradesBinance[[#This Row],[Preço]])),AC211)-IF(TbTradesBinance[[#This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Row],[Tipo]]="DROP"),AC211+TbTradesBinance[[#This Row],[Qtt]],AC211-TbTradesBinance[[#This Row],[Qtt]]),IF(TbTradesBinance[[#This Row],[Tipo]]="BUY",AC211-TbTradesBinance[[#This Row],[Qtt]]*TbTradesBinance[[#This Row],[Preço]],AC211+TbTradesBinance[[#This Row],[Qtt]]*TbTradesBinance[[#This Row],[Preço]])),AC211)-IF(TbTradesBinance[[#This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Row],[Tipo]]="DROP"),AC211+TbTradesBinance[[#This Row],[Qtt]],AC211-TbTradesBinance[[#This Row],[Qtt]]),IF(TbTradesBinance[[#This Row],[Tipo]]="BUY",AC211-TbTradesBinance[[#This Row],[Qtt]]*TbTradesBinance[[#This Row],[Preço]],AC211+TbTradesBinance[[#This Row],[Qtt]]*TbTradesBinance[[#This Row],[Preço]])),AC211)-IF(TbTradesBinance[[#This Row],[Moeda da Taxa]]=MID(AC$1,9,5),TbTradesBinance[[#This Row],[Taxa]],0),8)))</f>
        <v>0</v>
      </c>
      <c r="AD212" s="145" cm="1">
        <f t="array" ref="AD212">IF(TbTradesBinance[[#This Row],[Tipo]]="EMPTY",0,AD211+IF(TbTradesBinance[[#This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Row],[Par]]))),$1:$1,0)),-(AC211-AC212)/AC211*AD211),0),0)+IF(TbTradesBinance[[#This Row],[Tipo]]="SELL",IF(ISNUMBER(FIND(MID(AD$1,10,5),TbTradesBinance[[#This Row],[Par]])),IF(FIND(MID(AD$1,10,5),TbTradesBinance[[#This Row],[Par]])=1, -(AC211-AC212)/AC211*AD211,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Row],[Par]])),(-(AC211-AC212)/AC211*AD211)+IF(TbTradesBinance[[#This Row],[Resultado]]&gt;0,0,TbTradesBinance[[#This Row],[Taxa]]),0),0))</f>
        <v>0</v>
      </c>
      <c r="AE212" s="145">
        <f t="shared" ref="AE212:AE217" si="81">IF(AC212=0,0,AD212/AC212)</f>
        <v>0</v>
      </c>
      <c r="AF21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Row],[Tipo]]="DROP"),AF211+TbTradesBinance[[#This Row],[Qtt]],AF211-TbTradesBinance[[#This Row],[Qtt]]),IF(TbTradesBinance[[#This Row],[Tipo]]="BUY",AF211-TbTradesBinance[[#This Row],[Qtt]]*TbTradesBinance[[#This Row],[Preço]],AF211+TbTradesBinance[[#This Row],[Qtt]]*TbTradesBinance[[#This Row],[Preço]])),AF211)-IF(TbTradesBinance[[#This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Row],[Tipo]]="DROP"),AF211+TbTradesBinance[[#This Row],[Qtt]],AF211-TbTradesBinance[[#This Row],[Qtt]]),IF(TbTradesBinance[[#This Row],[Tipo]]="BUY",AF211-TbTradesBinance[[#This Row],[Qtt]]*TbTradesBinance[[#This Row],[Preço]],AF211+TbTradesBinance[[#This Row],[Qtt]]*TbTradesBinance[[#This Row],[Preço]])),AF211)-IF(TbTradesBinance[[#This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Row],[Tipo]]="DROP"),AF211+TbTradesBinance[[#This Row],[Qtt]],AF211-TbTradesBinance[[#This Row],[Qtt]]),IF(TbTradesBinance[[#This Row],[Tipo]]="BUY",AF211-TbTradesBinance[[#This Row],[Qtt]]*TbTradesBinance[[#This Row],[Preço]],AF211+TbTradesBinance[[#This Row],[Qtt]]*TbTradesBinance[[#This Row],[Preço]])),AF211)-IF(TbTradesBinance[[#This Row],[Moeda da Taxa]]=MID(AF$1,9,5),TbTradesBinance[[#This Row],[Taxa]],0),8)))</f>
        <v>0</v>
      </c>
      <c r="AG212" s="145" cm="1">
        <f t="array" ref="AG212">IF(TbTradesBinance[[#This Row],[Tipo]]="EMPTY",0,AG211+IF(TbTradesBinance[[#This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Row],[Par]]))),$1:$1,0)),-(AF211-AF212)/AF211*AG211),0),0)+IF(TbTradesBinance[[#This Row],[Tipo]]="SELL",IF(ISNUMBER(FIND(MID(AG$1,10,5),TbTradesBinance[[#This Row],[Par]])),IF(FIND(MID(AG$1,10,5),TbTradesBinance[[#This Row],[Par]])=1, -(AF211-AF212)/AF211*AG211,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Row],[Par]])),(-(AF211-AF212)/AF211*AG211)+IF(TbTradesBinance[[#This Row],[Resultado]]&gt;0,0,TbTradesBinance[[#This Row],[Taxa]]),0),0))</f>
        <v>0</v>
      </c>
      <c r="AH212" s="145">
        <f t="shared" ref="AH212:AH217" si="82">IF(AF212=0,0,AG212/AF212)</f>
        <v>0</v>
      </c>
      <c r="AI21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Row],[Tipo]]="DROP"),AI211+TbTradesBinance[[#This Row],[Qtt]],AI211-TbTradesBinance[[#This Row],[Qtt]]),IF(TbTradesBinance[[#This Row],[Tipo]]="BUY",AI211-TbTradesBinance[[#This Row],[Qtt]]*TbTradesBinance[[#This Row],[Preço]],AI211+TbTradesBinance[[#This Row],[Qtt]]*TbTradesBinance[[#This Row],[Preço]])),AI211)-IF(TbTradesBinance[[#This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Row],[Tipo]]="DROP"),AI211+TbTradesBinance[[#This Row],[Qtt]],AI211-TbTradesBinance[[#This Row],[Qtt]]),IF(TbTradesBinance[[#This Row],[Tipo]]="BUY",AI211-TbTradesBinance[[#This Row],[Qtt]]*TbTradesBinance[[#This Row],[Preço]],AI211+TbTradesBinance[[#This Row],[Qtt]]*TbTradesBinance[[#This Row],[Preço]])),AI211)-IF(TbTradesBinance[[#This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Row],[Tipo]]="DROP"),AI211+TbTradesBinance[[#This Row],[Qtt]],AI211-TbTradesBinance[[#This Row],[Qtt]]),IF(TbTradesBinance[[#This Row],[Tipo]]="BUY",AI211-TbTradesBinance[[#This Row],[Qtt]]*TbTradesBinance[[#This Row],[Preço]],AI211+TbTradesBinance[[#This Row],[Qtt]]*TbTradesBinance[[#This Row],[Preço]])),AI211)-IF(TbTradesBinance[[#This Row],[Moeda da Taxa]]=MID(AI$1,9,5),TbTradesBinance[[#This Row],[Taxa]],0),8)))</f>
        <v>0</v>
      </c>
      <c r="AJ212" s="145" cm="1">
        <f t="array" ref="AJ212">IF(TbTradesBinance[[#This Row],[Tipo]]="EMPTY",0,AJ211+IF(TbTradesBinance[[#This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Row],[Par]]))),$1:$1,0)),-(AI211-AI212)/AI211*AJ211),0),0)+IF(TbTradesBinance[[#This Row],[Tipo]]="SELL",IF(ISNUMBER(FIND(MID(AJ$1,10,5),TbTradesBinance[[#This Row],[Par]])),IF(FIND(MID(AJ$1,10,5),TbTradesBinance[[#This Row],[Par]])=1, -(AI211-AI212)/AI211*AJ211,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Row],[Par]])),(-(AI211-AI212)/AI211*AJ211)+IF(TbTradesBinance[[#This Row],[Resultado]]&gt;0,0,TbTradesBinance[[#This Row],[Taxa]]),0),0))</f>
        <v>0</v>
      </c>
      <c r="AK212" s="145">
        <f t="shared" ref="AK212:AK217" si="83">IF(AI212=0,0,AJ212/AI212)</f>
        <v>0</v>
      </c>
      <c r="AL21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Row],[Tipo]]="DROP"),AL211+TbTradesBinance[[#This Row],[Qtt]],AL211-TbTradesBinance[[#This Row],[Qtt]]),IF(TbTradesBinance[[#This Row],[Tipo]]="BUY",AL211-TbTradesBinance[[#This Row],[Qtt]]*TbTradesBinance[[#This Row],[Preço]],AL211+TbTradesBinance[[#This Row],[Qtt]]*TbTradesBinance[[#This Row],[Preço]])),AL211)-IF(TbTradesBinance[[#This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Row],[Tipo]]="DROP"),AL211+TbTradesBinance[[#This Row],[Qtt]],AL211-TbTradesBinance[[#This Row],[Qtt]]),IF(TbTradesBinance[[#This Row],[Tipo]]="BUY",AL211-TbTradesBinance[[#This Row],[Qtt]]*TbTradesBinance[[#This Row],[Preço]],AL211+TbTradesBinance[[#This Row],[Qtt]]*TbTradesBinance[[#This Row],[Preço]])),AL211)-IF(TbTradesBinance[[#This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Row],[Tipo]]="DROP"),AL211+TbTradesBinance[[#This Row],[Qtt]],AL211-TbTradesBinance[[#This Row],[Qtt]]),IF(TbTradesBinance[[#This Row],[Tipo]]="BUY",AL211-TbTradesBinance[[#This Row],[Qtt]]*TbTradesBinance[[#This Row],[Preço]],AL211+TbTradesBinance[[#This Row],[Qtt]]*TbTradesBinance[[#This Row],[Preço]])),AL211)-IF(TbTradesBinance[[#This Row],[Moeda da Taxa]]=MID(AL$1,9,5),TbTradesBinance[[#This Row],[Taxa]],0),8)))</f>
        <v>0</v>
      </c>
      <c r="AM212" s="145" cm="1">
        <f t="array" ref="AM212">IF(TbTradesBinance[[#This Row],[Tipo]]="EMPTY",0,AM211+IF(TbTradesBinance[[#This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Row],[Par]]))),$1:$1,0)),-(AL211-AL212)/AL211*AM211),0),0)+IF(TbTradesBinance[[#This Row],[Tipo]]="SELL",IF(ISNUMBER(FIND(MID(AM$1,10,5),TbTradesBinance[[#This Row],[Par]])),IF(FIND(MID(AM$1,10,5),TbTradesBinance[[#This Row],[Par]])=1, -(AL211-AL212)/AL211*AM211,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Row],[Par]])),(-(AL211-AL212)/AL211*AM211)+IF(TbTradesBinance[[#This Row],[Resultado]]&gt;0,0,TbTradesBinance[[#This Row],[Taxa]]),0),0))</f>
        <v>0</v>
      </c>
      <c r="AN212" s="145">
        <f t="shared" ref="AN212:AN217" si="84">IF(AL212=0,0,AM212/AL212)</f>
        <v>0</v>
      </c>
      <c r="AO21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Row],[Tipo]]="DROP"),AO211+TbTradesBinance[[#This Row],[Qtt]],AO211-TbTradesBinance[[#This Row],[Qtt]]),IF(TbTradesBinance[[#This Row],[Tipo]]="BUY",AO211-TbTradesBinance[[#This Row],[Qtt]]*TbTradesBinance[[#This Row],[Preço]],AO211+TbTradesBinance[[#This Row],[Qtt]]*TbTradesBinance[[#This Row],[Preço]])),AO211)-IF(TbTradesBinance[[#This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Row],[Tipo]]="DROP"),AO211+TbTradesBinance[[#This Row],[Qtt]],AO211-TbTradesBinance[[#This Row],[Qtt]]),IF(TbTradesBinance[[#This Row],[Tipo]]="BUY",AO211-TbTradesBinance[[#This Row],[Qtt]]*TbTradesBinance[[#This Row],[Preço]],AO211+TbTradesBinance[[#This Row],[Qtt]]*TbTradesBinance[[#This Row],[Preço]])),AO211)-IF(TbTradesBinance[[#This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Row],[Tipo]]="DROP"),AO211+TbTradesBinance[[#This Row],[Qtt]],AO211-TbTradesBinance[[#This Row],[Qtt]]),IF(TbTradesBinance[[#This Row],[Tipo]]="BUY",AO211-TbTradesBinance[[#This Row],[Qtt]]*TbTradesBinance[[#This Row],[Preço]],AO211+TbTradesBinance[[#This Row],[Qtt]]*TbTradesBinance[[#This Row],[Preço]])),AO211)-IF(TbTradesBinance[[#This Row],[Moeda da Taxa]]=MID(AO$1,9,5),TbTradesBinance[[#This Row],[Taxa]],0),8)))</f>
        <v>6.8241969999999999E-2</v>
      </c>
      <c r="AP212" s="145" cm="1">
        <f t="array" ref="AP212">IF(TbTradesBinance[[#This Row],[Tipo]]="EMPTY",0,AP211+IF(TbTradesBinance[[#This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Row],[Par]]))),$1:$1,0)),-(AO211-AO212)/AO211*AP211),0),0)+IF(TbTradesBinance[[#This Row],[Tipo]]="SELL",IF(ISNUMBER(FIND(MID(AP$1,10,5),TbTradesBinance[[#This Row],[Par]])),IF(FIND(MID(AP$1,10,5),TbTradesBinance[[#This Row],[Par]])=1, -(AO211-AO212)/AO211*AP211,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Row],[Par]])),(-(AO211-AO212)/AO211*AP211)+IF(TbTradesBinance[[#This Row],[Resultado]]&gt;0,0,TbTradesBinance[[#This Row],[Taxa]]),0),0))</f>
        <v>102.0944711963762</v>
      </c>
      <c r="AQ212" s="145">
        <f t="shared" ref="AQ212:AQ217" si="85">IF(AO212=0,0,AP212/AO212)</f>
        <v>1496.0657084837412</v>
      </c>
      <c r="AR21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Row],[Tipo]]="DROP"),AR211+TbTradesBinance[[#This Row],[Qtt]],AR211-TbTradesBinance[[#This Row],[Qtt]]),IF(TbTradesBinance[[#This Row],[Tipo]]="BUY",AR211-TbTradesBinance[[#This Row],[Qtt]]*TbTradesBinance[[#This Row],[Preço]],AR211+TbTradesBinance[[#This Row],[Qtt]]*TbTradesBinance[[#This Row],[Preço]])),AR211)-IF(TbTradesBinance[[#This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Row],[Tipo]]="DROP"),AR211+TbTradesBinance[[#This Row],[Qtt]],AR211-TbTradesBinance[[#This Row],[Qtt]]),IF(TbTradesBinance[[#This Row],[Tipo]]="BUY",AR211-TbTradesBinance[[#This Row],[Qtt]]*TbTradesBinance[[#This Row],[Preço]],AR211+TbTradesBinance[[#This Row],[Qtt]]*TbTradesBinance[[#This Row],[Preço]])),AR211)-IF(TbTradesBinance[[#This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Row],[Tipo]]="DROP"),AR211+TbTradesBinance[[#This Row],[Qtt]],AR211-TbTradesBinance[[#This Row],[Qtt]]),IF(TbTradesBinance[[#This Row],[Tipo]]="BUY",AR211-TbTradesBinance[[#This Row],[Qtt]]*TbTradesBinance[[#This Row],[Preço]],AR211+TbTradesBinance[[#This Row],[Qtt]]*TbTradesBinance[[#This Row],[Preço]])),AR211)-IF(TbTradesBinance[[#This Row],[Moeda da Taxa]]=MID(AR$1,9,5),TbTradesBinance[[#This Row],[Taxa]],0),8)))</f>
        <v>0</v>
      </c>
      <c r="AS212" s="145" cm="1">
        <f t="array" ref="AS212">IF(TbTradesBinance[[#This Row],[Tipo]]="EMPTY",0,AS211+IF(TbTradesBinance[[#This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Row],[Par]]))),$1:$1,0)),-(AR211-AR212)/AR211*AS211),0),0)+IF(TbTradesBinance[[#This Row],[Tipo]]="SELL",IF(ISNUMBER(FIND(MID(AS$1,10,5),TbTradesBinance[[#This Row],[Par]])),IF(FIND(MID(AS$1,10,5),TbTradesBinance[[#This Row],[Par]])=1, -(AR211-AR212)/AR211*AS211,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Row],[Par]])),(-(AR211-AR212)/AR211*AS211)+IF(TbTradesBinance[[#This Row],[Resultado]]&gt;0,0,TbTradesBinance[[#This Row],[Taxa]]),0),0))</f>
        <v>0</v>
      </c>
      <c r="AT212" s="145">
        <f t="shared" ref="AT212:AT217" si="86">IF(AR212=0,0,AS212/AR212)</f>
        <v>0</v>
      </c>
      <c r="AU21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Row],[Tipo]]="DROP"),AU211+TbTradesBinance[[#This Row],[Qtt]],AU211-TbTradesBinance[[#This Row],[Qtt]]),IF(TbTradesBinance[[#This Row],[Tipo]]="BUY",AU211-TbTradesBinance[[#This Row],[Qtt]]*TbTradesBinance[[#This Row],[Preço]],AU211+TbTradesBinance[[#This Row],[Qtt]]*TbTradesBinance[[#This Row],[Preço]])),AU211)-IF(TbTradesBinance[[#This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Row],[Tipo]]="DROP"),AU211+TbTradesBinance[[#This Row],[Qtt]],AU211-TbTradesBinance[[#This Row],[Qtt]]),IF(TbTradesBinance[[#This Row],[Tipo]]="BUY",AU211-TbTradesBinance[[#This Row],[Qtt]]*TbTradesBinance[[#This Row],[Preço]],AU211+TbTradesBinance[[#This Row],[Qtt]]*TbTradesBinance[[#This Row],[Preço]])),AU211)-IF(TbTradesBinance[[#This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Row],[Tipo]]="DROP"),AU211+TbTradesBinance[[#This Row],[Qtt]],AU211-TbTradesBinance[[#This Row],[Qtt]]),IF(TbTradesBinance[[#This Row],[Tipo]]="BUY",AU211-TbTradesBinance[[#This Row],[Qtt]]*TbTradesBinance[[#This Row],[Preço]],AU211+TbTradesBinance[[#This Row],[Qtt]]*TbTradesBinance[[#This Row],[Preço]])),AU211)-IF(TbTradesBinance[[#This Row],[Moeda da Taxa]]=MID(AU$1,9,5),TbTradesBinance[[#This Row],[Taxa]],0),8)))</f>
        <v>0.51</v>
      </c>
      <c r="AV212" s="145" cm="1">
        <f t="array" ref="AV212">IF(TbTradesBinance[[#This Row],[Tipo]]="EMPTY",0,AV211+IF(TbTradesBinance[[#This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Row],[Par]]))),$1:$1,0)),-(AU211-AU212)/AU211*AV211),0),0)+IF(TbTradesBinance[[#This Row],[Tipo]]="SELL",IF(ISNUMBER(FIND(MID(AV$1,10,5),TbTradesBinance[[#This Row],[Par]])),IF(FIND(MID(AV$1,10,5),TbTradesBinance[[#This Row],[Par]])=1, -(AU211-AU212)/AU211*AV211,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Row],[Par]])),(-(AU211-AU212)/AU211*AV211)+IF(TbTradesBinance[[#This Row],[Resultado]]&gt;0,0,TbTradesBinance[[#This Row],[Taxa]]),0),0))</f>
        <v>95.466693037374753</v>
      </c>
      <c r="AW212" s="145">
        <f t="shared" ref="AW212:AW217" si="87">IF(AU212=0,0,AV212/AU212)</f>
        <v>187.18959419093088</v>
      </c>
      <c r="AX21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Row],[Tipo]]="DROP"),AX211+TbTradesBinance[[#This Row],[Qtt]],AX211-TbTradesBinance[[#This Row],[Qtt]]),IF(TbTradesBinance[[#This Row],[Tipo]]="BUY",AX211-TbTradesBinance[[#This Row],[Qtt]]*TbTradesBinance[[#This Row],[Preço]],AX211+TbTradesBinance[[#This Row],[Qtt]]*TbTradesBinance[[#This Row],[Preço]])),AX211)-IF(TbTradesBinance[[#This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Row],[Tipo]]="DROP"),AX211+TbTradesBinance[[#This Row],[Qtt]],AX211-TbTradesBinance[[#This Row],[Qtt]]),IF(TbTradesBinance[[#This Row],[Tipo]]="BUY",AX211-TbTradesBinance[[#This Row],[Qtt]]*TbTradesBinance[[#This Row],[Preço]],AX211+TbTradesBinance[[#This Row],[Qtt]]*TbTradesBinance[[#This Row],[Preço]])),AX211)-IF(TbTradesBinance[[#This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Row],[Tipo]]="DROP"),AX211+TbTradesBinance[[#This Row],[Qtt]],AX211-TbTradesBinance[[#This Row],[Qtt]]),IF(TbTradesBinance[[#This Row],[Tipo]]="BUY",AX211-TbTradesBinance[[#This Row],[Qtt]]*TbTradesBinance[[#This Row],[Preço]],AX211+TbTradesBinance[[#This Row],[Qtt]]*TbTradesBinance[[#This Row],[Preço]])),AX211)-IF(TbTradesBinance[[#This Row],[Moeda da Taxa]]=MID(AX$1,9,5),TbTradesBinance[[#This Row],[Taxa]],0),8)))</f>
        <v>0.32838000000000001</v>
      </c>
      <c r="AY212" s="145" cm="1">
        <f t="array" ref="AY212">IF(TbTradesBinance[[#This Row],[Tipo]]="EMPTY",0,AY211+IF(TbTradesBinance[[#This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Row],[Par]]))),$1:$1,0)),-(AX211-AX212)/AX211*AY211),0),0)+IF(TbTradesBinance[[#This Row],[Tipo]]="SELL",IF(ISNUMBER(FIND(MID(AY$1,10,5),TbTradesBinance[[#This Row],[Par]])),IF(FIND(MID(AY$1,10,5),TbTradesBinance[[#This Row],[Par]])=1, -(AX211-AX212)/AX211*AY211,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Row],[Par]])),(-(AX211-AX212)/AX211*AY211)+IF(TbTradesBinance[[#This Row],[Resultado]]&gt;0,0,TbTradesBinance[[#This Row],[Taxa]]),0),0))</f>
        <v>61.364116058805678</v>
      </c>
      <c r="AZ212" s="145">
        <f t="shared" ref="AZ212:AZ217" si="88">IF(AX212=0,0,AY212/AX212)</f>
        <v>186.869224857804</v>
      </c>
      <c r="BA21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Row],[Tipo]]="DROP"),BA211+TbTradesBinance[[#This Row],[Qtt]],BA211-TbTradesBinance[[#This Row],[Qtt]]),IF(TbTradesBinance[[#This Row],[Tipo]]="BUY",BA211-TbTradesBinance[[#This Row],[Qtt]]*TbTradesBinance[[#This Row],[Preço]],BA211+TbTradesBinance[[#This Row],[Qtt]]*TbTradesBinance[[#This Row],[Preço]])),BA211)-IF(TbTradesBinance[[#This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Row],[Tipo]]="DROP"),BA211+TbTradesBinance[[#This Row],[Qtt]],BA211-TbTradesBinance[[#This Row],[Qtt]]),IF(TbTradesBinance[[#This Row],[Tipo]]="BUY",BA211-TbTradesBinance[[#This Row],[Qtt]]*TbTradesBinance[[#This Row],[Preço]],BA211+TbTradesBinance[[#This Row],[Qtt]]*TbTradesBinance[[#This Row],[Preço]])),BA211)-IF(TbTradesBinance[[#This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Row],[Tipo]]="DROP"),BA211+TbTradesBinance[[#This Row],[Qtt]],BA211-TbTradesBinance[[#This Row],[Qtt]]),IF(TbTradesBinance[[#This Row],[Tipo]]="BUY",BA211-TbTradesBinance[[#This Row],[Qtt]]*TbTradesBinance[[#This Row],[Preço]],BA211+TbTradesBinance[[#This Row],[Qtt]]*TbTradesBinance[[#This Row],[Preço]])),BA211)-IF(TbTradesBinance[[#This Row],[Moeda da Taxa]]=MID(BA$1,9,5),TbTradesBinance[[#This Row],[Taxa]],0),8)))</f>
        <v>0</v>
      </c>
      <c r="BB212" s="145" cm="1">
        <f t="array" ref="BB212">IF(TbTradesBinance[[#This Row],[Tipo]]="EMPTY",0,BB211+IF(TbTradesBinance[[#This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Row],[Par]]))),$1:$1,0)),-(BA211-BA212)/BA211*BB211),0),0)+IF(TbTradesBinance[[#This Row],[Tipo]]="SELL",IF(ISNUMBER(FIND(MID(BB$1,10,5),TbTradesBinance[[#This Row],[Par]])),IF(FIND(MID(BB$1,10,5),TbTradesBinance[[#This Row],[Par]])=1, -(BA211-BA212)/BA211*BB211,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Row],[Par]])),(-(BA211-BA212)/BA211*BB211)+IF(TbTradesBinance[[#This Row],[Resultado]]&gt;0,0,TbTradesBinance[[#This Row],[Taxa]]),0),0))</f>
        <v>0</v>
      </c>
      <c r="BC212" s="145">
        <f t="shared" ref="BC212:BC217" si="89">IF(BA212=0,0,BB212/BA212)</f>
        <v>0</v>
      </c>
      <c r="BD21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Row],[Tipo]]="DROP"),BD211+TbTradesBinance[[#This Row],[Qtt]],BD211-TbTradesBinance[[#This Row],[Qtt]]),IF(TbTradesBinance[[#This Row],[Tipo]]="BUY",BD211-TbTradesBinance[[#This Row],[Qtt]]*TbTradesBinance[[#This Row],[Preço]],BD211+TbTradesBinance[[#This Row],[Qtt]]*TbTradesBinance[[#This Row],[Preço]])),BD211)-IF(TbTradesBinance[[#This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Row],[Tipo]]="DROP"),BD211+TbTradesBinance[[#This Row],[Qtt]],BD211-TbTradesBinance[[#This Row],[Qtt]]),IF(TbTradesBinance[[#This Row],[Tipo]]="BUY",BD211-TbTradesBinance[[#This Row],[Qtt]]*TbTradesBinance[[#This Row],[Preço]],BD211+TbTradesBinance[[#This Row],[Qtt]]*TbTradesBinance[[#This Row],[Preço]])),BD211)-IF(TbTradesBinance[[#This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Row],[Tipo]]="DROP"),BD211+TbTradesBinance[[#This Row],[Qtt]],BD211-TbTradesBinance[[#This Row],[Qtt]]),IF(TbTradesBinance[[#This Row],[Tipo]]="BUY",BD211-TbTradesBinance[[#This Row],[Qtt]]*TbTradesBinance[[#This Row],[Preço]],BD211+TbTradesBinance[[#This Row],[Qtt]]*TbTradesBinance[[#This Row],[Preço]])),BD211)-IF(TbTradesBinance[[#This Row],[Moeda da Taxa]]=MID(BD$1,9,5),TbTradesBinance[[#This Row],[Taxa]],0),8)))</f>
        <v>0</v>
      </c>
      <c r="BE212" s="145" cm="1">
        <f t="array" ref="BE212">IF(TbTradesBinance[[#This Row],[Tipo]]="EMPTY",0,BE211+IF(TbTradesBinance[[#This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Row],[Par]]))),$1:$1,0)),-(BD211-BD212)/BD211*BE211),0),0)+IF(TbTradesBinance[[#This Row],[Tipo]]="SELL",IF(ISNUMBER(FIND(MID(BE$1,10,5),TbTradesBinance[[#This Row],[Par]])),IF(FIND(MID(BE$1,10,5),TbTradesBinance[[#This Row],[Par]])=1, -(BD211-BD212)/BD211*BE211,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Row],[Par]])),(-(BD211-BD212)/BD211*BE211)+IF(TbTradesBinance[[#This Row],[Resultado]]&gt;0,0,TbTradesBinance[[#This Row],[Taxa]]),0),0))</f>
        <v>0</v>
      </c>
      <c r="BF212" s="145">
        <f t="shared" ref="BF212:BF217" si="90">IF(BD212=0,0,BE212/BD212)</f>
        <v>0</v>
      </c>
      <c r="BG21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Row],[Tipo]]="DROP"),BG211+TbTradesBinance[[#This Row],[Qtt]],BG211-TbTradesBinance[[#This Row],[Qtt]]),IF(TbTradesBinance[[#This Row],[Tipo]]="BUY",BG211-TbTradesBinance[[#This Row],[Qtt]]*TbTradesBinance[[#This Row],[Preço]],BG211+TbTradesBinance[[#This Row],[Qtt]]*TbTradesBinance[[#This Row],[Preço]])),BG211)-IF(TbTradesBinance[[#This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Row],[Tipo]]="DROP"),BG211+TbTradesBinance[[#This Row],[Qtt]],BG211-TbTradesBinance[[#This Row],[Qtt]]),IF(TbTradesBinance[[#This Row],[Tipo]]="BUY",BG211-TbTradesBinance[[#This Row],[Qtt]]*TbTradesBinance[[#This Row],[Preço]],BG211+TbTradesBinance[[#This Row],[Qtt]]*TbTradesBinance[[#This Row],[Preço]])),BG211)-IF(TbTradesBinance[[#This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Row],[Tipo]]="DROP"),BG211+TbTradesBinance[[#This Row],[Qtt]],BG211-TbTradesBinance[[#This Row],[Qtt]]),IF(TbTradesBinance[[#This Row],[Tipo]]="BUY",BG211-TbTradesBinance[[#This Row],[Qtt]]*TbTradesBinance[[#This Row],[Preço]],BG211+TbTradesBinance[[#This Row],[Qtt]]*TbTradesBinance[[#This Row],[Preço]])),BG211)-IF(TbTradesBinance[[#This Row],[Moeda da Taxa]]=MID(BG$1,9,5),TbTradesBinance[[#This Row],[Taxa]],0),8)))</f>
        <v>0</v>
      </c>
      <c r="BH212" s="145" cm="1">
        <f t="array" ref="BH212">IF(TbTradesBinance[[#This Row],[Tipo]]="EMPTY",0,BH211+IF(TbTradesBinance[[#This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Row],[Par]]))),$1:$1,0)),-(BG211-BG212)/BG211*BH211),0),0)+IF(TbTradesBinance[[#This Row],[Tipo]]="SELL",IF(ISNUMBER(FIND(MID(BH$1,10,5),TbTradesBinance[[#This Row],[Par]])),IF(FIND(MID(BH$1,10,5),TbTradesBinance[[#This Row],[Par]])=1, -(BG211-BG212)/BG211*BH211,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Row],[Par]])),(-(BG211-BG212)/BG211*BH211)+IF(TbTradesBinance[[#This Row],[Resultado]]&gt;0,0,TbTradesBinance[[#This Row],[Taxa]]),0),0))</f>
        <v>0</v>
      </c>
      <c r="BI212" s="145">
        <f t="shared" ref="BI212:BI217" si="91">IF(BG212=0,0,BH212/BG212)</f>
        <v>0</v>
      </c>
      <c r="BJ21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Row],[Tipo]]="DROP"),BJ211+TbTradesBinance[[#This Row],[Qtt]],BJ211-TbTradesBinance[[#This Row],[Qtt]]),IF(TbTradesBinance[[#This Row],[Tipo]]="BUY",BJ211-TbTradesBinance[[#This Row],[Qtt]]*TbTradesBinance[[#This Row],[Preço]],BJ211+TbTradesBinance[[#This Row],[Qtt]]*TbTradesBinance[[#This Row],[Preço]])),BJ211)-IF(TbTradesBinance[[#This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Row],[Tipo]]="DROP"),BJ211+TbTradesBinance[[#This Row],[Qtt]],BJ211-TbTradesBinance[[#This Row],[Qtt]]),IF(TbTradesBinance[[#This Row],[Tipo]]="BUY",BJ211-TbTradesBinance[[#This Row],[Qtt]]*TbTradesBinance[[#This Row],[Preço]],BJ211+TbTradesBinance[[#This Row],[Qtt]]*TbTradesBinance[[#This Row],[Preço]])),BJ211)-IF(TbTradesBinance[[#This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Row],[Tipo]]="DROP"),BJ211+TbTradesBinance[[#This Row],[Qtt]],BJ211-TbTradesBinance[[#This Row],[Qtt]]),IF(TbTradesBinance[[#This Row],[Tipo]]="BUY",BJ211-TbTradesBinance[[#This Row],[Qtt]]*TbTradesBinance[[#This Row],[Preço]],BJ211+TbTradesBinance[[#This Row],[Qtt]]*TbTradesBinance[[#This Row],[Preço]])),BJ211)-IF(TbTradesBinance[[#This Row],[Moeda da Taxa]]=MID(BJ$1,9,5),TbTradesBinance[[#This Row],[Taxa]],0),8)))</f>
        <v>0</v>
      </c>
      <c r="BK212" s="145" cm="1">
        <f t="array" ref="BK212">IF(TbTradesBinance[[#This Row],[Tipo]]="EMPTY",0,BK211+IF(TbTradesBinance[[#This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Row],[Par]]))),$1:$1,0)),-(BJ211-BJ212)/BJ211*BK211),0),0)+IF(TbTradesBinance[[#This Row],[Tipo]]="SELL",IF(ISNUMBER(FIND(MID(BK$1,10,5),TbTradesBinance[[#This Row],[Par]])),IF(FIND(MID(BK$1,10,5),TbTradesBinance[[#This Row],[Par]])=1, -(BJ211-BJ212)/BJ211*BK211,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Row],[Par]])),(-(BJ211-BJ212)/BJ211*BK211)+IF(TbTradesBinance[[#This Row],[Resultado]]&gt;0,0,TbTradesBinance[[#This Row],[Taxa]]),0),0))</f>
        <v>0</v>
      </c>
      <c r="BL212" s="145">
        <f t="shared" ref="BL212:BL217" si="92">IF(BJ212=0,0,BK212/BJ212)</f>
        <v>0</v>
      </c>
      <c r="BM21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Row],[Tipo]]="DROP"),BM211+TbTradesBinance[[#This Row],[Qtt]],BM211-TbTradesBinance[[#This Row],[Qtt]]),IF(TbTradesBinance[[#This Row],[Tipo]]="BUY",BM211-TbTradesBinance[[#This Row],[Qtt]]*TbTradesBinance[[#This Row],[Preço]],BM211+TbTradesBinance[[#This Row],[Qtt]]*TbTradesBinance[[#This Row],[Preço]])),BM211)-IF(TbTradesBinance[[#This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Row],[Tipo]]="DROP"),BM211+TbTradesBinance[[#This Row],[Qtt]],BM211-TbTradesBinance[[#This Row],[Qtt]]),IF(TbTradesBinance[[#This Row],[Tipo]]="BUY",BM211-TbTradesBinance[[#This Row],[Qtt]]*TbTradesBinance[[#This Row],[Preço]],BM211+TbTradesBinance[[#This Row],[Qtt]]*TbTradesBinance[[#This Row],[Preço]])),BM211)-IF(TbTradesBinance[[#This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Row],[Tipo]]="DROP"),BM211+TbTradesBinance[[#This Row],[Qtt]],BM211-TbTradesBinance[[#This Row],[Qtt]]),IF(TbTradesBinance[[#This Row],[Tipo]]="BUY",BM211-TbTradesBinance[[#This Row],[Qtt]]*TbTradesBinance[[#This Row],[Preço]],BM211+TbTradesBinance[[#This Row],[Qtt]]*TbTradesBinance[[#This Row],[Preço]])),BM211)-IF(TbTradesBinance[[#This Row],[Moeda da Taxa]]=MID(BM$1,9,5),TbTradesBinance[[#This Row],[Taxa]],0),8)))</f>
        <v>0</v>
      </c>
      <c r="BN212" s="145" cm="1">
        <f t="array" ref="BN212">IF(TbTradesBinance[[#This Row],[Tipo]]="EMPTY",0,BN211+IF(TbTradesBinance[[#This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Row],[Par]]))),$1:$1,0)),-(BM211-BM212)/BM211*BN211),0),0)+IF(TbTradesBinance[[#This Row],[Tipo]]="SELL",IF(ISNUMBER(FIND(MID(BN$1,10,5),TbTradesBinance[[#This Row],[Par]])),IF(FIND(MID(BN$1,10,5),TbTradesBinance[[#This Row],[Par]])=1, -(BM211-BM212)/BM211*BN211,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Row],[Par]])),(-(BM211-BM212)/BM211*BN211)+IF(TbTradesBinance[[#This Row],[Resultado]]&gt;0,0,TbTradesBinance[[#This Row],[Taxa]]),0),0))</f>
        <v>0</v>
      </c>
      <c r="BO212" s="145">
        <f t="shared" ref="BO212:BO217" si="93">IF(BM212=0,0,BN212/BM212)</f>
        <v>0</v>
      </c>
    </row>
    <row r="213" spans="2:67" x14ac:dyDescent="0.3">
      <c r="B213" s="51"/>
      <c r="C213" s="40">
        <f>TRUNC(IF(AND(TbTradesBinance[[#This Row],[Tipo]]="SEND",TbTradesBinance[[#This Row],[Par]]="BRL"),TbTradesBinance[[#This Row],[Qtt]]*(1-P211)-IF(TbTradesBinance[[#This Row],[Moeda da Taxa]]="BRL",TbTradesBinance[[#This Row],[Taxa]],0),0)+IF(AND(TbTradesBinance[[#This Row],[Tipo]]="BURN",TbTradesBinance[[#This Row],[Par]]="BRL"),-TbTradesBinance[[#This Row],[Qtt]]*P211,0),2)</f>
        <v>0</v>
      </c>
      <c r="D213" s="53">
        <v>44378.156527777777</v>
      </c>
      <c r="E213" s="37" t="s">
        <v>249</v>
      </c>
      <c r="F213" s="47" t="s">
        <v>139</v>
      </c>
      <c r="G213" s="38">
        <v>33162.019999999997</v>
      </c>
      <c r="H213" s="38">
        <v>3.4600000000000001E-4</v>
      </c>
      <c r="I213" s="38">
        <v>3.065E-5</v>
      </c>
      <c r="J213" s="37" t="s">
        <v>45</v>
      </c>
      <c r="K213" s="52">
        <v>5.0250000000000004</v>
      </c>
      <c r="L213" s="40">
        <f t="shared" si="57"/>
        <v>166639.15</v>
      </c>
      <c r="M213" s="40">
        <f>IF(OR(TbTradesBinance[[#This Row],[Tipo]]="BUY",TbTradesBinance[[#This Row],[Tipo]]="RECEIVE",TbTradesBinance[[#This Row],[Tipo]]="DROP"),L213*H213,-L213*H213)</f>
        <v>57.657145899999996</v>
      </c>
      <c r="N21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Row],[Tipo]]="DROP"),N212+TbTradesBinance[[#This Row],[Qtt]],N212-TbTradesBinance[[#This Row],[Qtt]]),IF(TbTradesBinance[[#This Row],[Tipo]]="BUY",N212-TbTradesBinance[[#This Row],[Qtt]]*TbTradesBinance[[#This Row],[Preço]],N212+TbTradesBinance[[#This Row],[Qtt]]*TbTradesBinance[[#This Row],[Preço]])),N212)-IF(TbTradesBinance[[#This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Row],[Tipo]]="DROP"),N212+TbTradesBinance[[#This Row],[Qtt]],N212-TbTradesBinance[[#This Row],[Qtt]]),IF(TbTradesBinance[[#This Row],[Tipo]]="BUY",N212-TbTradesBinance[[#This Row],[Qtt]]*TbTradesBinance[[#This Row],[Preço]],N212+TbTradesBinance[[#This Row],[Qtt]]*TbTradesBinance[[#This Row],[Preço]])),N212)-IF(TbTradesBinance[[#This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Row],[Tipo]]="DROP"),N212+TbTradesBinance[[#This Row],[Qtt]],N212-TbTradesBinance[[#This Row],[Qtt]]),IF(TbTradesBinance[[#This Row],[Tipo]]="BUY",N212-TbTradesBinance[[#This Row],[Qtt]]*TbTradesBinance[[#This Row],[Preço]],N212+TbTradesBinance[[#This Row],[Qtt]]*TbTradesBinance[[#This Row],[Preço]])),N212)-IF(TbTradesBinance[[#This Row],[Moeda da Taxa]]=MID(N$1,9,5),TbTradesBinance[[#This Row],[Taxa]],0),8)))</f>
        <v>119745.44911781</v>
      </c>
      <c r="O213" s="145" cm="1">
        <f t="array" ref="O213">IF(TbTradesBinance[[#This Row],[Tipo]]="EMPTY",0,O212+IF(TbTradesBinance[[#This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Row],[Par]]))),$1:$1,0)),-(N212-N213)/N212*O212),0),0)+IF(TbTradesBinance[[#This Row],[Tipo]]="SELL",IF(ISNUMBER(FIND(MID(O$1,10,5),TbTradesBinance[[#This Row],[Par]])),IF(FIND(MID(O$1,10,5),TbTradesBinance[[#This Row],[Par]])=1, -(N212-N213)/N212*O212,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Row],[Par]])),(-(N212-N213)/N212*O212)+IF(TbTradesBinance[[#This Row],[Resultado]]&gt;0,0,TbTradesBinance[[#This Row],[Taxa]]),0),0))</f>
        <v>120404.99677150718</v>
      </c>
      <c r="P213" s="145">
        <f t="shared" si="76"/>
        <v>1.0055079141508609</v>
      </c>
      <c r="Q21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Row],[Tipo]]="DROP"),Q212+TbTradesBinance[[#This Row],[Qtt]],Q212-TbTradesBinance[[#This Row],[Qtt]]),IF(TbTradesBinance[[#This Row],[Tipo]]="BUY",Q212-TbTradesBinance[[#This Row],[Qtt]]*TbTradesBinance[[#This Row],[Preço]],Q212+TbTradesBinance[[#This Row],[Qtt]]*TbTradesBinance[[#This Row],[Preço]])),Q212)-IF(TbTradesBinance[[#This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Row],[Tipo]]="DROP"),Q212+TbTradesBinance[[#This Row],[Qtt]],Q212-TbTradesBinance[[#This Row],[Qtt]]),IF(TbTradesBinance[[#This Row],[Tipo]]="BUY",Q212-TbTradesBinance[[#This Row],[Qtt]]*TbTradesBinance[[#This Row],[Preço]],Q212+TbTradesBinance[[#This Row],[Qtt]]*TbTradesBinance[[#This Row],[Preço]])),Q212)-IF(TbTradesBinance[[#This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Row],[Tipo]]="DROP"),Q212+TbTradesBinance[[#This Row],[Qtt]],Q212-TbTradesBinance[[#This Row],[Qtt]]),IF(TbTradesBinance[[#This Row],[Tipo]]="BUY",Q212-TbTradesBinance[[#This Row],[Qtt]]*TbTradesBinance[[#This Row],[Preço]],Q212+TbTradesBinance[[#This Row],[Qtt]]*TbTradesBinance[[#This Row],[Preço]])),Q212)-IF(TbTradesBinance[[#This Row],[Moeda da Taxa]]=MID(Q$1,9,5),TbTradesBinance[[#This Row],[Taxa]],0),8)))</f>
        <v>32.629584540000003</v>
      </c>
      <c r="R213" s="145" cm="1">
        <f t="array" ref="R213">IF(TbTradesBinance[[#This Row],[Tipo]]="EMPTY",0,R212+IF(TbTradesBinance[[#This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Row],[Par]]))),$1:$1,0)),-(Q212-Q213)/Q212*R212),0),0)+IF(TbTradesBinance[[#This Row],[Tipo]]="SELL",IF(ISNUMBER(FIND(MID(R$1,10,5),TbTradesBinance[[#This Row],[Par]])),IF(FIND(MID(R$1,10,5),TbTradesBinance[[#This Row],[Par]])=1, -(Q212-Q213)/Q212*R212,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Row],[Par]])),(-(Q212-Q213)/Q212*R212)+IF(TbTradesBinance[[#This Row],[Resultado]]&gt;0,0,TbTradesBinance[[#This Row],[Taxa]]),0),0))</f>
        <v>182.51876580952126</v>
      </c>
      <c r="S213" s="145">
        <f t="shared" si="77"/>
        <v>5.5936588952205284</v>
      </c>
      <c r="T21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Row],[Tipo]]="DROP"),T212+TbTradesBinance[[#This Row],[Qtt]],T212-TbTradesBinance[[#This Row],[Qtt]]),IF(TbTradesBinance[[#This Row],[Tipo]]="BUY",T212-TbTradesBinance[[#This Row],[Qtt]]*TbTradesBinance[[#This Row],[Preço]],T212+TbTradesBinance[[#This Row],[Qtt]]*TbTradesBinance[[#This Row],[Preço]])),T212)-IF(TbTradesBinance[[#This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Row],[Tipo]]="DROP"),T212+TbTradesBinance[[#This Row],[Qtt]],T212-TbTradesBinance[[#This Row],[Qtt]]),IF(TbTradesBinance[[#This Row],[Tipo]]="BUY",T212-TbTradesBinance[[#This Row],[Qtt]]*TbTradesBinance[[#This Row],[Preço]],T212+TbTradesBinance[[#This Row],[Qtt]]*TbTradesBinance[[#This Row],[Preço]])),T212)-IF(TbTradesBinance[[#This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Row],[Tipo]]="DROP"),T212+TbTradesBinance[[#This Row],[Qtt]],T212-TbTradesBinance[[#This Row],[Qtt]]),IF(TbTradesBinance[[#This Row],[Tipo]]="BUY",T212-TbTradesBinance[[#This Row],[Qtt]]*TbTradesBinance[[#This Row],[Preço]],T212+TbTradesBinance[[#This Row],[Qtt]]*TbTradesBinance[[#This Row],[Preço]])),T212)-IF(TbTradesBinance[[#This Row],[Moeda da Taxa]]=MID(T$1,9,5),TbTradesBinance[[#This Row],[Taxa]],0),8)))</f>
        <v>101223913.720009</v>
      </c>
      <c r="U213" s="145" cm="1">
        <f t="array" ref="U213">IF(TbTradesBinance[[#This Row],[Tipo]]="EMPTY",0,U212+IF(TbTradesBinance[[#This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Row],[Par]]))),$1:$1,0)),-(T212-T213)/T212*U212),0),0)+IF(TbTradesBinance[[#This Row],[Tipo]]="SELL",IF(ISNUMBER(FIND(MID(U$1,10,5),TbTradesBinance[[#This Row],[Par]])),IF(FIND(MID(U$1,10,5),TbTradesBinance[[#This Row],[Par]])=1, -(T212-T213)/T212*U212,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Row],[Par]])),(-(T212-T213)/T212*U212)+IF(TbTradesBinance[[#This Row],[Resultado]]&gt;0,0,TbTradesBinance[[#This Row],[Taxa]]),0),0))</f>
        <v>617586601.27364206</v>
      </c>
      <c r="V213" s="145">
        <f t="shared" si="78"/>
        <v>6.1011926784605572</v>
      </c>
      <c r="W21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Row],[Tipo]]="DROP"),W212+TbTradesBinance[[#This Row],[Qtt]],W212-TbTradesBinance[[#This Row],[Qtt]]),IF(TbTradesBinance[[#This Row],[Tipo]]="BUY",W212-TbTradesBinance[[#This Row],[Qtt]]*TbTradesBinance[[#This Row],[Preço]],W212+TbTradesBinance[[#This Row],[Qtt]]*TbTradesBinance[[#This Row],[Preço]])),W212)-IF(TbTradesBinance[[#This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Row],[Tipo]]="DROP"),W212+TbTradesBinance[[#This Row],[Qtt]],W212-TbTradesBinance[[#This Row],[Qtt]]),IF(TbTradesBinance[[#This Row],[Tipo]]="BUY",W212-TbTradesBinance[[#This Row],[Qtt]]*TbTradesBinance[[#This Row],[Preço]],W212+TbTradesBinance[[#This Row],[Qtt]]*TbTradesBinance[[#This Row],[Preço]])),W212)-IF(TbTradesBinance[[#This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Row],[Tipo]]="DROP"),W212+TbTradesBinance[[#This Row],[Qtt]],W212-TbTradesBinance[[#This Row],[Qtt]]),IF(TbTradesBinance[[#This Row],[Tipo]]="BUY",W212-TbTradesBinance[[#This Row],[Qtt]]*TbTradesBinance[[#This Row],[Preço]],W212+TbTradesBinance[[#This Row],[Qtt]]*TbTradesBinance[[#This Row],[Preço]])),W212)-IF(TbTradesBinance[[#This Row],[Moeda da Taxa]]=MID(W$1,9,5),TbTradesBinance[[#This Row],[Taxa]],0),8)))</f>
        <v>1.3790989999999999E-2</v>
      </c>
      <c r="X213" s="145" cm="1">
        <f t="array" ref="X213">IF(TbTradesBinance[[#This Row],[Tipo]]="EMPTY",0,X212+IF(TbTradesBinance[[#This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Row],[Par]]))),$1:$1,0)),-(W212-W213)/W212*X212),0),0)+IF(TbTradesBinance[[#This Row],[Tipo]]="SELL",IF(ISNUMBER(FIND(MID(X$1,10,5),TbTradesBinance[[#This Row],[Par]])),IF(FIND(MID(X$1,10,5),TbTradesBinance[[#This Row],[Par]])=1, -(W212-W213)/W212*X212,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Row],[Par]])),(-(W212-W213)/W212*X212)+IF(TbTradesBinance[[#This Row],[Resultado]]&gt;0,0,TbTradesBinance[[#This Row],[Taxa]]),0),0))</f>
        <v>2400.9609558823522</v>
      </c>
      <c r="Y213" s="145">
        <f t="shared" si="79"/>
        <v>174096.34521396595</v>
      </c>
      <c r="Z21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Row],[Tipo]]="DROP"),Z212+TbTradesBinance[[#This Row],[Qtt]],Z212-TbTradesBinance[[#This Row],[Qtt]]),IF(TbTradesBinance[[#This Row],[Tipo]]="BUY",Z212-TbTradesBinance[[#This Row],[Qtt]]*TbTradesBinance[[#This Row],[Preço]],Z212+TbTradesBinance[[#This Row],[Qtt]]*TbTradesBinance[[#This Row],[Preço]])),Z212)-IF(TbTradesBinance[[#This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Row],[Tipo]]="DROP"),Z212+TbTradesBinance[[#This Row],[Qtt]],Z212-TbTradesBinance[[#This Row],[Qtt]]),IF(TbTradesBinance[[#This Row],[Tipo]]="BUY",Z212-TbTradesBinance[[#This Row],[Qtt]]*TbTradesBinance[[#This Row],[Preço]],Z212+TbTradesBinance[[#This Row],[Qtt]]*TbTradesBinance[[#This Row],[Preço]])),Z212)-IF(TbTradesBinance[[#This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Row],[Tipo]]="DROP"),Z212+TbTradesBinance[[#This Row],[Qtt]],Z212-TbTradesBinance[[#This Row],[Qtt]]),IF(TbTradesBinance[[#This Row],[Tipo]]="BUY",Z212-TbTradesBinance[[#This Row],[Qtt]]*TbTradesBinance[[#This Row],[Preço]],Z212+TbTradesBinance[[#This Row],[Qtt]]*TbTradesBinance[[#This Row],[Preço]])),Z212)-IF(TbTradesBinance[[#This Row],[Moeda da Taxa]]=MID(Z$1,9,5),TbTradesBinance[[#This Row],[Taxa]],0),8)))</f>
        <v>0</v>
      </c>
      <c r="AA213" s="145" cm="1">
        <f t="array" ref="AA213">IF(TbTradesBinance[[#This Row],[Tipo]]="EMPTY",0,AA212+IF(TbTradesBinance[[#This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Row],[Par]]))),$1:$1,0)),-(Z212-Z213)/Z212*AA212),0),0)+IF(TbTradesBinance[[#This Row],[Tipo]]="SELL",IF(ISNUMBER(FIND(MID(AA$1,10,5),TbTradesBinance[[#This Row],[Par]])),IF(FIND(MID(AA$1,10,5),TbTradesBinance[[#This Row],[Par]])=1, -(Z212-Z213)/Z212*AA212,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Row],[Par]])),(-(Z212-Z213)/Z212*AA212)+IF(TbTradesBinance[[#This Row],[Resultado]]&gt;0,0,TbTradesBinance[[#This Row],[Taxa]]),0),0))</f>
        <v>0</v>
      </c>
      <c r="AB213" s="145">
        <f t="shared" si="80"/>
        <v>0</v>
      </c>
      <c r="AC21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Row],[Tipo]]="DROP"),AC212+TbTradesBinance[[#This Row],[Qtt]],AC212-TbTradesBinance[[#This Row],[Qtt]]),IF(TbTradesBinance[[#This Row],[Tipo]]="BUY",AC212-TbTradesBinance[[#This Row],[Qtt]]*TbTradesBinance[[#This Row],[Preço]],AC212+TbTradesBinance[[#This Row],[Qtt]]*TbTradesBinance[[#This Row],[Preço]])),AC212)-IF(TbTradesBinance[[#This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Row],[Tipo]]="DROP"),AC212+TbTradesBinance[[#This Row],[Qtt]],AC212-TbTradesBinance[[#This Row],[Qtt]]),IF(TbTradesBinance[[#This Row],[Tipo]]="BUY",AC212-TbTradesBinance[[#This Row],[Qtt]]*TbTradesBinance[[#This Row],[Preço]],AC212+TbTradesBinance[[#This Row],[Qtt]]*TbTradesBinance[[#This Row],[Preço]])),AC212)-IF(TbTradesBinance[[#This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Row],[Tipo]]="DROP"),AC212+TbTradesBinance[[#This Row],[Qtt]],AC212-TbTradesBinance[[#This Row],[Qtt]]),IF(TbTradesBinance[[#This Row],[Tipo]]="BUY",AC212-TbTradesBinance[[#This Row],[Qtt]]*TbTradesBinance[[#This Row],[Preço]],AC212+TbTradesBinance[[#This Row],[Qtt]]*TbTradesBinance[[#This Row],[Preço]])),AC212)-IF(TbTradesBinance[[#This Row],[Moeda da Taxa]]=MID(AC$1,9,5),TbTradesBinance[[#This Row],[Taxa]],0),8)))</f>
        <v>0</v>
      </c>
      <c r="AD213" s="145" cm="1">
        <f t="array" ref="AD213">IF(TbTradesBinance[[#This Row],[Tipo]]="EMPTY",0,AD212+IF(TbTradesBinance[[#This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Row],[Par]]))),$1:$1,0)),-(AC212-AC213)/AC212*AD212),0),0)+IF(TbTradesBinance[[#This Row],[Tipo]]="SELL",IF(ISNUMBER(FIND(MID(AD$1,10,5),TbTradesBinance[[#This Row],[Par]])),IF(FIND(MID(AD$1,10,5),TbTradesBinance[[#This Row],[Par]])=1, -(AC212-AC213)/AC212*AD212,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Row],[Par]])),(-(AC212-AC213)/AC212*AD212)+IF(TbTradesBinance[[#This Row],[Resultado]]&gt;0,0,TbTradesBinance[[#This Row],[Taxa]]),0),0))</f>
        <v>0</v>
      </c>
      <c r="AE213" s="145">
        <f t="shared" si="81"/>
        <v>0</v>
      </c>
      <c r="AF21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Row],[Tipo]]="DROP"),AF212+TbTradesBinance[[#This Row],[Qtt]],AF212-TbTradesBinance[[#This Row],[Qtt]]),IF(TbTradesBinance[[#This Row],[Tipo]]="BUY",AF212-TbTradesBinance[[#This Row],[Qtt]]*TbTradesBinance[[#This Row],[Preço]],AF212+TbTradesBinance[[#This Row],[Qtt]]*TbTradesBinance[[#This Row],[Preço]])),AF212)-IF(TbTradesBinance[[#This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Row],[Tipo]]="DROP"),AF212+TbTradesBinance[[#This Row],[Qtt]],AF212-TbTradesBinance[[#This Row],[Qtt]]),IF(TbTradesBinance[[#This Row],[Tipo]]="BUY",AF212-TbTradesBinance[[#This Row],[Qtt]]*TbTradesBinance[[#This Row],[Preço]],AF212+TbTradesBinance[[#This Row],[Qtt]]*TbTradesBinance[[#This Row],[Preço]])),AF212)-IF(TbTradesBinance[[#This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Row],[Tipo]]="DROP"),AF212+TbTradesBinance[[#This Row],[Qtt]],AF212-TbTradesBinance[[#This Row],[Qtt]]),IF(TbTradesBinance[[#This Row],[Tipo]]="BUY",AF212-TbTradesBinance[[#This Row],[Qtt]]*TbTradesBinance[[#This Row],[Preço]],AF212+TbTradesBinance[[#This Row],[Qtt]]*TbTradesBinance[[#This Row],[Preço]])),AF212)-IF(TbTradesBinance[[#This Row],[Moeda da Taxa]]=MID(AF$1,9,5),TbTradesBinance[[#This Row],[Taxa]],0),8)))</f>
        <v>0</v>
      </c>
      <c r="AG213" s="145" cm="1">
        <f t="array" ref="AG213">IF(TbTradesBinance[[#This Row],[Tipo]]="EMPTY",0,AG212+IF(TbTradesBinance[[#This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Row],[Par]]))),$1:$1,0)),-(AF212-AF213)/AF212*AG212),0),0)+IF(TbTradesBinance[[#This Row],[Tipo]]="SELL",IF(ISNUMBER(FIND(MID(AG$1,10,5),TbTradesBinance[[#This Row],[Par]])),IF(FIND(MID(AG$1,10,5),TbTradesBinance[[#This Row],[Par]])=1, -(AF212-AF213)/AF212*AG212,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Row],[Par]])),(-(AF212-AF213)/AF212*AG212)+IF(TbTradesBinance[[#This Row],[Resultado]]&gt;0,0,TbTradesBinance[[#This Row],[Taxa]]),0),0))</f>
        <v>0</v>
      </c>
      <c r="AH213" s="145">
        <f t="shared" si="82"/>
        <v>0</v>
      </c>
      <c r="AI21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Row],[Tipo]]="DROP"),AI212+TbTradesBinance[[#This Row],[Qtt]],AI212-TbTradesBinance[[#This Row],[Qtt]]),IF(TbTradesBinance[[#This Row],[Tipo]]="BUY",AI212-TbTradesBinance[[#This Row],[Qtt]]*TbTradesBinance[[#This Row],[Preço]],AI212+TbTradesBinance[[#This Row],[Qtt]]*TbTradesBinance[[#This Row],[Preço]])),AI212)-IF(TbTradesBinance[[#This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Row],[Tipo]]="DROP"),AI212+TbTradesBinance[[#This Row],[Qtt]],AI212-TbTradesBinance[[#This Row],[Qtt]]),IF(TbTradesBinance[[#This Row],[Tipo]]="BUY",AI212-TbTradesBinance[[#This Row],[Qtt]]*TbTradesBinance[[#This Row],[Preço]],AI212+TbTradesBinance[[#This Row],[Qtt]]*TbTradesBinance[[#This Row],[Preço]])),AI212)-IF(TbTradesBinance[[#This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Row],[Tipo]]="DROP"),AI212+TbTradesBinance[[#This Row],[Qtt]],AI212-TbTradesBinance[[#This Row],[Qtt]]),IF(TbTradesBinance[[#This Row],[Tipo]]="BUY",AI212-TbTradesBinance[[#This Row],[Qtt]]*TbTradesBinance[[#This Row],[Preço]],AI212+TbTradesBinance[[#This Row],[Qtt]]*TbTradesBinance[[#This Row],[Preço]])),AI212)-IF(TbTradesBinance[[#This Row],[Moeda da Taxa]]=MID(AI$1,9,5),TbTradesBinance[[#This Row],[Taxa]],0),8)))</f>
        <v>0</v>
      </c>
      <c r="AJ213" s="145" cm="1">
        <f t="array" ref="AJ213">IF(TbTradesBinance[[#This Row],[Tipo]]="EMPTY",0,AJ212+IF(TbTradesBinance[[#This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Row],[Par]]))),$1:$1,0)),-(AI212-AI213)/AI212*AJ212),0),0)+IF(TbTradesBinance[[#This Row],[Tipo]]="SELL",IF(ISNUMBER(FIND(MID(AJ$1,10,5),TbTradesBinance[[#This Row],[Par]])),IF(FIND(MID(AJ$1,10,5),TbTradesBinance[[#This Row],[Par]])=1, -(AI212-AI213)/AI212*AJ212,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Row],[Par]])),(-(AI212-AI213)/AI212*AJ212)+IF(TbTradesBinance[[#This Row],[Resultado]]&gt;0,0,TbTradesBinance[[#This Row],[Taxa]]),0),0))</f>
        <v>0</v>
      </c>
      <c r="AK213" s="145">
        <f t="shared" si="83"/>
        <v>0</v>
      </c>
      <c r="AL21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Row],[Tipo]]="DROP"),AL212+TbTradesBinance[[#This Row],[Qtt]],AL212-TbTradesBinance[[#This Row],[Qtt]]),IF(TbTradesBinance[[#This Row],[Tipo]]="BUY",AL212-TbTradesBinance[[#This Row],[Qtt]]*TbTradesBinance[[#This Row],[Preço]],AL212+TbTradesBinance[[#This Row],[Qtt]]*TbTradesBinance[[#This Row],[Preço]])),AL212)-IF(TbTradesBinance[[#This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Row],[Tipo]]="DROP"),AL212+TbTradesBinance[[#This Row],[Qtt]],AL212-TbTradesBinance[[#This Row],[Qtt]]),IF(TbTradesBinance[[#This Row],[Tipo]]="BUY",AL212-TbTradesBinance[[#This Row],[Qtt]]*TbTradesBinance[[#This Row],[Preço]],AL212+TbTradesBinance[[#This Row],[Qtt]]*TbTradesBinance[[#This Row],[Preço]])),AL212)-IF(TbTradesBinance[[#This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Row],[Tipo]]="DROP"),AL212+TbTradesBinance[[#This Row],[Qtt]],AL212-TbTradesBinance[[#This Row],[Qtt]]),IF(TbTradesBinance[[#This Row],[Tipo]]="BUY",AL212-TbTradesBinance[[#This Row],[Qtt]]*TbTradesBinance[[#This Row],[Preço]],AL212+TbTradesBinance[[#This Row],[Qtt]]*TbTradesBinance[[#This Row],[Preço]])),AL212)-IF(TbTradesBinance[[#This Row],[Moeda da Taxa]]=MID(AL$1,9,5),TbTradesBinance[[#This Row],[Taxa]],0),8)))</f>
        <v>0</v>
      </c>
      <c r="AM213" s="145" cm="1">
        <f t="array" ref="AM213">IF(TbTradesBinance[[#This Row],[Tipo]]="EMPTY",0,AM212+IF(TbTradesBinance[[#This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Row],[Par]]))),$1:$1,0)),-(AL212-AL213)/AL212*AM212),0),0)+IF(TbTradesBinance[[#This Row],[Tipo]]="SELL",IF(ISNUMBER(FIND(MID(AM$1,10,5),TbTradesBinance[[#This Row],[Par]])),IF(FIND(MID(AM$1,10,5),TbTradesBinance[[#This Row],[Par]])=1, -(AL212-AL213)/AL212*AM212,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Row],[Par]])),(-(AL212-AL213)/AL212*AM212)+IF(TbTradesBinance[[#This Row],[Resultado]]&gt;0,0,TbTradesBinance[[#This Row],[Taxa]]),0),0))</f>
        <v>0</v>
      </c>
      <c r="AN213" s="145">
        <f t="shared" si="84"/>
        <v>0</v>
      </c>
      <c r="AO21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Row],[Tipo]]="DROP"),AO212+TbTradesBinance[[#This Row],[Qtt]],AO212-TbTradesBinance[[#This Row],[Qtt]]),IF(TbTradesBinance[[#This Row],[Tipo]]="BUY",AO212-TbTradesBinance[[#This Row],[Qtt]]*TbTradesBinance[[#This Row],[Preço]],AO212+TbTradesBinance[[#This Row],[Qtt]]*TbTradesBinance[[#This Row],[Preço]])),AO212)-IF(TbTradesBinance[[#This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Row],[Tipo]]="DROP"),AO212+TbTradesBinance[[#This Row],[Qtt]],AO212-TbTradesBinance[[#This Row],[Qtt]]),IF(TbTradesBinance[[#This Row],[Tipo]]="BUY",AO212-TbTradesBinance[[#This Row],[Qtt]]*TbTradesBinance[[#This Row],[Preço]],AO212+TbTradesBinance[[#This Row],[Qtt]]*TbTradesBinance[[#This Row],[Preço]])),AO212)-IF(TbTradesBinance[[#This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Row],[Tipo]]="DROP"),AO212+TbTradesBinance[[#This Row],[Qtt]],AO212-TbTradesBinance[[#This Row],[Qtt]]),IF(TbTradesBinance[[#This Row],[Tipo]]="BUY",AO212-TbTradesBinance[[#This Row],[Qtt]]*TbTradesBinance[[#This Row],[Preço]],AO212+TbTradesBinance[[#This Row],[Qtt]]*TbTradesBinance[[#This Row],[Preço]])),AO212)-IF(TbTradesBinance[[#This Row],[Moeda da Taxa]]=MID(AO$1,9,5),TbTradesBinance[[#This Row],[Taxa]],0),8)))</f>
        <v>6.8211320000000006E-2</v>
      </c>
      <c r="AP213" s="145" cm="1">
        <f t="array" ref="AP213">IF(TbTradesBinance[[#This Row],[Tipo]]="EMPTY",0,AP212+IF(TbTradesBinance[[#This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Row],[Par]]))),$1:$1,0)),-(AO212-AO213)/AO212*AP212),0),0)+IF(TbTradesBinance[[#This Row],[Tipo]]="SELL",IF(ISNUMBER(FIND(MID(AP$1,10,5),TbTradesBinance[[#This Row],[Par]])),IF(FIND(MID(AP$1,10,5),TbTradesBinance[[#This Row],[Par]])=1, -(AO212-AO213)/AO212*AP212,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Row],[Par]])),(-(AO212-AO213)/AO212*AP212)+IF(TbTradesBinance[[#This Row],[Resultado]]&gt;0,0,TbTradesBinance[[#This Row],[Taxa]]),0),0))</f>
        <v>102.0944711963762</v>
      </c>
      <c r="AQ213" s="145">
        <f t="shared" si="85"/>
        <v>1496.7379490145652</v>
      </c>
      <c r="AR21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Row],[Tipo]]="DROP"),AR212+TbTradesBinance[[#This Row],[Qtt]],AR212-TbTradesBinance[[#This Row],[Qtt]]),IF(TbTradesBinance[[#This Row],[Tipo]]="BUY",AR212-TbTradesBinance[[#This Row],[Qtt]]*TbTradesBinance[[#This Row],[Preço]],AR212+TbTradesBinance[[#This Row],[Qtt]]*TbTradesBinance[[#This Row],[Preço]])),AR212)-IF(TbTradesBinance[[#This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Row],[Tipo]]="DROP"),AR212+TbTradesBinance[[#This Row],[Qtt]],AR212-TbTradesBinance[[#This Row],[Qtt]]),IF(TbTradesBinance[[#This Row],[Tipo]]="BUY",AR212-TbTradesBinance[[#This Row],[Qtt]]*TbTradesBinance[[#This Row],[Preço]],AR212+TbTradesBinance[[#This Row],[Qtt]]*TbTradesBinance[[#This Row],[Preço]])),AR212)-IF(TbTradesBinance[[#This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Row],[Tipo]]="DROP"),AR212+TbTradesBinance[[#This Row],[Qtt]],AR212-TbTradesBinance[[#This Row],[Qtt]]),IF(TbTradesBinance[[#This Row],[Tipo]]="BUY",AR212-TbTradesBinance[[#This Row],[Qtt]]*TbTradesBinance[[#This Row],[Preço]],AR212+TbTradesBinance[[#This Row],[Qtt]]*TbTradesBinance[[#This Row],[Preço]])),AR212)-IF(TbTradesBinance[[#This Row],[Moeda da Taxa]]=MID(AR$1,9,5),TbTradesBinance[[#This Row],[Taxa]],0),8)))</f>
        <v>0</v>
      </c>
      <c r="AS213" s="145" cm="1">
        <f t="array" ref="AS213">IF(TbTradesBinance[[#This Row],[Tipo]]="EMPTY",0,AS212+IF(TbTradesBinance[[#This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Row],[Par]]))),$1:$1,0)),-(AR212-AR213)/AR212*AS212),0),0)+IF(TbTradesBinance[[#This Row],[Tipo]]="SELL",IF(ISNUMBER(FIND(MID(AS$1,10,5),TbTradesBinance[[#This Row],[Par]])),IF(FIND(MID(AS$1,10,5),TbTradesBinance[[#This Row],[Par]])=1, -(AR212-AR213)/AR212*AS212,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Row],[Par]])),(-(AR212-AR213)/AR212*AS212)+IF(TbTradesBinance[[#This Row],[Resultado]]&gt;0,0,TbTradesBinance[[#This Row],[Taxa]]),0),0))</f>
        <v>0</v>
      </c>
      <c r="AT213" s="145">
        <f t="shared" si="86"/>
        <v>0</v>
      </c>
      <c r="AU21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Row],[Tipo]]="DROP"),AU212+TbTradesBinance[[#This Row],[Qtt]],AU212-TbTradesBinance[[#This Row],[Qtt]]),IF(TbTradesBinance[[#This Row],[Tipo]]="BUY",AU212-TbTradesBinance[[#This Row],[Qtt]]*TbTradesBinance[[#This Row],[Preço]],AU212+TbTradesBinance[[#This Row],[Qtt]]*TbTradesBinance[[#This Row],[Preço]])),AU212)-IF(TbTradesBinance[[#This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Row],[Tipo]]="DROP"),AU212+TbTradesBinance[[#This Row],[Qtt]],AU212-TbTradesBinance[[#This Row],[Qtt]]),IF(TbTradesBinance[[#This Row],[Tipo]]="BUY",AU212-TbTradesBinance[[#This Row],[Qtt]]*TbTradesBinance[[#This Row],[Preço]],AU212+TbTradesBinance[[#This Row],[Qtt]]*TbTradesBinance[[#This Row],[Preço]])),AU212)-IF(TbTradesBinance[[#This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Row],[Tipo]]="DROP"),AU212+TbTradesBinance[[#This Row],[Qtt]],AU212-TbTradesBinance[[#This Row],[Qtt]]),IF(TbTradesBinance[[#This Row],[Tipo]]="BUY",AU212-TbTradesBinance[[#This Row],[Qtt]]*TbTradesBinance[[#This Row],[Preço]],AU212+TbTradesBinance[[#This Row],[Qtt]]*TbTradesBinance[[#This Row],[Preço]])),AU212)-IF(TbTradesBinance[[#This Row],[Moeda da Taxa]]=MID(AU$1,9,5),TbTradesBinance[[#This Row],[Taxa]],0),8)))</f>
        <v>0.51</v>
      </c>
      <c r="AV213" s="145" cm="1">
        <f t="array" ref="AV213">IF(TbTradesBinance[[#This Row],[Tipo]]="EMPTY",0,AV212+IF(TbTradesBinance[[#This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Row],[Par]]))),$1:$1,0)),-(AU212-AU213)/AU212*AV212),0),0)+IF(TbTradesBinance[[#This Row],[Tipo]]="SELL",IF(ISNUMBER(FIND(MID(AV$1,10,5),TbTradesBinance[[#This Row],[Par]])),IF(FIND(MID(AV$1,10,5),TbTradesBinance[[#This Row],[Par]])=1, -(AU212-AU213)/AU212*AV212,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Row],[Par]])),(-(AU212-AU213)/AU212*AV212)+IF(TbTradesBinance[[#This Row],[Resultado]]&gt;0,0,TbTradesBinance[[#This Row],[Taxa]]),0),0))</f>
        <v>95.466693037374753</v>
      </c>
      <c r="AW213" s="145">
        <f t="shared" si="87"/>
        <v>187.18959419093088</v>
      </c>
      <c r="AX21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Row],[Tipo]]="DROP"),AX212+TbTradesBinance[[#This Row],[Qtt]],AX212-TbTradesBinance[[#This Row],[Qtt]]),IF(TbTradesBinance[[#This Row],[Tipo]]="BUY",AX212-TbTradesBinance[[#This Row],[Qtt]]*TbTradesBinance[[#This Row],[Preço]],AX212+TbTradesBinance[[#This Row],[Qtt]]*TbTradesBinance[[#This Row],[Preço]])),AX212)-IF(TbTradesBinance[[#This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Row],[Tipo]]="DROP"),AX212+TbTradesBinance[[#This Row],[Qtt]],AX212-TbTradesBinance[[#This Row],[Qtt]]),IF(TbTradesBinance[[#This Row],[Tipo]]="BUY",AX212-TbTradesBinance[[#This Row],[Qtt]]*TbTradesBinance[[#This Row],[Preço]],AX212+TbTradesBinance[[#This Row],[Qtt]]*TbTradesBinance[[#This Row],[Preço]])),AX212)-IF(TbTradesBinance[[#This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Row],[Tipo]]="DROP"),AX212+TbTradesBinance[[#This Row],[Qtt]],AX212-TbTradesBinance[[#This Row],[Qtt]]),IF(TbTradesBinance[[#This Row],[Tipo]]="BUY",AX212-TbTradesBinance[[#This Row],[Qtt]]*TbTradesBinance[[#This Row],[Preço]],AX212+TbTradesBinance[[#This Row],[Qtt]]*TbTradesBinance[[#This Row],[Preço]])),AX212)-IF(TbTradesBinance[[#This Row],[Moeda da Taxa]]=MID(AX$1,9,5),TbTradesBinance[[#This Row],[Taxa]],0),8)))</f>
        <v>0.32838000000000001</v>
      </c>
      <c r="AY213" s="145" cm="1">
        <f t="array" ref="AY213">IF(TbTradesBinance[[#This Row],[Tipo]]="EMPTY",0,AY212+IF(TbTradesBinance[[#This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Row],[Par]]))),$1:$1,0)),-(AX212-AX213)/AX212*AY212),0),0)+IF(TbTradesBinance[[#This Row],[Tipo]]="SELL",IF(ISNUMBER(FIND(MID(AY$1,10,5),TbTradesBinance[[#This Row],[Par]])),IF(FIND(MID(AY$1,10,5),TbTradesBinance[[#This Row],[Par]])=1, -(AX212-AX213)/AX212*AY212,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Row],[Par]])),(-(AX212-AX213)/AX212*AY212)+IF(TbTradesBinance[[#This Row],[Resultado]]&gt;0,0,TbTradesBinance[[#This Row],[Taxa]]),0),0))</f>
        <v>61.364116058805678</v>
      </c>
      <c r="AZ213" s="145">
        <f t="shared" si="88"/>
        <v>186.869224857804</v>
      </c>
      <c r="BA21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Row],[Tipo]]="DROP"),BA212+TbTradesBinance[[#This Row],[Qtt]],BA212-TbTradesBinance[[#This Row],[Qtt]]),IF(TbTradesBinance[[#This Row],[Tipo]]="BUY",BA212-TbTradesBinance[[#This Row],[Qtt]]*TbTradesBinance[[#This Row],[Preço]],BA212+TbTradesBinance[[#This Row],[Qtt]]*TbTradesBinance[[#This Row],[Preço]])),BA212)-IF(TbTradesBinance[[#This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Row],[Tipo]]="DROP"),BA212+TbTradesBinance[[#This Row],[Qtt]],BA212-TbTradesBinance[[#This Row],[Qtt]]),IF(TbTradesBinance[[#This Row],[Tipo]]="BUY",BA212-TbTradesBinance[[#This Row],[Qtt]]*TbTradesBinance[[#This Row],[Preço]],BA212+TbTradesBinance[[#This Row],[Qtt]]*TbTradesBinance[[#This Row],[Preço]])),BA212)-IF(TbTradesBinance[[#This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Row],[Tipo]]="DROP"),BA212+TbTradesBinance[[#This Row],[Qtt]],BA212-TbTradesBinance[[#This Row],[Qtt]]),IF(TbTradesBinance[[#This Row],[Tipo]]="BUY",BA212-TbTradesBinance[[#This Row],[Qtt]]*TbTradesBinance[[#This Row],[Preço]],BA212+TbTradesBinance[[#This Row],[Qtt]]*TbTradesBinance[[#This Row],[Preço]])),BA212)-IF(TbTradesBinance[[#This Row],[Moeda da Taxa]]=MID(BA$1,9,5),TbTradesBinance[[#This Row],[Taxa]],0),8)))</f>
        <v>0</v>
      </c>
      <c r="BB213" s="145" cm="1">
        <f t="array" ref="BB213">IF(TbTradesBinance[[#This Row],[Tipo]]="EMPTY",0,BB212+IF(TbTradesBinance[[#This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Row],[Par]]))),$1:$1,0)),-(BA212-BA213)/BA212*BB212),0),0)+IF(TbTradesBinance[[#This Row],[Tipo]]="SELL",IF(ISNUMBER(FIND(MID(BB$1,10,5),TbTradesBinance[[#This Row],[Par]])),IF(FIND(MID(BB$1,10,5),TbTradesBinance[[#This Row],[Par]])=1, -(BA212-BA213)/BA212*BB212,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Row],[Par]])),(-(BA212-BA213)/BA212*BB212)+IF(TbTradesBinance[[#This Row],[Resultado]]&gt;0,0,TbTradesBinance[[#This Row],[Taxa]]),0),0))</f>
        <v>0</v>
      </c>
      <c r="BC213" s="145">
        <f t="shared" si="89"/>
        <v>0</v>
      </c>
      <c r="BD21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Row],[Tipo]]="DROP"),BD212+TbTradesBinance[[#This Row],[Qtt]],BD212-TbTradesBinance[[#This Row],[Qtt]]),IF(TbTradesBinance[[#This Row],[Tipo]]="BUY",BD212-TbTradesBinance[[#This Row],[Qtt]]*TbTradesBinance[[#This Row],[Preço]],BD212+TbTradesBinance[[#This Row],[Qtt]]*TbTradesBinance[[#This Row],[Preço]])),BD212)-IF(TbTradesBinance[[#This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Row],[Tipo]]="DROP"),BD212+TbTradesBinance[[#This Row],[Qtt]],BD212-TbTradesBinance[[#This Row],[Qtt]]),IF(TbTradesBinance[[#This Row],[Tipo]]="BUY",BD212-TbTradesBinance[[#This Row],[Qtt]]*TbTradesBinance[[#This Row],[Preço]],BD212+TbTradesBinance[[#This Row],[Qtt]]*TbTradesBinance[[#This Row],[Preço]])),BD212)-IF(TbTradesBinance[[#This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Row],[Tipo]]="DROP"),BD212+TbTradesBinance[[#This Row],[Qtt]],BD212-TbTradesBinance[[#This Row],[Qtt]]),IF(TbTradesBinance[[#This Row],[Tipo]]="BUY",BD212-TbTradesBinance[[#This Row],[Qtt]]*TbTradesBinance[[#This Row],[Preço]],BD212+TbTradesBinance[[#This Row],[Qtt]]*TbTradesBinance[[#This Row],[Preço]])),BD212)-IF(TbTradesBinance[[#This Row],[Moeda da Taxa]]=MID(BD$1,9,5),TbTradesBinance[[#This Row],[Taxa]],0),8)))</f>
        <v>0</v>
      </c>
      <c r="BE213" s="145" cm="1">
        <f t="array" ref="BE213">IF(TbTradesBinance[[#This Row],[Tipo]]="EMPTY",0,BE212+IF(TbTradesBinance[[#This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Row],[Par]]))),$1:$1,0)),-(BD212-BD213)/BD212*BE212),0),0)+IF(TbTradesBinance[[#This Row],[Tipo]]="SELL",IF(ISNUMBER(FIND(MID(BE$1,10,5),TbTradesBinance[[#This Row],[Par]])),IF(FIND(MID(BE$1,10,5),TbTradesBinance[[#This Row],[Par]])=1, -(BD212-BD213)/BD212*BE212,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Row],[Par]])),(-(BD212-BD213)/BD212*BE212)+IF(TbTradesBinance[[#This Row],[Resultado]]&gt;0,0,TbTradesBinance[[#This Row],[Taxa]]),0),0))</f>
        <v>0</v>
      </c>
      <c r="BF213" s="145">
        <f t="shared" si="90"/>
        <v>0</v>
      </c>
      <c r="BG21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Row],[Tipo]]="DROP"),BG212+TbTradesBinance[[#This Row],[Qtt]],BG212-TbTradesBinance[[#This Row],[Qtt]]),IF(TbTradesBinance[[#This Row],[Tipo]]="BUY",BG212-TbTradesBinance[[#This Row],[Qtt]]*TbTradesBinance[[#This Row],[Preço]],BG212+TbTradesBinance[[#This Row],[Qtt]]*TbTradesBinance[[#This Row],[Preço]])),BG212)-IF(TbTradesBinance[[#This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Row],[Tipo]]="DROP"),BG212+TbTradesBinance[[#This Row],[Qtt]],BG212-TbTradesBinance[[#This Row],[Qtt]]),IF(TbTradesBinance[[#This Row],[Tipo]]="BUY",BG212-TbTradesBinance[[#This Row],[Qtt]]*TbTradesBinance[[#This Row],[Preço]],BG212+TbTradesBinance[[#This Row],[Qtt]]*TbTradesBinance[[#This Row],[Preço]])),BG212)-IF(TbTradesBinance[[#This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Row],[Tipo]]="DROP"),BG212+TbTradesBinance[[#This Row],[Qtt]],BG212-TbTradesBinance[[#This Row],[Qtt]]),IF(TbTradesBinance[[#This Row],[Tipo]]="BUY",BG212-TbTradesBinance[[#This Row],[Qtt]]*TbTradesBinance[[#This Row],[Preço]],BG212+TbTradesBinance[[#This Row],[Qtt]]*TbTradesBinance[[#This Row],[Preço]])),BG212)-IF(TbTradesBinance[[#This Row],[Moeda da Taxa]]=MID(BG$1,9,5),TbTradesBinance[[#This Row],[Taxa]],0),8)))</f>
        <v>0</v>
      </c>
      <c r="BH213" s="145" cm="1">
        <f t="array" ref="BH213">IF(TbTradesBinance[[#This Row],[Tipo]]="EMPTY",0,BH212+IF(TbTradesBinance[[#This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Row],[Par]]))),$1:$1,0)),-(BG212-BG213)/BG212*BH212),0),0)+IF(TbTradesBinance[[#This Row],[Tipo]]="SELL",IF(ISNUMBER(FIND(MID(BH$1,10,5),TbTradesBinance[[#This Row],[Par]])),IF(FIND(MID(BH$1,10,5),TbTradesBinance[[#This Row],[Par]])=1, -(BG212-BG213)/BG212*BH212,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Row],[Par]])),(-(BG212-BG213)/BG212*BH212)+IF(TbTradesBinance[[#This Row],[Resultado]]&gt;0,0,TbTradesBinance[[#This Row],[Taxa]]),0),0))</f>
        <v>0</v>
      </c>
      <c r="BI213" s="145">
        <f t="shared" si="91"/>
        <v>0</v>
      </c>
      <c r="BJ21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Row],[Tipo]]="DROP"),BJ212+TbTradesBinance[[#This Row],[Qtt]],BJ212-TbTradesBinance[[#This Row],[Qtt]]),IF(TbTradesBinance[[#This Row],[Tipo]]="BUY",BJ212-TbTradesBinance[[#This Row],[Qtt]]*TbTradesBinance[[#This Row],[Preço]],BJ212+TbTradesBinance[[#This Row],[Qtt]]*TbTradesBinance[[#This Row],[Preço]])),BJ212)-IF(TbTradesBinance[[#This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Row],[Tipo]]="DROP"),BJ212+TbTradesBinance[[#This Row],[Qtt]],BJ212-TbTradesBinance[[#This Row],[Qtt]]),IF(TbTradesBinance[[#This Row],[Tipo]]="BUY",BJ212-TbTradesBinance[[#This Row],[Qtt]]*TbTradesBinance[[#This Row],[Preço]],BJ212+TbTradesBinance[[#This Row],[Qtt]]*TbTradesBinance[[#This Row],[Preço]])),BJ212)-IF(TbTradesBinance[[#This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Row],[Tipo]]="DROP"),BJ212+TbTradesBinance[[#This Row],[Qtt]],BJ212-TbTradesBinance[[#This Row],[Qtt]]),IF(TbTradesBinance[[#This Row],[Tipo]]="BUY",BJ212-TbTradesBinance[[#This Row],[Qtt]]*TbTradesBinance[[#This Row],[Preço]],BJ212+TbTradesBinance[[#This Row],[Qtt]]*TbTradesBinance[[#This Row],[Preço]])),BJ212)-IF(TbTradesBinance[[#This Row],[Moeda da Taxa]]=MID(BJ$1,9,5),TbTradesBinance[[#This Row],[Taxa]],0),8)))</f>
        <v>0</v>
      </c>
      <c r="BK213" s="145" cm="1">
        <f t="array" ref="BK213">IF(TbTradesBinance[[#This Row],[Tipo]]="EMPTY",0,BK212+IF(TbTradesBinance[[#This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Row],[Par]]))),$1:$1,0)),-(BJ212-BJ213)/BJ212*BK212),0),0)+IF(TbTradesBinance[[#This Row],[Tipo]]="SELL",IF(ISNUMBER(FIND(MID(BK$1,10,5),TbTradesBinance[[#This Row],[Par]])),IF(FIND(MID(BK$1,10,5),TbTradesBinance[[#This Row],[Par]])=1, -(BJ212-BJ213)/BJ212*BK212,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Row],[Par]])),(-(BJ212-BJ213)/BJ212*BK212)+IF(TbTradesBinance[[#This Row],[Resultado]]&gt;0,0,TbTradesBinance[[#This Row],[Taxa]]),0),0))</f>
        <v>0</v>
      </c>
      <c r="BL213" s="145">
        <f t="shared" si="92"/>
        <v>0</v>
      </c>
      <c r="BM21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Row],[Tipo]]="DROP"),BM212+TbTradesBinance[[#This Row],[Qtt]],BM212-TbTradesBinance[[#This Row],[Qtt]]),IF(TbTradesBinance[[#This Row],[Tipo]]="BUY",BM212-TbTradesBinance[[#This Row],[Qtt]]*TbTradesBinance[[#This Row],[Preço]],BM212+TbTradesBinance[[#This Row],[Qtt]]*TbTradesBinance[[#This Row],[Preço]])),BM212)-IF(TbTradesBinance[[#This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Row],[Tipo]]="DROP"),BM212+TbTradesBinance[[#This Row],[Qtt]],BM212-TbTradesBinance[[#This Row],[Qtt]]),IF(TbTradesBinance[[#This Row],[Tipo]]="BUY",BM212-TbTradesBinance[[#This Row],[Qtt]]*TbTradesBinance[[#This Row],[Preço]],BM212+TbTradesBinance[[#This Row],[Qtt]]*TbTradesBinance[[#This Row],[Preço]])),BM212)-IF(TbTradesBinance[[#This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Row],[Tipo]]="DROP"),BM212+TbTradesBinance[[#This Row],[Qtt]],BM212-TbTradesBinance[[#This Row],[Qtt]]),IF(TbTradesBinance[[#This Row],[Tipo]]="BUY",BM212-TbTradesBinance[[#This Row],[Qtt]]*TbTradesBinance[[#This Row],[Preço]],BM212+TbTradesBinance[[#This Row],[Qtt]]*TbTradesBinance[[#This Row],[Preço]])),BM212)-IF(TbTradesBinance[[#This Row],[Moeda da Taxa]]=MID(BM$1,9,5),TbTradesBinance[[#This Row],[Taxa]],0),8)))</f>
        <v>0</v>
      </c>
      <c r="BN213" s="145" cm="1">
        <f t="array" ref="BN213">IF(TbTradesBinance[[#This Row],[Tipo]]="EMPTY",0,BN212+IF(TbTradesBinance[[#This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Row],[Par]]))),$1:$1,0)),-(BM212-BM213)/BM212*BN212),0),0)+IF(TbTradesBinance[[#This Row],[Tipo]]="SELL",IF(ISNUMBER(FIND(MID(BN$1,10,5),TbTradesBinance[[#This Row],[Par]])),IF(FIND(MID(BN$1,10,5),TbTradesBinance[[#This Row],[Par]])=1, -(BM212-BM213)/BM212*BN212,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Row],[Par]])),(-(BM212-BM213)/BM212*BN212)+IF(TbTradesBinance[[#This Row],[Resultado]]&gt;0,0,TbTradesBinance[[#This Row],[Taxa]]),0),0))</f>
        <v>0</v>
      </c>
      <c r="BO213" s="145">
        <f t="shared" si="93"/>
        <v>0</v>
      </c>
    </row>
    <row r="214" spans="2:67" x14ac:dyDescent="0.3">
      <c r="B214" s="51"/>
      <c r="C214" s="40">
        <f>TRUNC(IF(AND(TbTradesBinance[[#This Row],[Tipo]]="SEND",TbTradesBinance[[#This Row],[Par]]="BRL"),TbTradesBinance[[#This Row],[Qtt]]*(1-P212)-IF(TbTradesBinance[[#This Row],[Moeda da Taxa]]="BRL",TbTradesBinance[[#This Row],[Taxa]],0),0)+IF(AND(TbTradesBinance[[#This Row],[Tipo]]="BURN",TbTradesBinance[[#This Row],[Par]]="BRL"),-TbTradesBinance[[#This Row],[Qtt]]*P212,0),2)</f>
        <v>0</v>
      </c>
      <c r="D214" s="53">
        <v>44385.070347222223</v>
      </c>
      <c r="E214" s="37" t="s">
        <v>249</v>
      </c>
      <c r="F214" s="47" t="s">
        <v>139</v>
      </c>
      <c r="G214" s="38">
        <v>32562.02</v>
      </c>
      <c r="H214" s="38">
        <v>3.2400000000000001E-4</v>
      </c>
      <c r="I214" s="38">
        <v>2.495E-5</v>
      </c>
      <c r="J214" s="37" t="s">
        <v>45</v>
      </c>
      <c r="K214" s="52">
        <v>5.2869999999999999</v>
      </c>
      <c r="L214" s="40">
        <f t="shared" ref="L214:L227" si="94">TRUNC(K214*G214,2)</f>
        <v>172155.39</v>
      </c>
      <c r="M214" s="40">
        <f>IF(OR(TbTradesBinance[[#This Row],[Tipo]]="BUY",TbTradesBinance[[#This Row],[Tipo]]="RECEIVE",TbTradesBinance[[#This Row],[Tipo]]="DROP"),L214*H214,-L214*H214)</f>
        <v>55.778346360000008</v>
      </c>
      <c r="N21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Row],[Tipo]]="DROP"),N213+TbTradesBinance[[#This Row],[Qtt]],N213-TbTradesBinance[[#This Row],[Qtt]]),IF(TbTradesBinance[[#This Row],[Tipo]]="BUY",N213-TbTradesBinance[[#This Row],[Qtt]]*TbTradesBinance[[#This Row],[Preço]],N213+TbTradesBinance[[#This Row],[Qtt]]*TbTradesBinance[[#This Row],[Preço]])),N213)-IF(TbTradesBinance[[#This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Row],[Tipo]]="DROP"),N213+TbTradesBinance[[#This Row],[Qtt]],N213-TbTradesBinance[[#This Row],[Qtt]]),IF(TbTradesBinance[[#This Row],[Tipo]]="BUY",N213-TbTradesBinance[[#This Row],[Qtt]]*TbTradesBinance[[#This Row],[Preço]],N213+TbTradesBinance[[#This Row],[Qtt]]*TbTradesBinance[[#This Row],[Preço]])),N213)-IF(TbTradesBinance[[#This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Row],[Tipo]]="DROP"),N213+TbTradesBinance[[#This Row],[Qtt]],N213-TbTradesBinance[[#This Row],[Qtt]]),IF(TbTradesBinance[[#This Row],[Tipo]]="BUY",N213-TbTradesBinance[[#This Row],[Qtt]]*TbTradesBinance[[#This Row],[Preço]],N213+TbTradesBinance[[#This Row],[Qtt]]*TbTradesBinance[[#This Row],[Preço]])),N213)-IF(TbTradesBinance[[#This Row],[Moeda da Taxa]]=MID(N$1,9,5),TbTradesBinance[[#This Row],[Taxa]],0),8)))</f>
        <v>119745.44911781</v>
      </c>
      <c r="O214" s="145" cm="1">
        <f t="array" ref="O214">IF(TbTradesBinance[[#This Row],[Tipo]]="EMPTY",0,O213+IF(TbTradesBinance[[#This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Row],[Par]]))),$1:$1,0)),-(N213-N214)/N213*O213),0),0)+IF(TbTradesBinance[[#This Row],[Tipo]]="SELL",IF(ISNUMBER(FIND(MID(O$1,10,5),TbTradesBinance[[#This Row],[Par]])),IF(FIND(MID(O$1,10,5),TbTradesBinance[[#This Row],[Par]])=1, -(N213-N214)/N213*O213,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Row],[Par]])),(-(N213-N214)/N213*O213)+IF(TbTradesBinance[[#This Row],[Resultado]]&gt;0,0,TbTradesBinance[[#This Row],[Taxa]]),0),0))</f>
        <v>120404.99677150718</v>
      </c>
      <c r="P214" s="145">
        <f t="shared" si="76"/>
        <v>1.0055079141508609</v>
      </c>
      <c r="Q21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Row],[Tipo]]="DROP"),Q213+TbTradesBinance[[#This Row],[Qtt]],Q213-TbTradesBinance[[#This Row],[Qtt]]),IF(TbTradesBinance[[#This Row],[Tipo]]="BUY",Q213-TbTradesBinance[[#This Row],[Qtt]]*TbTradesBinance[[#This Row],[Preço]],Q213+TbTradesBinance[[#This Row],[Qtt]]*TbTradesBinance[[#This Row],[Preço]])),Q213)-IF(TbTradesBinance[[#This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Row],[Tipo]]="DROP"),Q213+TbTradesBinance[[#This Row],[Qtt]],Q213-TbTradesBinance[[#This Row],[Qtt]]),IF(TbTradesBinance[[#This Row],[Tipo]]="BUY",Q213-TbTradesBinance[[#This Row],[Qtt]]*TbTradesBinance[[#This Row],[Preço]],Q213+TbTradesBinance[[#This Row],[Qtt]]*TbTradesBinance[[#This Row],[Preço]])),Q213)-IF(TbTradesBinance[[#This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Row],[Tipo]]="DROP"),Q213+TbTradesBinance[[#This Row],[Qtt]],Q213-TbTradesBinance[[#This Row],[Qtt]]),IF(TbTradesBinance[[#This Row],[Tipo]]="BUY",Q213-TbTradesBinance[[#This Row],[Qtt]]*TbTradesBinance[[#This Row],[Preço]],Q213+TbTradesBinance[[#This Row],[Qtt]]*TbTradesBinance[[#This Row],[Preço]])),Q213)-IF(TbTradesBinance[[#This Row],[Moeda da Taxa]]=MID(Q$1,9,5),TbTradesBinance[[#This Row],[Taxa]],0),8)))</f>
        <v>22.079490060000001</v>
      </c>
      <c r="R214" s="145" cm="1">
        <f t="array" ref="R214">IF(TbTradesBinance[[#This Row],[Tipo]]="EMPTY",0,R213+IF(TbTradesBinance[[#This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Row],[Par]]))),$1:$1,0)),-(Q213-Q214)/Q213*R213),0),0)+IF(TbTradesBinance[[#This Row],[Tipo]]="SELL",IF(ISNUMBER(FIND(MID(R$1,10,5),TbTradesBinance[[#This Row],[Par]])),IF(FIND(MID(R$1,10,5),TbTradesBinance[[#This Row],[Par]])=1, -(Q213-Q214)/Q213*R213,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Row],[Par]])),(-(Q213-Q214)/Q213*R213)+IF(TbTradesBinance[[#This Row],[Resultado]]&gt;0,0,TbTradesBinance[[#This Row],[Taxa]]),0),0))</f>
        <v>123.50513597605224</v>
      </c>
      <c r="S214" s="145">
        <f t="shared" si="77"/>
        <v>5.5936588952205284</v>
      </c>
      <c r="T21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Row],[Tipo]]="DROP"),T213+TbTradesBinance[[#This Row],[Qtt]],T213-TbTradesBinance[[#This Row],[Qtt]]),IF(TbTradesBinance[[#This Row],[Tipo]]="BUY",T213-TbTradesBinance[[#This Row],[Qtt]]*TbTradesBinance[[#This Row],[Preço]],T213+TbTradesBinance[[#This Row],[Qtt]]*TbTradesBinance[[#This Row],[Preço]])),T213)-IF(TbTradesBinance[[#This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Row],[Tipo]]="DROP"),T213+TbTradesBinance[[#This Row],[Qtt]],T213-TbTradesBinance[[#This Row],[Qtt]]),IF(TbTradesBinance[[#This Row],[Tipo]]="BUY",T213-TbTradesBinance[[#This Row],[Qtt]]*TbTradesBinance[[#This Row],[Preço]],T213+TbTradesBinance[[#This Row],[Qtt]]*TbTradesBinance[[#This Row],[Preço]])),T213)-IF(TbTradesBinance[[#This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Row],[Tipo]]="DROP"),T213+TbTradesBinance[[#This Row],[Qtt]],T213-TbTradesBinance[[#This Row],[Qtt]]),IF(TbTradesBinance[[#This Row],[Tipo]]="BUY",T213-TbTradesBinance[[#This Row],[Qtt]]*TbTradesBinance[[#This Row],[Preço]],T213+TbTradesBinance[[#This Row],[Qtt]]*TbTradesBinance[[#This Row],[Preço]])),T213)-IF(TbTradesBinance[[#This Row],[Moeda da Taxa]]=MID(T$1,9,5),TbTradesBinance[[#This Row],[Taxa]],0),8)))</f>
        <v>101223913.720009</v>
      </c>
      <c r="U214" s="145" cm="1">
        <f t="array" ref="U214">IF(TbTradesBinance[[#This Row],[Tipo]]="EMPTY",0,U213+IF(TbTradesBinance[[#This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Row],[Par]]))),$1:$1,0)),-(T213-T214)/T213*U213),0),0)+IF(TbTradesBinance[[#This Row],[Tipo]]="SELL",IF(ISNUMBER(FIND(MID(U$1,10,5),TbTradesBinance[[#This Row],[Par]])),IF(FIND(MID(U$1,10,5),TbTradesBinance[[#This Row],[Par]])=1, -(T213-T214)/T213*U213,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Row],[Par]])),(-(T213-T214)/T213*U213)+IF(TbTradesBinance[[#This Row],[Resultado]]&gt;0,0,TbTradesBinance[[#This Row],[Taxa]]),0),0))</f>
        <v>617586601.27364206</v>
      </c>
      <c r="V214" s="145">
        <f t="shared" si="78"/>
        <v>6.1011926784605572</v>
      </c>
      <c r="W21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Row],[Tipo]]="DROP"),W213+TbTradesBinance[[#This Row],[Qtt]],W213-TbTradesBinance[[#This Row],[Qtt]]),IF(TbTradesBinance[[#This Row],[Tipo]]="BUY",W213-TbTradesBinance[[#This Row],[Qtt]]*TbTradesBinance[[#This Row],[Preço]],W213+TbTradesBinance[[#This Row],[Qtt]]*TbTradesBinance[[#This Row],[Preço]])),W213)-IF(TbTradesBinance[[#This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Row],[Tipo]]="DROP"),W213+TbTradesBinance[[#This Row],[Qtt]],W213-TbTradesBinance[[#This Row],[Qtt]]),IF(TbTradesBinance[[#This Row],[Tipo]]="BUY",W213-TbTradesBinance[[#This Row],[Qtt]]*TbTradesBinance[[#This Row],[Preço]],W213+TbTradesBinance[[#This Row],[Qtt]]*TbTradesBinance[[#This Row],[Preço]])),W213)-IF(TbTradesBinance[[#This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Row],[Tipo]]="DROP"),W213+TbTradesBinance[[#This Row],[Qtt]],W213-TbTradesBinance[[#This Row],[Qtt]]),IF(TbTradesBinance[[#This Row],[Tipo]]="BUY",W213-TbTradesBinance[[#This Row],[Qtt]]*TbTradesBinance[[#This Row],[Preço]],W213+TbTradesBinance[[#This Row],[Qtt]]*TbTradesBinance[[#This Row],[Preço]])),W213)-IF(TbTradesBinance[[#This Row],[Moeda da Taxa]]=MID(W$1,9,5),TbTradesBinance[[#This Row],[Taxa]],0),8)))</f>
        <v>1.4114989999999999E-2</v>
      </c>
      <c r="X214" s="145" cm="1">
        <f t="array" ref="X214">IF(TbTradesBinance[[#This Row],[Tipo]]="EMPTY",0,X213+IF(TbTradesBinance[[#This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Row],[Par]]))),$1:$1,0)),-(W213-W214)/W213*X213),0),0)+IF(TbTradesBinance[[#This Row],[Tipo]]="SELL",IF(ISNUMBER(FIND(MID(X$1,10,5),TbTradesBinance[[#This Row],[Par]])),IF(FIND(MID(X$1,10,5),TbTradesBinance[[#This Row],[Par]])=1, -(W213-W214)/W213*X213,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Row],[Par]])),(-(W213-W214)/W213*X213)+IF(TbTradesBinance[[#This Row],[Resultado]]&gt;0,0,TbTradesBinance[[#This Row],[Taxa]]),0),0))</f>
        <v>2459.9745857158214</v>
      </c>
      <c r="Y214" s="145">
        <f t="shared" si="79"/>
        <v>174281.00095825936</v>
      </c>
      <c r="Z21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Row],[Tipo]]="DROP"),Z213+TbTradesBinance[[#This Row],[Qtt]],Z213-TbTradesBinance[[#This Row],[Qtt]]),IF(TbTradesBinance[[#This Row],[Tipo]]="BUY",Z213-TbTradesBinance[[#This Row],[Qtt]]*TbTradesBinance[[#This Row],[Preço]],Z213+TbTradesBinance[[#This Row],[Qtt]]*TbTradesBinance[[#This Row],[Preço]])),Z213)-IF(TbTradesBinance[[#This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Row],[Tipo]]="DROP"),Z213+TbTradesBinance[[#This Row],[Qtt]],Z213-TbTradesBinance[[#This Row],[Qtt]]),IF(TbTradesBinance[[#This Row],[Tipo]]="BUY",Z213-TbTradesBinance[[#This Row],[Qtt]]*TbTradesBinance[[#This Row],[Preço]],Z213+TbTradesBinance[[#This Row],[Qtt]]*TbTradesBinance[[#This Row],[Preço]])),Z213)-IF(TbTradesBinance[[#This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Row],[Tipo]]="DROP"),Z213+TbTradesBinance[[#This Row],[Qtt]],Z213-TbTradesBinance[[#This Row],[Qtt]]),IF(TbTradesBinance[[#This Row],[Tipo]]="BUY",Z213-TbTradesBinance[[#This Row],[Qtt]]*TbTradesBinance[[#This Row],[Preço]],Z213+TbTradesBinance[[#This Row],[Qtt]]*TbTradesBinance[[#This Row],[Preço]])),Z213)-IF(TbTradesBinance[[#This Row],[Moeda da Taxa]]=MID(Z$1,9,5),TbTradesBinance[[#This Row],[Taxa]],0),8)))</f>
        <v>0</v>
      </c>
      <c r="AA214" s="145" cm="1">
        <f t="array" ref="AA214">IF(TbTradesBinance[[#This Row],[Tipo]]="EMPTY",0,AA213+IF(TbTradesBinance[[#This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Row],[Par]]))),$1:$1,0)),-(Z213-Z214)/Z213*AA213),0),0)+IF(TbTradesBinance[[#This Row],[Tipo]]="SELL",IF(ISNUMBER(FIND(MID(AA$1,10,5),TbTradesBinance[[#This Row],[Par]])),IF(FIND(MID(AA$1,10,5),TbTradesBinance[[#This Row],[Par]])=1, -(Z213-Z214)/Z213*AA213,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Row],[Par]])),(-(Z213-Z214)/Z213*AA213)+IF(TbTradesBinance[[#This Row],[Resultado]]&gt;0,0,TbTradesBinance[[#This Row],[Taxa]]),0),0))</f>
        <v>0</v>
      </c>
      <c r="AB214" s="145">
        <f t="shared" si="80"/>
        <v>0</v>
      </c>
      <c r="AC21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Row],[Tipo]]="DROP"),AC213+TbTradesBinance[[#This Row],[Qtt]],AC213-TbTradesBinance[[#This Row],[Qtt]]),IF(TbTradesBinance[[#This Row],[Tipo]]="BUY",AC213-TbTradesBinance[[#This Row],[Qtt]]*TbTradesBinance[[#This Row],[Preço]],AC213+TbTradesBinance[[#This Row],[Qtt]]*TbTradesBinance[[#This Row],[Preço]])),AC213)-IF(TbTradesBinance[[#This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Row],[Tipo]]="DROP"),AC213+TbTradesBinance[[#This Row],[Qtt]],AC213-TbTradesBinance[[#This Row],[Qtt]]),IF(TbTradesBinance[[#This Row],[Tipo]]="BUY",AC213-TbTradesBinance[[#This Row],[Qtt]]*TbTradesBinance[[#This Row],[Preço]],AC213+TbTradesBinance[[#This Row],[Qtt]]*TbTradesBinance[[#This Row],[Preço]])),AC213)-IF(TbTradesBinance[[#This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Row],[Tipo]]="DROP"),AC213+TbTradesBinance[[#This Row],[Qtt]],AC213-TbTradesBinance[[#This Row],[Qtt]]),IF(TbTradesBinance[[#This Row],[Tipo]]="BUY",AC213-TbTradesBinance[[#This Row],[Qtt]]*TbTradesBinance[[#This Row],[Preço]],AC213+TbTradesBinance[[#This Row],[Qtt]]*TbTradesBinance[[#This Row],[Preço]])),AC213)-IF(TbTradesBinance[[#This Row],[Moeda da Taxa]]=MID(AC$1,9,5),TbTradesBinance[[#This Row],[Taxa]],0),8)))</f>
        <v>0</v>
      </c>
      <c r="AD214" s="145" cm="1">
        <f t="array" ref="AD214">IF(TbTradesBinance[[#This Row],[Tipo]]="EMPTY",0,AD213+IF(TbTradesBinance[[#This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Row],[Par]]))),$1:$1,0)),-(AC213-AC214)/AC213*AD213),0),0)+IF(TbTradesBinance[[#This Row],[Tipo]]="SELL",IF(ISNUMBER(FIND(MID(AD$1,10,5),TbTradesBinance[[#This Row],[Par]])),IF(FIND(MID(AD$1,10,5),TbTradesBinance[[#This Row],[Par]])=1, -(AC213-AC214)/AC213*AD213,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Row],[Par]])),(-(AC213-AC214)/AC213*AD213)+IF(TbTradesBinance[[#This Row],[Resultado]]&gt;0,0,TbTradesBinance[[#This Row],[Taxa]]),0),0))</f>
        <v>0</v>
      </c>
      <c r="AE214" s="145">
        <f t="shared" si="81"/>
        <v>0</v>
      </c>
      <c r="AF21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Row],[Tipo]]="DROP"),AF213+TbTradesBinance[[#This Row],[Qtt]],AF213-TbTradesBinance[[#This Row],[Qtt]]),IF(TbTradesBinance[[#This Row],[Tipo]]="BUY",AF213-TbTradesBinance[[#This Row],[Qtt]]*TbTradesBinance[[#This Row],[Preço]],AF213+TbTradesBinance[[#This Row],[Qtt]]*TbTradesBinance[[#This Row],[Preço]])),AF213)-IF(TbTradesBinance[[#This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Row],[Tipo]]="DROP"),AF213+TbTradesBinance[[#This Row],[Qtt]],AF213-TbTradesBinance[[#This Row],[Qtt]]),IF(TbTradesBinance[[#This Row],[Tipo]]="BUY",AF213-TbTradesBinance[[#This Row],[Qtt]]*TbTradesBinance[[#This Row],[Preço]],AF213+TbTradesBinance[[#This Row],[Qtt]]*TbTradesBinance[[#This Row],[Preço]])),AF213)-IF(TbTradesBinance[[#This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Row],[Tipo]]="DROP"),AF213+TbTradesBinance[[#This Row],[Qtt]],AF213-TbTradesBinance[[#This Row],[Qtt]]),IF(TbTradesBinance[[#This Row],[Tipo]]="BUY",AF213-TbTradesBinance[[#This Row],[Qtt]]*TbTradesBinance[[#This Row],[Preço]],AF213+TbTradesBinance[[#This Row],[Qtt]]*TbTradesBinance[[#This Row],[Preço]])),AF213)-IF(TbTradesBinance[[#This Row],[Moeda da Taxa]]=MID(AF$1,9,5),TbTradesBinance[[#This Row],[Taxa]],0),8)))</f>
        <v>0</v>
      </c>
      <c r="AG214" s="145" cm="1">
        <f t="array" ref="AG214">IF(TbTradesBinance[[#This Row],[Tipo]]="EMPTY",0,AG213+IF(TbTradesBinance[[#This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Row],[Par]]))),$1:$1,0)),-(AF213-AF214)/AF213*AG213),0),0)+IF(TbTradesBinance[[#This Row],[Tipo]]="SELL",IF(ISNUMBER(FIND(MID(AG$1,10,5),TbTradesBinance[[#This Row],[Par]])),IF(FIND(MID(AG$1,10,5),TbTradesBinance[[#This Row],[Par]])=1, -(AF213-AF214)/AF213*AG213,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Row],[Par]])),(-(AF213-AF214)/AF213*AG213)+IF(TbTradesBinance[[#This Row],[Resultado]]&gt;0,0,TbTradesBinance[[#This Row],[Taxa]]),0),0))</f>
        <v>0</v>
      </c>
      <c r="AH214" s="145">
        <f t="shared" si="82"/>
        <v>0</v>
      </c>
      <c r="AI21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Row],[Tipo]]="DROP"),AI213+TbTradesBinance[[#This Row],[Qtt]],AI213-TbTradesBinance[[#This Row],[Qtt]]),IF(TbTradesBinance[[#This Row],[Tipo]]="BUY",AI213-TbTradesBinance[[#This Row],[Qtt]]*TbTradesBinance[[#This Row],[Preço]],AI213+TbTradesBinance[[#This Row],[Qtt]]*TbTradesBinance[[#This Row],[Preço]])),AI213)-IF(TbTradesBinance[[#This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Row],[Tipo]]="DROP"),AI213+TbTradesBinance[[#This Row],[Qtt]],AI213-TbTradesBinance[[#This Row],[Qtt]]),IF(TbTradesBinance[[#This Row],[Tipo]]="BUY",AI213-TbTradesBinance[[#This Row],[Qtt]]*TbTradesBinance[[#This Row],[Preço]],AI213+TbTradesBinance[[#This Row],[Qtt]]*TbTradesBinance[[#This Row],[Preço]])),AI213)-IF(TbTradesBinance[[#This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Row],[Tipo]]="DROP"),AI213+TbTradesBinance[[#This Row],[Qtt]],AI213-TbTradesBinance[[#This Row],[Qtt]]),IF(TbTradesBinance[[#This Row],[Tipo]]="BUY",AI213-TbTradesBinance[[#This Row],[Qtt]]*TbTradesBinance[[#This Row],[Preço]],AI213+TbTradesBinance[[#This Row],[Qtt]]*TbTradesBinance[[#This Row],[Preço]])),AI213)-IF(TbTradesBinance[[#This Row],[Moeda da Taxa]]=MID(AI$1,9,5),TbTradesBinance[[#This Row],[Taxa]],0),8)))</f>
        <v>0</v>
      </c>
      <c r="AJ214" s="145" cm="1">
        <f t="array" ref="AJ214">IF(TbTradesBinance[[#This Row],[Tipo]]="EMPTY",0,AJ213+IF(TbTradesBinance[[#This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Row],[Par]]))),$1:$1,0)),-(AI213-AI214)/AI213*AJ213),0),0)+IF(TbTradesBinance[[#This Row],[Tipo]]="SELL",IF(ISNUMBER(FIND(MID(AJ$1,10,5),TbTradesBinance[[#This Row],[Par]])),IF(FIND(MID(AJ$1,10,5),TbTradesBinance[[#This Row],[Par]])=1, -(AI213-AI214)/AI213*AJ213,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Row],[Par]])),(-(AI213-AI214)/AI213*AJ213)+IF(TbTradesBinance[[#This Row],[Resultado]]&gt;0,0,TbTradesBinance[[#This Row],[Taxa]]),0),0))</f>
        <v>0</v>
      </c>
      <c r="AK214" s="145">
        <f t="shared" si="83"/>
        <v>0</v>
      </c>
      <c r="AL21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Row],[Tipo]]="DROP"),AL213+TbTradesBinance[[#This Row],[Qtt]],AL213-TbTradesBinance[[#This Row],[Qtt]]),IF(TbTradesBinance[[#This Row],[Tipo]]="BUY",AL213-TbTradesBinance[[#This Row],[Qtt]]*TbTradesBinance[[#This Row],[Preço]],AL213+TbTradesBinance[[#This Row],[Qtt]]*TbTradesBinance[[#This Row],[Preço]])),AL213)-IF(TbTradesBinance[[#This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Row],[Tipo]]="DROP"),AL213+TbTradesBinance[[#This Row],[Qtt]],AL213-TbTradesBinance[[#This Row],[Qtt]]),IF(TbTradesBinance[[#This Row],[Tipo]]="BUY",AL213-TbTradesBinance[[#This Row],[Qtt]]*TbTradesBinance[[#This Row],[Preço]],AL213+TbTradesBinance[[#This Row],[Qtt]]*TbTradesBinance[[#This Row],[Preço]])),AL213)-IF(TbTradesBinance[[#This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Row],[Tipo]]="DROP"),AL213+TbTradesBinance[[#This Row],[Qtt]],AL213-TbTradesBinance[[#This Row],[Qtt]]),IF(TbTradesBinance[[#This Row],[Tipo]]="BUY",AL213-TbTradesBinance[[#This Row],[Qtt]]*TbTradesBinance[[#This Row],[Preço]],AL213+TbTradesBinance[[#This Row],[Qtt]]*TbTradesBinance[[#This Row],[Preço]])),AL213)-IF(TbTradesBinance[[#This Row],[Moeda da Taxa]]=MID(AL$1,9,5),TbTradesBinance[[#This Row],[Taxa]],0),8)))</f>
        <v>0</v>
      </c>
      <c r="AM214" s="145" cm="1">
        <f t="array" ref="AM214">IF(TbTradesBinance[[#This Row],[Tipo]]="EMPTY",0,AM213+IF(TbTradesBinance[[#This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Row],[Par]]))),$1:$1,0)),-(AL213-AL214)/AL213*AM213),0),0)+IF(TbTradesBinance[[#This Row],[Tipo]]="SELL",IF(ISNUMBER(FIND(MID(AM$1,10,5),TbTradesBinance[[#This Row],[Par]])),IF(FIND(MID(AM$1,10,5),TbTradesBinance[[#This Row],[Par]])=1, -(AL213-AL214)/AL213*AM213,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Row],[Par]])),(-(AL213-AL214)/AL213*AM213)+IF(TbTradesBinance[[#This Row],[Resultado]]&gt;0,0,TbTradesBinance[[#This Row],[Taxa]]),0),0))</f>
        <v>0</v>
      </c>
      <c r="AN214" s="145">
        <f t="shared" si="84"/>
        <v>0</v>
      </c>
      <c r="AO21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Row],[Tipo]]="DROP"),AO213+TbTradesBinance[[#This Row],[Qtt]],AO213-TbTradesBinance[[#This Row],[Qtt]]),IF(TbTradesBinance[[#This Row],[Tipo]]="BUY",AO213-TbTradesBinance[[#This Row],[Qtt]]*TbTradesBinance[[#This Row],[Preço]],AO213+TbTradesBinance[[#This Row],[Qtt]]*TbTradesBinance[[#This Row],[Preço]])),AO213)-IF(TbTradesBinance[[#This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Row],[Tipo]]="DROP"),AO213+TbTradesBinance[[#This Row],[Qtt]],AO213-TbTradesBinance[[#This Row],[Qtt]]),IF(TbTradesBinance[[#This Row],[Tipo]]="BUY",AO213-TbTradesBinance[[#This Row],[Qtt]]*TbTradesBinance[[#This Row],[Preço]],AO213+TbTradesBinance[[#This Row],[Qtt]]*TbTradesBinance[[#This Row],[Preço]])),AO213)-IF(TbTradesBinance[[#This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Row],[Tipo]]="DROP"),AO213+TbTradesBinance[[#This Row],[Qtt]],AO213-TbTradesBinance[[#This Row],[Qtt]]),IF(TbTradesBinance[[#This Row],[Tipo]]="BUY",AO213-TbTradesBinance[[#This Row],[Qtt]]*TbTradesBinance[[#This Row],[Preço]],AO213+TbTradesBinance[[#This Row],[Qtt]]*TbTradesBinance[[#This Row],[Preço]])),AO213)-IF(TbTradesBinance[[#This Row],[Moeda da Taxa]]=MID(AO$1,9,5),TbTradesBinance[[#This Row],[Taxa]],0),8)))</f>
        <v>6.8186369999999996E-2</v>
      </c>
      <c r="AP214" s="145" cm="1">
        <f t="array" ref="AP214">IF(TbTradesBinance[[#This Row],[Tipo]]="EMPTY",0,AP213+IF(TbTradesBinance[[#This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Row],[Par]]))),$1:$1,0)),-(AO213-AO214)/AO213*AP213),0),0)+IF(TbTradesBinance[[#This Row],[Tipo]]="SELL",IF(ISNUMBER(FIND(MID(AP$1,10,5),TbTradesBinance[[#This Row],[Par]])),IF(FIND(MID(AP$1,10,5),TbTradesBinance[[#This Row],[Par]])=1, -(AO213-AO214)/AO213*AP213,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Row],[Par]])),(-(AO213-AO214)/AO213*AP213)+IF(TbTradesBinance[[#This Row],[Resultado]]&gt;0,0,TbTradesBinance[[#This Row],[Taxa]]),0),0))</f>
        <v>102.0944711963762</v>
      </c>
      <c r="AQ214" s="145">
        <f t="shared" si="85"/>
        <v>1497.2856187589427</v>
      </c>
      <c r="AR21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Row],[Tipo]]="DROP"),AR213+TbTradesBinance[[#This Row],[Qtt]],AR213-TbTradesBinance[[#This Row],[Qtt]]),IF(TbTradesBinance[[#This Row],[Tipo]]="BUY",AR213-TbTradesBinance[[#This Row],[Qtt]]*TbTradesBinance[[#This Row],[Preço]],AR213+TbTradesBinance[[#This Row],[Qtt]]*TbTradesBinance[[#This Row],[Preço]])),AR213)-IF(TbTradesBinance[[#This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Row],[Tipo]]="DROP"),AR213+TbTradesBinance[[#This Row],[Qtt]],AR213-TbTradesBinance[[#This Row],[Qtt]]),IF(TbTradesBinance[[#This Row],[Tipo]]="BUY",AR213-TbTradesBinance[[#This Row],[Qtt]]*TbTradesBinance[[#This Row],[Preço]],AR213+TbTradesBinance[[#This Row],[Qtt]]*TbTradesBinance[[#This Row],[Preço]])),AR213)-IF(TbTradesBinance[[#This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Row],[Tipo]]="DROP"),AR213+TbTradesBinance[[#This Row],[Qtt]],AR213-TbTradesBinance[[#This Row],[Qtt]]),IF(TbTradesBinance[[#This Row],[Tipo]]="BUY",AR213-TbTradesBinance[[#This Row],[Qtt]]*TbTradesBinance[[#This Row],[Preço]],AR213+TbTradesBinance[[#This Row],[Qtt]]*TbTradesBinance[[#This Row],[Preço]])),AR213)-IF(TbTradesBinance[[#This Row],[Moeda da Taxa]]=MID(AR$1,9,5),TbTradesBinance[[#This Row],[Taxa]],0),8)))</f>
        <v>0</v>
      </c>
      <c r="AS214" s="145" cm="1">
        <f t="array" ref="AS214">IF(TbTradesBinance[[#This Row],[Tipo]]="EMPTY",0,AS213+IF(TbTradesBinance[[#This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Row],[Par]]))),$1:$1,0)),-(AR213-AR214)/AR213*AS213),0),0)+IF(TbTradesBinance[[#This Row],[Tipo]]="SELL",IF(ISNUMBER(FIND(MID(AS$1,10,5),TbTradesBinance[[#This Row],[Par]])),IF(FIND(MID(AS$1,10,5),TbTradesBinance[[#This Row],[Par]])=1, -(AR213-AR214)/AR213*AS213,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Row],[Par]])),(-(AR213-AR214)/AR213*AS213)+IF(TbTradesBinance[[#This Row],[Resultado]]&gt;0,0,TbTradesBinance[[#This Row],[Taxa]]),0),0))</f>
        <v>0</v>
      </c>
      <c r="AT214" s="145">
        <f t="shared" si="86"/>
        <v>0</v>
      </c>
      <c r="AU21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Row],[Tipo]]="DROP"),AU213+TbTradesBinance[[#This Row],[Qtt]],AU213-TbTradesBinance[[#This Row],[Qtt]]),IF(TbTradesBinance[[#This Row],[Tipo]]="BUY",AU213-TbTradesBinance[[#This Row],[Qtt]]*TbTradesBinance[[#This Row],[Preço]],AU213+TbTradesBinance[[#This Row],[Qtt]]*TbTradesBinance[[#This Row],[Preço]])),AU213)-IF(TbTradesBinance[[#This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Row],[Tipo]]="DROP"),AU213+TbTradesBinance[[#This Row],[Qtt]],AU213-TbTradesBinance[[#This Row],[Qtt]]),IF(TbTradesBinance[[#This Row],[Tipo]]="BUY",AU213-TbTradesBinance[[#This Row],[Qtt]]*TbTradesBinance[[#This Row],[Preço]],AU213+TbTradesBinance[[#This Row],[Qtt]]*TbTradesBinance[[#This Row],[Preço]])),AU213)-IF(TbTradesBinance[[#This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Row],[Tipo]]="DROP"),AU213+TbTradesBinance[[#This Row],[Qtt]],AU213-TbTradesBinance[[#This Row],[Qtt]]),IF(TbTradesBinance[[#This Row],[Tipo]]="BUY",AU213-TbTradesBinance[[#This Row],[Qtt]]*TbTradesBinance[[#This Row],[Preço]],AU213+TbTradesBinance[[#This Row],[Qtt]]*TbTradesBinance[[#This Row],[Preço]])),AU213)-IF(TbTradesBinance[[#This Row],[Moeda da Taxa]]=MID(AU$1,9,5),TbTradesBinance[[#This Row],[Taxa]],0),8)))</f>
        <v>0.51</v>
      </c>
      <c r="AV214" s="145" cm="1">
        <f t="array" ref="AV214">IF(TbTradesBinance[[#This Row],[Tipo]]="EMPTY",0,AV213+IF(TbTradesBinance[[#This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Row],[Par]]))),$1:$1,0)),-(AU213-AU214)/AU213*AV213),0),0)+IF(TbTradesBinance[[#This Row],[Tipo]]="SELL",IF(ISNUMBER(FIND(MID(AV$1,10,5),TbTradesBinance[[#This Row],[Par]])),IF(FIND(MID(AV$1,10,5),TbTradesBinance[[#This Row],[Par]])=1, -(AU213-AU214)/AU213*AV213,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Row],[Par]])),(-(AU213-AU214)/AU213*AV213)+IF(TbTradesBinance[[#This Row],[Resultado]]&gt;0,0,TbTradesBinance[[#This Row],[Taxa]]),0),0))</f>
        <v>95.466693037374753</v>
      </c>
      <c r="AW214" s="145">
        <f t="shared" si="87"/>
        <v>187.18959419093088</v>
      </c>
      <c r="AX21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Row],[Tipo]]="DROP"),AX213+TbTradesBinance[[#This Row],[Qtt]],AX213-TbTradesBinance[[#This Row],[Qtt]]),IF(TbTradesBinance[[#This Row],[Tipo]]="BUY",AX213-TbTradesBinance[[#This Row],[Qtt]]*TbTradesBinance[[#This Row],[Preço]],AX213+TbTradesBinance[[#This Row],[Qtt]]*TbTradesBinance[[#This Row],[Preço]])),AX213)-IF(TbTradesBinance[[#This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Row],[Tipo]]="DROP"),AX213+TbTradesBinance[[#This Row],[Qtt]],AX213-TbTradesBinance[[#This Row],[Qtt]]),IF(TbTradesBinance[[#This Row],[Tipo]]="BUY",AX213-TbTradesBinance[[#This Row],[Qtt]]*TbTradesBinance[[#This Row],[Preço]],AX213+TbTradesBinance[[#This Row],[Qtt]]*TbTradesBinance[[#This Row],[Preço]])),AX213)-IF(TbTradesBinance[[#This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Row],[Tipo]]="DROP"),AX213+TbTradesBinance[[#This Row],[Qtt]],AX213-TbTradesBinance[[#This Row],[Qtt]]),IF(TbTradesBinance[[#This Row],[Tipo]]="BUY",AX213-TbTradesBinance[[#This Row],[Qtt]]*TbTradesBinance[[#This Row],[Preço]],AX213+TbTradesBinance[[#This Row],[Qtt]]*TbTradesBinance[[#This Row],[Preço]])),AX213)-IF(TbTradesBinance[[#This Row],[Moeda da Taxa]]=MID(AX$1,9,5),TbTradesBinance[[#This Row],[Taxa]],0),8)))</f>
        <v>0.32838000000000001</v>
      </c>
      <c r="AY214" s="145" cm="1">
        <f t="array" ref="AY214">IF(TbTradesBinance[[#This Row],[Tipo]]="EMPTY",0,AY213+IF(TbTradesBinance[[#This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Row],[Par]]))),$1:$1,0)),-(AX213-AX214)/AX213*AY213),0),0)+IF(TbTradesBinance[[#This Row],[Tipo]]="SELL",IF(ISNUMBER(FIND(MID(AY$1,10,5),TbTradesBinance[[#This Row],[Par]])),IF(FIND(MID(AY$1,10,5),TbTradesBinance[[#This Row],[Par]])=1, -(AX213-AX214)/AX213*AY213,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Row],[Par]])),(-(AX213-AX214)/AX213*AY213)+IF(TbTradesBinance[[#This Row],[Resultado]]&gt;0,0,TbTradesBinance[[#This Row],[Taxa]]),0),0))</f>
        <v>61.364116058805678</v>
      </c>
      <c r="AZ214" s="145">
        <f t="shared" si="88"/>
        <v>186.869224857804</v>
      </c>
      <c r="BA21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Row],[Tipo]]="DROP"),BA213+TbTradesBinance[[#This Row],[Qtt]],BA213-TbTradesBinance[[#This Row],[Qtt]]),IF(TbTradesBinance[[#This Row],[Tipo]]="BUY",BA213-TbTradesBinance[[#This Row],[Qtt]]*TbTradesBinance[[#This Row],[Preço]],BA213+TbTradesBinance[[#This Row],[Qtt]]*TbTradesBinance[[#This Row],[Preço]])),BA213)-IF(TbTradesBinance[[#This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Row],[Tipo]]="DROP"),BA213+TbTradesBinance[[#This Row],[Qtt]],BA213-TbTradesBinance[[#This Row],[Qtt]]),IF(TbTradesBinance[[#This Row],[Tipo]]="BUY",BA213-TbTradesBinance[[#This Row],[Qtt]]*TbTradesBinance[[#This Row],[Preço]],BA213+TbTradesBinance[[#This Row],[Qtt]]*TbTradesBinance[[#This Row],[Preço]])),BA213)-IF(TbTradesBinance[[#This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Row],[Tipo]]="DROP"),BA213+TbTradesBinance[[#This Row],[Qtt]],BA213-TbTradesBinance[[#This Row],[Qtt]]),IF(TbTradesBinance[[#This Row],[Tipo]]="BUY",BA213-TbTradesBinance[[#This Row],[Qtt]]*TbTradesBinance[[#This Row],[Preço]],BA213+TbTradesBinance[[#This Row],[Qtt]]*TbTradesBinance[[#This Row],[Preço]])),BA213)-IF(TbTradesBinance[[#This Row],[Moeda da Taxa]]=MID(BA$1,9,5),TbTradesBinance[[#This Row],[Taxa]],0),8)))</f>
        <v>0</v>
      </c>
      <c r="BB214" s="145" cm="1">
        <f t="array" ref="BB214">IF(TbTradesBinance[[#This Row],[Tipo]]="EMPTY",0,BB213+IF(TbTradesBinance[[#This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Row],[Par]]))),$1:$1,0)),-(BA213-BA214)/BA213*BB213),0),0)+IF(TbTradesBinance[[#This Row],[Tipo]]="SELL",IF(ISNUMBER(FIND(MID(BB$1,10,5),TbTradesBinance[[#This Row],[Par]])),IF(FIND(MID(BB$1,10,5),TbTradesBinance[[#This Row],[Par]])=1, -(BA213-BA214)/BA213*BB213,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Row],[Par]])),(-(BA213-BA214)/BA213*BB213)+IF(TbTradesBinance[[#This Row],[Resultado]]&gt;0,0,TbTradesBinance[[#This Row],[Taxa]]),0),0))</f>
        <v>0</v>
      </c>
      <c r="BC214" s="145">
        <f t="shared" si="89"/>
        <v>0</v>
      </c>
      <c r="BD21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Row],[Tipo]]="DROP"),BD213+TbTradesBinance[[#This Row],[Qtt]],BD213-TbTradesBinance[[#This Row],[Qtt]]),IF(TbTradesBinance[[#This Row],[Tipo]]="BUY",BD213-TbTradesBinance[[#This Row],[Qtt]]*TbTradesBinance[[#This Row],[Preço]],BD213+TbTradesBinance[[#This Row],[Qtt]]*TbTradesBinance[[#This Row],[Preço]])),BD213)-IF(TbTradesBinance[[#This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Row],[Tipo]]="DROP"),BD213+TbTradesBinance[[#This Row],[Qtt]],BD213-TbTradesBinance[[#This Row],[Qtt]]),IF(TbTradesBinance[[#This Row],[Tipo]]="BUY",BD213-TbTradesBinance[[#This Row],[Qtt]]*TbTradesBinance[[#This Row],[Preço]],BD213+TbTradesBinance[[#This Row],[Qtt]]*TbTradesBinance[[#This Row],[Preço]])),BD213)-IF(TbTradesBinance[[#This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Row],[Tipo]]="DROP"),BD213+TbTradesBinance[[#This Row],[Qtt]],BD213-TbTradesBinance[[#This Row],[Qtt]]),IF(TbTradesBinance[[#This Row],[Tipo]]="BUY",BD213-TbTradesBinance[[#This Row],[Qtt]]*TbTradesBinance[[#This Row],[Preço]],BD213+TbTradesBinance[[#This Row],[Qtt]]*TbTradesBinance[[#This Row],[Preço]])),BD213)-IF(TbTradesBinance[[#This Row],[Moeda da Taxa]]=MID(BD$1,9,5),TbTradesBinance[[#This Row],[Taxa]],0),8)))</f>
        <v>0</v>
      </c>
      <c r="BE214" s="145" cm="1">
        <f t="array" ref="BE214">IF(TbTradesBinance[[#This Row],[Tipo]]="EMPTY",0,BE213+IF(TbTradesBinance[[#This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Row],[Par]]))),$1:$1,0)),-(BD213-BD214)/BD213*BE213),0),0)+IF(TbTradesBinance[[#This Row],[Tipo]]="SELL",IF(ISNUMBER(FIND(MID(BE$1,10,5),TbTradesBinance[[#This Row],[Par]])),IF(FIND(MID(BE$1,10,5),TbTradesBinance[[#This Row],[Par]])=1, -(BD213-BD214)/BD213*BE213,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Row],[Par]])),(-(BD213-BD214)/BD213*BE213)+IF(TbTradesBinance[[#This Row],[Resultado]]&gt;0,0,TbTradesBinance[[#This Row],[Taxa]]),0),0))</f>
        <v>0</v>
      </c>
      <c r="BF214" s="145">
        <f t="shared" si="90"/>
        <v>0</v>
      </c>
      <c r="BG21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Row],[Tipo]]="DROP"),BG213+TbTradesBinance[[#This Row],[Qtt]],BG213-TbTradesBinance[[#This Row],[Qtt]]),IF(TbTradesBinance[[#This Row],[Tipo]]="BUY",BG213-TbTradesBinance[[#This Row],[Qtt]]*TbTradesBinance[[#This Row],[Preço]],BG213+TbTradesBinance[[#This Row],[Qtt]]*TbTradesBinance[[#This Row],[Preço]])),BG213)-IF(TbTradesBinance[[#This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Row],[Tipo]]="DROP"),BG213+TbTradesBinance[[#This Row],[Qtt]],BG213-TbTradesBinance[[#This Row],[Qtt]]),IF(TbTradesBinance[[#This Row],[Tipo]]="BUY",BG213-TbTradesBinance[[#This Row],[Qtt]]*TbTradesBinance[[#This Row],[Preço]],BG213+TbTradesBinance[[#This Row],[Qtt]]*TbTradesBinance[[#This Row],[Preço]])),BG213)-IF(TbTradesBinance[[#This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Row],[Tipo]]="DROP"),BG213+TbTradesBinance[[#This Row],[Qtt]],BG213-TbTradesBinance[[#This Row],[Qtt]]),IF(TbTradesBinance[[#This Row],[Tipo]]="BUY",BG213-TbTradesBinance[[#This Row],[Qtt]]*TbTradesBinance[[#This Row],[Preço]],BG213+TbTradesBinance[[#This Row],[Qtt]]*TbTradesBinance[[#This Row],[Preço]])),BG213)-IF(TbTradesBinance[[#This Row],[Moeda da Taxa]]=MID(BG$1,9,5),TbTradesBinance[[#This Row],[Taxa]],0),8)))</f>
        <v>0</v>
      </c>
      <c r="BH214" s="145" cm="1">
        <f t="array" ref="BH214">IF(TbTradesBinance[[#This Row],[Tipo]]="EMPTY",0,BH213+IF(TbTradesBinance[[#This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Row],[Par]]))),$1:$1,0)),-(BG213-BG214)/BG213*BH213),0),0)+IF(TbTradesBinance[[#This Row],[Tipo]]="SELL",IF(ISNUMBER(FIND(MID(BH$1,10,5),TbTradesBinance[[#This Row],[Par]])),IF(FIND(MID(BH$1,10,5),TbTradesBinance[[#This Row],[Par]])=1, -(BG213-BG214)/BG213*BH213,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Row],[Par]])),(-(BG213-BG214)/BG213*BH213)+IF(TbTradesBinance[[#This Row],[Resultado]]&gt;0,0,TbTradesBinance[[#This Row],[Taxa]]),0),0))</f>
        <v>0</v>
      </c>
      <c r="BI214" s="145">
        <f t="shared" si="91"/>
        <v>0</v>
      </c>
      <c r="BJ21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Row],[Tipo]]="DROP"),BJ213+TbTradesBinance[[#This Row],[Qtt]],BJ213-TbTradesBinance[[#This Row],[Qtt]]),IF(TbTradesBinance[[#This Row],[Tipo]]="BUY",BJ213-TbTradesBinance[[#This Row],[Qtt]]*TbTradesBinance[[#This Row],[Preço]],BJ213+TbTradesBinance[[#This Row],[Qtt]]*TbTradesBinance[[#This Row],[Preço]])),BJ213)-IF(TbTradesBinance[[#This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Row],[Tipo]]="DROP"),BJ213+TbTradesBinance[[#This Row],[Qtt]],BJ213-TbTradesBinance[[#This Row],[Qtt]]),IF(TbTradesBinance[[#This Row],[Tipo]]="BUY",BJ213-TbTradesBinance[[#This Row],[Qtt]]*TbTradesBinance[[#This Row],[Preço]],BJ213+TbTradesBinance[[#This Row],[Qtt]]*TbTradesBinance[[#This Row],[Preço]])),BJ213)-IF(TbTradesBinance[[#This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Row],[Tipo]]="DROP"),BJ213+TbTradesBinance[[#This Row],[Qtt]],BJ213-TbTradesBinance[[#This Row],[Qtt]]),IF(TbTradesBinance[[#This Row],[Tipo]]="BUY",BJ213-TbTradesBinance[[#This Row],[Qtt]]*TbTradesBinance[[#This Row],[Preço]],BJ213+TbTradesBinance[[#This Row],[Qtt]]*TbTradesBinance[[#This Row],[Preço]])),BJ213)-IF(TbTradesBinance[[#This Row],[Moeda da Taxa]]=MID(BJ$1,9,5),TbTradesBinance[[#This Row],[Taxa]],0),8)))</f>
        <v>0</v>
      </c>
      <c r="BK214" s="145" cm="1">
        <f t="array" ref="BK214">IF(TbTradesBinance[[#This Row],[Tipo]]="EMPTY",0,BK213+IF(TbTradesBinance[[#This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Row],[Par]]))),$1:$1,0)),-(BJ213-BJ214)/BJ213*BK213),0),0)+IF(TbTradesBinance[[#This Row],[Tipo]]="SELL",IF(ISNUMBER(FIND(MID(BK$1,10,5),TbTradesBinance[[#This Row],[Par]])),IF(FIND(MID(BK$1,10,5),TbTradesBinance[[#This Row],[Par]])=1, -(BJ213-BJ214)/BJ213*BK213,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Row],[Par]])),(-(BJ213-BJ214)/BJ213*BK213)+IF(TbTradesBinance[[#This Row],[Resultado]]&gt;0,0,TbTradesBinance[[#This Row],[Taxa]]),0),0))</f>
        <v>0</v>
      </c>
      <c r="BL214" s="145">
        <f t="shared" si="92"/>
        <v>0</v>
      </c>
      <c r="BM21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Row],[Tipo]]="DROP"),BM213+TbTradesBinance[[#This Row],[Qtt]],BM213-TbTradesBinance[[#This Row],[Qtt]]),IF(TbTradesBinance[[#This Row],[Tipo]]="BUY",BM213-TbTradesBinance[[#This Row],[Qtt]]*TbTradesBinance[[#This Row],[Preço]],BM213+TbTradesBinance[[#This Row],[Qtt]]*TbTradesBinance[[#This Row],[Preço]])),BM213)-IF(TbTradesBinance[[#This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Row],[Tipo]]="DROP"),BM213+TbTradesBinance[[#This Row],[Qtt]],BM213-TbTradesBinance[[#This Row],[Qtt]]),IF(TbTradesBinance[[#This Row],[Tipo]]="BUY",BM213-TbTradesBinance[[#This Row],[Qtt]]*TbTradesBinance[[#This Row],[Preço]],BM213+TbTradesBinance[[#This Row],[Qtt]]*TbTradesBinance[[#This Row],[Preço]])),BM213)-IF(TbTradesBinance[[#This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Row],[Tipo]]="DROP"),BM213+TbTradesBinance[[#This Row],[Qtt]],BM213-TbTradesBinance[[#This Row],[Qtt]]),IF(TbTradesBinance[[#This Row],[Tipo]]="BUY",BM213-TbTradesBinance[[#This Row],[Qtt]]*TbTradesBinance[[#This Row],[Preço]],BM213+TbTradesBinance[[#This Row],[Qtt]]*TbTradesBinance[[#This Row],[Preço]])),BM213)-IF(TbTradesBinance[[#This Row],[Moeda da Taxa]]=MID(BM$1,9,5),TbTradesBinance[[#This Row],[Taxa]],0),8)))</f>
        <v>0</v>
      </c>
      <c r="BN214" s="145" cm="1">
        <f t="array" ref="BN214">IF(TbTradesBinance[[#This Row],[Tipo]]="EMPTY",0,BN213+IF(TbTradesBinance[[#This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Row],[Par]]))),$1:$1,0)),-(BM213-BM214)/BM213*BN213),0),0)+IF(TbTradesBinance[[#This Row],[Tipo]]="SELL",IF(ISNUMBER(FIND(MID(BN$1,10,5),TbTradesBinance[[#This Row],[Par]])),IF(FIND(MID(BN$1,10,5),TbTradesBinance[[#This Row],[Par]])=1, -(BM213-BM214)/BM213*BN213,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Row],[Par]])),(-(BM213-BM214)/BM213*BN213)+IF(TbTradesBinance[[#This Row],[Resultado]]&gt;0,0,TbTradesBinance[[#This Row],[Taxa]]),0),0))</f>
        <v>0</v>
      </c>
      <c r="BO214" s="145">
        <f t="shared" si="93"/>
        <v>0</v>
      </c>
    </row>
    <row r="215" spans="2:67" x14ac:dyDescent="0.3">
      <c r="B215" s="51"/>
      <c r="C215" s="40">
        <f>TRUNC(IF(AND(TbTradesBinance[[#This Row],[Tipo]]="SEND",TbTradesBinance[[#This Row],[Par]]="BRL"),TbTradesBinance[[#This Row],[Qtt]]*(1-P213)-IF(TbTradesBinance[[#This Row],[Moeda da Taxa]]="BRL",TbTradesBinance[[#This Row],[Taxa]],0),0)+IF(AND(TbTradesBinance[[#This Row],[Tipo]]="BURN",TbTradesBinance[[#This Row],[Par]]="BRL"),-TbTradesBinance[[#This Row],[Qtt]]*P213,0),2)</f>
        <v>0</v>
      </c>
      <c r="D215" s="53">
        <v>44390.891909722224</v>
      </c>
      <c r="E215" s="37" t="s">
        <v>249</v>
      </c>
      <c r="F215" s="47" t="s">
        <v>140</v>
      </c>
      <c r="G215" s="38">
        <v>32000</v>
      </c>
      <c r="H215" s="38">
        <v>3.4499999999999998E-4</v>
      </c>
      <c r="I215" s="38">
        <v>2.8019999999999999E-5</v>
      </c>
      <c r="J215" s="37" t="s">
        <v>45</v>
      </c>
      <c r="K215" s="52">
        <v>5.22</v>
      </c>
      <c r="L215" s="40">
        <f t="shared" si="94"/>
        <v>167040</v>
      </c>
      <c r="M215" s="40">
        <f>IF(OR(TbTradesBinance[[#This Row],[Tipo]]="BUY",TbTradesBinance[[#This Row],[Tipo]]="RECEIVE",TbTradesBinance[[#This Row],[Tipo]]="DROP"),L215*H215,-L215*H215)</f>
        <v>-57.628799999999998</v>
      </c>
      <c r="N21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Row],[Tipo]]="DROP"),N214+TbTradesBinance[[#This Row],[Qtt]],N214-TbTradesBinance[[#This Row],[Qtt]]),IF(TbTradesBinance[[#This Row],[Tipo]]="BUY",N214-TbTradesBinance[[#This Row],[Qtt]]*TbTradesBinance[[#This Row],[Preço]],N214+TbTradesBinance[[#This Row],[Qtt]]*TbTradesBinance[[#This Row],[Preço]])),N214)-IF(TbTradesBinance[[#This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Row],[Tipo]]="DROP"),N214+TbTradesBinance[[#This Row],[Qtt]],N214-TbTradesBinance[[#This Row],[Qtt]]),IF(TbTradesBinance[[#This Row],[Tipo]]="BUY",N214-TbTradesBinance[[#This Row],[Qtt]]*TbTradesBinance[[#This Row],[Preço]],N214+TbTradesBinance[[#This Row],[Qtt]]*TbTradesBinance[[#This Row],[Preço]])),N214)-IF(TbTradesBinance[[#This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Row],[Tipo]]="DROP"),N214+TbTradesBinance[[#This Row],[Qtt]],N214-TbTradesBinance[[#This Row],[Qtt]]),IF(TbTradesBinance[[#This Row],[Tipo]]="BUY",N214-TbTradesBinance[[#This Row],[Qtt]]*TbTradesBinance[[#This Row],[Preço]],N214+TbTradesBinance[[#This Row],[Qtt]]*TbTradesBinance[[#This Row],[Preço]])),N214)-IF(TbTradesBinance[[#This Row],[Moeda da Taxa]]=MID(N$1,9,5),TbTradesBinance[[#This Row],[Taxa]],0),8)))</f>
        <v>119745.44911781</v>
      </c>
      <c r="O215" s="145" cm="1">
        <f t="array" ref="O215">IF(TbTradesBinance[[#This Row],[Tipo]]="EMPTY",0,O214+IF(TbTradesBinance[[#This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Row],[Par]]))),$1:$1,0)),-(N214-N215)/N214*O214),0),0)+IF(TbTradesBinance[[#This Row],[Tipo]]="SELL",IF(ISNUMBER(FIND(MID(O$1,10,5),TbTradesBinance[[#This Row],[Par]])),IF(FIND(MID(O$1,10,5),TbTradesBinance[[#This Row],[Par]])=1, -(N214-N215)/N214*O214,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Row],[Par]])),(-(N214-N215)/N214*O214)+IF(TbTradesBinance[[#This Row],[Resultado]]&gt;0,0,TbTradesBinance[[#This Row],[Taxa]]),0),0))</f>
        <v>120404.99677150718</v>
      </c>
      <c r="P215" s="145">
        <f t="shared" si="76"/>
        <v>1.0055079141508609</v>
      </c>
      <c r="Q21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Row],[Tipo]]="DROP"),Q214+TbTradesBinance[[#This Row],[Qtt]],Q214-TbTradesBinance[[#This Row],[Qtt]]),IF(TbTradesBinance[[#This Row],[Tipo]]="BUY",Q214-TbTradesBinance[[#This Row],[Qtt]]*TbTradesBinance[[#This Row],[Preço]],Q214+TbTradesBinance[[#This Row],[Qtt]]*TbTradesBinance[[#This Row],[Preço]])),Q214)-IF(TbTradesBinance[[#This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Row],[Tipo]]="DROP"),Q214+TbTradesBinance[[#This Row],[Qtt]],Q214-TbTradesBinance[[#This Row],[Qtt]]),IF(TbTradesBinance[[#This Row],[Tipo]]="BUY",Q214-TbTradesBinance[[#This Row],[Qtt]]*TbTradesBinance[[#This Row],[Preço]],Q214+TbTradesBinance[[#This Row],[Qtt]]*TbTradesBinance[[#This Row],[Preço]])),Q214)-IF(TbTradesBinance[[#This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Row],[Tipo]]="DROP"),Q214+TbTradesBinance[[#This Row],[Qtt]],Q214-TbTradesBinance[[#This Row],[Qtt]]),IF(TbTradesBinance[[#This Row],[Tipo]]="BUY",Q214-TbTradesBinance[[#This Row],[Qtt]]*TbTradesBinance[[#This Row],[Preço]],Q214+TbTradesBinance[[#This Row],[Qtt]]*TbTradesBinance[[#This Row],[Preço]])),Q214)-IF(TbTradesBinance[[#This Row],[Moeda da Taxa]]=MID(Q$1,9,5),TbTradesBinance[[#This Row],[Taxa]],0),8)))</f>
        <v>33.119490059999997</v>
      </c>
      <c r="R215" s="145" cm="1">
        <f t="array" ref="R215">IF(TbTradesBinance[[#This Row],[Tipo]]="EMPTY",0,R214+IF(TbTradesBinance[[#This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Row],[Par]]))),$1:$1,0)),-(Q214-Q215)/Q214*R214),0),0)+IF(TbTradesBinance[[#This Row],[Tipo]]="SELL",IF(ISNUMBER(FIND(MID(R$1,10,5),TbTradesBinance[[#This Row],[Par]])),IF(FIND(MID(R$1,10,5),TbTradesBinance[[#This Row],[Par]])=1, -(Q214-Q215)/Q214*R214,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Row],[Par]])),(-(Q214-Q215)/Q214*R214)+IF(TbTradesBinance[[#This Row],[Resultado]]&gt;0,0,TbTradesBinance[[#This Row],[Taxa]]),0),0))</f>
        <v>183.63208130665168</v>
      </c>
      <c r="S215" s="145">
        <f t="shared" si="77"/>
        <v>5.5445322670723423</v>
      </c>
      <c r="T21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Row],[Tipo]]="DROP"),T214+TbTradesBinance[[#This Row],[Qtt]],T214-TbTradesBinance[[#This Row],[Qtt]]),IF(TbTradesBinance[[#This Row],[Tipo]]="BUY",T214-TbTradesBinance[[#This Row],[Qtt]]*TbTradesBinance[[#This Row],[Preço]],T214+TbTradesBinance[[#This Row],[Qtt]]*TbTradesBinance[[#This Row],[Preço]])),T214)-IF(TbTradesBinance[[#This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Row],[Tipo]]="DROP"),T214+TbTradesBinance[[#This Row],[Qtt]],T214-TbTradesBinance[[#This Row],[Qtt]]),IF(TbTradesBinance[[#This Row],[Tipo]]="BUY",T214-TbTradesBinance[[#This Row],[Qtt]]*TbTradesBinance[[#This Row],[Preço]],T214+TbTradesBinance[[#This Row],[Qtt]]*TbTradesBinance[[#This Row],[Preço]])),T214)-IF(TbTradesBinance[[#This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Row],[Tipo]]="DROP"),T214+TbTradesBinance[[#This Row],[Qtt]],T214-TbTradesBinance[[#This Row],[Qtt]]),IF(TbTradesBinance[[#This Row],[Tipo]]="BUY",T214-TbTradesBinance[[#This Row],[Qtt]]*TbTradesBinance[[#This Row],[Preço]],T214+TbTradesBinance[[#This Row],[Qtt]]*TbTradesBinance[[#This Row],[Preço]])),T214)-IF(TbTradesBinance[[#This Row],[Moeda da Taxa]]=MID(T$1,9,5),TbTradesBinance[[#This Row],[Taxa]],0),8)))</f>
        <v>101223913.720009</v>
      </c>
      <c r="U215" s="145" cm="1">
        <f t="array" ref="U215">IF(TbTradesBinance[[#This Row],[Tipo]]="EMPTY",0,U214+IF(TbTradesBinance[[#This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Row],[Par]]))),$1:$1,0)),-(T214-T215)/T214*U214),0),0)+IF(TbTradesBinance[[#This Row],[Tipo]]="SELL",IF(ISNUMBER(FIND(MID(U$1,10,5),TbTradesBinance[[#This Row],[Par]])),IF(FIND(MID(U$1,10,5),TbTradesBinance[[#This Row],[Par]])=1, -(T214-T215)/T214*U214,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Row],[Par]])),(-(T214-T215)/T214*U214)+IF(TbTradesBinance[[#This Row],[Resultado]]&gt;0,0,TbTradesBinance[[#This Row],[Taxa]]),0),0))</f>
        <v>617586601.27364206</v>
      </c>
      <c r="V215" s="145">
        <f t="shared" si="78"/>
        <v>6.1011926784605572</v>
      </c>
      <c r="W21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Row],[Tipo]]="DROP"),W214+TbTradesBinance[[#This Row],[Qtt]],W214-TbTradesBinance[[#This Row],[Qtt]]),IF(TbTradesBinance[[#This Row],[Tipo]]="BUY",W214-TbTradesBinance[[#This Row],[Qtt]]*TbTradesBinance[[#This Row],[Preço]],W214+TbTradesBinance[[#This Row],[Qtt]]*TbTradesBinance[[#This Row],[Preço]])),W214)-IF(TbTradesBinance[[#This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Row],[Tipo]]="DROP"),W214+TbTradesBinance[[#This Row],[Qtt]],W214-TbTradesBinance[[#This Row],[Qtt]]),IF(TbTradesBinance[[#This Row],[Tipo]]="BUY",W214-TbTradesBinance[[#This Row],[Qtt]]*TbTradesBinance[[#This Row],[Preço]],W214+TbTradesBinance[[#This Row],[Qtt]]*TbTradesBinance[[#This Row],[Preço]])),W214)-IF(TbTradesBinance[[#This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Row],[Tipo]]="DROP"),W214+TbTradesBinance[[#This Row],[Qtt]],W214-TbTradesBinance[[#This Row],[Qtt]]),IF(TbTradesBinance[[#This Row],[Tipo]]="BUY",W214-TbTradesBinance[[#This Row],[Qtt]]*TbTradesBinance[[#This Row],[Preço]],W214+TbTradesBinance[[#This Row],[Qtt]]*TbTradesBinance[[#This Row],[Preço]])),W214)-IF(TbTradesBinance[[#This Row],[Moeda da Taxa]]=MID(W$1,9,5),TbTradesBinance[[#This Row],[Taxa]],0),8)))</f>
        <v>1.3769989999999999E-2</v>
      </c>
      <c r="X215" s="145" cm="1">
        <f t="array" ref="X215">IF(TbTradesBinance[[#This Row],[Tipo]]="EMPTY",0,X214+IF(TbTradesBinance[[#This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Row],[Par]]))),$1:$1,0)),-(W214-W215)/W214*X214),0),0)+IF(TbTradesBinance[[#This Row],[Tipo]]="SELL",IF(ISNUMBER(FIND(MID(X$1,10,5),TbTradesBinance[[#This Row],[Par]])),IF(FIND(MID(X$1,10,5),TbTradesBinance[[#This Row],[Par]])=1, -(W214-W215)/W214*X214,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Row],[Par]])),(-(W214-W215)/W214*X214)+IF(TbTradesBinance[[#This Row],[Resultado]]&gt;0,0,TbTradesBinance[[#This Row],[Taxa]]),0),0))</f>
        <v>2399.8476403852219</v>
      </c>
      <c r="Y215" s="145">
        <f t="shared" si="79"/>
        <v>174281.00095825936</v>
      </c>
      <c r="Z21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Row],[Tipo]]="DROP"),Z214+TbTradesBinance[[#This Row],[Qtt]],Z214-TbTradesBinance[[#This Row],[Qtt]]),IF(TbTradesBinance[[#This Row],[Tipo]]="BUY",Z214-TbTradesBinance[[#This Row],[Qtt]]*TbTradesBinance[[#This Row],[Preço]],Z214+TbTradesBinance[[#This Row],[Qtt]]*TbTradesBinance[[#This Row],[Preço]])),Z214)-IF(TbTradesBinance[[#This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Row],[Tipo]]="DROP"),Z214+TbTradesBinance[[#This Row],[Qtt]],Z214-TbTradesBinance[[#This Row],[Qtt]]),IF(TbTradesBinance[[#This Row],[Tipo]]="BUY",Z214-TbTradesBinance[[#This Row],[Qtt]]*TbTradesBinance[[#This Row],[Preço]],Z214+TbTradesBinance[[#This Row],[Qtt]]*TbTradesBinance[[#This Row],[Preço]])),Z214)-IF(TbTradesBinance[[#This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Row],[Tipo]]="DROP"),Z214+TbTradesBinance[[#This Row],[Qtt]],Z214-TbTradesBinance[[#This Row],[Qtt]]),IF(TbTradesBinance[[#This Row],[Tipo]]="BUY",Z214-TbTradesBinance[[#This Row],[Qtt]]*TbTradesBinance[[#This Row],[Preço]],Z214+TbTradesBinance[[#This Row],[Qtt]]*TbTradesBinance[[#This Row],[Preço]])),Z214)-IF(TbTradesBinance[[#This Row],[Moeda da Taxa]]=MID(Z$1,9,5),TbTradesBinance[[#This Row],[Taxa]],0),8)))</f>
        <v>0</v>
      </c>
      <c r="AA215" s="145" cm="1">
        <f t="array" ref="AA215">IF(TbTradesBinance[[#This Row],[Tipo]]="EMPTY",0,AA214+IF(TbTradesBinance[[#This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Row],[Par]]))),$1:$1,0)),-(Z214-Z215)/Z214*AA214),0),0)+IF(TbTradesBinance[[#This Row],[Tipo]]="SELL",IF(ISNUMBER(FIND(MID(AA$1,10,5),TbTradesBinance[[#This Row],[Par]])),IF(FIND(MID(AA$1,10,5),TbTradesBinance[[#This Row],[Par]])=1, -(Z214-Z215)/Z214*AA214,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Row],[Par]])),(-(Z214-Z215)/Z214*AA214)+IF(TbTradesBinance[[#This Row],[Resultado]]&gt;0,0,TbTradesBinance[[#This Row],[Taxa]]),0),0))</f>
        <v>0</v>
      </c>
      <c r="AB215" s="145">
        <f t="shared" si="80"/>
        <v>0</v>
      </c>
      <c r="AC21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Row],[Tipo]]="DROP"),AC214+TbTradesBinance[[#This Row],[Qtt]],AC214-TbTradesBinance[[#This Row],[Qtt]]),IF(TbTradesBinance[[#This Row],[Tipo]]="BUY",AC214-TbTradesBinance[[#This Row],[Qtt]]*TbTradesBinance[[#This Row],[Preço]],AC214+TbTradesBinance[[#This Row],[Qtt]]*TbTradesBinance[[#This Row],[Preço]])),AC214)-IF(TbTradesBinance[[#This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Row],[Tipo]]="DROP"),AC214+TbTradesBinance[[#This Row],[Qtt]],AC214-TbTradesBinance[[#This Row],[Qtt]]),IF(TbTradesBinance[[#This Row],[Tipo]]="BUY",AC214-TbTradesBinance[[#This Row],[Qtt]]*TbTradesBinance[[#This Row],[Preço]],AC214+TbTradesBinance[[#This Row],[Qtt]]*TbTradesBinance[[#This Row],[Preço]])),AC214)-IF(TbTradesBinance[[#This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Row],[Tipo]]="DROP"),AC214+TbTradesBinance[[#This Row],[Qtt]],AC214-TbTradesBinance[[#This Row],[Qtt]]),IF(TbTradesBinance[[#This Row],[Tipo]]="BUY",AC214-TbTradesBinance[[#This Row],[Qtt]]*TbTradesBinance[[#This Row],[Preço]],AC214+TbTradesBinance[[#This Row],[Qtt]]*TbTradesBinance[[#This Row],[Preço]])),AC214)-IF(TbTradesBinance[[#This Row],[Moeda da Taxa]]=MID(AC$1,9,5),TbTradesBinance[[#This Row],[Taxa]],0),8)))</f>
        <v>0</v>
      </c>
      <c r="AD215" s="145" cm="1">
        <f t="array" ref="AD215">IF(TbTradesBinance[[#This Row],[Tipo]]="EMPTY",0,AD214+IF(TbTradesBinance[[#This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Row],[Par]]))),$1:$1,0)),-(AC214-AC215)/AC214*AD214),0),0)+IF(TbTradesBinance[[#This Row],[Tipo]]="SELL",IF(ISNUMBER(FIND(MID(AD$1,10,5),TbTradesBinance[[#This Row],[Par]])),IF(FIND(MID(AD$1,10,5),TbTradesBinance[[#This Row],[Par]])=1, -(AC214-AC215)/AC214*AD214,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Row],[Par]])),(-(AC214-AC215)/AC214*AD214)+IF(TbTradesBinance[[#This Row],[Resultado]]&gt;0,0,TbTradesBinance[[#This Row],[Taxa]]),0),0))</f>
        <v>0</v>
      </c>
      <c r="AE215" s="145">
        <f t="shared" si="81"/>
        <v>0</v>
      </c>
      <c r="AF21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Row],[Tipo]]="DROP"),AF214+TbTradesBinance[[#This Row],[Qtt]],AF214-TbTradesBinance[[#This Row],[Qtt]]),IF(TbTradesBinance[[#This Row],[Tipo]]="BUY",AF214-TbTradesBinance[[#This Row],[Qtt]]*TbTradesBinance[[#This Row],[Preço]],AF214+TbTradesBinance[[#This Row],[Qtt]]*TbTradesBinance[[#This Row],[Preço]])),AF214)-IF(TbTradesBinance[[#This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Row],[Tipo]]="DROP"),AF214+TbTradesBinance[[#This Row],[Qtt]],AF214-TbTradesBinance[[#This Row],[Qtt]]),IF(TbTradesBinance[[#This Row],[Tipo]]="BUY",AF214-TbTradesBinance[[#This Row],[Qtt]]*TbTradesBinance[[#This Row],[Preço]],AF214+TbTradesBinance[[#This Row],[Qtt]]*TbTradesBinance[[#This Row],[Preço]])),AF214)-IF(TbTradesBinance[[#This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Row],[Tipo]]="DROP"),AF214+TbTradesBinance[[#This Row],[Qtt]],AF214-TbTradesBinance[[#This Row],[Qtt]]),IF(TbTradesBinance[[#This Row],[Tipo]]="BUY",AF214-TbTradesBinance[[#This Row],[Qtt]]*TbTradesBinance[[#This Row],[Preço]],AF214+TbTradesBinance[[#This Row],[Qtt]]*TbTradesBinance[[#This Row],[Preço]])),AF214)-IF(TbTradesBinance[[#This Row],[Moeda da Taxa]]=MID(AF$1,9,5),TbTradesBinance[[#This Row],[Taxa]],0),8)))</f>
        <v>0</v>
      </c>
      <c r="AG215" s="145" cm="1">
        <f t="array" ref="AG215">IF(TbTradesBinance[[#This Row],[Tipo]]="EMPTY",0,AG214+IF(TbTradesBinance[[#This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Row],[Par]]))),$1:$1,0)),-(AF214-AF215)/AF214*AG214),0),0)+IF(TbTradesBinance[[#This Row],[Tipo]]="SELL",IF(ISNUMBER(FIND(MID(AG$1,10,5),TbTradesBinance[[#This Row],[Par]])),IF(FIND(MID(AG$1,10,5),TbTradesBinance[[#This Row],[Par]])=1, -(AF214-AF215)/AF214*AG214,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Row],[Par]])),(-(AF214-AF215)/AF214*AG214)+IF(TbTradesBinance[[#This Row],[Resultado]]&gt;0,0,TbTradesBinance[[#This Row],[Taxa]]),0),0))</f>
        <v>0</v>
      </c>
      <c r="AH215" s="145">
        <f t="shared" si="82"/>
        <v>0</v>
      </c>
      <c r="AI21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Row],[Tipo]]="DROP"),AI214+TbTradesBinance[[#This Row],[Qtt]],AI214-TbTradesBinance[[#This Row],[Qtt]]),IF(TbTradesBinance[[#This Row],[Tipo]]="BUY",AI214-TbTradesBinance[[#This Row],[Qtt]]*TbTradesBinance[[#This Row],[Preço]],AI214+TbTradesBinance[[#This Row],[Qtt]]*TbTradesBinance[[#This Row],[Preço]])),AI214)-IF(TbTradesBinance[[#This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Row],[Tipo]]="DROP"),AI214+TbTradesBinance[[#This Row],[Qtt]],AI214-TbTradesBinance[[#This Row],[Qtt]]),IF(TbTradesBinance[[#This Row],[Tipo]]="BUY",AI214-TbTradesBinance[[#This Row],[Qtt]]*TbTradesBinance[[#This Row],[Preço]],AI214+TbTradesBinance[[#This Row],[Qtt]]*TbTradesBinance[[#This Row],[Preço]])),AI214)-IF(TbTradesBinance[[#This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Row],[Tipo]]="DROP"),AI214+TbTradesBinance[[#This Row],[Qtt]],AI214-TbTradesBinance[[#This Row],[Qtt]]),IF(TbTradesBinance[[#This Row],[Tipo]]="BUY",AI214-TbTradesBinance[[#This Row],[Qtt]]*TbTradesBinance[[#This Row],[Preço]],AI214+TbTradesBinance[[#This Row],[Qtt]]*TbTradesBinance[[#This Row],[Preço]])),AI214)-IF(TbTradesBinance[[#This Row],[Moeda da Taxa]]=MID(AI$1,9,5),TbTradesBinance[[#This Row],[Taxa]],0),8)))</f>
        <v>0</v>
      </c>
      <c r="AJ215" s="145" cm="1">
        <f t="array" ref="AJ215">IF(TbTradesBinance[[#This Row],[Tipo]]="EMPTY",0,AJ214+IF(TbTradesBinance[[#This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Row],[Par]]))),$1:$1,0)),-(AI214-AI215)/AI214*AJ214),0),0)+IF(TbTradesBinance[[#This Row],[Tipo]]="SELL",IF(ISNUMBER(FIND(MID(AJ$1,10,5),TbTradesBinance[[#This Row],[Par]])),IF(FIND(MID(AJ$1,10,5),TbTradesBinance[[#This Row],[Par]])=1, -(AI214-AI215)/AI214*AJ214,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Row],[Par]])),(-(AI214-AI215)/AI214*AJ214)+IF(TbTradesBinance[[#This Row],[Resultado]]&gt;0,0,TbTradesBinance[[#This Row],[Taxa]]),0),0))</f>
        <v>0</v>
      </c>
      <c r="AK215" s="145">
        <f t="shared" si="83"/>
        <v>0</v>
      </c>
      <c r="AL21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Row],[Tipo]]="DROP"),AL214+TbTradesBinance[[#This Row],[Qtt]],AL214-TbTradesBinance[[#This Row],[Qtt]]),IF(TbTradesBinance[[#This Row],[Tipo]]="BUY",AL214-TbTradesBinance[[#This Row],[Qtt]]*TbTradesBinance[[#This Row],[Preço]],AL214+TbTradesBinance[[#This Row],[Qtt]]*TbTradesBinance[[#This Row],[Preço]])),AL214)-IF(TbTradesBinance[[#This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Row],[Tipo]]="DROP"),AL214+TbTradesBinance[[#This Row],[Qtt]],AL214-TbTradesBinance[[#This Row],[Qtt]]),IF(TbTradesBinance[[#This Row],[Tipo]]="BUY",AL214-TbTradesBinance[[#This Row],[Qtt]]*TbTradesBinance[[#This Row],[Preço]],AL214+TbTradesBinance[[#This Row],[Qtt]]*TbTradesBinance[[#This Row],[Preço]])),AL214)-IF(TbTradesBinance[[#This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Row],[Tipo]]="DROP"),AL214+TbTradesBinance[[#This Row],[Qtt]],AL214-TbTradesBinance[[#This Row],[Qtt]]),IF(TbTradesBinance[[#This Row],[Tipo]]="BUY",AL214-TbTradesBinance[[#This Row],[Qtt]]*TbTradesBinance[[#This Row],[Preço]],AL214+TbTradesBinance[[#This Row],[Qtt]]*TbTradesBinance[[#This Row],[Preço]])),AL214)-IF(TbTradesBinance[[#This Row],[Moeda da Taxa]]=MID(AL$1,9,5),TbTradesBinance[[#This Row],[Taxa]],0),8)))</f>
        <v>0</v>
      </c>
      <c r="AM215" s="145" cm="1">
        <f t="array" ref="AM215">IF(TbTradesBinance[[#This Row],[Tipo]]="EMPTY",0,AM214+IF(TbTradesBinance[[#This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Row],[Par]]))),$1:$1,0)),-(AL214-AL215)/AL214*AM214),0),0)+IF(TbTradesBinance[[#This Row],[Tipo]]="SELL",IF(ISNUMBER(FIND(MID(AM$1,10,5),TbTradesBinance[[#This Row],[Par]])),IF(FIND(MID(AM$1,10,5),TbTradesBinance[[#This Row],[Par]])=1, -(AL214-AL215)/AL214*AM214,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Row],[Par]])),(-(AL214-AL215)/AL214*AM214)+IF(TbTradesBinance[[#This Row],[Resultado]]&gt;0,0,TbTradesBinance[[#This Row],[Taxa]]),0),0))</f>
        <v>0</v>
      </c>
      <c r="AN215" s="145">
        <f t="shared" si="84"/>
        <v>0</v>
      </c>
      <c r="AO21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Row],[Tipo]]="DROP"),AO214+TbTradesBinance[[#This Row],[Qtt]],AO214-TbTradesBinance[[#This Row],[Qtt]]),IF(TbTradesBinance[[#This Row],[Tipo]]="BUY",AO214-TbTradesBinance[[#This Row],[Qtt]]*TbTradesBinance[[#This Row],[Preço]],AO214+TbTradesBinance[[#This Row],[Qtt]]*TbTradesBinance[[#This Row],[Preço]])),AO214)-IF(TbTradesBinance[[#This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Row],[Tipo]]="DROP"),AO214+TbTradesBinance[[#This Row],[Qtt]],AO214-TbTradesBinance[[#This Row],[Qtt]]),IF(TbTradesBinance[[#This Row],[Tipo]]="BUY",AO214-TbTradesBinance[[#This Row],[Qtt]]*TbTradesBinance[[#This Row],[Preço]],AO214+TbTradesBinance[[#This Row],[Qtt]]*TbTradesBinance[[#This Row],[Preço]])),AO214)-IF(TbTradesBinance[[#This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Row],[Tipo]]="DROP"),AO214+TbTradesBinance[[#This Row],[Qtt]],AO214-TbTradesBinance[[#This Row],[Qtt]]),IF(TbTradesBinance[[#This Row],[Tipo]]="BUY",AO214-TbTradesBinance[[#This Row],[Qtt]]*TbTradesBinance[[#This Row],[Preço]],AO214+TbTradesBinance[[#This Row],[Qtt]]*TbTradesBinance[[#This Row],[Preço]])),AO214)-IF(TbTradesBinance[[#This Row],[Moeda da Taxa]]=MID(AO$1,9,5),TbTradesBinance[[#This Row],[Taxa]],0),8)))</f>
        <v>6.8158350000000006E-2</v>
      </c>
      <c r="AP215" s="145" cm="1">
        <f t="array" ref="AP215">IF(TbTradesBinance[[#This Row],[Tipo]]="EMPTY",0,AP214+IF(TbTradesBinance[[#This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Row],[Par]]))),$1:$1,0)),-(AO214-AO215)/AO214*AP214),0),0)+IF(TbTradesBinance[[#This Row],[Tipo]]="SELL",IF(ISNUMBER(FIND(MID(AP$1,10,5),TbTradesBinance[[#This Row],[Par]])),IF(FIND(MID(AP$1,10,5),TbTradesBinance[[#This Row],[Par]])=1, -(AO214-AO215)/AO214*AP214,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Row],[Par]])),(-(AO214-AO215)/AO214*AP214)+IF(TbTradesBinance[[#This Row],[Resultado]]&gt;0,0,TbTradesBinance[[#This Row],[Taxa]]),0),0))</f>
        <v>102.0944711963762</v>
      </c>
      <c r="AQ215" s="145">
        <f t="shared" si="85"/>
        <v>1497.9011551244446</v>
      </c>
      <c r="AR21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Row],[Tipo]]="DROP"),AR214+TbTradesBinance[[#This Row],[Qtt]],AR214-TbTradesBinance[[#This Row],[Qtt]]),IF(TbTradesBinance[[#This Row],[Tipo]]="BUY",AR214-TbTradesBinance[[#This Row],[Qtt]]*TbTradesBinance[[#This Row],[Preço]],AR214+TbTradesBinance[[#This Row],[Qtt]]*TbTradesBinance[[#This Row],[Preço]])),AR214)-IF(TbTradesBinance[[#This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Row],[Tipo]]="DROP"),AR214+TbTradesBinance[[#This Row],[Qtt]],AR214-TbTradesBinance[[#This Row],[Qtt]]),IF(TbTradesBinance[[#This Row],[Tipo]]="BUY",AR214-TbTradesBinance[[#This Row],[Qtt]]*TbTradesBinance[[#This Row],[Preço]],AR214+TbTradesBinance[[#This Row],[Qtt]]*TbTradesBinance[[#This Row],[Preço]])),AR214)-IF(TbTradesBinance[[#This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Row],[Tipo]]="DROP"),AR214+TbTradesBinance[[#This Row],[Qtt]],AR214-TbTradesBinance[[#This Row],[Qtt]]),IF(TbTradesBinance[[#This Row],[Tipo]]="BUY",AR214-TbTradesBinance[[#This Row],[Qtt]]*TbTradesBinance[[#This Row],[Preço]],AR214+TbTradesBinance[[#This Row],[Qtt]]*TbTradesBinance[[#This Row],[Preço]])),AR214)-IF(TbTradesBinance[[#This Row],[Moeda da Taxa]]=MID(AR$1,9,5),TbTradesBinance[[#This Row],[Taxa]],0),8)))</f>
        <v>0</v>
      </c>
      <c r="AS215" s="145" cm="1">
        <f t="array" ref="AS215">IF(TbTradesBinance[[#This Row],[Tipo]]="EMPTY",0,AS214+IF(TbTradesBinance[[#This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Row],[Par]]))),$1:$1,0)),-(AR214-AR215)/AR214*AS214),0),0)+IF(TbTradesBinance[[#This Row],[Tipo]]="SELL",IF(ISNUMBER(FIND(MID(AS$1,10,5),TbTradesBinance[[#This Row],[Par]])),IF(FIND(MID(AS$1,10,5),TbTradesBinance[[#This Row],[Par]])=1, -(AR214-AR215)/AR214*AS214,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Row],[Par]])),(-(AR214-AR215)/AR214*AS214)+IF(TbTradesBinance[[#This Row],[Resultado]]&gt;0,0,TbTradesBinance[[#This Row],[Taxa]]),0),0))</f>
        <v>0</v>
      </c>
      <c r="AT215" s="145">
        <f t="shared" si="86"/>
        <v>0</v>
      </c>
      <c r="AU21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Row],[Tipo]]="DROP"),AU214+TbTradesBinance[[#This Row],[Qtt]],AU214-TbTradesBinance[[#This Row],[Qtt]]),IF(TbTradesBinance[[#This Row],[Tipo]]="BUY",AU214-TbTradesBinance[[#This Row],[Qtt]]*TbTradesBinance[[#This Row],[Preço]],AU214+TbTradesBinance[[#This Row],[Qtt]]*TbTradesBinance[[#This Row],[Preço]])),AU214)-IF(TbTradesBinance[[#This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Row],[Tipo]]="DROP"),AU214+TbTradesBinance[[#This Row],[Qtt]],AU214-TbTradesBinance[[#This Row],[Qtt]]),IF(TbTradesBinance[[#This Row],[Tipo]]="BUY",AU214-TbTradesBinance[[#This Row],[Qtt]]*TbTradesBinance[[#This Row],[Preço]],AU214+TbTradesBinance[[#This Row],[Qtt]]*TbTradesBinance[[#This Row],[Preço]])),AU214)-IF(TbTradesBinance[[#This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Row],[Tipo]]="DROP"),AU214+TbTradesBinance[[#This Row],[Qtt]],AU214-TbTradesBinance[[#This Row],[Qtt]]),IF(TbTradesBinance[[#This Row],[Tipo]]="BUY",AU214-TbTradesBinance[[#This Row],[Qtt]]*TbTradesBinance[[#This Row],[Preço]],AU214+TbTradesBinance[[#This Row],[Qtt]]*TbTradesBinance[[#This Row],[Preço]])),AU214)-IF(TbTradesBinance[[#This Row],[Moeda da Taxa]]=MID(AU$1,9,5),TbTradesBinance[[#This Row],[Taxa]],0),8)))</f>
        <v>0.51</v>
      </c>
      <c r="AV215" s="145" cm="1">
        <f t="array" ref="AV215">IF(TbTradesBinance[[#This Row],[Tipo]]="EMPTY",0,AV214+IF(TbTradesBinance[[#This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Row],[Par]]))),$1:$1,0)),-(AU214-AU215)/AU214*AV214),0),0)+IF(TbTradesBinance[[#This Row],[Tipo]]="SELL",IF(ISNUMBER(FIND(MID(AV$1,10,5),TbTradesBinance[[#This Row],[Par]])),IF(FIND(MID(AV$1,10,5),TbTradesBinance[[#This Row],[Par]])=1, -(AU214-AU215)/AU214*AV214,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Row],[Par]])),(-(AU214-AU215)/AU214*AV214)+IF(TbTradesBinance[[#This Row],[Resultado]]&gt;0,0,TbTradesBinance[[#This Row],[Taxa]]),0),0))</f>
        <v>95.466693037374753</v>
      </c>
      <c r="AW215" s="145">
        <f t="shared" si="87"/>
        <v>187.18959419093088</v>
      </c>
      <c r="AX21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Row],[Tipo]]="DROP"),AX214+TbTradesBinance[[#This Row],[Qtt]],AX214-TbTradesBinance[[#This Row],[Qtt]]),IF(TbTradesBinance[[#This Row],[Tipo]]="BUY",AX214-TbTradesBinance[[#This Row],[Qtt]]*TbTradesBinance[[#This Row],[Preço]],AX214+TbTradesBinance[[#This Row],[Qtt]]*TbTradesBinance[[#This Row],[Preço]])),AX214)-IF(TbTradesBinance[[#This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Row],[Tipo]]="DROP"),AX214+TbTradesBinance[[#This Row],[Qtt]],AX214-TbTradesBinance[[#This Row],[Qtt]]),IF(TbTradesBinance[[#This Row],[Tipo]]="BUY",AX214-TbTradesBinance[[#This Row],[Qtt]]*TbTradesBinance[[#This Row],[Preço]],AX214+TbTradesBinance[[#This Row],[Qtt]]*TbTradesBinance[[#This Row],[Preço]])),AX214)-IF(TbTradesBinance[[#This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Row],[Tipo]]="DROP"),AX214+TbTradesBinance[[#This Row],[Qtt]],AX214-TbTradesBinance[[#This Row],[Qtt]]),IF(TbTradesBinance[[#This Row],[Tipo]]="BUY",AX214-TbTradesBinance[[#This Row],[Qtt]]*TbTradesBinance[[#This Row],[Preço]],AX214+TbTradesBinance[[#This Row],[Qtt]]*TbTradesBinance[[#This Row],[Preço]])),AX214)-IF(TbTradesBinance[[#This Row],[Moeda da Taxa]]=MID(AX$1,9,5),TbTradesBinance[[#This Row],[Taxa]],0),8)))</f>
        <v>0.32838000000000001</v>
      </c>
      <c r="AY215" s="145" cm="1">
        <f t="array" ref="AY215">IF(TbTradesBinance[[#This Row],[Tipo]]="EMPTY",0,AY214+IF(TbTradesBinance[[#This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Row],[Par]]))),$1:$1,0)),-(AX214-AX215)/AX214*AY214),0),0)+IF(TbTradesBinance[[#This Row],[Tipo]]="SELL",IF(ISNUMBER(FIND(MID(AY$1,10,5),TbTradesBinance[[#This Row],[Par]])),IF(FIND(MID(AY$1,10,5),TbTradesBinance[[#This Row],[Par]])=1, -(AX214-AX215)/AX214*AY214,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Row],[Par]])),(-(AX214-AX215)/AX214*AY214)+IF(TbTradesBinance[[#This Row],[Resultado]]&gt;0,0,TbTradesBinance[[#This Row],[Taxa]]),0),0))</f>
        <v>61.364116058805678</v>
      </c>
      <c r="AZ215" s="145">
        <f t="shared" si="88"/>
        <v>186.869224857804</v>
      </c>
      <c r="BA21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Row],[Tipo]]="DROP"),BA214+TbTradesBinance[[#This Row],[Qtt]],BA214-TbTradesBinance[[#This Row],[Qtt]]),IF(TbTradesBinance[[#This Row],[Tipo]]="BUY",BA214-TbTradesBinance[[#This Row],[Qtt]]*TbTradesBinance[[#This Row],[Preço]],BA214+TbTradesBinance[[#This Row],[Qtt]]*TbTradesBinance[[#This Row],[Preço]])),BA214)-IF(TbTradesBinance[[#This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Row],[Tipo]]="DROP"),BA214+TbTradesBinance[[#This Row],[Qtt]],BA214-TbTradesBinance[[#This Row],[Qtt]]),IF(TbTradesBinance[[#This Row],[Tipo]]="BUY",BA214-TbTradesBinance[[#This Row],[Qtt]]*TbTradesBinance[[#This Row],[Preço]],BA214+TbTradesBinance[[#This Row],[Qtt]]*TbTradesBinance[[#This Row],[Preço]])),BA214)-IF(TbTradesBinance[[#This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Row],[Tipo]]="DROP"),BA214+TbTradesBinance[[#This Row],[Qtt]],BA214-TbTradesBinance[[#This Row],[Qtt]]),IF(TbTradesBinance[[#This Row],[Tipo]]="BUY",BA214-TbTradesBinance[[#This Row],[Qtt]]*TbTradesBinance[[#This Row],[Preço]],BA214+TbTradesBinance[[#This Row],[Qtt]]*TbTradesBinance[[#This Row],[Preço]])),BA214)-IF(TbTradesBinance[[#This Row],[Moeda da Taxa]]=MID(BA$1,9,5),TbTradesBinance[[#This Row],[Taxa]],0),8)))</f>
        <v>0</v>
      </c>
      <c r="BB215" s="145" cm="1">
        <f t="array" ref="BB215">IF(TbTradesBinance[[#This Row],[Tipo]]="EMPTY",0,BB214+IF(TbTradesBinance[[#This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Row],[Par]]))),$1:$1,0)),-(BA214-BA215)/BA214*BB214),0),0)+IF(TbTradesBinance[[#This Row],[Tipo]]="SELL",IF(ISNUMBER(FIND(MID(BB$1,10,5),TbTradesBinance[[#This Row],[Par]])),IF(FIND(MID(BB$1,10,5),TbTradesBinance[[#This Row],[Par]])=1, -(BA214-BA215)/BA214*BB214,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Row],[Par]])),(-(BA214-BA215)/BA214*BB214)+IF(TbTradesBinance[[#This Row],[Resultado]]&gt;0,0,TbTradesBinance[[#This Row],[Taxa]]),0),0))</f>
        <v>0</v>
      </c>
      <c r="BC215" s="145">
        <f t="shared" si="89"/>
        <v>0</v>
      </c>
      <c r="BD21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Row],[Tipo]]="DROP"),BD214+TbTradesBinance[[#This Row],[Qtt]],BD214-TbTradesBinance[[#This Row],[Qtt]]),IF(TbTradesBinance[[#This Row],[Tipo]]="BUY",BD214-TbTradesBinance[[#This Row],[Qtt]]*TbTradesBinance[[#This Row],[Preço]],BD214+TbTradesBinance[[#This Row],[Qtt]]*TbTradesBinance[[#This Row],[Preço]])),BD214)-IF(TbTradesBinance[[#This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Row],[Tipo]]="DROP"),BD214+TbTradesBinance[[#This Row],[Qtt]],BD214-TbTradesBinance[[#This Row],[Qtt]]),IF(TbTradesBinance[[#This Row],[Tipo]]="BUY",BD214-TbTradesBinance[[#This Row],[Qtt]]*TbTradesBinance[[#This Row],[Preço]],BD214+TbTradesBinance[[#This Row],[Qtt]]*TbTradesBinance[[#This Row],[Preço]])),BD214)-IF(TbTradesBinance[[#This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Row],[Tipo]]="DROP"),BD214+TbTradesBinance[[#This Row],[Qtt]],BD214-TbTradesBinance[[#This Row],[Qtt]]),IF(TbTradesBinance[[#This Row],[Tipo]]="BUY",BD214-TbTradesBinance[[#This Row],[Qtt]]*TbTradesBinance[[#This Row],[Preço]],BD214+TbTradesBinance[[#This Row],[Qtt]]*TbTradesBinance[[#This Row],[Preço]])),BD214)-IF(TbTradesBinance[[#This Row],[Moeda da Taxa]]=MID(BD$1,9,5),TbTradesBinance[[#This Row],[Taxa]],0),8)))</f>
        <v>0</v>
      </c>
      <c r="BE215" s="145" cm="1">
        <f t="array" ref="BE215">IF(TbTradesBinance[[#This Row],[Tipo]]="EMPTY",0,BE214+IF(TbTradesBinance[[#This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Row],[Par]]))),$1:$1,0)),-(BD214-BD215)/BD214*BE214),0),0)+IF(TbTradesBinance[[#This Row],[Tipo]]="SELL",IF(ISNUMBER(FIND(MID(BE$1,10,5),TbTradesBinance[[#This Row],[Par]])),IF(FIND(MID(BE$1,10,5),TbTradesBinance[[#This Row],[Par]])=1, -(BD214-BD215)/BD214*BE214,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Row],[Par]])),(-(BD214-BD215)/BD214*BE214)+IF(TbTradesBinance[[#This Row],[Resultado]]&gt;0,0,TbTradesBinance[[#This Row],[Taxa]]),0),0))</f>
        <v>0</v>
      </c>
      <c r="BF215" s="145">
        <f t="shared" si="90"/>
        <v>0</v>
      </c>
      <c r="BG21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Row],[Tipo]]="DROP"),BG214+TbTradesBinance[[#This Row],[Qtt]],BG214-TbTradesBinance[[#This Row],[Qtt]]),IF(TbTradesBinance[[#This Row],[Tipo]]="BUY",BG214-TbTradesBinance[[#This Row],[Qtt]]*TbTradesBinance[[#This Row],[Preço]],BG214+TbTradesBinance[[#This Row],[Qtt]]*TbTradesBinance[[#This Row],[Preço]])),BG214)-IF(TbTradesBinance[[#This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Row],[Tipo]]="DROP"),BG214+TbTradesBinance[[#This Row],[Qtt]],BG214-TbTradesBinance[[#This Row],[Qtt]]),IF(TbTradesBinance[[#This Row],[Tipo]]="BUY",BG214-TbTradesBinance[[#This Row],[Qtt]]*TbTradesBinance[[#This Row],[Preço]],BG214+TbTradesBinance[[#This Row],[Qtt]]*TbTradesBinance[[#This Row],[Preço]])),BG214)-IF(TbTradesBinance[[#This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Row],[Tipo]]="DROP"),BG214+TbTradesBinance[[#This Row],[Qtt]],BG214-TbTradesBinance[[#This Row],[Qtt]]),IF(TbTradesBinance[[#This Row],[Tipo]]="BUY",BG214-TbTradesBinance[[#This Row],[Qtt]]*TbTradesBinance[[#This Row],[Preço]],BG214+TbTradesBinance[[#This Row],[Qtt]]*TbTradesBinance[[#This Row],[Preço]])),BG214)-IF(TbTradesBinance[[#This Row],[Moeda da Taxa]]=MID(BG$1,9,5),TbTradesBinance[[#This Row],[Taxa]],0),8)))</f>
        <v>0</v>
      </c>
      <c r="BH215" s="145" cm="1">
        <f t="array" ref="BH215">IF(TbTradesBinance[[#This Row],[Tipo]]="EMPTY",0,BH214+IF(TbTradesBinance[[#This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Row],[Par]]))),$1:$1,0)),-(BG214-BG215)/BG214*BH214),0),0)+IF(TbTradesBinance[[#This Row],[Tipo]]="SELL",IF(ISNUMBER(FIND(MID(BH$1,10,5),TbTradesBinance[[#This Row],[Par]])),IF(FIND(MID(BH$1,10,5),TbTradesBinance[[#This Row],[Par]])=1, -(BG214-BG215)/BG214*BH214,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Row],[Par]])),(-(BG214-BG215)/BG214*BH214)+IF(TbTradesBinance[[#This Row],[Resultado]]&gt;0,0,TbTradesBinance[[#This Row],[Taxa]]),0),0))</f>
        <v>0</v>
      </c>
      <c r="BI215" s="145">
        <f t="shared" si="91"/>
        <v>0</v>
      </c>
      <c r="BJ21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Row],[Tipo]]="DROP"),BJ214+TbTradesBinance[[#This Row],[Qtt]],BJ214-TbTradesBinance[[#This Row],[Qtt]]),IF(TbTradesBinance[[#This Row],[Tipo]]="BUY",BJ214-TbTradesBinance[[#This Row],[Qtt]]*TbTradesBinance[[#This Row],[Preço]],BJ214+TbTradesBinance[[#This Row],[Qtt]]*TbTradesBinance[[#This Row],[Preço]])),BJ214)-IF(TbTradesBinance[[#This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Row],[Tipo]]="DROP"),BJ214+TbTradesBinance[[#This Row],[Qtt]],BJ214-TbTradesBinance[[#This Row],[Qtt]]),IF(TbTradesBinance[[#This Row],[Tipo]]="BUY",BJ214-TbTradesBinance[[#This Row],[Qtt]]*TbTradesBinance[[#This Row],[Preço]],BJ214+TbTradesBinance[[#This Row],[Qtt]]*TbTradesBinance[[#This Row],[Preço]])),BJ214)-IF(TbTradesBinance[[#This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Row],[Tipo]]="DROP"),BJ214+TbTradesBinance[[#This Row],[Qtt]],BJ214-TbTradesBinance[[#This Row],[Qtt]]),IF(TbTradesBinance[[#This Row],[Tipo]]="BUY",BJ214-TbTradesBinance[[#This Row],[Qtt]]*TbTradesBinance[[#This Row],[Preço]],BJ214+TbTradesBinance[[#This Row],[Qtt]]*TbTradesBinance[[#This Row],[Preço]])),BJ214)-IF(TbTradesBinance[[#This Row],[Moeda da Taxa]]=MID(BJ$1,9,5),TbTradesBinance[[#This Row],[Taxa]],0),8)))</f>
        <v>0</v>
      </c>
      <c r="BK215" s="145" cm="1">
        <f t="array" ref="BK215">IF(TbTradesBinance[[#This Row],[Tipo]]="EMPTY",0,BK214+IF(TbTradesBinance[[#This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Row],[Par]]))),$1:$1,0)),-(BJ214-BJ215)/BJ214*BK214),0),0)+IF(TbTradesBinance[[#This Row],[Tipo]]="SELL",IF(ISNUMBER(FIND(MID(BK$1,10,5),TbTradesBinance[[#This Row],[Par]])),IF(FIND(MID(BK$1,10,5),TbTradesBinance[[#This Row],[Par]])=1, -(BJ214-BJ215)/BJ214*BK214,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Row],[Par]])),(-(BJ214-BJ215)/BJ214*BK214)+IF(TbTradesBinance[[#This Row],[Resultado]]&gt;0,0,TbTradesBinance[[#This Row],[Taxa]]),0),0))</f>
        <v>0</v>
      </c>
      <c r="BL215" s="145">
        <f t="shared" si="92"/>
        <v>0</v>
      </c>
      <c r="BM21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Row],[Tipo]]="DROP"),BM214+TbTradesBinance[[#This Row],[Qtt]],BM214-TbTradesBinance[[#This Row],[Qtt]]),IF(TbTradesBinance[[#This Row],[Tipo]]="BUY",BM214-TbTradesBinance[[#This Row],[Qtt]]*TbTradesBinance[[#This Row],[Preço]],BM214+TbTradesBinance[[#This Row],[Qtt]]*TbTradesBinance[[#This Row],[Preço]])),BM214)-IF(TbTradesBinance[[#This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Row],[Tipo]]="DROP"),BM214+TbTradesBinance[[#This Row],[Qtt]],BM214-TbTradesBinance[[#This Row],[Qtt]]),IF(TbTradesBinance[[#This Row],[Tipo]]="BUY",BM214-TbTradesBinance[[#This Row],[Qtt]]*TbTradesBinance[[#This Row],[Preço]],BM214+TbTradesBinance[[#This Row],[Qtt]]*TbTradesBinance[[#This Row],[Preço]])),BM214)-IF(TbTradesBinance[[#This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Row],[Tipo]]="DROP"),BM214+TbTradesBinance[[#This Row],[Qtt]],BM214-TbTradesBinance[[#This Row],[Qtt]]),IF(TbTradesBinance[[#This Row],[Tipo]]="BUY",BM214-TbTradesBinance[[#This Row],[Qtt]]*TbTradesBinance[[#This Row],[Preço]],BM214+TbTradesBinance[[#This Row],[Qtt]]*TbTradesBinance[[#This Row],[Preço]])),BM214)-IF(TbTradesBinance[[#This Row],[Moeda da Taxa]]=MID(BM$1,9,5),TbTradesBinance[[#This Row],[Taxa]],0),8)))</f>
        <v>0</v>
      </c>
      <c r="BN215" s="145" cm="1">
        <f t="array" ref="BN215">IF(TbTradesBinance[[#This Row],[Tipo]]="EMPTY",0,BN214+IF(TbTradesBinance[[#This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Row],[Par]]))),$1:$1,0)),-(BM214-BM215)/BM214*BN214),0),0)+IF(TbTradesBinance[[#This Row],[Tipo]]="SELL",IF(ISNUMBER(FIND(MID(BN$1,10,5),TbTradesBinance[[#This Row],[Par]])),IF(FIND(MID(BN$1,10,5),TbTradesBinance[[#This Row],[Par]])=1, -(BM214-BM215)/BM214*BN214,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Row],[Par]])),(-(BM214-BM215)/BM214*BN214)+IF(TbTradesBinance[[#This Row],[Resultado]]&gt;0,0,TbTradesBinance[[#This Row],[Taxa]]),0),0))</f>
        <v>0</v>
      </c>
      <c r="BO215" s="145">
        <f t="shared" si="93"/>
        <v>0</v>
      </c>
    </row>
    <row r="216" spans="2:67" x14ac:dyDescent="0.3">
      <c r="B216" s="51"/>
      <c r="C216" s="40">
        <f>TRUNC(IF(AND(TbTradesBinance[[#This Row],[Tipo]]="SEND",TbTradesBinance[[#This Row],[Par]]="BRL"),TbTradesBinance[[#This Row],[Qtt]]*(1-P214)-IF(TbTradesBinance[[#This Row],[Moeda da Taxa]]="BRL",TbTradesBinance[[#This Row],[Taxa]],0),0)+IF(AND(TbTradesBinance[[#This Row],[Tipo]]="BURN",TbTradesBinance[[#This Row],[Par]]="BRL"),-TbTradesBinance[[#This Row],[Qtt]]*P214,0),2)</f>
        <v>0</v>
      </c>
      <c r="D216" s="53">
        <v>44392.338935185187</v>
      </c>
      <c r="E216" s="37" t="s">
        <v>249</v>
      </c>
      <c r="F216" s="47" t="s">
        <v>140</v>
      </c>
      <c r="G216" s="38">
        <v>31900.560000000001</v>
      </c>
      <c r="H216" s="38">
        <v>9.4459999999999995E-3</v>
      </c>
      <c r="I216" s="38">
        <v>7.2218E-4</v>
      </c>
      <c r="J216" s="37" t="s">
        <v>45</v>
      </c>
      <c r="K216" s="52">
        <v>5.1360000000000001</v>
      </c>
      <c r="L216" s="40">
        <f t="shared" si="94"/>
        <v>163841.26999999999</v>
      </c>
      <c r="M216" s="40">
        <f>IF(OR(TbTradesBinance[[#This Row],[Tipo]]="BUY",TbTradesBinance[[#This Row],[Tipo]]="RECEIVE",TbTradesBinance[[#This Row],[Tipo]]="DROP"),L216*H216,-L216*H216)</f>
        <v>-1547.6446364199999</v>
      </c>
      <c r="N21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Row],[Tipo]]="DROP"),N215+TbTradesBinance[[#This Row],[Qtt]],N215-TbTradesBinance[[#This Row],[Qtt]]),IF(TbTradesBinance[[#This Row],[Tipo]]="BUY",N215-TbTradesBinance[[#This Row],[Qtt]]*TbTradesBinance[[#This Row],[Preço]],N215+TbTradesBinance[[#This Row],[Qtt]]*TbTradesBinance[[#This Row],[Preço]])),N215)-IF(TbTradesBinance[[#This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Row],[Tipo]]="DROP"),N215+TbTradesBinance[[#This Row],[Qtt]],N215-TbTradesBinance[[#This Row],[Qtt]]),IF(TbTradesBinance[[#This Row],[Tipo]]="BUY",N215-TbTradesBinance[[#This Row],[Qtt]]*TbTradesBinance[[#This Row],[Preço]],N215+TbTradesBinance[[#This Row],[Qtt]]*TbTradesBinance[[#This Row],[Preço]])),N215)-IF(TbTradesBinance[[#This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Row],[Tipo]]="DROP"),N215+TbTradesBinance[[#This Row],[Qtt]],N215-TbTradesBinance[[#This Row],[Qtt]]),IF(TbTradesBinance[[#This Row],[Tipo]]="BUY",N215-TbTradesBinance[[#This Row],[Qtt]]*TbTradesBinance[[#This Row],[Preço]],N215+TbTradesBinance[[#This Row],[Qtt]]*TbTradesBinance[[#This Row],[Preço]])),N215)-IF(TbTradesBinance[[#This Row],[Moeda da Taxa]]=MID(N$1,9,5),TbTradesBinance[[#This Row],[Taxa]],0),8)))</f>
        <v>119745.44911781</v>
      </c>
      <c r="O216" s="145" cm="1">
        <f t="array" ref="O216">IF(TbTradesBinance[[#This Row],[Tipo]]="EMPTY",0,O215+IF(TbTradesBinance[[#This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Row],[Par]]))),$1:$1,0)),-(N215-N216)/N215*O215),0),0)+IF(TbTradesBinance[[#This Row],[Tipo]]="SELL",IF(ISNUMBER(FIND(MID(O$1,10,5),TbTradesBinance[[#This Row],[Par]])),IF(FIND(MID(O$1,10,5),TbTradesBinance[[#This Row],[Par]])=1, -(N215-N216)/N215*O215,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Row],[Par]])),(-(N215-N216)/N215*O215)+IF(TbTradesBinance[[#This Row],[Resultado]]&gt;0,0,TbTradesBinance[[#This Row],[Taxa]]),0),0))</f>
        <v>120404.99677150718</v>
      </c>
      <c r="P216" s="145">
        <f t="shared" si="76"/>
        <v>1.0055079141508609</v>
      </c>
      <c r="Q21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Row],[Tipo]]="DROP"),Q215+TbTradesBinance[[#This Row],[Qtt]],Q215-TbTradesBinance[[#This Row],[Qtt]]),IF(TbTradesBinance[[#This Row],[Tipo]]="BUY",Q215-TbTradesBinance[[#This Row],[Qtt]]*TbTradesBinance[[#This Row],[Preço]],Q215+TbTradesBinance[[#This Row],[Qtt]]*TbTradesBinance[[#This Row],[Preço]])),Q215)-IF(TbTradesBinance[[#This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Row],[Tipo]]="DROP"),Q215+TbTradesBinance[[#This Row],[Qtt]],Q215-TbTradesBinance[[#This Row],[Qtt]]),IF(TbTradesBinance[[#This Row],[Tipo]]="BUY",Q215-TbTradesBinance[[#This Row],[Qtt]]*TbTradesBinance[[#This Row],[Preço]],Q215+TbTradesBinance[[#This Row],[Qtt]]*TbTradesBinance[[#This Row],[Preço]])),Q215)-IF(TbTradesBinance[[#This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Row],[Tipo]]="DROP"),Q215+TbTradesBinance[[#This Row],[Qtt]],Q215-TbTradesBinance[[#This Row],[Qtt]]),IF(TbTradesBinance[[#This Row],[Tipo]]="BUY",Q215-TbTradesBinance[[#This Row],[Qtt]]*TbTradesBinance[[#This Row],[Preço]],Q215+TbTradesBinance[[#This Row],[Qtt]]*TbTradesBinance[[#This Row],[Preço]])),Q215)-IF(TbTradesBinance[[#This Row],[Moeda da Taxa]]=MID(Q$1,9,5),TbTradesBinance[[#This Row],[Taxa]],0),8)))</f>
        <v>334.45217982000003</v>
      </c>
      <c r="R216" s="145" cm="1">
        <f t="array" ref="R216">IF(TbTradesBinance[[#This Row],[Tipo]]="EMPTY",0,R215+IF(TbTradesBinance[[#This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Row],[Par]]))),$1:$1,0)),-(Q215-Q216)/Q215*R215),0),0)+IF(TbTradesBinance[[#This Row],[Tipo]]="SELL",IF(ISNUMBER(FIND(MID(R$1,10,5),TbTradesBinance[[#This Row],[Par]])),IF(FIND(MID(R$1,10,5),TbTradesBinance[[#This Row],[Par]])=1, -(Q215-Q216)/Q215*R215,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Row],[Par]])),(-(Q215-Q216)/Q215*R215)+IF(TbTradesBinance[[#This Row],[Resultado]]&gt;0,0,TbTradesBinance[[#This Row],[Taxa]]),0),0))</f>
        <v>1829.8904163583697</v>
      </c>
      <c r="S216" s="145">
        <f t="shared" si="77"/>
        <v>5.4713065925992908</v>
      </c>
      <c r="T21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Row],[Tipo]]="DROP"),T215+TbTradesBinance[[#This Row],[Qtt]],T215-TbTradesBinance[[#This Row],[Qtt]]),IF(TbTradesBinance[[#This Row],[Tipo]]="BUY",T215-TbTradesBinance[[#This Row],[Qtt]]*TbTradesBinance[[#This Row],[Preço]],T215+TbTradesBinance[[#This Row],[Qtt]]*TbTradesBinance[[#This Row],[Preço]])),T215)-IF(TbTradesBinance[[#This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Row],[Tipo]]="DROP"),T215+TbTradesBinance[[#This Row],[Qtt]],T215-TbTradesBinance[[#This Row],[Qtt]]),IF(TbTradesBinance[[#This Row],[Tipo]]="BUY",T215-TbTradesBinance[[#This Row],[Qtt]]*TbTradesBinance[[#This Row],[Preço]],T215+TbTradesBinance[[#This Row],[Qtt]]*TbTradesBinance[[#This Row],[Preço]])),T215)-IF(TbTradesBinance[[#This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Row],[Tipo]]="DROP"),T215+TbTradesBinance[[#This Row],[Qtt]],T215-TbTradesBinance[[#This Row],[Qtt]]),IF(TbTradesBinance[[#This Row],[Tipo]]="BUY",T215-TbTradesBinance[[#This Row],[Qtt]]*TbTradesBinance[[#This Row],[Preço]],T215+TbTradesBinance[[#This Row],[Qtt]]*TbTradesBinance[[#This Row],[Preço]])),T215)-IF(TbTradesBinance[[#This Row],[Moeda da Taxa]]=MID(T$1,9,5),TbTradesBinance[[#This Row],[Taxa]],0),8)))</f>
        <v>101223913.720009</v>
      </c>
      <c r="U216" s="145" cm="1">
        <f t="array" ref="U216">IF(TbTradesBinance[[#This Row],[Tipo]]="EMPTY",0,U215+IF(TbTradesBinance[[#This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Row],[Par]]))),$1:$1,0)),-(T215-T216)/T215*U215),0),0)+IF(TbTradesBinance[[#This Row],[Tipo]]="SELL",IF(ISNUMBER(FIND(MID(U$1,10,5),TbTradesBinance[[#This Row],[Par]])),IF(FIND(MID(U$1,10,5),TbTradesBinance[[#This Row],[Par]])=1, -(T215-T216)/T215*U215,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Row],[Par]])),(-(T215-T216)/T215*U215)+IF(TbTradesBinance[[#This Row],[Resultado]]&gt;0,0,TbTradesBinance[[#This Row],[Taxa]]),0),0))</f>
        <v>617586601.27364206</v>
      </c>
      <c r="V216" s="145">
        <f t="shared" si="78"/>
        <v>6.1011926784605572</v>
      </c>
      <c r="W21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Row],[Tipo]]="DROP"),W215+TbTradesBinance[[#This Row],[Qtt]],W215-TbTradesBinance[[#This Row],[Qtt]]),IF(TbTradesBinance[[#This Row],[Tipo]]="BUY",W215-TbTradesBinance[[#This Row],[Qtt]]*TbTradesBinance[[#This Row],[Preço]],W215+TbTradesBinance[[#This Row],[Qtt]]*TbTradesBinance[[#This Row],[Preço]])),W215)-IF(TbTradesBinance[[#This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Row],[Tipo]]="DROP"),W215+TbTradesBinance[[#This Row],[Qtt]],W215-TbTradesBinance[[#This Row],[Qtt]]),IF(TbTradesBinance[[#This Row],[Tipo]]="BUY",W215-TbTradesBinance[[#This Row],[Qtt]]*TbTradesBinance[[#This Row],[Preço]],W215+TbTradesBinance[[#This Row],[Qtt]]*TbTradesBinance[[#This Row],[Preço]])),W215)-IF(TbTradesBinance[[#This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Row],[Tipo]]="DROP"),W215+TbTradesBinance[[#This Row],[Qtt]],W215-TbTradesBinance[[#This Row],[Qtt]]),IF(TbTradesBinance[[#This Row],[Tipo]]="BUY",W215-TbTradesBinance[[#This Row],[Qtt]]*TbTradesBinance[[#This Row],[Preço]],W215+TbTradesBinance[[#This Row],[Qtt]]*TbTradesBinance[[#This Row],[Preço]])),W215)-IF(TbTradesBinance[[#This Row],[Moeda da Taxa]]=MID(W$1,9,5),TbTradesBinance[[#This Row],[Taxa]],0),8)))</f>
        <v>4.3239899999999998E-3</v>
      </c>
      <c r="X216" s="145" cm="1">
        <f t="array" ref="X216">IF(TbTradesBinance[[#This Row],[Tipo]]="EMPTY",0,X215+IF(TbTradesBinance[[#This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Row],[Par]]))),$1:$1,0)),-(W215-W216)/W215*X215),0),0)+IF(TbTradesBinance[[#This Row],[Tipo]]="SELL",IF(ISNUMBER(FIND(MID(X$1,10,5),TbTradesBinance[[#This Row],[Par]])),IF(FIND(MID(X$1,10,5),TbTradesBinance[[#This Row],[Par]])=1, -(W215-W216)/W215*X215,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Row],[Par]])),(-(W215-W216)/W215*X215)+IF(TbTradesBinance[[#This Row],[Resultado]]&gt;0,0,TbTradesBinance[[#This Row],[Taxa]]),0),0))</f>
        <v>753.58930533350394</v>
      </c>
      <c r="Y216" s="145">
        <f t="shared" si="79"/>
        <v>174281.00095825939</v>
      </c>
      <c r="Z21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Row],[Tipo]]="DROP"),Z215+TbTradesBinance[[#This Row],[Qtt]],Z215-TbTradesBinance[[#This Row],[Qtt]]),IF(TbTradesBinance[[#This Row],[Tipo]]="BUY",Z215-TbTradesBinance[[#This Row],[Qtt]]*TbTradesBinance[[#This Row],[Preço]],Z215+TbTradesBinance[[#This Row],[Qtt]]*TbTradesBinance[[#This Row],[Preço]])),Z215)-IF(TbTradesBinance[[#This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Row],[Tipo]]="DROP"),Z215+TbTradesBinance[[#This Row],[Qtt]],Z215-TbTradesBinance[[#This Row],[Qtt]]),IF(TbTradesBinance[[#This Row],[Tipo]]="BUY",Z215-TbTradesBinance[[#This Row],[Qtt]]*TbTradesBinance[[#This Row],[Preço]],Z215+TbTradesBinance[[#This Row],[Qtt]]*TbTradesBinance[[#This Row],[Preço]])),Z215)-IF(TbTradesBinance[[#This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Row],[Tipo]]="DROP"),Z215+TbTradesBinance[[#This Row],[Qtt]],Z215-TbTradesBinance[[#This Row],[Qtt]]),IF(TbTradesBinance[[#This Row],[Tipo]]="BUY",Z215-TbTradesBinance[[#This Row],[Qtt]]*TbTradesBinance[[#This Row],[Preço]],Z215+TbTradesBinance[[#This Row],[Qtt]]*TbTradesBinance[[#This Row],[Preço]])),Z215)-IF(TbTradesBinance[[#This Row],[Moeda da Taxa]]=MID(Z$1,9,5),TbTradesBinance[[#This Row],[Taxa]],0),8)))</f>
        <v>0</v>
      </c>
      <c r="AA216" s="145" cm="1">
        <f t="array" ref="AA216">IF(TbTradesBinance[[#This Row],[Tipo]]="EMPTY",0,AA215+IF(TbTradesBinance[[#This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Row],[Par]]))),$1:$1,0)),-(Z215-Z216)/Z215*AA215),0),0)+IF(TbTradesBinance[[#This Row],[Tipo]]="SELL",IF(ISNUMBER(FIND(MID(AA$1,10,5),TbTradesBinance[[#This Row],[Par]])),IF(FIND(MID(AA$1,10,5),TbTradesBinance[[#This Row],[Par]])=1, -(Z215-Z216)/Z215*AA215,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Row],[Par]])),(-(Z215-Z216)/Z215*AA215)+IF(TbTradesBinance[[#This Row],[Resultado]]&gt;0,0,TbTradesBinance[[#This Row],[Taxa]]),0),0))</f>
        <v>0</v>
      </c>
      <c r="AB216" s="145">
        <f t="shared" si="80"/>
        <v>0</v>
      </c>
      <c r="AC21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Row],[Tipo]]="DROP"),AC215+TbTradesBinance[[#This Row],[Qtt]],AC215-TbTradesBinance[[#This Row],[Qtt]]),IF(TbTradesBinance[[#This Row],[Tipo]]="BUY",AC215-TbTradesBinance[[#This Row],[Qtt]]*TbTradesBinance[[#This Row],[Preço]],AC215+TbTradesBinance[[#This Row],[Qtt]]*TbTradesBinance[[#This Row],[Preço]])),AC215)-IF(TbTradesBinance[[#This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Row],[Tipo]]="DROP"),AC215+TbTradesBinance[[#This Row],[Qtt]],AC215-TbTradesBinance[[#This Row],[Qtt]]),IF(TbTradesBinance[[#This Row],[Tipo]]="BUY",AC215-TbTradesBinance[[#This Row],[Qtt]]*TbTradesBinance[[#This Row],[Preço]],AC215+TbTradesBinance[[#This Row],[Qtt]]*TbTradesBinance[[#This Row],[Preço]])),AC215)-IF(TbTradesBinance[[#This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Row],[Tipo]]="DROP"),AC215+TbTradesBinance[[#This Row],[Qtt]],AC215-TbTradesBinance[[#This Row],[Qtt]]),IF(TbTradesBinance[[#This Row],[Tipo]]="BUY",AC215-TbTradesBinance[[#This Row],[Qtt]]*TbTradesBinance[[#This Row],[Preço]],AC215+TbTradesBinance[[#This Row],[Qtt]]*TbTradesBinance[[#This Row],[Preço]])),AC215)-IF(TbTradesBinance[[#This Row],[Moeda da Taxa]]=MID(AC$1,9,5),TbTradesBinance[[#This Row],[Taxa]],0),8)))</f>
        <v>0</v>
      </c>
      <c r="AD216" s="145" cm="1">
        <f t="array" ref="AD216">IF(TbTradesBinance[[#This Row],[Tipo]]="EMPTY",0,AD215+IF(TbTradesBinance[[#This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Row],[Par]]))),$1:$1,0)),-(AC215-AC216)/AC215*AD215),0),0)+IF(TbTradesBinance[[#This Row],[Tipo]]="SELL",IF(ISNUMBER(FIND(MID(AD$1,10,5),TbTradesBinance[[#This Row],[Par]])),IF(FIND(MID(AD$1,10,5),TbTradesBinance[[#This Row],[Par]])=1, -(AC215-AC216)/AC215*AD215,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Row],[Par]])),(-(AC215-AC216)/AC215*AD215)+IF(TbTradesBinance[[#This Row],[Resultado]]&gt;0,0,TbTradesBinance[[#This Row],[Taxa]]),0),0))</f>
        <v>0</v>
      </c>
      <c r="AE216" s="145">
        <f t="shared" si="81"/>
        <v>0</v>
      </c>
      <c r="AF21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Row],[Tipo]]="DROP"),AF215+TbTradesBinance[[#This Row],[Qtt]],AF215-TbTradesBinance[[#This Row],[Qtt]]),IF(TbTradesBinance[[#This Row],[Tipo]]="BUY",AF215-TbTradesBinance[[#This Row],[Qtt]]*TbTradesBinance[[#This Row],[Preço]],AF215+TbTradesBinance[[#This Row],[Qtt]]*TbTradesBinance[[#This Row],[Preço]])),AF215)-IF(TbTradesBinance[[#This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Row],[Tipo]]="DROP"),AF215+TbTradesBinance[[#This Row],[Qtt]],AF215-TbTradesBinance[[#This Row],[Qtt]]),IF(TbTradesBinance[[#This Row],[Tipo]]="BUY",AF215-TbTradesBinance[[#This Row],[Qtt]]*TbTradesBinance[[#This Row],[Preço]],AF215+TbTradesBinance[[#This Row],[Qtt]]*TbTradesBinance[[#This Row],[Preço]])),AF215)-IF(TbTradesBinance[[#This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Row],[Tipo]]="DROP"),AF215+TbTradesBinance[[#This Row],[Qtt]],AF215-TbTradesBinance[[#This Row],[Qtt]]),IF(TbTradesBinance[[#This Row],[Tipo]]="BUY",AF215-TbTradesBinance[[#This Row],[Qtt]]*TbTradesBinance[[#This Row],[Preço]],AF215+TbTradesBinance[[#This Row],[Qtt]]*TbTradesBinance[[#This Row],[Preço]])),AF215)-IF(TbTradesBinance[[#This Row],[Moeda da Taxa]]=MID(AF$1,9,5),TbTradesBinance[[#This Row],[Taxa]],0),8)))</f>
        <v>0</v>
      </c>
      <c r="AG216" s="145" cm="1">
        <f t="array" ref="AG216">IF(TbTradesBinance[[#This Row],[Tipo]]="EMPTY",0,AG215+IF(TbTradesBinance[[#This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Row],[Par]]))),$1:$1,0)),-(AF215-AF216)/AF215*AG215),0),0)+IF(TbTradesBinance[[#This Row],[Tipo]]="SELL",IF(ISNUMBER(FIND(MID(AG$1,10,5),TbTradesBinance[[#This Row],[Par]])),IF(FIND(MID(AG$1,10,5),TbTradesBinance[[#This Row],[Par]])=1, -(AF215-AF216)/AF215*AG215,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Row],[Par]])),(-(AF215-AF216)/AF215*AG215)+IF(TbTradesBinance[[#This Row],[Resultado]]&gt;0,0,TbTradesBinance[[#This Row],[Taxa]]),0),0))</f>
        <v>0</v>
      </c>
      <c r="AH216" s="145">
        <f t="shared" si="82"/>
        <v>0</v>
      </c>
      <c r="AI21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Row],[Tipo]]="DROP"),AI215+TbTradesBinance[[#This Row],[Qtt]],AI215-TbTradesBinance[[#This Row],[Qtt]]),IF(TbTradesBinance[[#This Row],[Tipo]]="BUY",AI215-TbTradesBinance[[#This Row],[Qtt]]*TbTradesBinance[[#This Row],[Preço]],AI215+TbTradesBinance[[#This Row],[Qtt]]*TbTradesBinance[[#This Row],[Preço]])),AI215)-IF(TbTradesBinance[[#This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Row],[Tipo]]="DROP"),AI215+TbTradesBinance[[#This Row],[Qtt]],AI215-TbTradesBinance[[#This Row],[Qtt]]),IF(TbTradesBinance[[#This Row],[Tipo]]="BUY",AI215-TbTradesBinance[[#This Row],[Qtt]]*TbTradesBinance[[#This Row],[Preço]],AI215+TbTradesBinance[[#This Row],[Qtt]]*TbTradesBinance[[#This Row],[Preço]])),AI215)-IF(TbTradesBinance[[#This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Row],[Tipo]]="DROP"),AI215+TbTradesBinance[[#This Row],[Qtt]],AI215-TbTradesBinance[[#This Row],[Qtt]]),IF(TbTradesBinance[[#This Row],[Tipo]]="BUY",AI215-TbTradesBinance[[#This Row],[Qtt]]*TbTradesBinance[[#This Row],[Preço]],AI215+TbTradesBinance[[#This Row],[Qtt]]*TbTradesBinance[[#This Row],[Preço]])),AI215)-IF(TbTradesBinance[[#This Row],[Moeda da Taxa]]=MID(AI$1,9,5),TbTradesBinance[[#This Row],[Taxa]],0),8)))</f>
        <v>0</v>
      </c>
      <c r="AJ216" s="145" cm="1">
        <f t="array" ref="AJ216">IF(TbTradesBinance[[#This Row],[Tipo]]="EMPTY",0,AJ215+IF(TbTradesBinance[[#This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Row],[Par]]))),$1:$1,0)),-(AI215-AI216)/AI215*AJ215),0),0)+IF(TbTradesBinance[[#This Row],[Tipo]]="SELL",IF(ISNUMBER(FIND(MID(AJ$1,10,5),TbTradesBinance[[#This Row],[Par]])),IF(FIND(MID(AJ$1,10,5),TbTradesBinance[[#This Row],[Par]])=1, -(AI215-AI216)/AI215*AJ215,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Row],[Par]])),(-(AI215-AI216)/AI215*AJ215)+IF(TbTradesBinance[[#This Row],[Resultado]]&gt;0,0,TbTradesBinance[[#This Row],[Taxa]]),0),0))</f>
        <v>0</v>
      </c>
      <c r="AK216" s="145">
        <f t="shared" si="83"/>
        <v>0</v>
      </c>
      <c r="AL21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Row],[Tipo]]="DROP"),AL215+TbTradesBinance[[#This Row],[Qtt]],AL215-TbTradesBinance[[#This Row],[Qtt]]),IF(TbTradesBinance[[#This Row],[Tipo]]="BUY",AL215-TbTradesBinance[[#This Row],[Qtt]]*TbTradesBinance[[#This Row],[Preço]],AL215+TbTradesBinance[[#This Row],[Qtt]]*TbTradesBinance[[#This Row],[Preço]])),AL215)-IF(TbTradesBinance[[#This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Row],[Tipo]]="DROP"),AL215+TbTradesBinance[[#This Row],[Qtt]],AL215-TbTradesBinance[[#This Row],[Qtt]]),IF(TbTradesBinance[[#This Row],[Tipo]]="BUY",AL215-TbTradesBinance[[#This Row],[Qtt]]*TbTradesBinance[[#This Row],[Preço]],AL215+TbTradesBinance[[#This Row],[Qtt]]*TbTradesBinance[[#This Row],[Preço]])),AL215)-IF(TbTradesBinance[[#This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Row],[Tipo]]="DROP"),AL215+TbTradesBinance[[#This Row],[Qtt]],AL215-TbTradesBinance[[#This Row],[Qtt]]),IF(TbTradesBinance[[#This Row],[Tipo]]="BUY",AL215-TbTradesBinance[[#This Row],[Qtt]]*TbTradesBinance[[#This Row],[Preço]],AL215+TbTradesBinance[[#This Row],[Qtt]]*TbTradesBinance[[#This Row],[Preço]])),AL215)-IF(TbTradesBinance[[#This Row],[Moeda da Taxa]]=MID(AL$1,9,5),TbTradesBinance[[#This Row],[Taxa]],0),8)))</f>
        <v>0</v>
      </c>
      <c r="AM216" s="145" cm="1">
        <f t="array" ref="AM216">IF(TbTradesBinance[[#This Row],[Tipo]]="EMPTY",0,AM215+IF(TbTradesBinance[[#This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Row],[Par]]))),$1:$1,0)),-(AL215-AL216)/AL215*AM215),0),0)+IF(TbTradesBinance[[#This Row],[Tipo]]="SELL",IF(ISNUMBER(FIND(MID(AM$1,10,5),TbTradesBinance[[#This Row],[Par]])),IF(FIND(MID(AM$1,10,5),TbTradesBinance[[#This Row],[Par]])=1, -(AL215-AL216)/AL215*AM215,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Row],[Par]])),(-(AL215-AL216)/AL215*AM215)+IF(TbTradesBinance[[#This Row],[Resultado]]&gt;0,0,TbTradesBinance[[#This Row],[Taxa]]),0),0))</f>
        <v>0</v>
      </c>
      <c r="AN216" s="145">
        <f t="shared" si="84"/>
        <v>0</v>
      </c>
      <c r="AO21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Row],[Tipo]]="DROP"),AO215+TbTradesBinance[[#This Row],[Qtt]],AO215-TbTradesBinance[[#This Row],[Qtt]]),IF(TbTradesBinance[[#This Row],[Tipo]]="BUY",AO215-TbTradesBinance[[#This Row],[Qtt]]*TbTradesBinance[[#This Row],[Preço]],AO215+TbTradesBinance[[#This Row],[Qtt]]*TbTradesBinance[[#This Row],[Preço]])),AO215)-IF(TbTradesBinance[[#This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Row],[Tipo]]="DROP"),AO215+TbTradesBinance[[#This Row],[Qtt]],AO215-TbTradesBinance[[#This Row],[Qtt]]),IF(TbTradesBinance[[#This Row],[Tipo]]="BUY",AO215-TbTradesBinance[[#This Row],[Qtt]]*TbTradesBinance[[#This Row],[Preço]],AO215+TbTradesBinance[[#This Row],[Qtt]]*TbTradesBinance[[#This Row],[Preço]])),AO215)-IF(TbTradesBinance[[#This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Row],[Tipo]]="DROP"),AO215+TbTradesBinance[[#This Row],[Qtt]],AO215-TbTradesBinance[[#This Row],[Qtt]]),IF(TbTradesBinance[[#This Row],[Tipo]]="BUY",AO215-TbTradesBinance[[#This Row],[Qtt]]*TbTradesBinance[[#This Row],[Preço]],AO215+TbTradesBinance[[#This Row],[Qtt]]*TbTradesBinance[[#This Row],[Preço]])),AO215)-IF(TbTradesBinance[[#This Row],[Moeda da Taxa]]=MID(AO$1,9,5),TbTradesBinance[[#This Row],[Taxa]],0),8)))</f>
        <v>6.7436170000000004E-2</v>
      </c>
      <c r="AP216" s="145" cm="1">
        <f t="array" ref="AP216">IF(TbTradesBinance[[#This Row],[Tipo]]="EMPTY",0,AP215+IF(TbTradesBinance[[#This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Row],[Par]]))),$1:$1,0)),-(AO215-AO216)/AO215*AP215),0),0)+IF(TbTradesBinance[[#This Row],[Tipo]]="SELL",IF(ISNUMBER(FIND(MID(AP$1,10,5),TbTradesBinance[[#This Row],[Par]])),IF(FIND(MID(AP$1,10,5),TbTradesBinance[[#This Row],[Par]])=1, -(AO215-AO216)/AO215*AP215,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Row],[Par]])),(-(AO215-AO216)/AO215*AP215)+IF(TbTradesBinance[[#This Row],[Resultado]]&gt;0,0,TbTradesBinance[[#This Row],[Taxa]]),0),0))</f>
        <v>102.0944711963762</v>
      </c>
      <c r="AQ216" s="145">
        <f t="shared" si="85"/>
        <v>1513.9423130995756</v>
      </c>
      <c r="AR21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Row],[Tipo]]="DROP"),AR215+TbTradesBinance[[#This Row],[Qtt]],AR215-TbTradesBinance[[#This Row],[Qtt]]),IF(TbTradesBinance[[#This Row],[Tipo]]="BUY",AR215-TbTradesBinance[[#This Row],[Qtt]]*TbTradesBinance[[#This Row],[Preço]],AR215+TbTradesBinance[[#This Row],[Qtt]]*TbTradesBinance[[#This Row],[Preço]])),AR215)-IF(TbTradesBinance[[#This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Row],[Tipo]]="DROP"),AR215+TbTradesBinance[[#This Row],[Qtt]],AR215-TbTradesBinance[[#This Row],[Qtt]]),IF(TbTradesBinance[[#This Row],[Tipo]]="BUY",AR215-TbTradesBinance[[#This Row],[Qtt]]*TbTradesBinance[[#This Row],[Preço]],AR215+TbTradesBinance[[#This Row],[Qtt]]*TbTradesBinance[[#This Row],[Preço]])),AR215)-IF(TbTradesBinance[[#This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Row],[Tipo]]="DROP"),AR215+TbTradesBinance[[#This Row],[Qtt]],AR215-TbTradesBinance[[#This Row],[Qtt]]),IF(TbTradesBinance[[#This Row],[Tipo]]="BUY",AR215-TbTradesBinance[[#This Row],[Qtt]]*TbTradesBinance[[#This Row],[Preço]],AR215+TbTradesBinance[[#This Row],[Qtt]]*TbTradesBinance[[#This Row],[Preço]])),AR215)-IF(TbTradesBinance[[#This Row],[Moeda da Taxa]]=MID(AR$1,9,5),TbTradesBinance[[#This Row],[Taxa]],0),8)))</f>
        <v>0</v>
      </c>
      <c r="AS216" s="145" cm="1">
        <f t="array" ref="AS216">IF(TbTradesBinance[[#This Row],[Tipo]]="EMPTY",0,AS215+IF(TbTradesBinance[[#This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Row],[Par]]))),$1:$1,0)),-(AR215-AR216)/AR215*AS215),0),0)+IF(TbTradesBinance[[#This Row],[Tipo]]="SELL",IF(ISNUMBER(FIND(MID(AS$1,10,5),TbTradesBinance[[#This Row],[Par]])),IF(FIND(MID(AS$1,10,5),TbTradesBinance[[#This Row],[Par]])=1, -(AR215-AR216)/AR215*AS215,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Row],[Par]])),(-(AR215-AR216)/AR215*AS215)+IF(TbTradesBinance[[#This Row],[Resultado]]&gt;0,0,TbTradesBinance[[#This Row],[Taxa]]),0),0))</f>
        <v>0</v>
      </c>
      <c r="AT216" s="145">
        <f t="shared" si="86"/>
        <v>0</v>
      </c>
      <c r="AU21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Row],[Tipo]]="DROP"),AU215+TbTradesBinance[[#This Row],[Qtt]],AU215-TbTradesBinance[[#This Row],[Qtt]]),IF(TbTradesBinance[[#This Row],[Tipo]]="BUY",AU215-TbTradesBinance[[#This Row],[Qtt]]*TbTradesBinance[[#This Row],[Preço]],AU215+TbTradesBinance[[#This Row],[Qtt]]*TbTradesBinance[[#This Row],[Preço]])),AU215)-IF(TbTradesBinance[[#This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Row],[Tipo]]="DROP"),AU215+TbTradesBinance[[#This Row],[Qtt]],AU215-TbTradesBinance[[#This Row],[Qtt]]),IF(TbTradesBinance[[#This Row],[Tipo]]="BUY",AU215-TbTradesBinance[[#This Row],[Qtt]]*TbTradesBinance[[#This Row],[Preço]],AU215+TbTradesBinance[[#This Row],[Qtt]]*TbTradesBinance[[#This Row],[Preço]])),AU215)-IF(TbTradesBinance[[#This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Row],[Tipo]]="DROP"),AU215+TbTradesBinance[[#This Row],[Qtt]],AU215-TbTradesBinance[[#This Row],[Qtt]]),IF(TbTradesBinance[[#This Row],[Tipo]]="BUY",AU215-TbTradesBinance[[#This Row],[Qtt]]*TbTradesBinance[[#This Row],[Preço]],AU215+TbTradesBinance[[#This Row],[Qtt]]*TbTradesBinance[[#This Row],[Preço]])),AU215)-IF(TbTradesBinance[[#This Row],[Moeda da Taxa]]=MID(AU$1,9,5),TbTradesBinance[[#This Row],[Taxa]],0),8)))</f>
        <v>0.51</v>
      </c>
      <c r="AV216" s="145" cm="1">
        <f t="array" ref="AV216">IF(TbTradesBinance[[#This Row],[Tipo]]="EMPTY",0,AV215+IF(TbTradesBinance[[#This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Row],[Par]]))),$1:$1,0)),-(AU215-AU216)/AU215*AV215),0),0)+IF(TbTradesBinance[[#This Row],[Tipo]]="SELL",IF(ISNUMBER(FIND(MID(AV$1,10,5),TbTradesBinance[[#This Row],[Par]])),IF(FIND(MID(AV$1,10,5),TbTradesBinance[[#This Row],[Par]])=1, -(AU215-AU216)/AU215*AV215,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Row],[Par]])),(-(AU215-AU216)/AU215*AV215)+IF(TbTradesBinance[[#This Row],[Resultado]]&gt;0,0,TbTradesBinance[[#This Row],[Taxa]]),0),0))</f>
        <v>95.466693037374753</v>
      </c>
      <c r="AW216" s="145">
        <f t="shared" si="87"/>
        <v>187.18959419093088</v>
      </c>
      <c r="AX21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Row],[Tipo]]="DROP"),AX215+TbTradesBinance[[#This Row],[Qtt]],AX215-TbTradesBinance[[#This Row],[Qtt]]),IF(TbTradesBinance[[#This Row],[Tipo]]="BUY",AX215-TbTradesBinance[[#This Row],[Qtt]]*TbTradesBinance[[#This Row],[Preço]],AX215+TbTradesBinance[[#This Row],[Qtt]]*TbTradesBinance[[#This Row],[Preço]])),AX215)-IF(TbTradesBinance[[#This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Row],[Tipo]]="DROP"),AX215+TbTradesBinance[[#This Row],[Qtt]],AX215-TbTradesBinance[[#This Row],[Qtt]]),IF(TbTradesBinance[[#This Row],[Tipo]]="BUY",AX215-TbTradesBinance[[#This Row],[Qtt]]*TbTradesBinance[[#This Row],[Preço]],AX215+TbTradesBinance[[#This Row],[Qtt]]*TbTradesBinance[[#This Row],[Preço]])),AX215)-IF(TbTradesBinance[[#This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Row],[Tipo]]="DROP"),AX215+TbTradesBinance[[#This Row],[Qtt]],AX215-TbTradesBinance[[#This Row],[Qtt]]),IF(TbTradesBinance[[#This Row],[Tipo]]="BUY",AX215-TbTradesBinance[[#This Row],[Qtt]]*TbTradesBinance[[#This Row],[Preço]],AX215+TbTradesBinance[[#This Row],[Qtt]]*TbTradesBinance[[#This Row],[Preço]])),AX215)-IF(TbTradesBinance[[#This Row],[Moeda da Taxa]]=MID(AX$1,9,5),TbTradesBinance[[#This Row],[Taxa]],0),8)))</f>
        <v>0.32838000000000001</v>
      </c>
      <c r="AY216" s="145" cm="1">
        <f t="array" ref="AY216">IF(TbTradesBinance[[#This Row],[Tipo]]="EMPTY",0,AY215+IF(TbTradesBinance[[#This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Row],[Par]]))),$1:$1,0)),-(AX215-AX216)/AX215*AY215),0),0)+IF(TbTradesBinance[[#This Row],[Tipo]]="SELL",IF(ISNUMBER(FIND(MID(AY$1,10,5),TbTradesBinance[[#This Row],[Par]])),IF(FIND(MID(AY$1,10,5),TbTradesBinance[[#This Row],[Par]])=1, -(AX215-AX216)/AX215*AY215,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Row],[Par]])),(-(AX215-AX216)/AX215*AY215)+IF(TbTradesBinance[[#This Row],[Resultado]]&gt;0,0,TbTradesBinance[[#This Row],[Taxa]]),0),0))</f>
        <v>61.364116058805678</v>
      </c>
      <c r="AZ216" s="145">
        <f t="shared" si="88"/>
        <v>186.869224857804</v>
      </c>
      <c r="BA21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Row],[Tipo]]="DROP"),BA215+TbTradesBinance[[#This Row],[Qtt]],BA215-TbTradesBinance[[#This Row],[Qtt]]),IF(TbTradesBinance[[#This Row],[Tipo]]="BUY",BA215-TbTradesBinance[[#This Row],[Qtt]]*TbTradesBinance[[#This Row],[Preço]],BA215+TbTradesBinance[[#This Row],[Qtt]]*TbTradesBinance[[#This Row],[Preço]])),BA215)-IF(TbTradesBinance[[#This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Row],[Tipo]]="DROP"),BA215+TbTradesBinance[[#This Row],[Qtt]],BA215-TbTradesBinance[[#This Row],[Qtt]]),IF(TbTradesBinance[[#This Row],[Tipo]]="BUY",BA215-TbTradesBinance[[#This Row],[Qtt]]*TbTradesBinance[[#This Row],[Preço]],BA215+TbTradesBinance[[#This Row],[Qtt]]*TbTradesBinance[[#This Row],[Preço]])),BA215)-IF(TbTradesBinance[[#This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Row],[Tipo]]="DROP"),BA215+TbTradesBinance[[#This Row],[Qtt]],BA215-TbTradesBinance[[#This Row],[Qtt]]),IF(TbTradesBinance[[#This Row],[Tipo]]="BUY",BA215-TbTradesBinance[[#This Row],[Qtt]]*TbTradesBinance[[#This Row],[Preço]],BA215+TbTradesBinance[[#This Row],[Qtt]]*TbTradesBinance[[#This Row],[Preço]])),BA215)-IF(TbTradesBinance[[#This Row],[Moeda da Taxa]]=MID(BA$1,9,5),TbTradesBinance[[#This Row],[Taxa]],0),8)))</f>
        <v>0</v>
      </c>
      <c r="BB216" s="145" cm="1">
        <f t="array" ref="BB216">IF(TbTradesBinance[[#This Row],[Tipo]]="EMPTY",0,BB215+IF(TbTradesBinance[[#This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Row],[Par]]))),$1:$1,0)),-(BA215-BA216)/BA215*BB215),0),0)+IF(TbTradesBinance[[#This Row],[Tipo]]="SELL",IF(ISNUMBER(FIND(MID(BB$1,10,5),TbTradesBinance[[#This Row],[Par]])),IF(FIND(MID(BB$1,10,5),TbTradesBinance[[#This Row],[Par]])=1, -(BA215-BA216)/BA215*BB215,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Row],[Par]])),(-(BA215-BA216)/BA215*BB215)+IF(TbTradesBinance[[#This Row],[Resultado]]&gt;0,0,TbTradesBinance[[#This Row],[Taxa]]),0),0))</f>
        <v>0</v>
      </c>
      <c r="BC216" s="145">
        <f t="shared" si="89"/>
        <v>0</v>
      </c>
      <c r="BD21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Row],[Tipo]]="DROP"),BD215+TbTradesBinance[[#This Row],[Qtt]],BD215-TbTradesBinance[[#This Row],[Qtt]]),IF(TbTradesBinance[[#This Row],[Tipo]]="BUY",BD215-TbTradesBinance[[#This Row],[Qtt]]*TbTradesBinance[[#This Row],[Preço]],BD215+TbTradesBinance[[#This Row],[Qtt]]*TbTradesBinance[[#This Row],[Preço]])),BD215)-IF(TbTradesBinance[[#This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Row],[Tipo]]="DROP"),BD215+TbTradesBinance[[#This Row],[Qtt]],BD215-TbTradesBinance[[#This Row],[Qtt]]),IF(TbTradesBinance[[#This Row],[Tipo]]="BUY",BD215-TbTradesBinance[[#This Row],[Qtt]]*TbTradesBinance[[#This Row],[Preço]],BD215+TbTradesBinance[[#This Row],[Qtt]]*TbTradesBinance[[#This Row],[Preço]])),BD215)-IF(TbTradesBinance[[#This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Row],[Tipo]]="DROP"),BD215+TbTradesBinance[[#This Row],[Qtt]],BD215-TbTradesBinance[[#This Row],[Qtt]]),IF(TbTradesBinance[[#This Row],[Tipo]]="BUY",BD215-TbTradesBinance[[#This Row],[Qtt]]*TbTradesBinance[[#This Row],[Preço]],BD215+TbTradesBinance[[#This Row],[Qtt]]*TbTradesBinance[[#This Row],[Preço]])),BD215)-IF(TbTradesBinance[[#This Row],[Moeda da Taxa]]=MID(BD$1,9,5),TbTradesBinance[[#This Row],[Taxa]],0),8)))</f>
        <v>0</v>
      </c>
      <c r="BE216" s="145" cm="1">
        <f t="array" ref="BE216">IF(TbTradesBinance[[#This Row],[Tipo]]="EMPTY",0,BE215+IF(TbTradesBinance[[#This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Row],[Par]]))),$1:$1,0)),-(BD215-BD216)/BD215*BE215),0),0)+IF(TbTradesBinance[[#This Row],[Tipo]]="SELL",IF(ISNUMBER(FIND(MID(BE$1,10,5),TbTradesBinance[[#This Row],[Par]])),IF(FIND(MID(BE$1,10,5),TbTradesBinance[[#This Row],[Par]])=1, -(BD215-BD216)/BD215*BE215,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Row],[Par]])),(-(BD215-BD216)/BD215*BE215)+IF(TbTradesBinance[[#This Row],[Resultado]]&gt;0,0,TbTradesBinance[[#This Row],[Taxa]]),0),0))</f>
        <v>0</v>
      </c>
      <c r="BF216" s="145">
        <f t="shared" si="90"/>
        <v>0</v>
      </c>
      <c r="BG21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Row],[Tipo]]="DROP"),BG215+TbTradesBinance[[#This Row],[Qtt]],BG215-TbTradesBinance[[#This Row],[Qtt]]),IF(TbTradesBinance[[#This Row],[Tipo]]="BUY",BG215-TbTradesBinance[[#This Row],[Qtt]]*TbTradesBinance[[#This Row],[Preço]],BG215+TbTradesBinance[[#This Row],[Qtt]]*TbTradesBinance[[#This Row],[Preço]])),BG215)-IF(TbTradesBinance[[#This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Row],[Tipo]]="DROP"),BG215+TbTradesBinance[[#This Row],[Qtt]],BG215-TbTradesBinance[[#This Row],[Qtt]]),IF(TbTradesBinance[[#This Row],[Tipo]]="BUY",BG215-TbTradesBinance[[#This Row],[Qtt]]*TbTradesBinance[[#This Row],[Preço]],BG215+TbTradesBinance[[#This Row],[Qtt]]*TbTradesBinance[[#This Row],[Preço]])),BG215)-IF(TbTradesBinance[[#This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Row],[Tipo]]="DROP"),BG215+TbTradesBinance[[#This Row],[Qtt]],BG215-TbTradesBinance[[#This Row],[Qtt]]),IF(TbTradesBinance[[#This Row],[Tipo]]="BUY",BG215-TbTradesBinance[[#This Row],[Qtt]]*TbTradesBinance[[#This Row],[Preço]],BG215+TbTradesBinance[[#This Row],[Qtt]]*TbTradesBinance[[#This Row],[Preço]])),BG215)-IF(TbTradesBinance[[#This Row],[Moeda da Taxa]]=MID(BG$1,9,5),TbTradesBinance[[#This Row],[Taxa]],0),8)))</f>
        <v>0</v>
      </c>
      <c r="BH216" s="145" cm="1">
        <f t="array" ref="BH216">IF(TbTradesBinance[[#This Row],[Tipo]]="EMPTY",0,BH215+IF(TbTradesBinance[[#This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Row],[Par]]))),$1:$1,0)),-(BG215-BG216)/BG215*BH215),0),0)+IF(TbTradesBinance[[#This Row],[Tipo]]="SELL",IF(ISNUMBER(FIND(MID(BH$1,10,5),TbTradesBinance[[#This Row],[Par]])),IF(FIND(MID(BH$1,10,5),TbTradesBinance[[#This Row],[Par]])=1, -(BG215-BG216)/BG215*BH215,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Row],[Par]])),(-(BG215-BG216)/BG215*BH215)+IF(TbTradesBinance[[#This Row],[Resultado]]&gt;0,0,TbTradesBinance[[#This Row],[Taxa]]),0),0))</f>
        <v>0</v>
      </c>
      <c r="BI216" s="145">
        <f t="shared" si="91"/>
        <v>0</v>
      </c>
      <c r="BJ21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Row],[Tipo]]="DROP"),BJ215+TbTradesBinance[[#This Row],[Qtt]],BJ215-TbTradesBinance[[#This Row],[Qtt]]),IF(TbTradesBinance[[#This Row],[Tipo]]="BUY",BJ215-TbTradesBinance[[#This Row],[Qtt]]*TbTradesBinance[[#This Row],[Preço]],BJ215+TbTradesBinance[[#This Row],[Qtt]]*TbTradesBinance[[#This Row],[Preço]])),BJ215)-IF(TbTradesBinance[[#This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Row],[Tipo]]="DROP"),BJ215+TbTradesBinance[[#This Row],[Qtt]],BJ215-TbTradesBinance[[#This Row],[Qtt]]),IF(TbTradesBinance[[#This Row],[Tipo]]="BUY",BJ215-TbTradesBinance[[#This Row],[Qtt]]*TbTradesBinance[[#This Row],[Preço]],BJ215+TbTradesBinance[[#This Row],[Qtt]]*TbTradesBinance[[#This Row],[Preço]])),BJ215)-IF(TbTradesBinance[[#This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Row],[Tipo]]="DROP"),BJ215+TbTradesBinance[[#This Row],[Qtt]],BJ215-TbTradesBinance[[#This Row],[Qtt]]),IF(TbTradesBinance[[#This Row],[Tipo]]="BUY",BJ215-TbTradesBinance[[#This Row],[Qtt]]*TbTradesBinance[[#This Row],[Preço]],BJ215+TbTradesBinance[[#This Row],[Qtt]]*TbTradesBinance[[#This Row],[Preço]])),BJ215)-IF(TbTradesBinance[[#This Row],[Moeda da Taxa]]=MID(BJ$1,9,5),TbTradesBinance[[#This Row],[Taxa]],0),8)))</f>
        <v>0</v>
      </c>
      <c r="BK216" s="145" cm="1">
        <f t="array" ref="BK216">IF(TbTradesBinance[[#This Row],[Tipo]]="EMPTY",0,BK215+IF(TbTradesBinance[[#This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Row],[Par]]))),$1:$1,0)),-(BJ215-BJ216)/BJ215*BK215),0),0)+IF(TbTradesBinance[[#This Row],[Tipo]]="SELL",IF(ISNUMBER(FIND(MID(BK$1,10,5),TbTradesBinance[[#This Row],[Par]])),IF(FIND(MID(BK$1,10,5),TbTradesBinance[[#This Row],[Par]])=1, -(BJ215-BJ216)/BJ215*BK215,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Row],[Par]])),(-(BJ215-BJ216)/BJ215*BK215)+IF(TbTradesBinance[[#This Row],[Resultado]]&gt;0,0,TbTradesBinance[[#This Row],[Taxa]]),0),0))</f>
        <v>0</v>
      </c>
      <c r="BL216" s="145">
        <f t="shared" si="92"/>
        <v>0</v>
      </c>
      <c r="BM21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Row],[Tipo]]="DROP"),BM215+TbTradesBinance[[#This Row],[Qtt]],BM215-TbTradesBinance[[#This Row],[Qtt]]),IF(TbTradesBinance[[#This Row],[Tipo]]="BUY",BM215-TbTradesBinance[[#This Row],[Qtt]]*TbTradesBinance[[#This Row],[Preço]],BM215+TbTradesBinance[[#This Row],[Qtt]]*TbTradesBinance[[#This Row],[Preço]])),BM215)-IF(TbTradesBinance[[#This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Row],[Tipo]]="DROP"),BM215+TbTradesBinance[[#This Row],[Qtt]],BM215-TbTradesBinance[[#This Row],[Qtt]]),IF(TbTradesBinance[[#This Row],[Tipo]]="BUY",BM215-TbTradesBinance[[#This Row],[Qtt]]*TbTradesBinance[[#This Row],[Preço]],BM215+TbTradesBinance[[#This Row],[Qtt]]*TbTradesBinance[[#This Row],[Preço]])),BM215)-IF(TbTradesBinance[[#This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Row],[Tipo]]="DROP"),BM215+TbTradesBinance[[#This Row],[Qtt]],BM215-TbTradesBinance[[#This Row],[Qtt]]),IF(TbTradesBinance[[#This Row],[Tipo]]="BUY",BM215-TbTradesBinance[[#This Row],[Qtt]]*TbTradesBinance[[#This Row],[Preço]],BM215+TbTradesBinance[[#This Row],[Qtt]]*TbTradesBinance[[#This Row],[Preço]])),BM215)-IF(TbTradesBinance[[#This Row],[Moeda da Taxa]]=MID(BM$1,9,5),TbTradesBinance[[#This Row],[Taxa]],0),8)))</f>
        <v>0</v>
      </c>
      <c r="BN216" s="145" cm="1">
        <f t="array" ref="BN216">IF(TbTradesBinance[[#This Row],[Tipo]]="EMPTY",0,BN215+IF(TbTradesBinance[[#This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Row],[Par]]))),$1:$1,0)),-(BM215-BM216)/BM215*BN215),0),0)+IF(TbTradesBinance[[#This Row],[Tipo]]="SELL",IF(ISNUMBER(FIND(MID(BN$1,10,5),TbTradesBinance[[#This Row],[Par]])),IF(FIND(MID(BN$1,10,5),TbTradesBinance[[#This Row],[Par]])=1, -(BM215-BM216)/BM215*BN215,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Row],[Par]])),(-(BM215-BM216)/BM215*BN215)+IF(TbTradesBinance[[#This Row],[Resultado]]&gt;0,0,TbTradesBinance[[#This Row],[Taxa]]),0),0))</f>
        <v>0</v>
      </c>
      <c r="BO216" s="145">
        <f t="shared" si="93"/>
        <v>0</v>
      </c>
    </row>
    <row r="217" spans="2:67" x14ac:dyDescent="0.3">
      <c r="B217" s="51"/>
      <c r="C217" s="40">
        <f>TRUNC(IF(AND(TbTradesBinance[[#This Row],[Tipo]]="SEND",TbTradesBinance[[#This Row],[Par]]="BRL"),TbTradesBinance[[#This Row],[Qtt]]*(1-P215)-IF(TbTradesBinance[[#This Row],[Moeda da Taxa]]="BRL",TbTradesBinance[[#This Row],[Taxa]],0),0)+IF(AND(TbTradesBinance[[#This Row],[Tipo]]="BURN",TbTradesBinance[[#This Row],[Par]]="BRL"),-TbTradesBinance[[#This Row],[Qtt]]*P215,0),2)</f>
        <v>0</v>
      </c>
      <c r="D217" s="53">
        <v>44392.338935185187</v>
      </c>
      <c r="E217" s="37" t="s">
        <v>249</v>
      </c>
      <c r="F217" s="47" t="s">
        <v>140</v>
      </c>
      <c r="G217" s="38">
        <v>31900.560000000001</v>
      </c>
      <c r="H217" s="38">
        <v>1.567E-3</v>
      </c>
      <c r="I217" s="38">
        <v>1.1979E-4</v>
      </c>
      <c r="J217" s="37" t="s">
        <v>45</v>
      </c>
      <c r="K217" s="52">
        <v>5.1360000000000001</v>
      </c>
      <c r="L217" s="40">
        <f t="shared" si="94"/>
        <v>163841.26999999999</v>
      </c>
      <c r="M217" s="40">
        <f>IF(OR(TbTradesBinance[[#This Row],[Tipo]]="BUY",TbTradesBinance[[#This Row],[Tipo]]="RECEIVE",TbTradesBinance[[#This Row],[Tipo]]="DROP"),L217*H217,-L217*H217)</f>
        <v>-256.73927008999999</v>
      </c>
      <c r="N21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Row],[Tipo]]="DROP"),N216+TbTradesBinance[[#This Row],[Qtt]],N216-TbTradesBinance[[#This Row],[Qtt]]),IF(TbTradesBinance[[#This Row],[Tipo]]="BUY",N216-TbTradesBinance[[#This Row],[Qtt]]*TbTradesBinance[[#This Row],[Preço]],N216+TbTradesBinance[[#This Row],[Qtt]]*TbTradesBinance[[#This Row],[Preço]])),N216)-IF(TbTradesBinance[[#This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Row],[Tipo]]="DROP"),N216+TbTradesBinance[[#This Row],[Qtt]],N216-TbTradesBinance[[#This Row],[Qtt]]),IF(TbTradesBinance[[#This Row],[Tipo]]="BUY",N216-TbTradesBinance[[#This Row],[Qtt]]*TbTradesBinance[[#This Row],[Preço]],N216+TbTradesBinance[[#This Row],[Qtt]]*TbTradesBinance[[#This Row],[Preço]])),N216)-IF(TbTradesBinance[[#This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Row],[Tipo]]="DROP"),N216+TbTradesBinance[[#This Row],[Qtt]],N216-TbTradesBinance[[#This Row],[Qtt]]),IF(TbTradesBinance[[#This Row],[Tipo]]="BUY",N216-TbTradesBinance[[#This Row],[Qtt]]*TbTradesBinance[[#This Row],[Preço]],N216+TbTradesBinance[[#This Row],[Qtt]]*TbTradesBinance[[#This Row],[Preço]])),N216)-IF(TbTradesBinance[[#This Row],[Moeda da Taxa]]=MID(N$1,9,5),TbTradesBinance[[#This Row],[Taxa]],0),8)))</f>
        <v>119745.44911781</v>
      </c>
      <c r="O217" s="145" cm="1">
        <f t="array" ref="O217">IF(TbTradesBinance[[#This Row],[Tipo]]="EMPTY",0,O216+IF(TbTradesBinance[[#This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Row],[Par]]))),$1:$1,0)),-(N216-N217)/N216*O216),0),0)+IF(TbTradesBinance[[#This Row],[Tipo]]="SELL",IF(ISNUMBER(FIND(MID(O$1,10,5),TbTradesBinance[[#This Row],[Par]])),IF(FIND(MID(O$1,10,5),TbTradesBinance[[#This Row],[Par]])=1, -(N216-N217)/N216*O216,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Row],[Par]])),(-(N216-N217)/N216*O216)+IF(TbTradesBinance[[#This Row],[Resultado]]&gt;0,0,TbTradesBinance[[#This Row],[Taxa]]),0),0))</f>
        <v>120404.99677150718</v>
      </c>
      <c r="P217" s="145">
        <f t="shared" si="76"/>
        <v>1.0055079141508609</v>
      </c>
      <c r="Q21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Row],[Tipo]]="DROP"),Q216+TbTradesBinance[[#This Row],[Qtt]],Q216-TbTradesBinance[[#This Row],[Qtt]]),IF(TbTradesBinance[[#This Row],[Tipo]]="BUY",Q216-TbTradesBinance[[#This Row],[Qtt]]*TbTradesBinance[[#This Row],[Preço]],Q216+TbTradesBinance[[#This Row],[Qtt]]*TbTradesBinance[[#This Row],[Preço]])),Q216)-IF(TbTradesBinance[[#This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Row],[Tipo]]="DROP"),Q216+TbTradesBinance[[#This Row],[Qtt]],Q216-TbTradesBinance[[#This Row],[Qtt]]),IF(TbTradesBinance[[#This Row],[Tipo]]="BUY",Q216-TbTradesBinance[[#This Row],[Qtt]]*TbTradesBinance[[#This Row],[Preço]],Q216+TbTradesBinance[[#This Row],[Qtt]]*TbTradesBinance[[#This Row],[Preço]])),Q216)-IF(TbTradesBinance[[#This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Row],[Tipo]]="DROP"),Q216+TbTradesBinance[[#This Row],[Qtt]],Q216-TbTradesBinance[[#This Row],[Qtt]]),IF(TbTradesBinance[[#This Row],[Tipo]]="BUY",Q216-TbTradesBinance[[#This Row],[Qtt]]*TbTradesBinance[[#This Row],[Preço]],Q216+TbTradesBinance[[#This Row],[Qtt]]*TbTradesBinance[[#This Row],[Preço]])),Q216)-IF(TbTradesBinance[[#This Row],[Moeda da Taxa]]=MID(Q$1,9,5),TbTradesBinance[[#This Row],[Taxa]],0),8)))</f>
        <v>384.44035733999999</v>
      </c>
      <c r="R217" s="145" cm="1">
        <f t="array" ref="R217">IF(TbTradesBinance[[#This Row],[Tipo]]="EMPTY",0,R216+IF(TbTradesBinance[[#This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Row],[Par]]))),$1:$1,0)),-(Q216-Q217)/Q216*R216),0),0)+IF(TbTradesBinance[[#This Row],[Tipo]]="SELL",IF(ISNUMBER(FIND(MID(R$1,10,5),TbTradesBinance[[#This Row],[Par]])),IF(FIND(MID(R$1,10,5),TbTradesBinance[[#This Row],[Par]])=1, -(Q216-Q217)/Q216*R216,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Row],[Par]])),(-(Q216-Q217)/Q216*R216)+IF(TbTradesBinance[[#This Row],[Resultado]]&gt;0,0,TbTradesBinance[[#This Row],[Taxa]]),0),0))</f>
        <v>2102.988744859962</v>
      </c>
      <c r="S217" s="145">
        <f t="shared" si="77"/>
        <v>5.4702600929071385</v>
      </c>
      <c r="T21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Row],[Tipo]]="DROP"),T216+TbTradesBinance[[#This Row],[Qtt]],T216-TbTradesBinance[[#This Row],[Qtt]]),IF(TbTradesBinance[[#This Row],[Tipo]]="BUY",T216-TbTradesBinance[[#This Row],[Qtt]]*TbTradesBinance[[#This Row],[Preço]],T216+TbTradesBinance[[#This Row],[Qtt]]*TbTradesBinance[[#This Row],[Preço]])),T216)-IF(TbTradesBinance[[#This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Row],[Tipo]]="DROP"),T216+TbTradesBinance[[#This Row],[Qtt]],T216-TbTradesBinance[[#This Row],[Qtt]]),IF(TbTradesBinance[[#This Row],[Tipo]]="BUY",T216-TbTradesBinance[[#This Row],[Qtt]]*TbTradesBinance[[#This Row],[Preço]],T216+TbTradesBinance[[#This Row],[Qtt]]*TbTradesBinance[[#This Row],[Preço]])),T216)-IF(TbTradesBinance[[#This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Row],[Tipo]]="DROP"),T216+TbTradesBinance[[#This Row],[Qtt]],T216-TbTradesBinance[[#This Row],[Qtt]]),IF(TbTradesBinance[[#This Row],[Tipo]]="BUY",T216-TbTradesBinance[[#This Row],[Qtt]]*TbTradesBinance[[#This Row],[Preço]],T216+TbTradesBinance[[#This Row],[Qtt]]*TbTradesBinance[[#This Row],[Preço]])),T216)-IF(TbTradesBinance[[#This Row],[Moeda da Taxa]]=MID(T$1,9,5),TbTradesBinance[[#This Row],[Taxa]],0),8)))</f>
        <v>101223913.720009</v>
      </c>
      <c r="U217" s="145" cm="1">
        <f t="array" ref="U217">IF(TbTradesBinance[[#This Row],[Tipo]]="EMPTY",0,U216+IF(TbTradesBinance[[#This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Row],[Par]]))),$1:$1,0)),-(T216-T217)/T216*U216),0),0)+IF(TbTradesBinance[[#This Row],[Tipo]]="SELL",IF(ISNUMBER(FIND(MID(U$1,10,5),TbTradesBinance[[#This Row],[Par]])),IF(FIND(MID(U$1,10,5),TbTradesBinance[[#This Row],[Par]])=1, -(T216-T217)/T216*U216,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Row],[Par]])),(-(T216-T217)/T216*U216)+IF(TbTradesBinance[[#This Row],[Resultado]]&gt;0,0,TbTradesBinance[[#This Row],[Taxa]]),0),0))</f>
        <v>617586601.27364206</v>
      </c>
      <c r="V217" s="145">
        <f t="shared" si="78"/>
        <v>6.1011926784605572</v>
      </c>
      <c r="W21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Row],[Tipo]]="DROP"),W216+TbTradesBinance[[#This Row],[Qtt]],W216-TbTradesBinance[[#This Row],[Qtt]]),IF(TbTradesBinance[[#This Row],[Tipo]]="BUY",W216-TbTradesBinance[[#This Row],[Qtt]]*TbTradesBinance[[#This Row],[Preço]],W216+TbTradesBinance[[#This Row],[Qtt]]*TbTradesBinance[[#This Row],[Preço]])),W216)-IF(TbTradesBinance[[#This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Row],[Tipo]]="DROP"),W216+TbTradesBinance[[#This Row],[Qtt]],W216-TbTradesBinance[[#This Row],[Qtt]]),IF(TbTradesBinance[[#This Row],[Tipo]]="BUY",W216-TbTradesBinance[[#This Row],[Qtt]]*TbTradesBinance[[#This Row],[Preço]],W216+TbTradesBinance[[#This Row],[Qtt]]*TbTradesBinance[[#This Row],[Preço]])),W216)-IF(TbTradesBinance[[#This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Row],[Tipo]]="DROP"),W216+TbTradesBinance[[#This Row],[Qtt]],W216-TbTradesBinance[[#This Row],[Qtt]]),IF(TbTradesBinance[[#This Row],[Tipo]]="BUY",W216-TbTradesBinance[[#This Row],[Qtt]]*TbTradesBinance[[#This Row],[Preço]],W216+TbTradesBinance[[#This Row],[Qtt]]*TbTradesBinance[[#This Row],[Preço]])),W216)-IF(TbTradesBinance[[#This Row],[Moeda da Taxa]]=MID(W$1,9,5),TbTradesBinance[[#This Row],[Taxa]],0),8)))</f>
        <v>2.75699E-3</v>
      </c>
      <c r="X217" s="145" cm="1">
        <f t="array" ref="X217">IF(TbTradesBinance[[#This Row],[Tipo]]="EMPTY",0,X216+IF(TbTradesBinance[[#This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Row],[Par]]))),$1:$1,0)),-(W216-W217)/W216*X216),0),0)+IF(TbTradesBinance[[#This Row],[Tipo]]="SELL",IF(ISNUMBER(FIND(MID(X$1,10,5),TbTradesBinance[[#This Row],[Par]])),IF(FIND(MID(X$1,10,5),TbTradesBinance[[#This Row],[Par]])=1, -(W216-W217)/W216*X216,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Row],[Par]])),(-(W216-W217)/W216*X216)+IF(TbTradesBinance[[#This Row],[Resultado]]&gt;0,0,TbTradesBinance[[#This Row],[Taxa]]),0),0))</f>
        <v>480.4909768319115</v>
      </c>
      <c r="Y217" s="145">
        <f t="shared" si="79"/>
        <v>174281.00095825936</v>
      </c>
      <c r="Z21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Row],[Tipo]]="DROP"),Z216+TbTradesBinance[[#This Row],[Qtt]],Z216-TbTradesBinance[[#This Row],[Qtt]]),IF(TbTradesBinance[[#This Row],[Tipo]]="BUY",Z216-TbTradesBinance[[#This Row],[Qtt]]*TbTradesBinance[[#This Row],[Preço]],Z216+TbTradesBinance[[#This Row],[Qtt]]*TbTradesBinance[[#This Row],[Preço]])),Z216)-IF(TbTradesBinance[[#This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Row],[Tipo]]="DROP"),Z216+TbTradesBinance[[#This Row],[Qtt]],Z216-TbTradesBinance[[#This Row],[Qtt]]),IF(TbTradesBinance[[#This Row],[Tipo]]="BUY",Z216-TbTradesBinance[[#This Row],[Qtt]]*TbTradesBinance[[#This Row],[Preço]],Z216+TbTradesBinance[[#This Row],[Qtt]]*TbTradesBinance[[#This Row],[Preço]])),Z216)-IF(TbTradesBinance[[#This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Row],[Tipo]]="DROP"),Z216+TbTradesBinance[[#This Row],[Qtt]],Z216-TbTradesBinance[[#This Row],[Qtt]]),IF(TbTradesBinance[[#This Row],[Tipo]]="BUY",Z216-TbTradesBinance[[#This Row],[Qtt]]*TbTradesBinance[[#This Row],[Preço]],Z216+TbTradesBinance[[#This Row],[Qtt]]*TbTradesBinance[[#This Row],[Preço]])),Z216)-IF(TbTradesBinance[[#This Row],[Moeda da Taxa]]=MID(Z$1,9,5),TbTradesBinance[[#This Row],[Taxa]],0),8)))</f>
        <v>0</v>
      </c>
      <c r="AA217" s="145" cm="1">
        <f t="array" ref="AA217">IF(TbTradesBinance[[#This Row],[Tipo]]="EMPTY",0,AA216+IF(TbTradesBinance[[#This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Row],[Par]]))),$1:$1,0)),-(Z216-Z217)/Z216*AA216),0),0)+IF(TbTradesBinance[[#This Row],[Tipo]]="SELL",IF(ISNUMBER(FIND(MID(AA$1,10,5),TbTradesBinance[[#This Row],[Par]])),IF(FIND(MID(AA$1,10,5),TbTradesBinance[[#This Row],[Par]])=1, -(Z216-Z217)/Z216*AA216,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Row],[Par]])),(-(Z216-Z217)/Z216*AA216)+IF(TbTradesBinance[[#This Row],[Resultado]]&gt;0,0,TbTradesBinance[[#This Row],[Taxa]]),0),0))</f>
        <v>0</v>
      </c>
      <c r="AB217" s="145">
        <f t="shared" si="80"/>
        <v>0</v>
      </c>
      <c r="AC21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Row],[Tipo]]="DROP"),AC216+TbTradesBinance[[#This Row],[Qtt]],AC216-TbTradesBinance[[#This Row],[Qtt]]),IF(TbTradesBinance[[#This Row],[Tipo]]="BUY",AC216-TbTradesBinance[[#This Row],[Qtt]]*TbTradesBinance[[#This Row],[Preço]],AC216+TbTradesBinance[[#This Row],[Qtt]]*TbTradesBinance[[#This Row],[Preço]])),AC216)-IF(TbTradesBinance[[#This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Row],[Tipo]]="DROP"),AC216+TbTradesBinance[[#This Row],[Qtt]],AC216-TbTradesBinance[[#This Row],[Qtt]]),IF(TbTradesBinance[[#This Row],[Tipo]]="BUY",AC216-TbTradesBinance[[#This Row],[Qtt]]*TbTradesBinance[[#This Row],[Preço]],AC216+TbTradesBinance[[#This Row],[Qtt]]*TbTradesBinance[[#This Row],[Preço]])),AC216)-IF(TbTradesBinance[[#This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Row],[Tipo]]="DROP"),AC216+TbTradesBinance[[#This Row],[Qtt]],AC216-TbTradesBinance[[#This Row],[Qtt]]),IF(TbTradesBinance[[#This Row],[Tipo]]="BUY",AC216-TbTradesBinance[[#This Row],[Qtt]]*TbTradesBinance[[#This Row],[Preço]],AC216+TbTradesBinance[[#This Row],[Qtt]]*TbTradesBinance[[#This Row],[Preço]])),AC216)-IF(TbTradesBinance[[#This Row],[Moeda da Taxa]]=MID(AC$1,9,5),TbTradesBinance[[#This Row],[Taxa]],0),8)))</f>
        <v>0</v>
      </c>
      <c r="AD217" s="145" cm="1">
        <f t="array" ref="AD217">IF(TbTradesBinance[[#This Row],[Tipo]]="EMPTY",0,AD216+IF(TbTradesBinance[[#This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Row],[Par]]))),$1:$1,0)),-(AC216-AC217)/AC216*AD216),0),0)+IF(TbTradesBinance[[#This Row],[Tipo]]="SELL",IF(ISNUMBER(FIND(MID(AD$1,10,5),TbTradesBinance[[#This Row],[Par]])),IF(FIND(MID(AD$1,10,5),TbTradesBinance[[#This Row],[Par]])=1, -(AC216-AC217)/AC216*AD216,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Row],[Par]])),(-(AC216-AC217)/AC216*AD216)+IF(TbTradesBinance[[#This Row],[Resultado]]&gt;0,0,TbTradesBinance[[#This Row],[Taxa]]),0),0))</f>
        <v>0</v>
      </c>
      <c r="AE217" s="145">
        <f t="shared" si="81"/>
        <v>0</v>
      </c>
      <c r="AF21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Row],[Tipo]]="DROP"),AF216+TbTradesBinance[[#This Row],[Qtt]],AF216-TbTradesBinance[[#This Row],[Qtt]]),IF(TbTradesBinance[[#This Row],[Tipo]]="BUY",AF216-TbTradesBinance[[#This Row],[Qtt]]*TbTradesBinance[[#This Row],[Preço]],AF216+TbTradesBinance[[#This Row],[Qtt]]*TbTradesBinance[[#This Row],[Preço]])),AF216)-IF(TbTradesBinance[[#This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Row],[Tipo]]="DROP"),AF216+TbTradesBinance[[#This Row],[Qtt]],AF216-TbTradesBinance[[#This Row],[Qtt]]),IF(TbTradesBinance[[#This Row],[Tipo]]="BUY",AF216-TbTradesBinance[[#This Row],[Qtt]]*TbTradesBinance[[#This Row],[Preço]],AF216+TbTradesBinance[[#This Row],[Qtt]]*TbTradesBinance[[#This Row],[Preço]])),AF216)-IF(TbTradesBinance[[#This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Row],[Tipo]]="DROP"),AF216+TbTradesBinance[[#This Row],[Qtt]],AF216-TbTradesBinance[[#This Row],[Qtt]]),IF(TbTradesBinance[[#This Row],[Tipo]]="BUY",AF216-TbTradesBinance[[#This Row],[Qtt]]*TbTradesBinance[[#This Row],[Preço]],AF216+TbTradesBinance[[#This Row],[Qtt]]*TbTradesBinance[[#This Row],[Preço]])),AF216)-IF(TbTradesBinance[[#This Row],[Moeda da Taxa]]=MID(AF$1,9,5),TbTradesBinance[[#This Row],[Taxa]],0),8)))</f>
        <v>0</v>
      </c>
      <c r="AG217" s="145" cm="1">
        <f t="array" ref="AG217">IF(TbTradesBinance[[#This Row],[Tipo]]="EMPTY",0,AG216+IF(TbTradesBinance[[#This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Row],[Par]]))),$1:$1,0)),-(AF216-AF217)/AF216*AG216),0),0)+IF(TbTradesBinance[[#This Row],[Tipo]]="SELL",IF(ISNUMBER(FIND(MID(AG$1,10,5),TbTradesBinance[[#This Row],[Par]])),IF(FIND(MID(AG$1,10,5),TbTradesBinance[[#This Row],[Par]])=1, -(AF216-AF217)/AF216*AG216,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Row],[Par]])),(-(AF216-AF217)/AF216*AG216)+IF(TbTradesBinance[[#This Row],[Resultado]]&gt;0,0,TbTradesBinance[[#This Row],[Taxa]]),0),0))</f>
        <v>0</v>
      </c>
      <c r="AH217" s="145">
        <f t="shared" si="82"/>
        <v>0</v>
      </c>
      <c r="AI21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Row],[Tipo]]="DROP"),AI216+TbTradesBinance[[#This Row],[Qtt]],AI216-TbTradesBinance[[#This Row],[Qtt]]),IF(TbTradesBinance[[#This Row],[Tipo]]="BUY",AI216-TbTradesBinance[[#This Row],[Qtt]]*TbTradesBinance[[#This Row],[Preço]],AI216+TbTradesBinance[[#This Row],[Qtt]]*TbTradesBinance[[#This Row],[Preço]])),AI216)-IF(TbTradesBinance[[#This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Row],[Tipo]]="DROP"),AI216+TbTradesBinance[[#This Row],[Qtt]],AI216-TbTradesBinance[[#This Row],[Qtt]]),IF(TbTradesBinance[[#This Row],[Tipo]]="BUY",AI216-TbTradesBinance[[#This Row],[Qtt]]*TbTradesBinance[[#This Row],[Preço]],AI216+TbTradesBinance[[#This Row],[Qtt]]*TbTradesBinance[[#This Row],[Preço]])),AI216)-IF(TbTradesBinance[[#This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Row],[Tipo]]="DROP"),AI216+TbTradesBinance[[#This Row],[Qtt]],AI216-TbTradesBinance[[#This Row],[Qtt]]),IF(TbTradesBinance[[#This Row],[Tipo]]="BUY",AI216-TbTradesBinance[[#This Row],[Qtt]]*TbTradesBinance[[#This Row],[Preço]],AI216+TbTradesBinance[[#This Row],[Qtt]]*TbTradesBinance[[#This Row],[Preço]])),AI216)-IF(TbTradesBinance[[#This Row],[Moeda da Taxa]]=MID(AI$1,9,5),TbTradesBinance[[#This Row],[Taxa]],0),8)))</f>
        <v>0</v>
      </c>
      <c r="AJ217" s="145" cm="1">
        <f t="array" ref="AJ217">IF(TbTradesBinance[[#This Row],[Tipo]]="EMPTY",0,AJ216+IF(TbTradesBinance[[#This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Row],[Par]]))),$1:$1,0)),-(AI216-AI217)/AI216*AJ216),0),0)+IF(TbTradesBinance[[#This Row],[Tipo]]="SELL",IF(ISNUMBER(FIND(MID(AJ$1,10,5),TbTradesBinance[[#This Row],[Par]])),IF(FIND(MID(AJ$1,10,5),TbTradesBinance[[#This Row],[Par]])=1, -(AI216-AI217)/AI216*AJ216,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Row],[Par]])),(-(AI216-AI217)/AI216*AJ216)+IF(TbTradesBinance[[#This Row],[Resultado]]&gt;0,0,TbTradesBinance[[#This Row],[Taxa]]),0),0))</f>
        <v>0</v>
      </c>
      <c r="AK217" s="145">
        <f t="shared" si="83"/>
        <v>0</v>
      </c>
      <c r="AL21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Row],[Tipo]]="DROP"),AL216+TbTradesBinance[[#This Row],[Qtt]],AL216-TbTradesBinance[[#This Row],[Qtt]]),IF(TbTradesBinance[[#This Row],[Tipo]]="BUY",AL216-TbTradesBinance[[#This Row],[Qtt]]*TbTradesBinance[[#This Row],[Preço]],AL216+TbTradesBinance[[#This Row],[Qtt]]*TbTradesBinance[[#This Row],[Preço]])),AL216)-IF(TbTradesBinance[[#This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Row],[Tipo]]="DROP"),AL216+TbTradesBinance[[#This Row],[Qtt]],AL216-TbTradesBinance[[#This Row],[Qtt]]),IF(TbTradesBinance[[#This Row],[Tipo]]="BUY",AL216-TbTradesBinance[[#This Row],[Qtt]]*TbTradesBinance[[#This Row],[Preço]],AL216+TbTradesBinance[[#This Row],[Qtt]]*TbTradesBinance[[#This Row],[Preço]])),AL216)-IF(TbTradesBinance[[#This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Row],[Tipo]]="DROP"),AL216+TbTradesBinance[[#This Row],[Qtt]],AL216-TbTradesBinance[[#This Row],[Qtt]]),IF(TbTradesBinance[[#This Row],[Tipo]]="BUY",AL216-TbTradesBinance[[#This Row],[Qtt]]*TbTradesBinance[[#This Row],[Preço]],AL216+TbTradesBinance[[#This Row],[Qtt]]*TbTradesBinance[[#This Row],[Preço]])),AL216)-IF(TbTradesBinance[[#This Row],[Moeda da Taxa]]=MID(AL$1,9,5),TbTradesBinance[[#This Row],[Taxa]],0),8)))</f>
        <v>0</v>
      </c>
      <c r="AM217" s="145" cm="1">
        <f t="array" ref="AM217">IF(TbTradesBinance[[#This Row],[Tipo]]="EMPTY",0,AM216+IF(TbTradesBinance[[#This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Row],[Par]]))),$1:$1,0)),-(AL216-AL217)/AL216*AM216),0),0)+IF(TbTradesBinance[[#This Row],[Tipo]]="SELL",IF(ISNUMBER(FIND(MID(AM$1,10,5),TbTradesBinance[[#This Row],[Par]])),IF(FIND(MID(AM$1,10,5),TbTradesBinance[[#This Row],[Par]])=1, -(AL216-AL217)/AL216*AM216,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Row],[Par]])),(-(AL216-AL217)/AL216*AM216)+IF(TbTradesBinance[[#This Row],[Resultado]]&gt;0,0,TbTradesBinance[[#This Row],[Taxa]]),0),0))</f>
        <v>0</v>
      </c>
      <c r="AN217" s="145">
        <f t="shared" si="84"/>
        <v>0</v>
      </c>
      <c r="AO21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Row],[Tipo]]="DROP"),AO216+TbTradesBinance[[#This Row],[Qtt]],AO216-TbTradesBinance[[#This Row],[Qtt]]),IF(TbTradesBinance[[#This Row],[Tipo]]="BUY",AO216-TbTradesBinance[[#This Row],[Qtt]]*TbTradesBinance[[#This Row],[Preço]],AO216+TbTradesBinance[[#This Row],[Qtt]]*TbTradesBinance[[#This Row],[Preço]])),AO216)-IF(TbTradesBinance[[#This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Row],[Tipo]]="DROP"),AO216+TbTradesBinance[[#This Row],[Qtt]],AO216-TbTradesBinance[[#This Row],[Qtt]]),IF(TbTradesBinance[[#This Row],[Tipo]]="BUY",AO216-TbTradesBinance[[#This Row],[Qtt]]*TbTradesBinance[[#This Row],[Preço]],AO216+TbTradesBinance[[#This Row],[Qtt]]*TbTradesBinance[[#This Row],[Preço]])),AO216)-IF(TbTradesBinance[[#This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Row],[Tipo]]="DROP"),AO216+TbTradesBinance[[#This Row],[Qtt]],AO216-TbTradesBinance[[#This Row],[Qtt]]),IF(TbTradesBinance[[#This Row],[Tipo]]="BUY",AO216-TbTradesBinance[[#This Row],[Qtt]]*TbTradesBinance[[#This Row],[Preço]],AO216+TbTradesBinance[[#This Row],[Qtt]]*TbTradesBinance[[#This Row],[Preço]])),AO216)-IF(TbTradesBinance[[#This Row],[Moeda da Taxa]]=MID(AO$1,9,5),TbTradesBinance[[#This Row],[Taxa]],0),8)))</f>
        <v>6.7316379999999995E-2</v>
      </c>
      <c r="AP217" s="145" cm="1">
        <f t="array" ref="AP217">IF(TbTradesBinance[[#This Row],[Tipo]]="EMPTY",0,AP216+IF(TbTradesBinance[[#This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Row],[Par]]))),$1:$1,0)),-(AO216-AO217)/AO216*AP216),0),0)+IF(TbTradesBinance[[#This Row],[Tipo]]="SELL",IF(ISNUMBER(FIND(MID(AP$1,10,5),TbTradesBinance[[#This Row],[Par]])),IF(FIND(MID(AP$1,10,5),TbTradesBinance[[#This Row],[Par]])=1, -(AO216-AO217)/AO216*AP216,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Row],[Par]])),(-(AO216-AO217)/AO216*AP216)+IF(TbTradesBinance[[#This Row],[Resultado]]&gt;0,0,TbTradesBinance[[#This Row],[Taxa]]),0),0))</f>
        <v>102.0944711963762</v>
      </c>
      <c r="AQ217" s="145">
        <f t="shared" si="85"/>
        <v>1516.6363847309706</v>
      </c>
      <c r="AR21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Row],[Tipo]]="DROP"),AR216+TbTradesBinance[[#This Row],[Qtt]],AR216-TbTradesBinance[[#This Row],[Qtt]]),IF(TbTradesBinance[[#This Row],[Tipo]]="BUY",AR216-TbTradesBinance[[#This Row],[Qtt]]*TbTradesBinance[[#This Row],[Preço]],AR216+TbTradesBinance[[#This Row],[Qtt]]*TbTradesBinance[[#This Row],[Preço]])),AR216)-IF(TbTradesBinance[[#This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Row],[Tipo]]="DROP"),AR216+TbTradesBinance[[#This Row],[Qtt]],AR216-TbTradesBinance[[#This Row],[Qtt]]),IF(TbTradesBinance[[#This Row],[Tipo]]="BUY",AR216-TbTradesBinance[[#This Row],[Qtt]]*TbTradesBinance[[#This Row],[Preço]],AR216+TbTradesBinance[[#This Row],[Qtt]]*TbTradesBinance[[#This Row],[Preço]])),AR216)-IF(TbTradesBinance[[#This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Row],[Tipo]]="DROP"),AR216+TbTradesBinance[[#This Row],[Qtt]],AR216-TbTradesBinance[[#This Row],[Qtt]]),IF(TbTradesBinance[[#This Row],[Tipo]]="BUY",AR216-TbTradesBinance[[#This Row],[Qtt]]*TbTradesBinance[[#This Row],[Preço]],AR216+TbTradesBinance[[#This Row],[Qtt]]*TbTradesBinance[[#This Row],[Preço]])),AR216)-IF(TbTradesBinance[[#This Row],[Moeda da Taxa]]=MID(AR$1,9,5),TbTradesBinance[[#This Row],[Taxa]],0),8)))</f>
        <v>0</v>
      </c>
      <c r="AS217" s="145" cm="1">
        <f t="array" ref="AS217">IF(TbTradesBinance[[#This Row],[Tipo]]="EMPTY",0,AS216+IF(TbTradesBinance[[#This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Row],[Par]]))),$1:$1,0)),-(AR216-AR217)/AR216*AS216),0),0)+IF(TbTradesBinance[[#This Row],[Tipo]]="SELL",IF(ISNUMBER(FIND(MID(AS$1,10,5),TbTradesBinance[[#This Row],[Par]])),IF(FIND(MID(AS$1,10,5),TbTradesBinance[[#This Row],[Par]])=1, -(AR216-AR217)/AR216*AS216,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Row],[Par]])),(-(AR216-AR217)/AR216*AS216)+IF(TbTradesBinance[[#This Row],[Resultado]]&gt;0,0,TbTradesBinance[[#This Row],[Taxa]]),0),0))</f>
        <v>0</v>
      </c>
      <c r="AT217" s="145">
        <f t="shared" si="86"/>
        <v>0</v>
      </c>
      <c r="AU21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Row],[Tipo]]="DROP"),AU216+TbTradesBinance[[#This Row],[Qtt]],AU216-TbTradesBinance[[#This Row],[Qtt]]),IF(TbTradesBinance[[#This Row],[Tipo]]="BUY",AU216-TbTradesBinance[[#This Row],[Qtt]]*TbTradesBinance[[#This Row],[Preço]],AU216+TbTradesBinance[[#This Row],[Qtt]]*TbTradesBinance[[#This Row],[Preço]])),AU216)-IF(TbTradesBinance[[#This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Row],[Tipo]]="DROP"),AU216+TbTradesBinance[[#This Row],[Qtt]],AU216-TbTradesBinance[[#This Row],[Qtt]]),IF(TbTradesBinance[[#This Row],[Tipo]]="BUY",AU216-TbTradesBinance[[#This Row],[Qtt]]*TbTradesBinance[[#This Row],[Preço]],AU216+TbTradesBinance[[#This Row],[Qtt]]*TbTradesBinance[[#This Row],[Preço]])),AU216)-IF(TbTradesBinance[[#This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Row],[Tipo]]="DROP"),AU216+TbTradesBinance[[#This Row],[Qtt]],AU216-TbTradesBinance[[#This Row],[Qtt]]),IF(TbTradesBinance[[#This Row],[Tipo]]="BUY",AU216-TbTradesBinance[[#This Row],[Qtt]]*TbTradesBinance[[#This Row],[Preço]],AU216+TbTradesBinance[[#This Row],[Qtt]]*TbTradesBinance[[#This Row],[Preço]])),AU216)-IF(TbTradesBinance[[#This Row],[Moeda da Taxa]]=MID(AU$1,9,5),TbTradesBinance[[#This Row],[Taxa]],0),8)))</f>
        <v>0.51</v>
      </c>
      <c r="AV217" s="145" cm="1">
        <f t="array" ref="AV217">IF(TbTradesBinance[[#This Row],[Tipo]]="EMPTY",0,AV216+IF(TbTradesBinance[[#This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Row],[Par]]))),$1:$1,0)),-(AU216-AU217)/AU216*AV216),0),0)+IF(TbTradesBinance[[#This Row],[Tipo]]="SELL",IF(ISNUMBER(FIND(MID(AV$1,10,5),TbTradesBinance[[#This Row],[Par]])),IF(FIND(MID(AV$1,10,5),TbTradesBinance[[#This Row],[Par]])=1, -(AU216-AU217)/AU216*AV216,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Row],[Par]])),(-(AU216-AU217)/AU216*AV216)+IF(TbTradesBinance[[#This Row],[Resultado]]&gt;0,0,TbTradesBinance[[#This Row],[Taxa]]),0),0))</f>
        <v>95.466693037374753</v>
      </c>
      <c r="AW217" s="145">
        <f t="shared" si="87"/>
        <v>187.18959419093088</v>
      </c>
      <c r="AX21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Row],[Tipo]]="DROP"),AX216+TbTradesBinance[[#This Row],[Qtt]],AX216-TbTradesBinance[[#This Row],[Qtt]]),IF(TbTradesBinance[[#This Row],[Tipo]]="BUY",AX216-TbTradesBinance[[#This Row],[Qtt]]*TbTradesBinance[[#This Row],[Preço]],AX216+TbTradesBinance[[#This Row],[Qtt]]*TbTradesBinance[[#This Row],[Preço]])),AX216)-IF(TbTradesBinance[[#This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Row],[Tipo]]="DROP"),AX216+TbTradesBinance[[#This Row],[Qtt]],AX216-TbTradesBinance[[#This Row],[Qtt]]),IF(TbTradesBinance[[#This Row],[Tipo]]="BUY",AX216-TbTradesBinance[[#This Row],[Qtt]]*TbTradesBinance[[#This Row],[Preço]],AX216+TbTradesBinance[[#This Row],[Qtt]]*TbTradesBinance[[#This Row],[Preço]])),AX216)-IF(TbTradesBinance[[#This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Row],[Tipo]]="DROP"),AX216+TbTradesBinance[[#This Row],[Qtt]],AX216-TbTradesBinance[[#This Row],[Qtt]]),IF(TbTradesBinance[[#This Row],[Tipo]]="BUY",AX216-TbTradesBinance[[#This Row],[Qtt]]*TbTradesBinance[[#This Row],[Preço]],AX216+TbTradesBinance[[#This Row],[Qtt]]*TbTradesBinance[[#This Row],[Preço]])),AX216)-IF(TbTradesBinance[[#This Row],[Moeda da Taxa]]=MID(AX$1,9,5),TbTradesBinance[[#This Row],[Taxa]],0),8)))</f>
        <v>0.32838000000000001</v>
      </c>
      <c r="AY217" s="145" cm="1">
        <f t="array" ref="AY217">IF(TbTradesBinance[[#This Row],[Tipo]]="EMPTY",0,AY216+IF(TbTradesBinance[[#This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Row],[Par]]))),$1:$1,0)),-(AX216-AX217)/AX216*AY216),0),0)+IF(TbTradesBinance[[#This Row],[Tipo]]="SELL",IF(ISNUMBER(FIND(MID(AY$1,10,5),TbTradesBinance[[#This Row],[Par]])),IF(FIND(MID(AY$1,10,5),TbTradesBinance[[#This Row],[Par]])=1, -(AX216-AX217)/AX216*AY216,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Row],[Par]])),(-(AX216-AX217)/AX216*AY216)+IF(TbTradesBinance[[#This Row],[Resultado]]&gt;0,0,TbTradesBinance[[#This Row],[Taxa]]),0),0))</f>
        <v>61.364116058805678</v>
      </c>
      <c r="AZ217" s="145">
        <f t="shared" si="88"/>
        <v>186.869224857804</v>
      </c>
      <c r="BA21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Row],[Tipo]]="DROP"),BA216+TbTradesBinance[[#This Row],[Qtt]],BA216-TbTradesBinance[[#This Row],[Qtt]]),IF(TbTradesBinance[[#This Row],[Tipo]]="BUY",BA216-TbTradesBinance[[#This Row],[Qtt]]*TbTradesBinance[[#This Row],[Preço]],BA216+TbTradesBinance[[#This Row],[Qtt]]*TbTradesBinance[[#This Row],[Preço]])),BA216)-IF(TbTradesBinance[[#This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Row],[Tipo]]="DROP"),BA216+TbTradesBinance[[#This Row],[Qtt]],BA216-TbTradesBinance[[#This Row],[Qtt]]),IF(TbTradesBinance[[#This Row],[Tipo]]="BUY",BA216-TbTradesBinance[[#This Row],[Qtt]]*TbTradesBinance[[#This Row],[Preço]],BA216+TbTradesBinance[[#This Row],[Qtt]]*TbTradesBinance[[#This Row],[Preço]])),BA216)-IF(TbTradesBinance[[#This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Row],[Tipo]]="DROP"),BA216+TbTradesBinance[[#This Row],[Qtt]],BA216-TbTradesBinance[[#This Row],[Qtt]]),IF(TbTradesBinance[[#This Row],[Tipo]]="BUY",BA216-TbTradesBinance[[#This Row],[Qtt]]*TbTradesBinance[[#This Row],[Preço]],BA216+TbTradesBinance[[#This Row],[Qtt]]*TbTradesBinance[[#This Row],[Preço]])),BA216)-IF(TbTradesBinance[[#This Row],[Moeda da Taxa]]=MID(BA$1,9,5),TbTradesBinance[[#This Row],[Taxa]],0),8)))</f>
        <v>0</v>
      </c>
      <c r="BB217" s="145" cm="1">
        <f t="array" ref="BB217">IF(TbTradesBinance[[#This Row],[Tipo]]="EMPTY",0,BB216+IF(TbTradesBinance[[#This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Row],[Par]]))),$1:$1,0)),-(BA216-BA217)/BA216*BB216),0),0)+IF(TbTradesBinance[[#This Row],[Tipo]]="SELL",IF(ISNUMBER(FIND(MID(BB$1,10,5),TbTradesBinance[[#This Row],[Par]])),IF(FIND(MID(BB$1,10,5),TbTradesBinance[[#This Row],[Par]])=1, -(BA216-BA217)/BA216*BB216,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Row],[Par]])),(-(BA216-BA217)/BA216*BB216)+IF(TbTradesBinance[[#This Row],[Resultado]]&gt;0,0,TbTradesBinance[[#This Row],[Taxa]]),0),0))</f>
        <v>0</v>
      </c>
      <c r="BC217" s="145">
        <f t="shared" si="89"/>
        <v>0</v>
      </c>
      <c r="BD21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Row],[Tipo]]="DROP"),BD216+TbTradesBinance[[#This Row],[Qtt]],BD216-TbTradesBinance[[#This Row],[Qtt]]),IF(TbTradesBinance[[#This Row],[Tipo]]="BUY",BD216-TbTradesBinance[[#This Row],[Qtt]]*TbTradesBinance[[#This Row],[Preço]],BD216+TbTradesBinance[[#This Row],[Qtt]]*TbTradesBinance[[#This Row],[Preço]])),BD216)-IF(TbTradesBinance[[#This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Row],[Tipo]]="DROP"),BD216+TbTradesBinance[[#This Row],[Qtt]],BD216-TbTradesBinance[[#This Row],[Qtt]]),IF(TbTradesBinance[[#This Row],[Tipo]]="BUY",BD216-TbTradesBinance[[#This Row],[Qtt]]*TbTradesBinance[[#This Row],[Preço]],BD216+TbTradesBinance[[#This Row],[Qtt]]*TbTradesBinance[[#This Row],[Preço]])),BD216)-IF(TbTradesBinance[[#This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Row],[Tipo]]="DROP"),BD216+TbTradesBinance[[#This Row],[Qtt]],BD216-TbTradesBinance[[#This Row],[Qtt]]),IF(TbTradesBinance[[#This Row],[Tipo]]="BUY",BD216-TbTradesBinance[[#This Row],[Qtt]]*TbTradesBinance[[#This Row],[Preço]],BD216+TbTradesBinance[[#This Row],[Qtt]]*TbTradesBinance[[#This Row],[Preço]])),BD216)-IF(TbTradesBinance[[#This Row],[Moeda da Taxa]]=MID(BD$1,9,5),TbTradesBinance[[#This Row],[Taxa]],0),8)))</f>
        <v>0</v>
      </c>
      <c r="BE217" s="145" cm="1">
        <f t="array" ref="BE217">IF(TbTradesBinance[[#This Row],[Tipo]]="EMPTY",0,BE216+IF(TbTradesBinance[[#This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Row],[Par]]))),$1:$1,0)),-(BD216-BD217)/BD216*BE216),0),0)+IF(TbTradesBinance[[#This Row],[Tipo]]="SELL",IF(ISNUMBER(FIND(MID(BE$1,10,5),TbTradesBinance[[#This Row],[Par]])),IF(FIND(MID(BE$1,10,5),TbTradesBinance[[#This Row],[Par]])=1, -(BD216-BD217)/BD216*BE216,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Row],[Par]])),(-(BD216-BD217)/BD216*BE216)+IF(TbTradesBinance[[#This Row],[Resultado]]&gt;0,0,TbTradesBinance[[#This Row],[Taxa]]),0),0))</f>
        <v>0</v>
      </c>
      <c r="BF217" s="145">
        <f t="shared" si="90"/>
        <v>0</v>
      </c>
      <c r="BG21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Row],[Tipo]]="DROP"),BG216+TbTradesBinance[[#This Row],[Qtt]],BG216-TbTradesBinance[[#This Row],[Qtt]]),IF(TbTradesBinance[[#This Row],[Tipo]]="BUY",BG216-TbTradesBinance[[#This Row],[Qtt]]*TbTradesBinance[[#This Row],[Preço]],BG216+TbTradesBinance[[#This Row],[Qtt]]*TbTradesBinance[[#This Row],[Preço]])),BG216)-IF(TbTradesBinance[[#This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Row],[Tipo]]="DROP"),BG216+TbTradesBinance[[#This Row],[Qtt]],BG216-TbTradesBinance[[#This Row],[Qtt]]),IF(TbTradesBinance[[#This Row],[Tipo]]="BUY",BG216-TbTradesBinance[[#This Row],[Qtt]]*TbTradesBinance[[#This Row],[Preço]],BG216+TbTradesBinance[[#This Row],[Qtt]]*TbTradesBinance[[#This Row],[Preço]])),BG216)-IF(TbTradesBinance[[#This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Row],[Tipo]]="DROP"),BG216+TbTradesBinance[[#This Row],[Qtt]],BG216-TbTradesBinance[[#This Row],[Qtt]]),IF(TbTradesBinance[[#This Row],[Tipo]]="BUY",BG216-TbTradesBinance[[#This Row],[Qtt]]*TbTradesBinance[[#This Row],[Preço]],BG216+TbTradesBinance[[#This Row],[Qtt]]*TbTradesBinance[[#This Row],[Preço]])),BG216)-IF(TbTradesBinance[[#This Row],[Moeda da Taxa]]=MID(BG$1,9,5),TbTradesBinance[[#This Row],[Taxa]],0),8)))</f>
        <v>0</v>
      </c>
      <c r="BH217" s="145" cm="1">
        <f t="array" ref="BH217">IF(TbTradesBinance[[#This Row],[Tipo]]="EMPTY",0,BH216+IF(TbTradesBinance[[#This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Row],[Par]]))),$1:$1,0)),-(BG216-BG217)/BG216*BH216),0),0)+IF(TbTradesBinance[[#This Row],[Tipo]]="SELL",IF(ISNUMBER(FIND(MID(BH$1,10,5),TbTradesBinance[[#This Row],[Par]])),IF(FIND(MID(BH$1,10,5),TbTradesBinance[[#This Row],[Par]])=1, -(BG216-BG217)/BG216*BH216,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Row],[Par]])),(-(BG216-BG217)/BG216*BH216)+IF(TbTradesBinance[[#This Row],[Resultado]]&gt;0,0,TbTradesBinance[[#This Row],[Taxa]]),0),0))</f>
        <v>0</v>
      </c>
      <c r="BI217" s="145">
        <f t="shared" si="91"/>
        <v>0</v>
      </c>
      <c r="BJ21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Row],[Tipo]]="DROP"),BJ216+TbTradesBinance[[#This Row],[Qtt]],BJ216-TbTradesBinance[[#This Row],[Qtt]]),IF(TbTradesBinance[[#This Row],[Tipo]]="BUY",BJ216-TbTradesBinance[[#This Row],[Qtt]]*TbTradesBinance[[#This Row],[Preço]],BJ216+TbTradesBinance[[#This Row],[Qtt]]*TbTradesBinance[[#This Row],[Preço]])),BJ216)-IF(TbTradesBinance[[#This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Row],[Tipo]]="DROP"),BJ216+TbTradesBinance[[#This Row],[Qtt]],BJ216-TbTradesBinance[[#This Row],[Qtt]]),IF(TbTradesBinance[[#This Row],[Tipo]]="BUY",BJ216-TbTradesBinance[[#This Row],[Qtt]]*TbTradesBinance[[#This Row],[Preço]],BJ216+TbTradesBinance[[#This Row],[Qtt]]*TbTradesBinance[[#This Row],[Preço]])),BJ216)-IF(TbTradesBinance[[#This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Row],[Tipo]]="DROP"),BJ216+TbTradesBinance[[#This Row],[Qtt]],BJ216-TbTradesBinance[[#This Row],[Qtt]]),IF(TbTradesBinance[[#This Row],[Tipo]]="BUY",BJ216-TbTradesBinance[[#This Row],[Qtt]]*TbTradesBinance[[#This Row],[Preço]],BJ216+TbTradesBinance[[#This Row],[Qtt]]*TbTradesBinance[[#This Row],[Preço]])),BJ216)-IF(TbTradesBinance[[#This Row],[Moeda da Taxa]]=MID(BJ$1,9,5),TbTradesBinance[[#This Row],[Taxa]],0),8)))</f>
        <v>0</v>
      </c>
      <c r="BK217" s="145" cm="1">
        <f t="array" ref="BK217">IF(TbTradesBinance[[#This Row],[Tipo]]="EMPTY",0,BK216+IF(TbTradesBinance[[#This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Row],[Par]]))),$1:$1,0)),-(BJ216-BJ217)/BJ216*BK216),0),0)+IF(TbTradesBinance[[#This Row],[Tipo]]="SELL",IF(ISNUMBER(FIND(MID(BK$1,10,5),TbTradesBinance[[#This Row],[Par]])),IF(FIND(MID(BK$1,10,5),TbTradesBinance[[#This Row],[Par]])=1, -(BJ216-BJ217)/BJ216*BK216,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Row],[Par]])),(-(BJ216-BJ217)/BJ216*BK216)+IF(TbTradesBinance[[#This Row],[Resultado]]&gt;0,0,TbTradesBinance[[#This Row],[Taxa]]),0),0))</f>
        <v>0</v>
      </c>
      <c r="BL217" s="145">
        <f t="shared" si="92"/>
        <v>0</v>
      </c>
      <c r="BM21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Row],[Tipo]]="DROP"),BM216+TbTradesBinance[[#This Row],[Qtt]],BM216-TbTradesBinance[[#This Row],[Qtt]]),IF(TbTradesBinance[[#This Row],[Tipo]]="BUY",BM216-TbTradesBinance[[#This Row],[Qtt]]*TbTradesBinance[[#This Row],[Preço]],BM216+TbTradesBinance[[#This Row],[Qtt]]*TbTradesBinance[[#This Row],[Preço]])),BM216)-IF(TbTradesBinance[[#This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Row],[Tipo]]="DROP"),BM216+TbTradesBinance[[#This Row],[Qtt]],BM216-TbTradesBinance[[#This Row],[Qtt]]),IF(TbTradesBinance[[#This Row],[Tipo]]="BUY",BM216-TbTradesBinance[[#This Row],[Qtt]]*TbTradesBinance[[#This Row],[Preço]],BM216+TbTradesBinance[[#This Row],[Qtt]]*TbTradesBinance[[#This Row],[Preço]])),BM216)-IF(TbTradesBinance[[#This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Row],[Tipo]]="DROP"),BM216+TbTradesBinance[[#This Row],[Qtt]],BM216-TbTradesBinance[[#This Row],[Qtt]]),IF(TbTradesBinance[[#This Row],[Tipo]]="BUY",BM216-TbTradesBinance[[#This Row],[Qtt]]*TbTradesBinance[[#This Row],[Preço]],BM216+TbTradesBinance[[#This Row],[Qtt]]*TbTradesBinance[[#This Row],[Preço]])),BM216)-IF(TbTradesBinance[[#This Row],[Moeda da Taxa]]=MID(BM$1,9,5),TbTradesBinance[[#This Row],[Taxa]],0),8)))</f>
        <v>0</v>
      </c>
      <c r="BN217" s="145" cm="1">
        <f t="array" ref="BN217">IF(TbTradesBinance[[#This Row],[Tipo]]="EMPTY",0,BN216+IF(TbTradesBinance[[#This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Row],[Par]]))),$1:$1,0)),-(BM216-BM217)/BM216*BN216),0),0)+IF(TbTradesBinance[[#This Row],[Tipo]]="SELL",IF(ISNUMBER(FIND(MID(BN$1,10,5),TbTradesBinance[[#This Row],[Par]])),IF(FIND(MID(BN$1,10,5),TbTradesBinance[[#This Row],[Par]])=1, -(BM216-BM217)/BM216*BN216,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Row],[Par]])),(-(BM216-BM217)/BM216*BN216)+IF(TbTradesBinance[[#This Row],[Resultado]]&gt;0,0,TbTradesBinance[[#This Row],[Taxa]]),0),0))</f>
        <v>0</v>
      </c>
      <c r="BO217" s="145">
        <f t="shared" si="93"/>
        <v>0</v>
      </c>
    </row>
    <row r="218" spans="2:67" x14ac:dyDescent="0.3">
      <c r="B218" s="51"/>
      <c r="C218" s="40">
        <f>TRUNC(IF(AND(TbTradesBinance[[#This Row],[Tipo]]="SEND",TbTradesBinance[[#This Row],[Par]]="BRL"),TbTradesBinance[[#This Row],[Qtt]]*(1-P216)-IF(TbTradesBinance[[#This Row],[Moeda da Taxa]]="BRL",TbTradesBinance[[#This Row],[Taxa]],0),0)+IF(AND(TbTradesBinance[[#This Row],[Tipo]]="BURN",TbTradesBinance[[#This Row],[Par]]="BRL"),-TbTradesBinance[[#This Row],[Qtt]]*P216,0),2)</f>
        <v>0</v>
      </c>
      <c r="D218" s="53">
        <v>44396.761435185188</v>
      </c>
      <c r="E218" s="37" t="s">
        <v>249</v>
      </c>
      <c r="F218" s="47" t="s">
        <v>140</v>
      </c>
      <c r="G218" s="38">
        <v>31000</v>
      </c>
      <c r="H218" s="38">
        <v>2.7529999999999998E-3</v>
      </c>
      <c r="I218" s="38">
        <v>2.2698E-4</v>
      </c>
      <c r="J218" s="37" t="s">
        <v>45</v>
      </c>
      <c r="K218" s="52">
        <v>5.2</v>
      </c>
      <c r="L218" s="40">
        <f t="shared" si="94"/>
        <v>161200</v>
      </c>
      <c r="M218" s="40">
        <f>IF(OR(TbTradesBinance[[#This Row],[Tipo]]="BUY",TbTradesBinance[[#This Row],[Tipo]]="RECEIVE",TbTradesBinance[[#This Row],[Tipo]]="DROP"),L218*H218,-L218*H218)</f>
        <v>-443.78359999999998</v>
      </c>
      <c r="N21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Row],[Tipo]]="DROP"),N217+TbTradesBinance[[#This Row],[Qtt]],N217-TbTradesBinance[[#This Row],[Qtt]]),IF(TbTradesBinance[[#This Row],[Tipo]]="BUY",N217-TbTradesBinance[[#This Row],[Qtt]]*TbTradesBinance[[#This Row],[Preço]],N217+TbTradesBinance[[#This Row],[Qtt]]*TbTradesBinance[[#This Row],[Preço]])),N217)-IF(TbTradesBinance[[#This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Row],[Tipo]]="DROP"),N217+TbTradesBinance[[#This Row],[Qtt]],N217-TbTradesBinance[[#This Row],[Qtt]]),IF(TbTradesBinance[[#This Row],[Tipo]]="BUY",N217-TbTradesBinance[[#This Row],[Qtt]]*TbTradesBinance[[#This Row],[Preço]],N217+TbTradesBinance[[#This Row],[Qtt]]*TbTradesBinance[[#This Row],[Preço]])),N217)-IF(TbTradesBinance[[#This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Row],[Tipo]]="DROP"),N217+TbTradesBinance[[#This Row],[Qtt]],N217-TbTradesBinance[[#This Row],[Qtt]]),IF(TbTradesBinance[[#This Row],[Tipo]]="BUY",N217-TbTradesBinance[[#This Row],[Qtt]]*TbTradesBinance[[#This Row],[Preço]],N217+TbTradesBinance[[#This Row],[Qtt]]*TbTradesBinance[[#This Row],[Preço]])),N217)-IF(TbTradesBinance[[#This Row],[Moeda da Taxa]]=MID(N$1,9,5),TbTradesBinance[[#This Row],[Taxa]],0),8)))</f>
        <v>119745.44911781</v>
      </c>
      <c r="O218" s="145" cm="1">
        <f t="array" ref="O218">IF(TbTradesBinance[[#This Row],[Tipo]]="EMPTY",0,O217+IF(TbTradesBinance[[#This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Row],[Par]]))),$1:$1,0)),-(N217-N218)/N217*O217),0),0)+IF(TbTradesBinance[[#This Row],[Tipo]]="SELL",IF(ISNUMBER(FIND(MID(O$1,10,5),TbTradesBinance[[#This Row],[Par]])),IF(FIND(MID(O$1,10,5),TbTradesBinance[[#This Row],[Par]])=1, -(N217-N218)/N217*O217,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Row],[Par]])),(-(N217-N218)/N217*O217)+IF(TbTradesBinance[[#This Row],[Resultado]]&gt;0,0,TbTradesBinance[[#This Row],[Taxa]]),0),0))</f>
        <v>120404.99677150718</v>
      </c>
      <c r="P218" s="145">
        <f t="shared" si="76"/>
        <v>1.0055079141508609</v>
      </c>
      <c r="Q21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Row],[Tipo]]="DROP"),Q217+TbTradesBinance[[#This Row],[Qtt]],Q217-TbTradesBinance[[#This Row],[Qtt]]),IF(TbTradesBinance[[#This Row],[Tipo]]="BUY",Q217-TbTradesBinance[[#This Row],[Qtt]]*TbTradesBinance[[#This Row],[Preço]],Q217+TbTradesBinance[[#This Row],[Qtt]]*TbTradesBinance[[#This Row],[Preço]])),Q217)-IF(TbTradesBinance[[#This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Row],[Tipo]]="DROP"),Q217+TbTradesBinance[[#This Row],[Qtt]],Q217-TbTradesBinance[[#This Row],[Qtt]]),IF(TbTradesBinance[[#This Row],[Tipo]]="BUY",Q217-TbTradesBinance[[#This Row],[Qtt]]*TbTradesBinance[[#This Row],[Preço]],Q217+TbTradesBinance[[#This Row],[Qtt]]*TbTradesBinance[[#This Row],[Preço]])),Q217)-IF(TbTradesBinance[[#This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Row],[Tipo]]="DROP"),Q217+TbTradesBinance[[#This Row],[Qtt]],Q217-TbTradesBinance[[#This Row],[Qtt]]),IF(TbTradesBinance[[#This Row],[Tipo]]="BUY",Q217-TbTradesBinance[[#This Row],[Qtt]]*TbTradesBinance[[#This Row],[Preço]],Q217+TbTradesBinance[[#This Row],[Qtt]]*TbTradesBinance[[#This Row],[Preço]])),Q217)-IF(TbTradesBinance[[#This Row],[Moeda da Taxa]]=MID(Q$1,9,5),TbTradesBinance[[#This Row],[Taxa]],0),8)))</f>
        <v>469.78335734000001</v>
      </c>
      <c r="R218" s="145" cm="1">
        <f t="array" ref="R218">IF(TbTradesBinance[[#This Row],[Tipo]]="EMPTY",0,R217+IF(TbTradesBinance[[#This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Row],[Par]]))),$1:$1,0)),-(Q217-Q218)/Q217*R217),0),0)+IF(TbTradesBinance[[#This Row],[Tipo]]="SELL",IF(ISNUMBER(FIND(MID(R$1,10,5),TbTradesBinance[[#This Row],[Par]])),IF(FIND(MID(R$1,10,5),TbTradesBinance[[#This Row],[Par]])=1, -(Q217-Q218)/Q217*R217,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Row],[Par]])),(-(Q217-Q218)/Q217*R217)+IF(TbTradesBinance[[#This Row],[Resultado]]&gt;0,0,TbTradesBinance[[#This Row],[Taxa]]),0),0))</f>
        <v>2582.7843404980499</v>
      </c>
      <c r="S218" s="145">
        <f t="shared" ref="S218:S223" si="95">IF(Q218=0,0,R218/Q218)</f>
        <v>5.4978200060603486</v>
      </c>
      <c r="T21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Row],[Tipo]]="DROP"),T217+TbTradesBinance[[#This Row],[Qtt]],T217-TbTradesBinance[[#This Row],[Qtt]]),IF(TbTradesBinance[[#This Row],[Tipo]]="BUY",T217-TbTradesBinance[[#This Row],[Qtt]]*TbTradesBinance[[#This Row],[Preço]],T217+TbTradesBinance[[#This Row],[Qtt]]*TbTradesBinance[[#This Row],[Preço]])),T217)-IF(TbTradesBinance[[#This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Row],[Tipo]]="DROP"),T217+TbTradesBinance[[#This Row],[Qtt]],T217-TbTradesBinance[[#This Row],[Qtt]]),IF(TbTradesBinance[[#This Row],[Tipo]]="BUY",T217-TbTradesBinance[[#This Row],[Qtt]]*TbTradesBinance[[#This Row],[Preço]],T217+TbTradesBinance[[#This Row],[Qtt]]*TbTradesBinance[[#This Row],[Preço]])),T217)-IF(TbTradesBinance[[#This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Row],[Tipo]]="DROP"),T217+TbTradesBinance[[#This Row],[Qtt]],T217-TbTradesBinance[[#This Row],[Qtt]]),IF(TbTradesBinance[[#This Row],[Tipo]]="BUY",T217-TbTradesBinance[[#This Row],[Qtt]]*TbTradesBinance[[#This Row],[Preço]],T217+TbTradesBinance[[#This Row],[Qtt]]*TbTradesBinance[[#This Row],[Preço]])),T217)-IF(TbTradesBinance[[#This Row],[Moeda da Taxa]]=MID(T$1,9,5),TbTradesBinance[[#This Row],[Taxa]],0),8)))</f>
        <v>101223913.720009</v>
      </c>
      <c r="U218" s="145" cm="1">
        <f t="array" ref="U218">IF(TbTradesBinance[[#This Row],[Tipo]]="EMPTY",0,U217+IF(TbTradesBinance[[#This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Row],[Par]]))),$1:$1,0)),-(T217-T218)/T217*U217),0),0)+IF(TbTradesBinance[[#This Row],[Tipo]]="SELL",IF(ISNUMBER(FIND(MID(U$1,10,5),TbTradesBinance[[#This Row],[Par]])),IF(FIND(MID(U$1,10,5),TbTradesBinance[[#This Row],[Par]])=1, -(T217-T218)/T217*U217,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Row],[Par]])),(-(T217-T218)/T217*U217)+IF(TbTradesBinance[[#This Row],[Resultado]]&gt;0,0,TbTradesBinance[[#This Row],[Taxa]]),0),0))</f>
        <v>617586601.27364206</v>
      </c>
      <c r="V218" s="145">
        <f t="shared" ref="V218:V223" si="96">IF(T218=0,0,U218/T218)</f>
        <v>6.1011926784605572</v>
      </c>
      <c r="W21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Row],[Tipo]]="DROP"),W217+TbTradesBinance[[#This Row],[Qtt]],W217-TbTradesBinance[[#This Row],[Qtt]]),IF(TbTradesBinance[[#This Row],[Tipo]]="BUY",W217-TbTradesBinance[[#This Row],[Qtt]]*TbTradesBinance[[#This Row],[Preço]],W217+TbTradesBinance[[#This Row],[Qtt]]*TbTradesBinance[[#This Row],[Preço]])),W217)-IF(TbTradesBinance[[#This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Row],[Tipo]]="DROP"),W217+TbTradesBinance[[#This Row],[Qtt]],W217-TbTradesBinance[[#This Row],[Qtt]]),IF(TbTradesBinance[[#This Row],[Tipo]]="BUY",W217-TbTradesBinance[[#This Row],[Qtt]]*TbTradesBinance[[#This Row],[Preço]],W217+TbTradesBinance[[#This Row],[Qtt]]*TbTradesBinance[[#This Row],[Preço]])),W217)-IF(TbTradesBinance[[#This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Row],[Tipo]]="DROP"),W217+TbTradesBinance[[#This Row],[Qtt]],W217-TbTradesBinance[[#This Row],[Qtt]]),IF(TbTradesBinance[[#This Row],[Tipo]]="BUY",W217-TbTradesBinance[[#This Row],[Qtt]]*TbTradesBinance[[#This Row],[Preço]],W217+TbTradesBinance[[#This Row],[Qtt]]*TbTradesBinance[[#This Row],[Preço]])),W217)-IF(TbTradesBinance[[#This Row],[Moeda da Taxa]]=MID(W$1,9,5),TbTradesBinance[[#This Row],[Taxa]],0),8)))</f>
        <v>3.9899999999999999E-6</v>
      </c>
      <c r="X218" s="145" cm="1">
        <f t="array" ref="X218">IF(TbTradesBinance[[#This Row],[Tipo]]="EMPTY",0,X217+IF(TbTradesBinance[[#This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Row],[Par]]))),$1:$1,0)),-(W217-W218)/W217*X217),0),0)+IF(TbTradesBinance[[#This Row],[Tipo]]="SELL",IF(ISNUMBER(FIND(MID(X$1,10,5),TbTradesBinance[[#This Row],[Par]])),IF(FIND(MID(X$1,10,5),TbTradesBinance[[#This Row],[Par]])=1, -(W217-W218)/W217*X217,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Row],[Par]])),(-(W217-W218)/W217*X217)+IF(TbTradesBinance[[#This Row],[Resultado]]&gt;0,0,TbTradesBinance[[#This Row],[Taxa]]),0),0))</f>
        <v>0.6953811938234935</v>
      </c>
      <c r="Y218" s="145">
        <f t="shared" ref="Y218:Y223" si="97">IF(W218=0,0,X218/W218)</f>
        <v>174281.00095826905</v>
      </c>
      <c r="Z21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Row],[Tipo]]="DROP"),Z217+TbTradesBinance[[#This Row],[Qtt]],Z217-TbTradesBinance[[#This Row],[Qtt]]),IF(TbTradesBinance[[#This Row],[Tipo]]="BUY",Z217-TbTradesBinance[[#This Row],[Qtt]]*TbTradesBinance[[#This Row],[Preço]],Z217+TbTradesBinance[[#This Row],[Qtt]]*TbTradesBinance[[#This Row],[Preço]])),Z217)-IF(TbTradesBinance[[#This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Row],[Tipo]]="DROP"),Z217+TbTradesBinance[[#This Row],[Qtt]],Z217-TbTradesBinance[[#This Row],[Qtt]]),IF(TbTradesBinance[[#This Row],[Tipo]]="BUY",Z217-TbTradesBinance[[#This Row],[Qtt]]*TbTradesBinance[[#This Row],[Preço]],Z217+TbTradesBinance[[#This Row],[Qtt]]*TbTradesBinance[[#This Row],[Preço]])),Z217)-IF(TbTradesBinance[[#This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Row],[Tipo]]="DROP"),Z217+TbTradesBinance[[#This Row],[Qtt]],Z217-TbTradesBinance[[#This Row],[Qtt]]),IF(TbTradesBinance[[#This Row],[Tipo]]="BUY",Z217-TbTradesBinance[[#This Row],[Qtt]]*TbTradesBinance[[#This Row],[Preço]],Z217+TbTradesBinance[[#This Row],[Qtt]]*TbTradesBinance[[#This Row],[Preço]])),Z217)-IF(TbTradesBinance[[#This Row],[Moeda da Taxa]]=MID(Z$1,9,5),TbTradesBinance[[#This Row],[Taxa]],0),8)))</f>
        <v>0</v>
      </c>
      <c r="AA218" s="145" cm="1">
        <f t="array" ref="AA218">IF(TbTradesBinance[[#This Row],[Tipo]]="EMPTY",0,AA217+IF(TbTradesBinance[[#This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Row],[Par]]))),$1:$1,0)),-(Z217-Z218)/Z217*AA217),0),0)+IF(TbTradesBinance[[#This Row],[Tipo]]="SELL",IF(ISNUMBER(FIND(MID(AA$1,10,5),TbTradesBinance[[#This Row],[Par]])),IF(FIND(MID(AA$1,10,5),TbTradesBinance[[#This Row],[Par]])=1, -(Z217-Z218)/Z217*AA217,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Row],[Par]])),(-(Z217-Z218)/Z217*AA217)+IF(TbTradesBinance[[#This Row],[Resultado]]&gt;0,0,TbTradesBinance[[#This Row],[Taxa]]),0),0))</f>
        <v>0</v>
      </c>
      <c r="AB218" s="145">
        <f t="shared" ref="AB218:AB223" si="98">IF(Z218=0,0,AA218/Z218)</f>
        <v>0</v>
      </c>
      <c r="AC21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Row],[Tipo]]="DROP"),AC217+TbTradesBinance[[#This Row],[Qtt]],AC217-TbTradesBinance[[#This Row],[Qtt]]),IF(TbTradesBinance[[#This Row],[Tipo]]="BUY",AC217-TbTradesBinance[[#This Row],[Qtt]]*TbTradesBinance[[#This Row],[Preço]],AC217+TbTradesBinance[[#This Row],[Qtt]]*TbTradesBinance[[#This Row],[Preço]])),AC217)-IF(TbTradesBinance[[#This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Row],[Tipo]]="DROP"),AC217+TbTradesBinance[[#This Row],[Qtt]],AC217-TbTradesBinance[[#This Row],[Qtt]]),IF(TbTradesBinance[[#This Row],[Tipo]]="BUY",AC217-TbTradesBinance[[#This Row],[Qtt]]*TbTradesBinance[[#This Row],[Preço]],AC217+TbTradesBinance[[#This Row],[Qtt]]*TbTradesBinance[[#This Row],[Preço]])),AC217)-IF(TbTradesBinance[[#This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Row],[Tipo]]="DROP"),AC217+TbTradesBinance[[#This Row],[Qtt]],AC217-TbTradesBinance[[#This Row],[Qtt]]),IF(TbTradesBinance[[#This Row],[Tipo]]="BUY",AC217-TbTradesBinance[[#This Row],[Qtt]]*TbTradesBinance[[#This Row],[Preço]],AC217+TbTradesBinance[[#This Row],[Qtt]]*TbTradesBinance[[#This Row],[Preço]])),AC217)-IF(TbTradesBinance[[#This Row],[Moeda da Taxa]]=MID(AC$1,9,5),TbTradesBinance[[#This Row],[Taxa]],0),8)))</f>
        <v>0</v>
      </c>
      <c r="AD218" s="145" cm="1">
        <f t="array" ref="AD218">IF(TbTradesBinance[[#This Row],[Tipo]]="EMPTY",0,AD217+IF(TbTradesBinance[[#This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Row],[Par]]))),$1:$1,0)),-(AC217-AC218)/AC217*AD217),0),0)+IF(TbTradesBinance[[#This Row],[Tipo]]="SELL",IF(ISNUMBER(FIND(MID(AD$1,10,5),TbTradesBinance[[#This Row],[Par]])),IF(FIND(MID(AD$1,10,5),TbTradesBinance[[#This Row],[Par]])=1, -(AC217-AC218)/AC217*AD217,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Row],[Par]])),(-(AC217-AC218)/AC217*AD217)+IF(TbTradesBinance[[#This Row],[Resultado]]&gt;0,0,TbTradesBinance[[#This Row],[Taxa]]),0),0))</f>
        <v>0</v>
      </c>
      <c r="AE218" s="145">
        <f t="shared" ref="AE218:AE223" si="99">IF(AC218=0,0,AD218/AC218)</f>
        <v>0</v>
      </c>
      <c r="AF21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Row],[Tipo]]="DROP"),AF217+TbTradesBinance[[#This Row],[Qtt]],AF217-TbTradesBinance[[#This Row],[Qtt]]),IF(TbTradesBinance[[#This Row],[Tipo]]="BUY",AF217-TbTradesBinance[[#This Row],[Qtt]]*TbTradesBinance[[#This Row],[Preço]],AF217+TbTradesBinance[[#This Row],[Qtt]]*TbTradesBinance[[#This Row],[Preço]])),AF217)-IF(TbTradesBinance[[#This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Row],[Tipo]]="DROP"),AF217+TbTradesBinance[[#This Row],[Qtt]],AF217-TbTradesBinance[[#This Row],[Qtt]]),IF(TbTradesBinance[[#This Row],[Tipo]]="BUY",AF217-TbTradesBinance[[#This Row],[Qtt]]*TbTradesBinance[[#This Row],[Preço]],AF217+TbTradesBinance[[#This Row],[Qtt]]*TbTradesBinance[[#This Row],[Preço]])),AF217)-IF(TbTradesBinance[[#This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Row],[Tipo]]="DROP"),AF217+TbTradesBinance[[#This Row],[Qtt]],AF217-TbTradesBinance[[#This Row],[Qtt]]),IF(TbTradesBinance[[#This Row],[Tipo]]="BUY",AF217-TbTradesBinance[[#This Row],[Qtt]]*TbTradesBinance[[#This Row],[Preço]],AF217+TbTradesBinance[[#This Row],[Qtt]]*TbTradesBinance[[#This Row],[Preço]])),AF217)-IF(TbTradesBinance[[#This Row],[Moeda da Taxa]]=MID(AF$1,9,5),TbTradesBinance[[#This Row],[Taxa]],0),8)))</f>
        <v>0</v>
      </c>
      <c r="AG218" s="145" cm="1">
        <f t="array" ref="AG218">IF(TbTradesBinance[[#This Row],[Tipo]]="EMPTY",0,AG217+IF(TbTradesBinance[[#This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Row],[Par]]))),$1:$1,0)),-(AF217-AF218)/AF217*AG217),0),0)+IF(TbTradesBinance[[#This Row],[Tipo]]="SELL",IF(ISNUMBER(FIND(MID(AG$1,10,5),TbTradesBinance[[#This Row],[Par]])),IF(FIND(MID(AG$1,10,5),TbTradesBinance[[#This Row],[Par]])=1, -(AF217-AF218)/AF217*AG217,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Row],[Par]])),(-(AF217-AF218)/AF217*AG217)+IF(TbTradesBinance[[#This Row],[Resultado]]&gt;0,0,TbTradesBinance[[#This Row],[Taxa]]),0),0))</f>
        <v>0</v>
      </c>
      <c r="AH218" s="145">
        <f t="shared" ref="AH218:AH223" si="100">IF(AF218=0,0,AG218/AF218)</f>
        <v>0</v>
      </c>
      <c r="AI21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Row],[Tipo]]="DROP"),AI217+TbTradesBinance[[#This Row],[Qtt]],AI217-TbTradesBinance[[#This Row],[Qtt]]),IF(TbTradesBinance[[#This Row],[Tipo]]="BUY",AI217-TbTradesBinance[[#This Row],[Qtt]]*TbTradesBinance[[#This Row],[Preço]],AI217+TbTradesBinance[[#This Row],[Qtt]]*TbTradesBinance[[#This Row],[Preço]])),AI217)-IF(TbTradesBinance[[#This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Row],[Tipo]]="DROP"),AI217+TbTradesBinance[[#This Row],[Qtt]],AI217-TbTradesBinance[[#This Row],[Qtt]]),IF(TbTradesBinance[[#This Row],[Tipo]]="BUY",AI217-TbTradesBinance[[#This Row],[Qtt]]*TbTradesBinance[[#This Row],[Preço]],AI217+TbTradesBinance[[#This Row],[Qtt]]*TbTradesBinance[[#This Row],[Preço]])),AI217)-IF(TbTradesBinance[[#This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Row],[Tipo]]="DROP"),AI217+TbTradesBinance[[#This Row],[Qtt]],AI217-TbTradesBinance[[#This Row],[Qtt]]),IF(TbTradesBinance[[#This Row],[Tipo]]="BUY",AI217-TbTradesBinance[[#This Row],[Qtt]]*TbTradesBinance[[#This Row],[Preço]],AI217+TbTradesBinance[[#This Row],[Qtt]]*TbTradesBinance[[#This Row],[Preço]])),AI217)-IF(TbTradesBinance[[#This Row],[Moeda da Taxa]]=MID(AI$1,9,5),TbTradesBinance[[#This Row],[Taxa]],0),8)))</f>
        <v>0</v>
      </c>
      <c r="AJ218" s="145" cm="1">
        <f t="array" ref="AJ218">IF(TbTradesBinance[[#This Row],[Tipo]]="EMPTY",0,AJ217+IF(TbTradesBinance[[#This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Row],[Par]]))),$1:$1,0)),-(AI217-AI218)/AI217*AJ217),0),0)+IF(TbTradesBinance[[#This Row],[Tipo]]="SELL",IF(ISNUMBER(FIND(MID(AJ$1,10,5),TbTradesBinance[[#This Row],[Par]])),IF(FIND(MID(AJ$1,10,5),TbTradesBinance[[#This Row],[Par]])=1, -(AI217-AI218)/AI217*AJ217,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Row],[Par]])),(-(AI217-AI218)/AI217*AJ217)+IF(TbTradesBinance[[#This Row],[Resultado]]&gt;0,0,TbTradesBinance[[#This Row],[Taxa]]),0),0))</f>
        <v>0</v>
      </c>
      <c r="AK218" s="145">
        <f t="shared" ref="AK218:AK223" si="101">IF(AI218=0,0,AJ218/AI218)</f>
        <v>0</v>
      </c>
      <c r="AL21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Row],[Tipo]]="DROP"),AL217+TbTradesBinance[[#This Row],[Qtt]],AL217-TbTradesBinance[[#This Row],[Qtt]]),IF(TbTradesBinance[[#This Row],[Tipo]]="BUY",AL217-TbTradesBinance[[#This Row],[Qtt]]*TbTradesBinance[[#This Row],[Preço]],AL217+TbTradesBinance[[#This Row],[Qtt]]*TbTradesBinance[[#This Row],[Preço]])),AL217)-IF(TbTradesBinance[[#This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Row],[Tipo]]="DROP"),AL217+TbTradesBinance[[#This Row],[Qtt]],AL217-TbTradesBinance[[#This Row],[Qtt]]),IF(TbTradesBinance[[#This Row],[Tipo]]="BUY",AL217-TbTradesBinance[[#This Row],[Qtt]]*TbTradesBinance[[#This Row],[Preço]],AL217+TbTradesBinance[[#This Row],[Qtt]]*TbTradesBinance[[#This Row],[Preço]])),AL217)-IF(TbTradesBinance[[#This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Row],[Tipo]]="DROP"),AL217+TbTradesBinance[[#This Row],[Qtt]],AL217-TbTradesBinance[[#This Row],[Qtt]]),IF(TbTradesBinance[[#This Row],[Tipo]]="BUY",AL217-TbTradesBinance[[#This Row],[Qtt]]*TbTradesBinance[[#This Row],[Preço]],AL217+TbTradesBinance[[#This Row],[Qtt]]*TbTradesBinance[[#This Row],[Preço]])),AL217)-IF(TbTradesBinance[[#This Row],[Moeda da Taxa]]=MID(AL$1,9,5),TbTradesBinance[[#This Row],[Taxa]],0),8)))</f>
        <v>0</v>
      </c>
      <c r="AM218" s="145" cm="1">
        <f t="array" ref="AM218">IF(TbTradesBinance[[#This Row],[Tipo]]="EMPTY",0,AM217+IF(TbTradesBinance[[#This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Row],[Par]]))),$1:$1,0)),-(AL217-AL218)/AL217*AM217),0),0)+IF(TbTradesBinance[[#This Row],[Tipo]]="SELL",IF(ISNUMBER(FIND(MID(AM$1,10,5),TbTradesBinance[[#This Row],[Par]])),IF(FIND(MID(AM$1,10,5),TbTradesBinance[[#This Row],[Par]])=1, -(AL217-AL218)/AL217*AM217,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Row],[Par]])),(-(AL217-AL218)/AL217*AM217)+IF(TbTradesBinance[[#This Row],[Resultado]]&gt;0,0,TbTradesBinance[[#This Row],[Taxa]]),0),0))</f>
        <v>0</v>
      </c>
      <c r="AN218" s="145">
        <f t="shared" ref="AN218:AN223" si="102">IF(AL218=0,0,AM218/AL218)</f>
        <v>0</v>
      </c>
      <c r="AO21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Row],[Tipo]]="DROP"),AO217+TbTradesBinance[[#This Row],[Qtt]],AO217-TbTradesBinance[[#This Row],[Qtt]]),IF(TbTradesBinance[[#This Row],[Tipo]]="BUY",AO217-TbTradesBinance[[#This Row],[Qtt]]*TbTradesBinance[[#This Row],[Preço]],AO217+TbTradesBinance[[#This Row],[Qtt]]*TbTradesBinance[[#This Row],[Preço]])),AO217)-IF(TbTradesBinance[[#This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Row],[Tipo]]="DROP"),AO217+TbTradesBinance[[#This Row],[Qtt]],AO217-TbTradesBinance[[#This Row],[Qtt]]),IF(TbTradesBinance[[#This Row],[Tipo]]="BUY",AO217-TbTradesBinance[[#This Row],[Qtt]]*TbTradesBinance[[#This Row],[Preço]],AO217+TbTradesBinance[[#This Row],[Qtt]]*TbTradesBinance[[#This Row],[Preço]])),AO217)-IF(TbTradesBinance[[#This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Row],[Tipo]]="DROP"),AO217+TbTradesBinance[[#This Row],[Qtt]],AO217-TbTradesBinance[[#This Row],[Qtt]]),IF(TbTradesBinance[[#This Row],[Tipo]]="BUY",AO217-TbTradesBinance[[#This Row],[Qtt]]*TbTradesBinance[[#This Row],[Preço]],AO217+TbTradesBinance[[#This Row],[Qtt]]*TbTradesBinance[[#This Row],[Preço]])),AO217)-IF(TbTradesBinance[[#This Row],[Moeda da Taxa]]=MID(AO$1,9,5),TbTradesBinance[[#This Row],[Taxa]],0),8)))</f>
        <v>6.7089399999999993E-2</v>
      </c>
      <c r="AP218" s="145" cm="1">
        <f t="array" ref="AP218">IF(TbTradesBinance[[#This Row],[Tipo]]="EMPTY",0,AP217+IF(TbTradesBinance[[#This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Row],[Par]]))),$1:$1,0)),-(AO217-AO218)/AO217*AP217),0),0)+IF(TbTradesBinance[[#This Row],[Tipo]]="SELL",IF(ISNUMBER(FIND(MID(AP$1,10,5),TbTradesBinance[[#This Row],[Par]])),IF(FIND(MID(AP$1,10,5),TbTradesBinance[[#This Row],[Par]])=1, -(AO217-AO218)/AO217*AP217,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Row],[Par]])),(-(AO217-AO218)/AO217*AP217)+IF(TbTradesBinance[[#This Row],[Resultado]]&gt;0,0,TbTradesBinance[[#This Row],[Taxa]]),0),0))</f>
        <v>102.0944711963762</v>
      </c>
      <c r="AQ218" s="145">
        <f t="shared" ref="AQ218:AQ223" si="103">IF(AO218=0,0,AP218/AO218)</f>
        <v>1521.7675399746638</v>
      </c>
      <c r="AR21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Row],[Tipo]]="DROP"),AR217+TbTradesBinance[[#This Row],[Qtt]],AR217-TbTradesBinance[[#This Row],[Qtt]]),IF(TbTradesBinance[[#This Row],[Tipo]]="BUY",AR217-TbTradesBinance[[#This Row],[Qtt]]*TbTradesBinance[[#This Row],[Preço]],AR217+TbTradesBinance[[#This Row],[Qtt]]*TbTradesBinance[[#This Row],[Preço]])),AR217)-IF(TbTradesBinance[[#This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Row],[Tipo]]="DROP"),AR217+TbTradesBinance[[#This Row],[Qtt]],AR217-TbTradesBinance[[#This Row],[Qtt]]),IF(TbTradesBinance[[#This Row],[Tipo]]="BUY",AR217-TbTradesBinance[[#This Row],[Qtt]]*TbTradesBinance[[#This Row],[Preço]],AR217+TbTradesBinance[[#This Row],[Qtt]]*TbTradesBinance[[#This Row],[Preço]])),AR217)-IF(TbTradesBinance[[#This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Row],[Tipo]]="DROP"),AR217+TbTradesBinance[[#This Row],[Qtt]],AR217-TbTradesBinance[[#This Row],[Qtt]]),IF(TbTradesBinance[[#This Row],[Tipo]]="BUY",AR217-TbTradesBinance[[#This Row],[Qtt]]*TbTradesBinance[[#This Row],[Preço]],AR217+TbTradesBinance[[#This Row],[Qtt]]*TbTradesBinance[[#This Row],[Preço]])),AR217)-IF(TbTradesBinance[[#This Row],[Moeda da Taxa]]=MID(AR$1,9,5),TbTradesBinance[[#This Row],[Taxa]],0),8)))</f>
        <v>0</v>
      </c>
      <c r="AS218" s="145" cm="1">
        <f t="array" ref="AS218">IF(TbTradesBinance[[#This Row],[Tipo]]="EMPTY",0,AS217+IF(TbTradesBinance[[#This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Row],[Par]]))),$1:$1,0)),-(AR217-AR218)/AR217*AS217),0),0)+IF(TbTradesBinance[[#This Row],[Tipo]]="SELL",IF(ISNUMBER(FIND(MID(AS$1,10,5),TbTradesBinance[[#This Row],[Par]])),IF(FIND(MID(AS$1,10,5),TbTradesBinance[[#This Row],[Par]])=1, -(AR217-AR218)/AR217*AS217,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Row],[Par]])),(-(AR217-AR218)/AR217*AS217)+IF(TbTradesBinance[[#This Row],[Resultado]]&gt;0,0,TbTradesBinance[[#This Row],[Taxa]]),0),0))</f>
        <v>0</v>
      </c>
      <c r="AT218" s="145">
        <f t="shared" ref="AT218:AT223" si="104">IF(AR218=0,0,AS218/AR218)</f>
        <v>0</v>
      </c>
      <c r="AU21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Row],[Tipo]]="DROP"),AU217+TbTradesBinance[[#This Row],[Qtt]],AU217-TbTradesBinance[[#This Row],[Qtt]]),IF(TbTradesBinance[[#This Row],[Tipo]]="BUY",AU217-TbTradesBinance[[#This Row],[Qtt]]*TbTradesBinance[[#This Row],[Preço]],AU217+TbTradesBinance[[#This Row],[Qtt]]*TbTradesBinance[[#This Row],[Preço]])),AU217)-IF(TbTradesBinance[[#This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Row],[Tipo]]="DROP"),AU217+TbTradesBinance[[#This Row],[Qtt]],AU217-TbTradesBinance[[#This Row],[Qtt]]),IF(TbTradesBinance[[#This Row],[Tipo]]="BUY",AU217-TbTradesBinance[[#This Row],[Qtt]]*TbTradesBinance[[#This Row],[Preço]],AU217+TbTradesBinance[[#This Row],[Qtt]]*TbTradesBinance[[#This Row],[Preço]])),AU217)-IF(TbTradesBinance[[#This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Row],[Tipo]]="DROP"),AU217+TbTradesBinance[[#This Row],[Qtt]],AU217-TbTradesBinance[[#This Row],[Qtt]]),IF(TbTradesBinance[[#This Row],[Tipo]]="BUY",AU217-TbTradesBinance[[#This Row],[Qtt]]*TbTradesBinance[[#This Row],[Preço]],AU217+TbTradesBinance[[#This Row],[Qtt]]*TbTradesBinance[[#This Row],[Preço]])),AU217)-IF(TbTradesBinance[[#This Row],[Moeda da Taxa]]=MID(AU$1,9,5),TbTradesBinance[[#This Row],[Taxa]],0),8)))</f>
        <v>0.51</v>
      </c>
      <c r="AV218" s="145" cm="1">
        <f t="array" ref="AV218">IF(TbTradesBinance[[#This Row],[Tipo]]="EMPTY",0,AV217+IF(TbTradesBinance[[#This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Row],[Par]]))),$1:$1,0)),-(AU217-AU218)/AU217*AV217),0),0)+IF(TbTradesBinance[[#This Row],[Tipo]]="SELL",IF(ISNUMBER(FIND(MID(AV$1,10,5),TbTradesBinance[[#This Row],[Par]])),IF(FIND(MID(AV$1,10,5),TbTradesBinance[[#This Row],[Par]])=1, -(AU217-AU218)/AU217*AV217,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Row],[Par]])),(-(AU217-AU218)/AU217*AV217)+IF(TbTradesBinance[[#This Row],[Resultado]]&gt;0,0,TbTradesBinance[[#This Row],[Taxa]]),0),0))</f>
        <v>95.466693037374753</v>
      </c>
      <c r="AW218" s="145">
        <f t="shared" ref="AW218:AW223" si="105">IF(AU218=0,0,AV218/AU218)</f>
        <v>187.18959419093088</v>
      </c>
      <c r="AX21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Row],[Tipo]]="DROP"),AX217+TbTradesBinance[[#This Row],[Qtt]],AX217-TbTradesBinance[[#This Row],[Qtt]]),IF(TbTradesBinance[[#This Row],[Tipo]]="BUY",AX217-TbTradesBinance[[#This Row],[Qtt]]*TbTradesBinance[[#This Row],[Preço]],AX217+TbTradesBinance[[#This Row],[Qtt]]*TbTradesBinance[[#This Row],[Preço]])),AX217)-IF(TbTradesBinance[[#This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Row],[Tipo]]="DROP"),AX217+TbTradesBinance[[#This Row],[Qtt]],AX217-TbTradesBinance[[#This Row],[Qtt]]),IF(TbTradesBinance[[#This Row],[Tipo]]="BUY",AX217-TbTradesBinance[[#This Row],[Qtt]]*TbTradesBinance[[#This Row],[Preço]],AX217+TbTradesBinance[[#This Row],[Qtt]]*TbTradesBinance[[#This Row],[Preço]])),AX217)-IF(TbTradesBinance[[#This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Row],[Tipo]]="DROP"),AX217+TbTradesBinance[[#This Row],[Qtt]],AX217-TbTradesBinance[[#This Row],[Qtt]]),IF(TbTradesBinance[[#This Row],[Tipo]]="BUY",AX217-TbTradesBinance[[#This Row],[Qtt]]*TbTradesBinance[[#This Row],[Preço]],AX217+TbTradesBinance[[#This Row],[Qtt]]*TbTradesBinance[[#This Row],[Preço]])),AX217)-IF(TbTradesBinance[[#This Row],[Moeda da Taxa]]=MID(AX$1,9,5),TbTradesBinance[[#This Row],[Taxa]],0),8)))</f>
        <v>0.32838000000000001</v>
      </c>
      <c r="AY218" s="145" cm="1">
        <f t="array" ref="AY218">IF(TbTradesBinance[[#This Row],[Tipo]]="EMPTY",0,AY217+IF(TbTradesBinance[[#This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Row],[Par]]))),$1:$1,0)),-(AX217-AX218)/AX217*AY217),0),0)+IF(TbTradesBinance[[#This Row],[Tipo]]="SELL",IF(ISNUMBER(FIND(MID(AY$1,10,5),TbTradesBinance[[#This Row],[Par]])),IF(FIND(MID(AY$1,10,5),TbTradesBinance[[#This Row],[Par]])=1, -(AX217-AX218)/AX217*AY217,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Row],[Par]])),(-(AX217-AX218)/AX217*AY217)+IF(TbTradesBinance[[#This Row],[Resultado]]&gt;0,0,TbTradesBinance[[#This Row],[Taxa]]),0),0))</f>
        <v>61.364116058805678</v>
      </c>
      <c r="AZ218" s="145">
        <f t="shared" ref="AZ218:AZ223" si="106">IF(AX218=0,0,AY218/AX218)</f>
        <v>186.869224857804</v>
      </c>
      <c r="BA21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Row],[Tipo]]="DROP"),BA217+TbTradesBinance[[#This Row],[Qtt]],BA217-TbTradesBinance[[#This Row],[Qtt]]),IF(TbTradesBinance[[#This Row],[Tipo]]="BUY",BA217-TbTradesBinance[[#This Row],[Qtt]]*TbTradesBinance[[#This Row],[Preço]],BA217+TbTradesBinance[[#This Row],[Qtt]]*TbTradesBinance[[#This Row],[Preço]])),BA217)-IF(TbTradesBinance[[#This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Row],[Tipo]]="DROP"),BA217+TbTradesBinance[[#This Row],[Qtt]],BA217-TbTradesBinance[[#This Row],[Qtt]]),IF(TbTradesBinance[[#This Row],[Tipo]]="BUY",BA217-TbTradesBinance[[#This Row],[Qtt]]*TbTradesBinance[[#This Row],[Preço]],BA217+TbTradesBinance[[#This Row],[Qtt]]*TbTradesBinance[[#This Row],[Preço]])),BA217)-IF(TbTradesBinance[[#This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Row],[Tipo]]="DROP"),BA217+TbTradesBinance[[#This Row],[Qtt]],BA217-TbTradesBinance[[#This Row],[Qtt]]),IF(TbTradesBinance[[#This Row],[Tipo]]="BUY",BA217-TbTradesBinance[[#This Row],[Qtt]]*TbTradesBinance[[#This Row],[Preço]],BA217+TbTradesBinance[[#This Row],[Qtt]]*TbTradesBinance[[#This Row],[Preço]])),BA217)-IF(TbTradesBinance[[#This Row],[Moeda da Taxa]]=MID(BA$1,9,5),TbTradesBinance[[#This Row],[Taxa]],0),8)))</f>
        <v>0</v>
      </c>
      <c r="BB218" s="145" cm="1">
        <f t="array" ref="BB218">IF(TbTradesBinance[[#This Row],[Tipo]]="EMPTY",0,BB217+IF(TbTradesBinance[[#This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Row],[Par]]))),$1:$1,0)),-(BA217-BA218)/BA217*BB217),0),0)+IF(TbTradesBinance[[#This Row],[Tipo]]="SELL",IF(ISNUMBER(FIND(MID(BB$1,10,5),TbTradesBinance[[#This Row],[Par]])),IF(FIND(MID(BB$1,10,5),TbTradesBinance[[#This Row],[Par]])=1, -(BA217-BA218)/BA217*BB217,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Row],[Par]])),(-(BA217-BA218)/BA217*BB217)+IF(TbTradesBinance[[#This Row],[Resultado]]&gt;0,0,TbTradesBinance[[#This Row],[Taxa]]),0),0))</f>
        <v>0</v>
      </c>
      <c r="BC218" s="145">
        <f t="shared" ref="BC218:BC223" si="107">IF(BA218=0,0,BB218/BA218)</f>
        <v>0</v>
      </c>
      <c r="BD21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Row],[Tipo]]="DROP"),BD217+TbTradesBinance[[#This Row],[Qtt]],BD217-TbTradesBinance[[#This Row],[Qtt]]),IF(TbTradesBinance[[#This Row],[Tipo]]="BUY",BD217-TbTradesBinance[[#This Row],[Qtt]]*TbTradesBinance[[#This Row],[Preço]],BD217+TbTradesBinance[[#This Row],[Qtt]]*TbTradesBinance[[#This Row],[Preço]])),BD217)-IF(TbTradesBinance[[#This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Row],[Tipo]]="DROP"),BD217+TbTradesBinance[[#This Row],[Qtt]],BD217-TbTradesBinance[[#This Row],[Qtt]]),IF(TbTradesBinance[[#This Row],[Tipo]]="BUY",BD217-TbTradesBinance[[#This Row],[Qtt]]*TbTradesBinance[[#This Row],[Preço]],BD217+TbTradesBinance[[#This Row],[Qtt]]*TbTradesBinance[[#This Row],[Preço]])),BD217)-IF(TbTradesBinance[[#This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Row],[Tipo]]="DROP"),BD217+TbTradesBinance[[#This Row],[Qtt]],BD217-TbTradesBinance[[#This Row],[Qtt]]),IF(TbTradesBinance[[#This Row],[Tipo]]="BUY",BD217-TbTradesBinance[[#This Row],[Qtt]]*TbTradesBinance[[#This Row],[Preço]],BD217+TbTradesBinance[[#This Row],[Qtt]]*TbTradesBinance[[#This Row],[Preço]])),BD217)-IF(TbTradesBinance[[#This Row],[Moeda da Taxa]]=MID(BD$1,9,5),TbTradesBinance[[#This Row],[Taxa]],0),8)))</f>
        <v>0</v>
      </c>
      <c r="BE218" s="145" cm="1">
        <f t="array" ref="BE218">IF(TbTradesBinance[[#This Row],[Tipo]]="EMPTY",0,BE217+IF(TbTradesBinance[[#This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Row],[Par]]))),$1:$1,0)),-(BD217-BD218)/BD217*BE217),0),0)+IF(TbTradesBinance[[#This Row],[Tipo]]="SELL",IF(ISNUMBER(FIND(MID(BE$1,10,5),TbTradesBinance[[#This Row],[Par]])),IF(FIND(MID(BE$1,10,5),TbTradesBinance[[#This Row],[Par]])=1, -(BD217-BD218)/BD217*BE217,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Row],[Par]])),(-(BD217-BD218)/BD217*BE217)+IF(TbTradesBinance[[#This Row],[Resultado]]&gt;0,0,TbTradesBinance[[#This Row],[Taxa]]),0),0))</f>
        <v>0</v>
      </c>
      <c r="BF218" s="145">
        <f t="shared" ref="BF218:BF223" si="108">IF(BD218=0,0,BE218/BD218)</f>
        <v>0</v>
      </c>
      <c r="BG21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Row],[Tipo]]="DROP"),BG217+TbTradesBinance[[#This Row],[Qtt]],BG217-TbTradesBinance[[#This Row],[Qtt]]),IF(TbTradesBinance[[#This Row],[Tipo]]="BUY",BG217-TbTradesBinance[[#This Row],[Qtt]]*TbTradesBinance[[#This Row],[Preço]],BG217+TbTradesBinance[[#This Row],[Qtt]]*TbTradesBinance[[#This Row],[Preço]])),BG217)-IF(TbTradesBinance[[#This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Row],[Tipo]]="DROP"),BG217+TbTradesBinance[[#This Row],[Qtt]],BG217-TbTradesBinance[[#This Row],[Qtt]]),IF(TbTradesBinance[[#This Row],[Tipo]]="BUY",BG217-TbTradesBinance[[#This Row],[Qtt]]*TbTradesBinance[[#This Row],[Preço]],BG217+TbTradesBinance[[#This Row],[Qtt]]*TbTradesBinance[[#This Row],[Preço]])),BG217)-IF(TbTradesBinance[[#This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Row],[Tipo]]="DROP"),BG217+TbTradesBinance[[#This Row],[Qtt]],BG217-TbTradesBinance[[#This Row],[Qtt]]),IF(TbTradesBinance[[#This Row],[Tipo]]="BUY",BG217-TbTradesBinance[[#This Row],[Qtt]]*TbTradesBinance[[#This Row],[Preço]],BG217+TbTradesBinance[[#This Row],[Qtt]]*TbTradesBinance[[#This Row],[Preço]])),BG217)-IF(TbTradesBinance[[#This Row],[Moeda da Taxa]]=MID(BG$1,9,5),TbTradesBinance[[#This Row],[Taxa]],0),8)))</f>
        <v>0</v>
      </c>
      <c r="BH218" s="145" cm="1">
        <f t="array" ref="BH218">IF(TbTradesBinance[[#This Row],[Tipo]]="EMPTY",0,BH217+IF(TbTradesBinance[[#This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Row],[Par]]))),$1:$1,0)),-(BG217-BG218)/BG217*BH217),0),0)+IF(TbTradesBinance[[#This Row],[Tipo]]="SELL",IF(ISNUMBER(FIND(MID(BH$1,10,5),TbTradesBinance[[#This Row],[Par]])),IF(FIND(MID(BH$1,10,5),TbTradesBinance[[#This Row],[Par]])=1, -(BG217-BG218)/BG217*BH217,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Row],[Par]])),(-(BG217-BG218)/BG217*BH217)+IF(TbTradesBinance[[#This Row],[Resultado]]&gt;0,0,TbTradesBinance[[#This Row],[Taxa]]),0),0))</f>
        <v>0</v>
      </c>
      <c r="BI218" s="145">
        <f t="shared" ref="BI218:BI223" si="109">IF(BG218=0,0,BH218/BG218)</f>
        <v>0</v>
      </c>
      <c r="BJ21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Row],[Tipo]]="DROP"),BJ217+TbTradesBinance[[#This Row],[Qtt]],BJ217-TbTradesBinance[[#This Row],[Qtt]]),IF(TbTradesBinance[[#This Row],[Tipo]]="BUY",BJ217-TbTradesBinance[[#This Row],[Qtt]]*TbTradesBinance[[#This Row],[Preço]],BJ217+TbTradesBinance[[#This Row],[Qtt]]*TbTradesBinance[[#This Row],[Preço]])),BJ217)-IF(TbTradesBinance[[#This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Row],[Tipo]]="DROP"),BJ217+TbTradesBinance[[#This Row],[Qtt]],BJ217-TbTradesBinance[[#This Row],[Qtt]]),IF(TbTradesBinance[[#This Row],[Tipo]]="BUY",BJ217-TbTradesBinance[[#This Row],[Qtt]]*TbTradesBinance[[#This Row],[Preço]],BJ217+TbTradesBinance[[#This Row],[Qtt]]*TbTradesBinance[[#This Row],[Preço]])),BJ217)-IF(TbTradesBinance[[#This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Row],[Tipo]]="DROP"),BJ217+TbTradesBinance[[#This Row],[Qtt]],BJ217-TbTradesBinance[[#This Row],[Qtt]]),IF(TbTradesBinance[[#This Row],[Tipo]]="BUY",BJ217-TbTradesBinance[[#This Row],[Qtt]]*TbTradesBinance[[#This Row],[Preço]],BJ217+TbTradesBinance[[#This Row],[Qtt]]*TbTradesBinance[[#This Row],[Preço]])),BJ217)-IF(TbTradesBinance[[#This Row],[Moeda da Taxa]]=MID(BJ$1,9,5),TbTradesBinance[[#This Row],[Taxa]],0),8)))</f>
        <v>0</v>
      </c>
      <c r="BK218" s="145" cm="1">
        <f t="array" ref="BK218">IF(TbTradesBinance[[#This Row],[Tipo]]="EMPTY",0,BK217+IF(TbTradesBinance[[#This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Row],[Par]]))),$1:$1,0)),-(BJ217-BJ218)/BJ217*BK217),0),0)+IF(TbTradesBinance[[#This Row],[Tipo]]="SELL",IF(ISNUMBER(FIND(MID(BK$1,10,5),TbTradesBinance[[#This Row],[Par]])),IF(FIND(MID(BK$1,10,5),TbTradesBinance[[#This Row],[Par]])=1, -(BJ217-BJ218)/BJ217*BK217,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Row],[Par]])),(-(BJ217-BJ218)/BJ217*BK217)+IF(TbTradesBinance[[#This Row],[Resultado]]&gt;0,0,TbTradesBinance[[#This Row],[Taxa]]),0),0))</f>
        <v>0</v>
      </c>
      <c r="BL218" s="145">
        <f t="shared" ref="BL218:BL223" si="110">IF(BJ218=0,0,BK218/BJ218)</f>
        <v>0</v>
      </c>
      <c r="BM21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Row],[Tipo]]="DROP"),BM217+TbTradesBinance[[#This Row],[Qtt]],BM217-TbTradesBinance[[#This Row],[Qtt]]),IF(TbTradesBinance[[#This Row],[Tipo]]="BUY",BM217-TbTradesBinance[[#This Row],[Qtt]]*TbTradesBinance[[#This Row],[Preço]],BM217+TbTradesBinance[[#This Row],[Qtt]]*TbTradesBinance[[#This Row],[Preço]])),BM217)-IF(TbTradesBinance[[#This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Row],[Tipo]]="DROP"),BM217+TbTradesBinance[[#This Row],[Qtt]],BM217-TbTradesBinance[[#This Row],[Qtt]]),IF(TbTradesBinance[[#This Row],[Tipo]]="BUY",BM217-TbTradesBinance[[#This Row],[Qtt]]*TbTradesBinance[[#This Row],[Preço]],BM217+TbTradesBinance[[#This Row],[Qtt]]*TbTradesBinance[[#This Row],[Preço]])),BM217)-IF(TbTradesBinance[[#This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Row],[Tipo]]="DROP"),BM217+TbTradesBinance[[#This Row],[Qtt]],BM217-TbTradesBinance[[#This Row],[Qtt]]),IF(TbTradesBinance[[#This Row],[Tipo]]="BUY",BM217-TbTradesBinance[[#This Row],[Qtt]]*TbTradesBinance[[#This Row],[Preço]],BM217+TbTradesBinance[[#This Row],[Qtt]]*TbTradesBinance[[#This Row],[Preço]])),BM217)-IF(TbTradesBinance[[#This Row],[Moeda da Taxa]]=MID(BM$1,9,5),TbTradesBinance[[#This Row],[Taxa]],0),8)))</f>
        <v>0</v>
      </c>
      <c r="BN218" s="145" cm="1">
        <f t="array" ref="BN218">IF(TbTradesBinance[[#This Row],[Tipo]]="EMPTY",0,BN217+IF(TbTradesBinance[[#This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Row],[Par]]))),$1:$1,0)),-(BM217-BM218)/BM217*BN217),0),0)+IF(TbTradesBinance[[#This Row],[Tipo]]="SELL",IF(ISNUMBER(FIND(MID(BN$1,10,5),TbTradesBinance[[#This Row],[Par]])),IF(FIND(MID(BN$1,10,5),TbTradesBinance[[#This Row],[Par]])=1, -(BM217-BM218)/BM217*BN217,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Row],[Par]])),(-(BM217-BM218)/BM217*BN217)+IF(TbTradesBinance[[#This Row],[Resultado]]&gt;0,0,TbTradesBinance[[#This Row],[Taxa]]),0),0))</f>
        <v>0</v>
      </c>
      <c r="BO218" s="145">
        <f t="shared" ref="BO218:BO223" si="111">IF(BM218=0,0,BN218/BM218)</f>
        <v>0</v>
      </c>
    </row>
    <row r="219" spans="2:67" x14ac:dyDescent="0.3">
      <c r="B219" s="51"/>
      <c r="C219" s="40">
        <f>TRUNC(IF(AND(TbTradesBinance[[#This Row],[Tipo]]="SEND",TbTradesBinance[[#This Row],[Par]]="BRL"),TbTradesBinance[[#This Row],[Qtt]]*(1-P217)-IF(TbTradesBinance[[#This Row],[Moeda da Taxa]]="BRL",TbTradesBinance[[#This Row],[Taxa]],0),0)+IF(AND(TbTradesBinance[[#This Row],[Tipo]]="BURN",TbTradesBinance[[#This Row],[Par]]="BRL"),-TbTradesBinance[[#This Row],[Qtt]]*P217,0),2)</f>
        <v>0</v>
      </c>
      <c r="D219" s="53">
        <v>44408.57534722222</v>
      </c>
      <c r="E219" s="37" t="s">
        <v>237</v>
      </c>
      <c r="F219" s="47" t="s">
        <v>140</v>
      </c>
      <c r="G219" s="38">
        <v>5.2089999999999996</v>
      </c>
      <c r="H219" s="38">
        <v>40</v>
      </c>
      <c r="I219" s="38">
        <v>9.0500000000000004E-5</v>
      </c>
      <c r="J219" s="37" t="s">
        <v>45</v>
      </c>
      <c r="K219" s="52">
        <v>1</v>
      </c>
      <c r="L219" s="40">
        <f t="shared" si="94"/>
        <v>5.2</v>
      </c>
      <c r="M219" s="40">
        <f>IF(OR(TbTradesBinance[[#This Row],[Tipo]]="BUY",TbTradesBinance[[#This Row],[Tipo]]="RECEIVE",TbTradesBinance[[#This Row],[Tipo]]="DROP"),L219*H219,-L219*H219)</f>
        <v>-208</v>
      </c>
      <c r="N21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Row],[Tipo]]="DROP"),N218+TbTradesBinance[[#This Row],[Qtt]],N218-TbTradesBinance[[#This Row],[Qtt]]),IF(TbTradesBinance[[#This Row],[Tipo]]="BUY",N218-TbTradesBinance[[#This Row],[Qtt]]*TbTradesBinance[[#This Row],[Preço]],N218+TbTradesBinance[[#This Row],[Qtt]]*TbTradesBinance[[#This Row],[Preço]])),N218)-IF(TbTradesBinance[[#This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Row],[Tipo]]="DROP"),N218+TbTradesBinance[[#This Row],[Qtt]],N218-TbTradesBinance[[#This Row],[Qtt]]),IF(TbTradesBinance[[#This Row],[Tipo]]="BUY",N218-TbTradesBinance[[#This Row],[Qtt]]*TbTradesBinance[[#This Row],[Preço]],N218+TbTradesBinance[[#This Row],[Qtt]]*TbTradesBinance[[#This Row],[Preço]])),N218)-IF(TbTradesBinance[[#This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Row],[Tipo]]="DROP"),N218+TbTradesBinance[[#This Row],[Qtt]],N218-TbTradesBinance[[#This Row],[Qtt]]),IF(TbTradesBinance[[#This Row],[Tipo]]="BUY",N218-TbTradesBinance[[#This Row],[Qtt]]*TbTradesBinance[[#This Row],[Preço]],N218+TbTradesBinance[[#This Row],[Qtt]]*TbTradesBinance[[#This Row],[Preço]])),N218)-IF(TbTradesBinance[[#This Row],[Moeda da Taxa]]=MID(N$1,9,5),TbTradesBinance[[#This Row],[Taxa]],0),8)))</f>
        <v>119953.80911781</v>
      </c>
      <c r="O219" s="145" cm="1">
        <f t="array" ref="O219">IF(TbTradesBinance[[#This Row],[Tipo]]="EMPTY",0,O218+IF(TbTradesBinance[[#This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Row],[Par]]))),$1:$1,0)),-(N218-N219)/N218*O218),0),0)+IF(TbTradesBinance[[#This Row],[Tipo]]="SELL",IF(ISNUMBER(FIND(MID(O$1,10,5),TbTradesBinance[[#This Row],[Par]])),IF(FIND(MID(O$1,10,5),TbTradesBinance[[#This Row],[Par]])=1, -(N218-N219)/N218*O218,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Row],[Par]])),(-(N218-N219)/N218*O218)+IF(TbTradesBinance[[#This Row],[Resultado]]&gt;0,0,TbTradesBinance[[#This Row],[Taxa]]),0),0))</f>
        <v>120624.90957174959</v>
      </c>
      <c r="P219" s="145">
        <f t="shared" si="76"/>
        <v>1.005594657300799</v>
      </c>
      <c r="Q21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Row],[Tipo]]="DROP"),Q218+TbTradesBinance[[#This Row],[Qtt]],Q218-TbTradesBinance[[#This Row],[Qtt]]),IF(TbTradesBinance[[#This Row],[Tipo]]="BUY",Q218-TbTradesBinance[[#This Row],[Qtt]]*TbTradesBinance[[#This Row],[Preço]],Q218+TbTradesBinance[[#This Row],[Qtt]]*TbTradesBinance[[#This Row],[Preço]])),Q218)-IF(TbTradesBinance[[#This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Row],[Tipo]]="DROP"),Q218+TbTradesBinance[[#This Row],[Qtt]],Q218-TbTradesBinance[[#This Row],[Qtt]]),IF(TbTradesBinance[[#This Row],[Tipo]]="BUY",Q218-TbTradesBinance[[#This Row],[Qtt]]*TbTradesBinance[[#This Row],[Preço]],Q218+TbTradesBinance[[#This Row],[Qtt]]*TbTradesBinance[[#This Row],[Preço]])),Q218)-IF(TbTradesBinance[[#This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Row],[Tipo]]="DROP"),Q218+TbTradesBinance[[#This Row],[Qtt]],Q218-TbTradesBinance[[#This Row],[Qtt]]),IF(TbTradesBinance[[#This Row],[Tipo]]="BUY",Q218-TbTradesBinance[[#This Row],[Qtt]]*TbTradesBinance[[#This Row],[Preço]],Q218+TbTradesBinance[[#This Row],[Qtt]]*TbTradesBinance[[#This Row],[Preço]])),Q218)-IF(TbTradesBinance[[#This Row],[Moeda da Taxa]]=MID(Q$1,9,5),TbTradesBinance[[#This Row],[Taxa]],0),8)))</f>
        <v>429.78335734000001</v>
      </c>
      <c r="R219" s="145" cm="1">
        <f t="array" ref="R219">IF(TbTradesBinance[[#This Row],[Tipo]]="EMPTY",0,R218+IF(TbTradesBinance[[#This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Row],[Par]]))),$1:$1,0)),-(Q218-Q219)/Q218*R218),0),0)+IF(TbTradesBinance[[#This Row],[Tipo]]="SELL",IF(ISNUMBER(FIND(MID(R$1,10,5),TbTradesBinance[[#This Row],[Par]])),IF(FIND(MID(R$1,10,5),TbTradesBinance[[#This Row],[Par]])=1, -(Q218-Q219)/Q218*R218,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Row],[Par]])),(-(Q218-Q219)/Q218*R218)+IF(TbTradesBinance[[#This Row],[Resultado]]&gt;0,0,TbTradesBinance[[#This Row],[Taxa]]),0),0))</f>
        <v>2362.8715402556359</v>
      </c>
      <c r="S219" s="145">
        <f t="shared" si="95"/>
        <v>5.4978200060603486</v>
      </c>
      <c r="T21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Row],[Tipo]]="DROP"),T218+TbTradesBinance[[#This Row],[Qtt]],T218-TbTradesBinance[[#This Row],[Qtt]]),IF(TbTradesBinance[[#This Row],[Tipo]]="BUY",T218-TbTradesBinance[[#This Row],[Qtt]]*TbTradesBinance[[#This Row],[Preço]],T218+TbTradesBinance[[#This Row],[Qtt]]*TbTradesBinance[[#This Row],[Preço]])),T218)-IF(TbTradesBinance[[#This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Row],[Tipo]]="DROP"),T218+TbTradesBinance[[#This Row],[Qtt]],T218-TbTradesBinance[[#This Row],[Qtt]]),IF(TbTradesBinance[[#This Row],[Tipo]]="BUY",T218-TbTradesBinance[[#This Row],[Qtt]]*TbTradesBinance[[#This Row],[Preço]],T218+TbTradesBinance[[#This Row],[Qtt]]*TbTradesBinance[[#This Row],[Preço]])),T218)-IF(TbTradesBinance[[#This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Row],[Tipo]]="DROP"),T218+TbTradesBinance[[#This Row],[Qtt]],T218-TbTradesBinance[[#This Row],[Qtt]]),IF(TbTradesBinance[[#This Row],[Tipo]]="BUY",T218-TbTradesBinance[[#This Row],[Qtt]]*TbTradesBinance[[#This Row],[Preço]],T218+TbTradesBinance[[#This Row],[Qtt]]*TbTradesBinance[[#This Row],[Preço]])),T218)-IF(TbTradesBinance[[#This Row],[Moeda da Taxa]]=MID(T$1,9,5),TbTradesBinance[[#This Row],[Taxa]],0),8)))</f>
        <v>101223913.720009</v>
      </c>
      <c r="U219" s="145" cm="1">
        <f t="array" ref="U219">IF(TbTradesBinance[[#This Row],[Tipo]]="EMPTY",0,U218+IF(TbTradesBinance[[#This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Row],[Par]]))),$1:$1,0)),-(T218-T219)/T218*U218),0),0)+IF(TbTradesBinance[[#This Row],[Tipo]]="SELL",IF(ISNUMBER(FIND(MID(U$1,10,5),TbTradesBinance[[#This Row],[Par]])),IF(FIND(MID(U$1,10,5),TbTradesBinance[[#This Row],[Par]])=1, -(T218-T219)/T218*U218,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Row],[Par]])),(-(T218-T219)/T218*U218)+IF(TbTradesBinance[[#This Row],[Resultado]]&gt;0,0,TbTradesBinance[[#This Row],[Taxa]]),0),0))</f>
        <v>617586601.27364206</v>
      </c>
      <c r="V219" s="145">
        <f t="shared" si="96"/>
        <v>6.1011926784605572</v>
      </c>
      <c r="W21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Row],[Tipo]]="DROP"),W218+TbTradesBinance[[#This Row],[Qtt]],W218-TbTradesBinance[[#This Row],[Qtt]]),IF(TbTradesBinance[[#This Row],[Tipo]]="BUY",W218-TbTradesBinance[[#This Row],[Qtt]]*TbTradesBinance[[#This Row],[Preço]],W218+TbTradesBinance[[#This Row],[Qtt]]*TbTradesBinance[[#This Row],[Preço]])),W218)-IF(TbTradesBinance[[#This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Row],[Tipo]]="DROP"),W218+TbTradesBinance[[#This Row],[Qtt]],W218-TbTradesBinance[[#This Row],[Qtt]]),IF(TbTradesBinance[[#This Row],[Tipo]]="BUY",W218-TbTradesBinance[[#This Row],[Qtt]]*TbTradesBinance[[#This Row],[Preço]],W218+TbTradesBinance[[#This Row],[Qtt]]*TbTradesBinance[[#This Row],[Preço]])),W218)-IF(TbTradesBinance[[#This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Row],[Tipo]]="DROP"),W218+TbTradesBinance[[#This Row],[Qtt]],W218-TbTradesBinance[[#This Row],[Qtt]]),IF(TbTradesBinance[[#This Row],[Tipo]]="BUY",W218-TbTradesBinance[[#This Row],[Qtt]]*TbTradesBinance[[#This Row],[Preço]],W218+TbTradesBinance[[#This Row],[Qtt]]*TbTradesBinance[[#This Row],[Preço]])),W218)-IF(TbTradesBinance[[#This Row],[Moeda da Taxa]]=MID(W$1,9,5),TbTradesBinance[[#This Row],[Taxa]],0),8)))</f>
        <v>3.9899999999999999E-6</v>
      </c>
      <c r="X219" s="145" cm="1">
        <f t="array" ref="X219">IF(TbTradesBinance[[#This Row],[Tipo]]="EMPTY",0,X218+IF(TbTradesBinance[[#This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Row],[Par]]))),$1:$1,0)),-(W218-W219)/W218*X218),0),0)+IF(TbTradesBinance[[#This Row],[Tipo]]="SELL",IF(ISNUMBER(FIND(MID(X$1,10,5),TbTradesBinance[[#This Row],[Par]])),IF(FIND(MID(X$1,10,5),TbTradesBinance[[#This Row],[Par]])=1, -(W218-W219)/W218*X218,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Row],[Par]])),(-(W218-W219)/W218*X218)+IF(TbTradesBinance[[#This Row],[Resultado]]&gt;0,0,TbTradesBinance[[#This Row],[Taxa]]),0),0))</f>
        <v>0.6953811938234935</v>
      </c>
      <c r="Y219" s="145">
        <f t="shared" si="97"/>
        <v>174281.00095826905</v>
      </c>
      <c r="Z21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Row],[Tipo]]="DROP"),Z218+TbTradesBinance[[#This Row],[Qtt]],Z218-TbTradesBinance[[#This Row],[Qtt]]),IF(TbTradesBinance[[#This Row],[Tipo]]="BUY",Z218-TbTradesBinance[[#This Row],[Qtt]]*TbTradesBinance[[#This Row],[Preço]],Z218+TbTradesBinance[[#This Row],[Qtt]]*TbTradesBinance[[#This Row],[Preço]])),Z218)-IF(TbTradesBinance[[#This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Row],[Tipo]]="DROP"),Z218+TbTradesBinance[[#This Row],[Qtt]],Z218-TbTradesBinance[[#This Row],[Qtt]]),IF(TbTradesBinance[[#This Row],[Tipo]]="BUY",Z218-TbTradesBinance[[#This Row],[Qtt]]*TbTradesBinance[[#This Row],[Preço]],Z218+TbTradesBinance[[#This Row],[Qtt]]*TbTradesBinance[[#This Row],[Preço]])),Z218)-IF(TbTradesBinance[[#This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Row],[Tipo]]="DROP"),Z218+TbTradesBinance[[#This Row],[Qtt]],Z218-TbTradesBinance[[#This Row],[Qtt]]),IF(TbTradesBinance[[#This Row],[Tipo]]="BUY",Z218-TbTradesBinance[[#This Row],[Qtt]]*TbTradesBinance[[#This Row],[Preço]],Z218+TbTradesBinance[[#This Row],[Qtt]]*TbTradesBinance[[#This Row],[Preço]])),Z218)-IF(TbTradesBinance[[#This Row],[Moeda da Taxa]]=MID(Z$1,9,5),TbTradesBinance[[#This Row],[Taxa]],0),8)))</f>
        <v>0</v>
      </c>
      <c r="AA219" s="145" cm="1">
        <f t="array" ref="AA219">IF(TbTradesBinance[[#This Row],[Tipo]]="EMPTY",0,AA218+IF(TbTradesBinance[[#This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Row],[Par]]))),$1:$1,0)),-(Z218-Z219)/Z218*AA218),0),0)+IF(TbTradesBinance[[#This Row],[Tipo]]="SELL",IF(ISNUMBER(FIND(MID(AA$1,10,5),TbTradesBinance[[#This Row],[Par]])),IF(FIND(MID(AA$1,10,5),TbTradesBinance[[#This Row],[Par]])=1, -(Z218-Z219)/Z218*AA218,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Row],[Par]])),(-(Z218-Z219)/Z218*AA218)+IF(TbTradesBinance[[#This Row],[Resultado]]&gt;0,0,TbTradesBinance[[#This Row],[Taxa]]),0),0))</f>
        <v>0</v>
      </c>
      <c r="AB219" s="145">
        <f t="shared" si="98"/>
        <v>0</v>
      </c>
      <c r="AC21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Row],[Tipo]]="DROP"),AC218+TbTradesBinance[[#This Row],[Qtt]],AC218-TbTradesBinance[[#This Row],[Qtt]]),IF(TbTradesBinance[[#This Row],[Tipo]]="BUY",AC218-TbTradesBinance[[#This Row],[Qtt]]*TbTradesBinance[[#This Row],[Preço]],AC218+TbTradesBinance[[#This Row],[Qtt]]*TbTradesBinance[[#This Row],[Preço]])),AC218)-IF(TbTradesBinance[[#This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Row],[Tipo]]="DROP"),AC218+TbTradesBinance[[#This Row],[Qtt]],AC218-TbTradesBinance[[#This Row],[Qtt]]),IF(TbTradesBinance[[#This Row],[Tipo]]="BUY",AC218-TbTradesBinance[[#This Row],[Qtt]]*TbTradesBinance[[#This Row],[Preço]],AC218+TbTradesBinance[[#This Row],[Qtt]]*TbTradesBinance[[#This Row],[Preço]])),AC218)-IF(TbTradesBinance[[#This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Row],[Tipo]]="DROP"),AC218+TbTradesBinance[[#This Row],[Qtt]],AC218-TbTradesBinance[[#This Row],[Qtt]]),IF(TbTradesBinance[[#This Row],[Tipo]]="BUY",AC218-TbTradesBinance[[#This Row],[Qtt]]*TbTradesBinance[[#This Row],[Preço]],AC218+TbTradesBinance[[#This Row],[Qtt]]*TbTradesBinance[[#This Row],[Preço]])),AC218)-IF(TbTradesBinance[[#This Row],[Moeda da Taxa]]=MID(AC$1,9,5),TbTradesBinance[[#This Row],[Taxa]],0),8)))</f>
        <v>0</v>
      </c>
      <c r="AD219" s="145" cm="1">
        <f t="array" ref="AD219">IF(TbTradesBinance[[#This Row],[Tipo]]="EMPTY",0,AD218+IF(TbTradesBinance[[#This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Row],[Par]]))),$1:$1,0)),-(AC218-AC219)/AC218*AD218),0),0)+IF(TbTradesBinance[[#This Row],[Tipo]]="SELL",IF(ISNUMBER(FIND(MID(AD$1,10,5),TbTradesBinance[[#This Row],[Par]])),IF(FIND(MID(AD$1,10,5),TbTradesBinance[[#This Row],[Par]])=1, -(AC218-AC219)/AC218*AD218,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Row],[Par]])),(-(AC218-AC219)/AC218*AD218)+IF(TbTradesBinance[[#This Row],[Resultado]]&gt;0,0,TbTradesBinance[[#This Row],[Taxa]]),0),0))</f>
        <v>0</v>
      </c>
      <c r="AE219" s="145">
        <f t="shared" si="99"/>
        <v>0</v>
      </c>
      <c r="AF21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Row],[Tipo]]="DROP"),AF218+TbTradesBinance[[#This Row],[Qtt]],AF218-TbTradesBinance[[#This Row],[Qtt]]),IF(TbTradesBinance[[#This Row],[Tipo]]="BUY",AF218-TbTradesBinance[[#This Row],[Qtt]]*TbTradesBinance[[#This Row],[Preço]],AF218+TbTradesBinance[[#This Row],[Qtt]]*TbTradesBinance[[#This Row],[Preço]])),AF218)-IF(TbTradesBinance[[#This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Row],[Tipo]]="DROP"),AF218+TbTradesBinance[[#This Row],[Qtt]],AF218-TbTradesBinance[[#This Row],[Qtt]]),IF(TbTradesBinance[[#This Row],[Tipo]]="BUY",AF218-TbTradesBinance[[#This Row],[Qtt]]*TbTradesBinance[[#This Row],[Preço]],AF218+TbTradesBinance[[#This Row],[Qtt]]*TbTradesBinance[[#This Row],[Preço]])),AF218)-IF(TbTradesBinance[[#This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Row],[Tipo]]="DROP"),AF218+TbTradesBinance[[#This Row],[Qtt]],AF218-TbTradesBinance[[#This Row],[Qtt]]),IF(TbTradesBinance[[#This Row],[Tipo]]="BUY",AF218-TbTradesBinance[[#This Row],[Qtt]]*TbTradesBinance[[#This Row],[Preço]],AF218+TbTradesBinance[[#This Row],[Qtt]]*TbTradesBinance[[#This Row],[Preço]])),AF218)-IF(TbTradesBinance[[#This Row],[Moeda da Taxa]]=MID(AF$1,9,5),TbTradesBinance[[#This Row],[Taxa]],0),8)))</f>
        <v>0</v>
      </c>
      <c r="AG219" s="145" cm="1">
        <f t="array" ref="AG219">IF(TbTradesBinance[[#This Row],[Tipo]]="EMPTY",0,AG218+IF(TbTradesBinance[[#This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Row],[Par]]))),$1:$1,0)),-(AF218-AF219)/AF218*AG218),0),0)+IF(TbTradesBinance[[#This Row],[Tipo]]="SELL",IF(ISNUMBER(FIND(MID(AG$1,10,5),TbTradesBinance[[#This Row],[Par]])),IF(FIND(MID(AG$1,10,5),TbTradesBinance[[#This Row],[Par]])=1, -(AF218-AF219)/AF218*AG218,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Row],[Par]])),(-(AF218-AF219)/AF218*AG218)+IF(TbTradesBinance[[#This Row],[Resultado]]&gt;0,0,TbTradesBinance[[#This Row],[Taxa]]),0),0))</f>
        <v>0</v>
      </c>
      <c r="AH219" s="145">
        <f t="shared" si="100"/>
        <v>0</v>
      </c>
      <c r="AI21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Row],[Tipo]]="DROP"),AI218+TbTradesBinance[[#This Row],[Qtt]],AI218-TbTradesBinance[[#This Row],[Qtt]]),IF(TbTradesBinance[[#This Row],[Tipo]]="BUY",AI218-TbTradesBinance[[#This Row],[Qtt]]*TbTradesBinance[[#This Row],[Preço]],AI218+TbTradesBinance[[#This Row],[Qtt]]*TbTradesBinance[[#This Row],[Preço]])),AI218)-IF(TbTradesBinance[[#This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Row],[Tipo]]="DROP"),AI218+TbTradesBinance[[#This Row],[Qtt]],AI218-TbTradesBinance[[#This Row],[Qtt]]),IF(TbTradesBinance[[#This Row],[Tipo]]="BUY",AI218-TbTradesBinance[[#This Row],[Qtt]]*TbTradesBinance[[#This Row],[Preço]],AI218+TbTradesBinance[[#This Row],[Qtt]]*TbTradesBinance[[#This Row],[Preço]])),AI218)-IF(TbTradesBinance[[#This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Row],[Tipo]]="DROP"),AI218+TbTradesBinance[[#This Row],[Qtt]],AI218-TbTradesBinance[[#This Row],[Qtt]]),IF(TbTradesBinance[[#This Row],[Tipo]]="BUY",AI218-TbTradesBinance[[#This Row],[Qtt]]*TbTradesBinance[[#This Row],[Preço]],AI218+TbTradesBinance[[#This Row],[Qtt]]*TbTradesBinance[[#This Row],[Preço]])),AI218)-IF(TbTradesBinance[[#This Row],[Moeda da Taxa]]=MID(AI$1,9,5),TbTradesBinance[[#This Row],[Taxa]],0),8)))</f>
        <v>0</v>
      </c>
      <c r="AJ219" s="145" cm="1">
        <f t="array" ref="AJ219">IF(TbTradesBinance[[#This Row],[Tipo]]="EMPTY",0,AJ218+IF(TbTradesBinance[[#This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Row],[Par]]))),$1:$1,0)),-(AI218-AI219)/AI218*AJ218),0),0)+IF(TbTradesBinance[[#This Row],[Tipo]]="SELL",IF(ISNUMBER(FIND(MID(AJ$1,10,5),TbTradesBinance[[#This Row],[Par]])),IF(FIND(MID(AJ$1,10,5),TbTradesBinance[[#This Row],[Par]])=1, -(AI218-AI219)/AI218*AJ218,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Row],[Par]])),(-(AI218-AI219)/AI218*AJ218)+IF(TbTradesBinance[[#This Row],[Resultado]]&gt;0,0,TbTradesBinance[[#This Row],[Taxa]]),0),0))</f>
        <v>0</v>
      </c>
      <c r="AK219" s="145">
        <f t="shared" si="101"/>
        <v>0</v>
      </c>
      <c r="AL21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Row],[Tipo]]="DROP"),AL218+TbTradesBinance[[#This Row],[Qtt]],AL218-TbTradesBinance[[#This Row],[Qtt]]),IF(TbTradesBinance[[#This Row],[Tipo]]="BUY",AL218-TbTradesBinance[[#This Row],[Qtt]]*TbTradesBinance[[#This Row],[Preço]],AL218+TbTradesBinance[[#This Row],[Qtt]]*TbTradesBinance[[#This Row],[Preço]])),AL218)-IF(TbTradesBinance[[#This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Row],[Tipo]]="DROP"),AL218+TbTradesBinance[[#This Row],[Qtt]],AL218-TbTradesBinance[[#This Row],[Qtt]]),IF(TbTradesBinance[[#This Row],[Tipo]]="BUY",AL218-TbTradesBinance[[#This Row],[Qtt]]*TbTradesBinance[[#This Row],[Preço]],AL218+TbTradesBinance[[#This Row],[Qtt]]*TbTradesBinance[[#This Row],[Preço]])),AL218)-IF(TbTradesBinance[[#This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Row],[Tipo]]="DROP"),AL218+TbTradesBinance[[#This Row],[Qtt]],AL218-TbTradesBinance[[#This Row],[Qtt]]),IF(TbTradesBinance[[#This Row],[Tipo]]="BUY",AL218-TbTradesBinance[[#This Row],[Qtt]]*TbTradesBinance[[#This Row],[Preço]],AL218+TbTradesBinance[[#This Row],[Qtt]]*TbTradesBinance[[#This Row],[Preço]])),AL218)-IF(TbTradesBinance[[#This Row],[Moeda da Taxa]]=MID(AL$1,9,5),TbTradesBinance[[#This Row],[Taxa]],0),8)))</f>
        <v>0</v>
      </c>
      <c r="AM219" s="145" cm="1">
        <f t="array" ref="AM219">IF(TbTradesBinance[[#This Row],[Tipo]]="EMPTY",0,AM218+IF(TbTradesBinance[[#This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Row],[Par]]))),$1:$1,0)),-(AL218-AL219)/AL218*AM218),0),0)+IF(TbTradesBinance[[#This Row],[Tipo]]="SELL",IF(ISNUMBER(FIND(MID(AM$1,10,5),TbTradesBinance[[#This Row],[Par]])),IF(FIND(MID(AM$1,10,5),TbTradesBinance[[#This Row],[Par]])=1, -(AL218-AL219)/AL218*AM218,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Row],[Par]])),(-(AL218-AL219)/AL218*AM218)+IF(TbTradesBinance[[#This Row],[Resultado]]&gt;0,0,TbTradesBinance[[#This Row],[Taxa]]),0),0))</f>
        <v>0</v>
      </c>
      <c r="AN219" s="145">
        <f t="shared" si="102"/>
        <v>0</v>
      </c>
      <c r="AO21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Row],[Tipo]]="DROP"),AO218+TbTradesBinance[[#This Row],[Qtt]],AO218-TbTradesBinance[[#This Row],[Qtt]]),IF(TbTradesBinance[[#This Row],[Tipo]]="BUY",AO218-TbTradesBinance[[#This Row],[Qtt]]*TbTradesBinance[[#This Row],[Preço]],AO218+TbTradesBinance[[#This Row],[Qtt]]*TbTradesBinance[[#This Row],[Preço]])),AO218)-IF(TbTradesBinance[[#This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Row],[Tipo]]="DROP"),AO218+TbTradesBinance[[#This Row],[Qtt]],AO218-TbTradesBinance[[#This Row],[Qtt]]),IF(TbTradesBinance[[#This Row],[Tipo]]="BUY",AO218-TbTradesBinance[[#This Row],[Qtt]]*TbTradesBinance[[#This Row],[Preço]],AO218+TbTradesBinance[[#This Row],[Qtt]]*TbTradesBinance[[#This Row],[Preço]])),AO218)-IF(TbTradesBinance[[#This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Row],[Tipo]]="DROP"),AO218+TbTradesBinance[[#This Row],[Qtt]],AO218-TbTradesBinance[[#This Row],[Qtt]]),IF(TbTradesBinance[[#This Row],[Tipo]]="BUY",AO218-TbTradesBinance[[#This Row],[Qtt]]*TbTradesBinance[[#This Row],[Preço]],AO218+TbTradesBinance[[#This Row],[Qtt]]*TbTradesBinance[[#This Row],[Preço]])),AO218)-IF(TbTradesBinance[[#This Row],[Moeda da Taxa]]=MID(AO$1,9,5),TbTradesBinance[[#This Row],[Taxa]],0),8)))</f>
        <v>6.69989E-2</v>
      </c>
      <c r="AP219" s="145" cm="1">
        <f t="array" ref="AP219">IF(TbTradesBinance[[#This Row],[Tipo]]="EMPTY",0,AP218+IF(TbTradesBinance[[#This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Row],[Par]]))),$1:$1,0)),-(AO218-AO219)/AO218*AP218),0),0)+IF(TbTradesBinance[[#This Row],[Tipo]]="SELL",IF(ISNUMBER(FIND(MID(AP$1,10,5),TbTradesBinance[[#This Row],[Par]])),IF(FIND(MID(AP$1,10,5),TbTradesBinance[[#This Row],[Par]])=1, -(AO218-AO219)/AO218*AP218,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Row],[Par]])),(-(AO218-AO219)/AO218*AP218)+IF(TbTradesBinance[[#This Row],[Resultado]]&gt;0,0,TbTradesBinance[[#This Row],[Taxa]]),0),0))</f>
        <v>102.0944711963762</v>
      </c>
      <c r="AQ219" s="145">
        <f t="shared" si="103"/>
        <v>1523.8230955489748</v>
      </c>
      <c r="AR21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Row],[Tipo]]="DROP"),AR218+TbTradesBinance[[#This Row],[Qtt]],AR218-TbTradesBinance[[#This Row],[Qtt]]),IF(TbTradesBinance[[#This Row],[Tipo]]="BUY",AR218-TbTradesBinance[[#This Row],[Qtt]]*TbTradesBinance[[#This Row],[Preço]],AR218+TbTradesBinance[[#This Row],[Qtt]]*TbTradesBinance[[#This Row],[Preço]])),AR218)-IF(TbTradesBinance[[#This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Row],[Tipo]]="DROP"),AR218+TbTradesBinance[[#This Row],[Qtt]],AR218-TbTradesBinance[[#This Row],[Qtt]]),IF(TbTradesBinance[[#This Row],[Tipo]]="BUY",AR218-TbTradesBinance[[#This Row],[Qtt]]*TbTradesBinance[[#This Row],[Preço]],AR218+TbTradesBinance[[#This Row],[Qtt]]*TbTradesBinance[[#This Row],[Preço]])),AR218)-IF(TbTradesBinance[[#This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Row],[Tipo]]="DROP"),AR218+TbTradesBinance[[#This Row],[Qtt]],AR218-TbTradesBinance[[#This Row],[Qtt]]),IF(TbTradesBinance[[#This Row],[Tipo]]="BUY",AR218-TbTradesBinance[[#This Row],[Qtt]]*TbTradesBinance[[#This Row],[Preço]],AR218+TbTradesBinance[[#This Row],[Qtt]]*TbTradesBinance[[#This Row],[Preço]])),AR218)-IF(TbTradesBinance[[#This Row],[Moeda da Taxa]]=MID(AR$1,9,5),TbTradesBinance[[#This Row],[Taxa]],0),8)))</f>
        <v>0</v>
      </c>
      <c r="AS219" s="145" cm="1">
        <f t="array" ref="AS219">IF(TbTradesBinance[[#This Row],[Tipo]]="EMPTY",0,AS218+IF(TbTradesBinance[[#This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Row],[Par]]))),$1:$1,0)),-(AR218-AR219)/AR218*AS218),0),0)+IF(TbTradesBinance[[#This Row],[Tipo]]="SELL",IF(ISNUMBER(FIND(MID(AS$1,10,5),TbTradesBinance[[#This Row],[Par]])),IF(FIND(MID(AS$1,10,5),TbTradesBinance[[#This Row],[Par]])=1, -(AR218-AR219)/AR218*AS218,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Row],[Par]])),(-(AR218-AR219)/AR218*AS218)+IF(TbTradesBinance[[#This Row],[Resultado]]&gt;0,0,TbTradesBinance[[#This Row],[Taxa]]),0),0))</f>
        <v>0</v>
      </c>
      <c r="AT219" s="145">
        <f t="shared" si="104"/>
        <v>0</v>
      </c>
      <c r="AU21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Row],[Tipo]]="DROP"),AU218+TbTradesBinance[[#This Row],[Qtt]],AU218-TbTradesBinance[[#This Row],[Qtt]]),IF(TbTradesBinance[[#This Row],[Tipo]]="BUY",AU218-TbTradesBinance[[#This Row],[Qtt]]*TbTradesBinance[[#This Row],[Preço]],AU218+TbTradesBinance[[#This Row],[Qtt]]*TbTradesBinance[[#This Row],[Preço]])),AU218)-IF(TbTradesBinance[[#This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Row],[Tipo]]="DROP"),AU218+TbTradesBinance[[#This Row],[Qtt]],AU218-TbTradesBinance[[#This Row],[Qtt]]),IF(TbTradesBinance[[#This Row],[Tipo]]="BUY",AU218-TbTradesBinance[[#This Row],[Qtt]]*TbTradesBinance[[#This Row],[Preço]],AU218+TbTradesBinance[[#This Row],[Qtt]]*TbTradesBinance[[#This Row],[Preço]])),AU218)-IF(TbTradesBinance[[#This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Row],[Tipo]]="DROP"),AU218+TbTradesBinance[[#This Row],[Qtt]],AU218-TbTradesBinance[[#This Row],[Qtt]]),IF(TbTradesBinance[[#This Row],[Tipo]]="BUY",AU218-TbTradesBinance[[#This Row],[Qtt]]*TbTradesBinance[[#This Row],[Preço]],AU218+TbTradesBinance[[#This Row],[Qtt]]*TbTradesBinance[[#This Row],[Preço]])),AU218)-IF(TbTradesBinance[[#This Row],[Moeda da Taxa]]=MID(AU$1,9,5),TbTradesBinance[[#This Row],[Taxa]],0),8)))</f>
        <v>0.51</v>
      </c>
      <c r="AV219" s="145" cm="1">
        <f t="array" ref="AV219">IF(TbTradesBinance[[#This Row],[Tipo]]="EMPTY",0,AV218+IF(TbTradesBinance[[#This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Row],[Par]]))),$1:$1,0)),-(AU218-AU219)/AU218*AV218),0),0)+IF(TbTradesBinance[[#This Row],[Tipo]]="SELL",IF(ISNUMBER(FIND(MID(AV$1,10,5),TbTradesBinance[[#This Row],[Par]])),IF(FIND(MID(AV$1,10,5),TbTradesBinance[[#This Row],[Par]])=1, -(AU218-AU219)/AU218*AV218,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Row],[Par]])),(-(AU218-AU219)/AU218*AV218)+IF(TbTradesBinance[[#This Row],[Resultado]]&gt;0,0,TbTradesBinance[[#This Row],[Taxa]]),0),0))</f>
        <v>95.466693037374753</v>
      </c>
      <c r="AW219" s="145">
        <f t="shared" si="105"/>
        <v>187.18959419093088</v>
      </c>
      <c r="AX21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Row],[Tipo]]="DROP"),AX218+TbTradesBinance[[#This Row],[Qtt]],AX218-TbTradesBinance[[#This Row],[Qtt]]),IF(TbTradesBinance[[#This Row],[Tipo]]="BUY",AX218-TbTradesBinance[[#This Row],[Qtt]]*TbTradesBinance[[#This Row],[Preço]],AX218+TbTradesBinance[[#This Row],[Qtt]]*TbTradesBinance[[#This Row],[Preço]])),AX218)-IF(TbTradesBinance[[#This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Row],[Tipo]]="DROP"),AX218+TbTradesBinance[[#This Row],[Qtt]],AX218-TbTradesBinance[[#This Row],[Qtt]]),IF(TbTradesBinance[[#This Row],[Tipo]]="BUY",AX218-TbTradesBinance[[#This Row],[Qtt]]*TbTradesBinance[[#This Row],[Preço]],AX218+TbTradesBinance[[#This Row],[Qtt]]*TbTradesBinance[[#This Row],[Preço]])),AX218)-IF(TbTradesBinance[[#This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Row],[Tipo]]="DROP"),AX218+TbTradesBinance[[#This Row],[Qtt]],AX218-TbTradesBinance[[#This Row],[Qtt]]),IF(TbTradesBinance[[#This Row],[Tipo]]="BUY",AX218-TbTradesBinance[[#This Row],[Qtt]]*TbTradesBinance[[#This Row],[Preço]],AX218+TbTradesBinance[[#This Row],[Qtt]]*TbTradesBinance[[#This Row],[Preço]])),AX218)-IF(TbTradesBinance[[#This Row],[Moeda da Taxa]]=MID(AX$1,9,5),TbTradesBinance[[#This Row],[Taxa]],0),8)))</f>
        <v>0.32838000000000001</v>
      </c>
      <c r="AY219" s="145" cm="1">
        <f t="array" ref="AY219">IF(TbTradesBinance[[#This Row],[Tipo]]="EMPTY",0,AY218+IF(TbTradesBinance[[#This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Row],[Par]]))),$1:$1,0)),-(AX218-AX219)/AX218*AY218),0),0)+IF(TbTradesBinance[[#This Row],[Tipo]]="SELL",IF(ISNUMBER(FIND(MID(AY$1,10,5),TbTradesBinance[[#This Row],[Par]])),IF(FIND(MID(AY$1,10,5),TbTradesBinance[[#This Row],[Par]])=1, -(AX218-AX219)/AX218*AY218,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Row],[Par]])),(-(AX218-AX219)/AX218*AY218)+IF(TbTradesBinance[[#This Row],[Resultado]]&gt;0,0,TbTradesBinance[[#This Row],[Taxa]]),0),0))</f>
        <v>61.364116058805678</v>
      </c>
      <c r="AZ219" s="145">
        <f t="shared" si="106"/>
        <v>186.869224857804</v>
      </c>
      <c r="BA21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Row],[Tipo]]="DROP"),BA218+TbTradesBinance[[#This Row],[Qtt]],BA218-TbTradesBinance[[#This Row],[Qtt]]),IF(TbTradesBinance[[#This Row],[Tipo]]="BUY",BA218-TbTradesBinance[[#This Row],[Qtt]]*TbTradesBinance[[#This Row],[Preço]],BA218+TbTradesBinance[[#This Row],[Qtt]]*TbTradesBinance[[#This Row],[Preço]])),BA218)-IF(TbTradesBinance[[#This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Row],[Tipo]]="DROP"),BA218+TbTradesBinance[[#This Row],[Qtt]],BA218-TbTradesBinance[[#This Row],[Qtt]]),IF(TbTradesBinance[[#This Row],[Tipo]]="BUY",BA218-TbTradesBinance[[#This Row],[Qtt]]*TbTradesBinance[[#This Row],[Preço]],BA218+TbTradesBinance[[#This Row],[Qtt]]*TbTradesBinance[[#This Row],[Preço]])),BA218)-IF(TbTradesBinance[[#This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Row],[Tipo]]="DROP"),BA218+TbTradesBinance[[#This Row],[Qtt]],BA218-TbTradesBinance[[#This Row],[Qtt]]),IF(TbTradesBinance[[#This Row],[Tipo]]="BUY",BA218-TbTradesBinance[[#This Row],[Qtt]]*TbTradesBinance[[#This Row],[Preço]],BA218+TbTradesBinance[[#This Row],[Qtt]]*TbTradesBinance[[#This Row],[Preço]])),BA218)-IF(TbTradesBinance[[#This Row],[Moeda da Taxa]]=MID(BA$1,9,5),TbTradesBinance[[#This Row],[Taxa]],0),8)))</f>
        <v>0</v>
      </c>
      <c r="BB219" s="145" cm="1">
        <f t="array" ref="BB219">IF(TbTradesBinance[[#This Row],[Tipo]]="EMPTY",0,BB218+IF(TbTradesBinance[[#This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Row],[Par]]))),$1:$1,0)),-(BA218-BA219)/BA218*BB218),0),0)+IF(TbTradesBinance[[#This Row],[Tipo]]="SELL",IF(ISNUMBER(FIND(MID(BB$1,10,5),TbTradesBinance[[#This Row],[Par]])),IF(FIND(MID(BB$1,10,5),TbTradesBinance[[#This Row],[Par]])=1, -(BA218-BA219)/BA218*BB218,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Row],[Par]])),(-(BA218-BA219)/BA218*BB218)+IF(TbTradesBinance[[#This Row],[Resultado]]&gt;0,0,TbTradesBinance[[#This Row],[Taxa]]),0),0))</f>
        <v>0</v>
      </c>
      <c r="BC219" s="145">
        <f t="shared" si="107"/>
        <v>0</v>
      </c>
      <c r="BD21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Row],[Tipo]]="DROP"),BD218+TbTradesBinance[[#This Row],[Qtt]],BD218-TbTradesBinance[[#This Row],[Qtt]]),IF(TbTradesBinance[[#This Row],[Tipo]]="BUY",BD218-TbTradesBinance[[#This Row],[Qtt]]*TbTradesBinance[[#This Row],[Preço]],BD218+TbTradesBinance[[#This Row],[Qtt]]*TbTradesBinance[[#This Row],[Preço]])),BD218)-IF(TbTradesBinance[[#This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Row],[Tipo]]="DROP"),BD218+TbTradesBinance[[#This Row],[Qtt]],BD218-TbTradesBinance[[#This Row],[Qtt]]),IF(TbTradesBinance[[#This Row],[Tipo]]="BUY",BD218-TbTradesBinance[[#This Row],[Qtt]]*TbTradesBinance[[#This Row],[Preço]],BD218+TbTradesBinance[[#This Row],[Qtt]]*TbTradesBinance[[#This Row],[Preço]])),BD218)-IF(TbTradesBinance[[#This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Row],[Tipo]]="DROP"),BD218+TbTradesBinance[[#This Row],[Qtt]],BD218-TbTradesBinance[[#This Row],[Qtt]]),IF(TbTradesBinance[[#This Row],[Tipo]]="BUY",BD218-TbTradesBinance[[#This Row],[Qtt]]*TbTradesBinance[[#This Row],[Preço]],BD218+TbTradesBinance[[#This Row],[Qtt]]*TbTradesBinance[[#This Row],[Preço]])),BD218)-IF(TbTradesBinance[[#This Row],[Moeda da Taxa]]=MID(BD$1,9,5),TbTradesBinance[[#This Row],[Taxa]],0),8)))</f>
        <v>0</v>
      </c>
      <c r="BE219" s="145" cm="1">
        <f t="array" ref="BE219">IF(TbTradesBinance[[#This Row],[Tipo]]="EMPTY",0,BE218+IF(TbTradesBinance[[#This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Row],[Par]]))),$1:$1,0)),-(BD218-BD219)/BD218*BE218),0),0)+IF(TbTradesBinance[[#This Row],[Tipo]]="SELL",IF(ISNUMBER(FIND(MID(BE$1,10,5),TbTradesBinance[[#This Row],[Par]])),IF(FIND(MID(BE$1,10,5),TbTradesBinance[[#This Row],[Par]])=1, -(BD218-BD219)/BD218*BE218,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Row],[Par]])),(-(BD218-BD219)/BD218*BE218)+IF(TbTradesBinance[[#This Row],[Resultado]]&gt;0,0,TbTradesBinance[[#This Row],[Taxa]]),0),0))</f>
        <v>0</v>
      </c>
      <c r="BF219" s="145">
        <f t="shared" si="108"/>
        <v>0</v>
      </c>
      <c r="BG21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Row],[Tipo]]="DROP"),BG218+TbTradesBinance[[#This Row],[Qtt]],BG218-TbTradesBinance[[#This Row],[Qtt]]),IF(TbTradesBinance[[#This Row],[Tipo]]="BUY",BG218-TbTradesBinance[[#This Row],[Qtt]]*TbTradesBinance[[#This Row],[Preço]],BG218+TbTradesBinance[[#This Row],[Qtt]]*TbTradesBinance[[#This Row],[Preço]])),BG218)-IF(TbTradesBinance[[#This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Row],[Tipo]]="DROP"),BG218+TbTradesBinance[[#This Row],[Qtt]],BG218-TbTradesBinance[[#This Row],[Qtt]]),IF(TbTradesBinance[[#This Row],[Tipo]]="BUY",BG218-TbTradesBinance[[#This Row],[Qtt]]*TbTradesBinance[[#This Row],[Preço]],BG218+TbTradesBinance[[#This Row],[Qtt]]*TbTradesBinance[[#This Row],[Preço]])),BG218)-IF(TbTradesBinance[[#This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Row],[Tipo]]="DROP"),BG218+TbTradesBinance[[#This Row],[Qtt]],BG218-TbTradesBinance[[#This Row],[Qtt]]),IF(TbTradesBinance[[#This Row],[Tipo]]="BUY",BG218-TbTradesBinance[[#This Row],[Qtt]]*TbTradesBinance[[#This Row],[Preço]],BG218+TbTradesBinance[[#This Row],[Qtt]]*TbTradesBinance[[#This Row],[Preço]])),BG218)-IF(TbTradesBinance[[#This Row],[Moeda da Taxa]]=MID(BG$1,9,5),TbTradesBinance[[#This Row],[Taxa]],0),8)))</f>
        <v>0</v>
      </c>
      <c r="BH219" s="145" cm="1">
        <f t="array" ref="BH219">IF(TbTradesBinance[[#This Row],[Tipo]]="EMPTY",0,BH218+IF(TbTradesBinance[[#This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Row],[Par]]))),$1:$1,0)),-(BG218-BG219)/BG218*BH218),0),0)+IF(TbTradesBinance[[#This Row],[Tipo]]="SELL",IF(ISNUMBER(FIND(MID(BH$1,10,5),TbTradesBinance[[#This Row],[Par]])),IF(FIND(MID(BH$1,10,5),TbTradesBinance[[#This Row],[Par]])=1, -(BG218-BG219)/BG218*BH218,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Row],[Par]])),(-(BG218-BG219)/BG218*BH218)+IF(TbTradesBinance[[#This Row],[Resultado]]&gt;0,0,TbTradesBinance[[#This Row],[Taxa]]),0),0))</f>
        <v>0</v>
      </c>
      <c r="BI219" s="145">
        <f t="shared" si="109"/>
        <v>0</v>
      </c>
      <c r="BJ21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Row],[Tipo]]="DROP"),BJ218+TbTradesBinance[[#This Row],[Qtt]],BJ218-TbTradesBinance[[#This Row],[Qtt]]),IF(TbTradesBinance[[#This Row],[Tipo]]="BUY",BJ218-TbTradesBinance[[#This Row],[Qtt]]*TbTradesBinance[[#This Row],[Preço]],BJ218+TbTradesBinance[[#This Row],[Qtt]]*TbTradesBinance[[#This Row],[Preço]])),BJ218)-IF(TbTradesBinance[[#This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Row],[Tipo]]="DROP"),BJ218+TbTradesBinance[[#This Row],[Qtt]],BJ218-TbTradesBinance[[#This Row],[Qtt]]),IF(TbTradesBinance[[#This Row],[Tipo]]="BUY",BJ218-TbTradesBinance[[#This Row],[Qtt]]*TbTradesBinance[[#This Row],[Preço]],BJ218+TbTradesBinance[[#This Row],[Qtt]]*TbTradesBinance[[#This Row],[Preço]])),BJ218)-IF(TbTradesBinance[[#This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Row],[Tipo]]="DROP"),BJ218+TbTradesBinance[[#This Row],[Qtt]],BJ218-TbTradesBinance[[#This Row],[Qtt]]),IF(TbTradesBinance[[#This Row],[Tipo]]="BUY",BJ218-TbTradesBinance[[#This Row],[Qtt]]*TbTradesBinance[[#This Row],[Preço]],BJ218+TbTradesBinance[[#This Row],[Qtt]]*TbTradesBinance[[#This Row],[Preço]])),BJ218)-IF(TbTradesBinance[[#This Row],[Moeda da Taxa]]=MID(BJ$1,9,5),TbTradesBinance[[#This Row],[Taxa]],0),8)))</f>
        <v>0</v>
      </c>
      <c r="BK219" s="145" cm="1">
        <f t="array" ref="BK219">IF(TbTradesBinance[[#This Row],[Tipo]]="EMPTY",0,BK218+IF(TbTradesBinance[[#This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Row],[Par]]))),$1:$1,0)),-(BJ218-BJ219)/BJ218*BK218),0),0)+IF(TbTradesBinance[[#This Row],[Tipo]]="SELL",IF(ISNUMBER(FIND(MID(BK$1,10,5),TbTradesBinance[[#This Row],[Par]])),IF(FIND(MID(BK$1,10,5),TbTradesBinance[[#This Row],[Par]])=1, -(BJ218-BJ219)/BJ218*BK218,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Row],[Par]])),(-(BJ218-BJ219)/BJ218*BK218)+IF(TbTradesBinance[[#This Row],[Resultado]]&gt;0,0,TbTradesBinance[[#This Row],[Taxa]]),0),0))</f>
        <v>0</v>
      </c>
      <c r="BL219" s="145">
        <f t="shared" si="110"/>
        <v>0</v>
      </c>
      <c r="BM21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Row],[Tipo]]="DROP"),BM218+TbTradesBinance[[#This Row],[Qtt]],BM218-TbTradesBinance[[#This Row],[Qtt]]),IF(TbTradesBinance[[#This Row],[Tipo]]="BUY",BM218-TbTradesBinance[[#This Row],[Qtt]]*TbTradesBinance[[#This Row],[Preço]],BM218+TbTradesBinance[[#This Row],[Qtt]]*TbTradesBinance[[#This Row],[Preço]])),BM218)-IF(TbTradesBinance[[#This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Row],[Tipo]]="DROP"),BM218+TbTradesBinance[[#This Row],[Qtt]],BM218-TbTradesBinance[[#This Row],[Qtt]]),IF(TbTradesBinance[[#This Row],[Tipo]]="BUY",BM218-TbTradesBinance[[#This Row],[Qtt]]*TbTradesBinance[[#This Row],[Preço]],BM218+TbTradesBinance[[#This Row],[Qtt]]*TbTradesBinance[[#This Row],[Preço]])),BM218)-IF(TbTradesBinance[[#This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Row],[Tipo]]="DROP"),BM218+TbTradesBinance[[#This Row],[Qtt]],BM218-TbTradesBinance[[#This Row],[Qtt]]),IF(TbTradesBinance[[#This Row],[Tipo]]="BUY",BM218-TbTradesBinance[[#This Row],[Qtt]]*TbTradesBinance[[#This Row],[Preço]],BM218+TbTradesBinance[[#This Row],[Qtt]]*TbTradesBinance[[#This Row],[Preço]])),BM218)-IF(TbTradesBinance[[#This Row],[Moeda da Taxa]]=MID(BM$1,9,5),TbTradesBinance[[#This Row],[Taxa]],0),8)))</f>
        <v>0</v>
      </c>
      <c r="BN219" s="145" cm="1">
        <f t="array" ref="BN219">IF(TbTradesBinance[[#This Row],[Tipo]]="EMPTY",0,BN218+IF(TbTradesBinance[[#This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Row],[Par]]))),$1:$1,0)),-(BM218-BM219)/BM218*BN218),0),0)+IF(TbTradesBinance[[#This Row],[Tipo]]="SELL",IF(ISNUMBER(FIND(MID(BN$1,10,5),TbTradesBinance[[#This Row],[Par]])),IF(FIND(MID(BN$1,10,5),TbTradesBinance[[#This Row],[Par]])=1, -(BM218-BM219)/BM218*BN218,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Row],[Par]])),(-(BM218-BM219)/BM218*BN218)+IF(TbTradesBinance[[#This Row],[Resultado]]&gt;0,0,TbTradesBinance[[#This Row],[Taxa]]),0),0))</f>
        <v>0</v>
      </c>
      <c r="BO219" s="145">
        <f t="shared" si="111"/>
        <v>0</v>
      </c>
    </row>
    <row r="220" spans="2:67" x14ac:dyDescent="0.3">
      <c r="B220" s="51"/>
      <c r="C220" s="40">
        <f>TRUNC(IF(AND(TbTradesBinance[[#This Row],[Tipo]]="SEND",TbTradesBinance[[#This Row],[Par]]="BRL"),TbTradesBinance[[#This Row],[Qtt]]*(1-P218)-IF(TbTradesBinance[[#This Row],[Moeda da Taxa]]="BRL",TbTradesBinance[[#This Row],[Taxa]],0),0)+IF(AND(TbTradesBinance[[#This Row],[Tipo]]="BURN",TbTradesBinance[[#This Row],[Par]]="BRL"),-TbTradesBinance[[#This Row],[Qtt]]*P218,0),2)</f>
        <v>0</v>
      </c>
      <c r="D220" s="53">
        <v>44408.575381944444</v>
      </c>
      <c r="E220" s="37" t="s">
        <v>237</v>
      </c>
      <c r="F220" s="47" t="s">
        <v>140</v>
      </c>
      <c r="G220" s="38">
        <v>5.2089999999999996</v>
      </c>
      <c r="H220" s="38">
        <v>58.07</v>
      </c>
      <c r="I220" s="38">
        <v>1.3138000000000001E-4</v>
      </c>
      <c r="J220" s="37" t="s">
        <v>45</v>
      </c>
      <c r="K220" s="52">
        <v>1</v>
      </c>
      <c r="L220" s="40">
        <f t="shared" si="94"/>
        <v>5.2</v>
      </c>
      <c r="M220" s="40">
        <f>IF(OR(TbTradesBinance[[#This Row],[Tipo]]="BUY",TbTradesBinance[[#This Row],[Tipo]]="RECEIVE",TbTradesBinance[[#This Row],[Tipo]]="DROP"),L220*H220,-L220*H220)</f>
        <v>-301.964</v>
      </c>
      <c r="N22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Row],[Tipo]]="DROP"),N219+TbTradesBinance[[#This Row],[Qtt]],N219-TbTradesBinance[[#This Row],[Qtt]]),IF(TbTradesBinance[[#This Row],[Tipo]]="BUY",N219-TbTradesBinance[[#This Row],[Qtt]]*TbTradesBinance[[#This Row],[Preço]],N219+TbTradesBinance[[#This Row],[Qtt]]*TbTradesBinance[[#This Row],[Preço]])),N219)-IF(TbTradesBinance[[#This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Row],[Tipo]]="DROP"),N219+TbTradesBinance[[#This Row],[Qtt]],N219-TbTradesBinance[[#This Row],[Qtt]]),IF(TbTradesBinance[[#This Row],[Tipo]]="BUY",N219-TbTradesBinance[[#This Row],[Qtt]]*TbTradesBinance[[#This Row],[Preço]],N219+TbTradesBinance[[#This Row],[Qtt]]*TbTradesBinance[[#This Row],[Preço]])),N219)-IF(TbTradesBinance[[#This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Row],[Tipo]]="DROP"),N219+TbTradesBinance[[#This Row],[Qtt]],N219-TbTradesBinance[[#This Row],[Qtt]]),IF(TbTradesBinance[[#This Row],[Tipo]]="BUY",N219-TbTradesBinance[[#This Row],[Qtt]]*TbTradesBinance[[#This Row],[Preço]],N219+TbTradesBinance[[#This Row],[Qtt]]*TbTradesBinance[[#This Row],[Preço]])),N219)-IF(TbTradesBinance[[#This Row],[Moeda da Taxa]]=MID(N$1,9,5),TbTradesBinance[[#This Row],[Taxa]],0),8)))</f>
        <v>120256.29574781</v>
      </c>
      <c r="O220" s="145" cm="1">
        <f t="array" ref="O220">IF(TbTradesBinance[[#This Row],[Tipo]]="EMPTY",0,O219+IF(TbTradesBinance[[#This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Row],[Par]]))),$1:$1,0)),-(N219-N220)/N219*O219),0),0)+IF(TbTradesBinance[[#This Row],[Tipo]]="SELL",IF(ISNUMBER(FIND(MID(O$1,10,5),TbTradesBinance[[#This Row],[Par]])),IF(FIND(MID(O$1,10,5),TbTradesBinance[[#This Row],[Par]])=1, -(N219-N220)/N219*O219,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Row],[Par]])),(-(N219-N220)/N219*O219)+IF(TbTradesBinance[[#This Row],[Resultado]]&gt;0,0,TbTradesBinance[[#This Row],[Taxa]]),0),0))</f>
        <v>120944.16797950152</v>
      </c>
      <c r="P220" s="145">
        <f t="shared" si="76"/>
        <v>1.0057200517229805</v>
      </c>
      <c r="Q22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Row],[Tipo]]="DROP"),Q219+TbTradesBinance[[#This Row],[Qtt]],Q219-TbTradesBinance[[#This Row],[Qtt]]),IF(TbTradesBinance[[#This Row],[Tipo]]="BUY",Q219-TbTradesBinance[[#This Row],[Qtt]]*TbTradesBinance[[#This Row],[Preço]],Q219+TbTradesBinance[[#This Row],[Qtt]]*TbTradesBinance[[#This Row],[Preço]])),Q219)-IF(TbTradesBinance[[#This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Row],[Tipo]]="DROP"),Q219+TbTradesBinance[[#This Row],[Qtt]],Q219-TbTradesBinance[[#This Row],[Qtt]]),IF(TbTradesBinance[[#This Row],[Tipo]]="BUY",Q219-TbTradesBinance[[#This Row],[Qtt]]*TbTradesBinance[[#This Row],[Preço]],Q219+TbTradesBinance[[#This Row],[Qtt]]*TbTradesBinance[[#This Row],[Preço]])),Q219)-IF(TbTradesBinance[[#This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Row],[Tipo]]="DROP"),Q219+TbTradesBinance[[#This Row],[Qtt]],Q219-TbTradesBinance[[#This Row],[Qtt]]),IF(TbTradesBinance[[#This Row],[Tipo]]="BUY",Q219-TbTradesBinance[[#This Row],[Qtt]]*TbTradesBinance[[#This Row],[Preço]],Q219+TbTradesBinance[[#This Row],[Qtt]]*TbTradesBinance[[#This Row],[Preço]])),Q219)-IF(TbTradesBinance[[#This Row],[Moeda da Taxa]]=MID(Q$1,9,5),TbTradesBinance[[#This Row],[Taxa]],0),8)))</f>
        <v>371.71335734000002</v>
      </c>
      <c r="R220" s="145" cm="1">
        <f t="array" ref="R220">IF(TbTradesBinance[[#This Row],[Tipo]]="EMPTY",0,R219+IF(TbTradesBinance[[#This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Row],[Par]]))),$1:$1,0)),-(Q219-Q220)/Q219*R219),0),0)+IF(TbTradesBinance[[#This Row],[Tipo]]="SELL",IF(ISNUMBER(FIND(MID(R$1,10,5),TbTradesBinance[[#This Row],[Par]])),IF(FIND(MID(R$1,10,5),TbTradesBinance[[#This Row],[Par]])=1, -(Q219-Q220)/Q219*R219,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Row],[Par]])),(-(Q219-Q220)/Q219*R219)+IF(TbTradesBinance[[#This Row],[Resultado]]&gt;0,0,TbTradesBinance[[#This Row],[Taxa]]),0),0))</f>
        <v>2043.6131325037115</v>
      </c>
      <c r="S220" s="145">
        <f t="shared" si="95"/>
        <v>5.4978200060603486</v>
      </c>
      <c r="T22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Row],[Tipo]]="DROP"),T219+TbTradesBinance[[#This Row],[Qtt]],T219-TbTradesBinance[[#This Row],[Qtt]]),IF(TbTradesBinance[[#This Row],[Tipo]]="BUY",T219-TbTradesBinance[[#This Row],[Qtt]]*TbTradesBinance[[#This Row],[Preço]],T219+TbTradesBinance[[#This Row],[Qtt]]*TbTradesBinance[[#This Row],[Preço]])),T219)-IF(TbTradesBinance[[#This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Row],[Tipo]]="DROP"),T219+TbTradesBinance[[#This Row],[Qtt]],T219-TbTradesBinance[[#This Row],[Qtt]]),IF(TbTradesBinance[[#This Row],[Tipo]]="BUY",T219-TbTradesBinance[[#This Row],[Qtt]]*TbTradesBinance[[#This Row],[Preço]],T219+TbTradesBinance[[#This Row],[Qtt]]*TbTradesBinance[[#This Row],[Preço]])),T219)-IF(TbTradesBinance[[#This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Row],[Tipo]]="DROP"),T219+TbTradesBinance[[#This Row],[Qtt]],T219-TbTradesBinance[[#This Row],[Qtt]]),IF(TbTradesBinance[[#This Row],[Tipo]]="BUY",T219-TbTradesBinance[[#This Row],[Qtt]]*TbTradesBinance[[#This Row],[Preço]],T219+TbTradesBinance[[#This Row],[Qtt]]*TbTradesBinance[[#This Row],[Preço]])),T219)-IF(TbTradesBinance[[#This Row],[Moeda da Taxa]]=MID(T$1,9,5),TbTradesBinance[[#This Row],[Taxa]],0),8)))</f>
        <v>101223913.720009</v>
      </c>
      <c r="U220" s="145" cm="1">
        <f t="array" ref="U220">IF(TbTradesBinance[[#This Row],[Tipo]]="EMPTY",0,U219+IF(TbTradesBinance[[#This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Row],[Par]]))),$1:$1,0)),-(T219-T220)/T219*U219),0),0)+IF(TbTradesBinance[[#This Row],[Tipo]]="SELL",IF(ISNUMBER(FIND(MID(U$1,10,5),TbTradesBinance[[#This Row],[Par]])),IF(FIND(MID(U$1,10,5),TbTradesBinance[[#This Row],[Par]])=1, -(T219-T220)/T219*U219,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Row],[Par]])),(-(T219-T220)/T219*U219)+IF(TbTradesBinance[[#This Row],[Resultado]]&gt;0,0,TbTradesBinance[[#This Row],[Taxa]]),0),0))</f>
        <v>617586601.27364206</v>
      </c>
      <c r="V220" s="145">
        <f t="shared" si="96"/>
        <v>6.1011926784605572</v>
      </c>
      <c r="W22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Row],[Tipo]]="DROP"),W219+TbTradesBinance[[#This Row],[Qtt]],W219-TbTradesBinance[[#This Row],[Qtt]]),IF(TbTradesBinance[[#This Row],[Tipo]]="BUY",W219-TbTradesBinance[[#This Row],[Qtt]]*TbTradesBinance[[#This Row],[Preço]],W219+TbTradesBinance[[#This Row],[Qtt]]*TbTradesBinance[[#This Row],[Preço]])),W219)-IF(TbTradesBinance[[#This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Row],[Tipo]]="DROP"),W219+TbTradesBinance[[#This Row],[Qtt]],W219-TbTradesBinance[[#This Row],[Qtt]]),IF(TbTradesBinance[[#This Row],[Tipo]]="BUY",W219-TbTradesBinance[[#This Row],[Qtt]]*TbTradesBinance[[#This Row],[Preço]],W219+TbTradesBinance[[#This Row],[Qtt]]*TbTradesBinance[[#This Row],[Preço]])),W219)-IF(TbTradesBinance[[#This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Row],[Tipo]]="DROP"),W219+TbTradesBinance[[#This Row],[Qtt]],W219-TbTradesBinance[[#This Row],[Qtt]]),IF(TbTradesBinance[[#This Row],[Tipo]]="BUY",W219-TbTradesBinance[[#This Row],[Qtt]]*TbTradesBinance[[#This Row],[Preço]],W219+TbTradesBinance[[#This Row],[Qtt]]*TbTradesBinance[[#This Row],[Preço]])),W219)-IF(TbTradesBinance[[#This Row],[Moeda da Taxa]]=MID(W$1,9,5),TbTradesBinance[[#This Row],[Taxa]],0),8)))</f>
        <v>3.9899999999999999E-6</v>
      </c>
      <c r="X220" s="145" cm="1">
        <f t="array" ref="X220">IF(TbTradesBinance[[#This Row],[Tipo]]="EMPTY",0,X219+IF(TbTradesBinance[[#This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Row],[Par]]))),$1:$1,0)),-(W219-W220)/W219*X219),0),0)+IF(TbTradesBinance[[#This Row],[Tipo]]="SELL",IF(ISNUMBER(FIND(MID(X$1,10,5),TbTradesBinance[[#This Row],[Par]])),IF(FIND(MID(X$1,10,5),TbTradesBinance[[#This Row],[Par]])=1, -(W219-W220)/W219*X219,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Row],[Par]])),(-(W219-W220)/W219*X219)+IF(TbTradesBinance[[#This Row],[Resultado]]&gt;0,0,TbTradesBinance[[#This Row],[Taxa]]),0),0))</f>
        <v>0.6953811938234935</v>
      </c>
      <c r="Y220" s="145">
        <f t="shared" si="97"/>
        <v>174281.00095826905</v>
      </c>
      <c r="Z22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Row],[Tipo]]="DROP"),Z219+TbTradesBinance[[#This Row],[Qtt]],Z219-TbTradesBinance[[#This Row],[Qtt]]),IF(TbTradesBinance[[#This Row],[Tipo]]="BUY",Z219-TbTradesBinance[[#This Row],[Qtt]]*TbTradesBinance[[#This Row],[Preço]],Z219+TbTradesBinance[[#This Row],[Qtt]]*TbTradesBinance[[#This Row],[Preço]])),Z219)-IF(TbTradesBinance[[#This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Row],[Tipo]]="DROP"),Z219+TbTradesBinance[[#This Row],[Qtt]],Z219-TbTradesBinance[[#This Row],[Qtt]]),IF(TbTradesBinance[[#This Row],[Tipo]]="BUY",Z219-TbTradesBinance[[#This Row],[Qtt]]*TbTradesBinance[[#This Row],[Preço]],Z219+TbTradesBinance[[#This Row],[Qtt]]*TbTradesBinance[[#This Row],[Preço]])),Z219)-IF(TbTradesBinance[[#This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Row],[Tipo]]="DROP"),Z219+TbTradesBinance[[#This Row],[Qtt]],Z219-TbTradesBinance[[#This Row],[Qtt]]),IF(TbTradesBinance[[#This Row],[Tipo]]="BUY",Z219-TbTradesBinance[[#This Row],[Qtt]]*TbTradesBinance[[#This Row],[Preço]],Z219+TbTradesBinance[[#This Row],[Qtt]]*TbTradesBinance[[#This Row],[Preço]])),Z219)-IF(TbTradesBinance[[#This Row],[Moeda da Taxa]]=MID(Z$1,9,5),TbTradesBinance[[#This Row],[Taxa]],0),8)))</f>
        <v>0</v>
      </c>
      <c r="AA220" s="145" cm="1">
        <f t="array" ref="AA220">IF(TbTradesBinance[[#This Row],[Tipo]]="EMPTY",0,AA219+IF(TbTradesBinance[[#This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Row],[Par]]))),$1:$1,0)),-(Z219-Z220)/Z219*AA219),0),0)+IF(TbTradesBinance[[#This Row],[Tipo]]="SELL",IF(ISNUMBER(FIND(MID(AA$1,10,5),TbTradesBinance[[#This Row],[Par]])),IF(FIND(MID(AA$1,10,5),TbTradesBinance[[#This Row],[Par]])=1, -(Z219-Z220)/Z219*AA219,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Row],[Par]])),(-(Z219-Z220)/Z219*AA219)+IF(TbTradesBinance[[#This Row],[Resultado]]&gt;0,0,TbTradesBinance[[#This Row],[Taxa]]),0),0))</f>
        <v>0</v>
      </c>
      <c r="AB220" s="145">
        <f t="shared" si="98"/>
        <v>0</v>
      </c>
      <c r="AC22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Row],[Tipo]]="DROP"),AC219+TbTradesBinance[[#This Row],[Qtt]],AC219-TbTradesBinance[[#This Row],[Qtt]]),IF(TbTradesBinance[[#This Row],[Tipo]]="BUY",AC219-TbTradesBinance[[#This Row],[Qtt]]*TbTradesBinance[[#This Row],[Preço]],AC219+TbTradesBinance[[#This Row],[Qtt]]*TbTradesBinance[[#This Row],[Preço]])),AC219)-IF(TbTradesBinance[[#This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Row],[Tipo]]="DROP"),AC219+TbTradesBinance[[#This Row],[Qtt]],AC219-TbTradesBinance[[#This Row],[Qtt]]),IF(TbTradesBinance[[#This Row],[Tipo]]="BUY",AC219-TbTradesBinance[[#This Row],[Qtt]]*TbTradesBinance[[#This Row],[Preço]],AC219+TbTradesBinance[[#This Row],[Qtt]]*TbTradesBinance[[#This Row],[Preço]])),AC219)-IF(TbTradesBinance[[#This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Row],[Tipo]]="DROP"),AC219+TbTradesBinance[[#This Row],[Qtt]],AC219-TbTradesBinance[[#This Row],[Qtt]]),IF(TbTradesBinance[[#This Row],[Tipo]]="BUY",AC219-TbTradesBinance[[#This Row],[Qtt]]*TbTradesBinance[[#This Row],[Preço]],AC219+TbTradesBinance[[#This Row],[Qtt]]*TbTradesBinance[[#This Row],[Preço]])),AC219)-IF(TbTradesBinance[[#This Row],[Moeda da Taxa]]=MID(AC$1,9,5),TbTradesBinance[[#This Row],[Taxa]],0),8)))</f>
        <v>0</v>
      </c>
      <c r="AD220" s="145" cm="1">
        <f t="array" ref="AD220">IF(TbTradesBinance[[#This Row],[Tipo]]="EMPTY",0,AD219+IF(TbTradesBinance[[#This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Row],[Par]]))),$1:$1,0)),-(AC219-AC220)/AC219*AD219),0),0)+IF(TbTradesBinance[[#This Row],[Tipo]]="SELL",IF(ISNUMBER(FIND(MID(AD$1,10,5),TbTradesBinance[[#This Row],[Par]])),IF(FIND(MID(AD$1,10,5),TbTradesBinance[[#This Row],[Par]])=1, -(AC219-AC220)/AC219*AD219,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Row],[Par]])),(-(AC219-AC220)/AC219*AD219)+IF(TbTradesBinance[[#This Row],[Resultado]]&gt;0,0,TbTradesBinance[[#This Row],[Taxa]]),0),0))</f>
        <v>0</v>
      </c>
      <c r="AE220" s="145">
        <f t="shared" si="99"/>
        <v>0</v>
      </c>
      <c r="AF22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Row],[Tipo]]="DROP"),AF219+TbTradesBinance[[#This Row],[Qtt]],AF219-TbTradesBinance[[#This Row],[Qtt]]),IF(TbTradesBinance[[#This Row],[Tipo]]="BUY",AF219-TbTradesBinance[[#This Row],[Qtt]]*TbTradesBinance[[#This Row],[Preço]],AF219+TbTradesBinance[[#This Row],[Qtt]]*TbTradesBinance[[#This Row],[Preço]])),AF219)-IF(TbTradesBinance[[#This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Row],[Tipo]]="DROP"),AF219+TbTradesBinance[[#This Row],[Qtt]],AF219-TbTradesBinance[[#This Row],[Qtt]]),IF(TbTradesBinance[[#This Row],[Tipo]]="BUY",AF219-TbTradesBinance[[#This Row],[Qtt]]*TbTradesBinance[[#This Row],[Preço]],AF219+TbTradesBinance[[#This Row],[Qtt]]*TbTradesBinance[[#This Row],[Preço]])),AF219)-IF(TbTradesBinance[[#This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Row],[Tipo]]="DROP"),AF219+TbTradesBinance[[#This Row],[Qtt]],AF219-TbTradesBinance[[#This Row],[Qtt]]),IF(TbTradesBinance[[#This Row],[Tipo]]="BUY",AF219-TbTradesBinance[[#This Row],[Qtt]]*TbTradesBinance[[#This Row],[Preço]],AF219+TbTradesBinance[[#This Row],[Qtt]]*TbTradesBinance[[#This Row],[Preço]])),AF219)-IF(TbTradesBinance[[#This Row],[Moeda da Taxa]]=MID(AF$1,9,5),TbTradesBinance[[#This Row],[Taxa]],0),8)))</f>
        <v>0</v>
      </c>
      <c r="AG220" s="145" cm="1">
        <f t="array" ref="AG220">IF(TbTradesBinance[[#This Row],[Tipo]]="EMPTY",0,AG219+IF(TbTradesBinance[[#This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Row],[Par]]))),$1:$1,0)),-(AF219-AF220)/AF219*AG219),0),0)+IF(TbTradesBinance[[#This Row],[Tipo]]="SELL",IF(ISNUMBER(FIND(MID(AG$1,10,5),TbTradesBinance[[#This Row],[Par]])),IF(FIND(MID(AG$1,10,5),TbTradesBinance[[#This Row],[Par]])=1, -(AF219-AF220)/AF219*AG219,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Row],[Par]])),(-(AF219-AF220)/AF219*AG219)+IF(TbTradesBinance[[#This Row],[Resultado]]&gt;0,0,TbTradesBinance[[#This Row],[Taxa]]),0),0))</f>
        <v>0</v>
      </c>
      <c r="AH220" s="145">
        <f t="shared" si="100"/>
        <v>0</v>
      </c>
      <c r="AI22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Row],[Tipo]]="DROP"),AI219+TbTradesBinance[[#This Row],[Qtt]],AI219-TbTradesBinance[[#This Row],[Qtt]]),IF(TbTradesBinance[[#This Row],[Tipo]]="BUY",AI219-TbTradesBinance[[#This Row],[Qtt]]*TbTradesBinance[[#This Row],[Preço]],AI219+TbTradesBinance[[#This Row],[Qtt]]*TbTradesBinance[[#This Row],[Preço]])),AI219)-IF(TbTradesBinance[[#This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Row],[Tipo]]="DROP"),AI219+TbTradesBinance[[#This Row],[Qtt]],AI219-TbTradesBinance[[#This Row],[Qtt]]),IF(TbTradesBinance[[#This Row],[Tipo]]="BUY",AI219-TbTradesBinance[[#This Row],[Qtt]]*TbTradesBinance[[#This Row],[Preço]],AI219+TbTradesBinance[[#This Row],[Qtt]]*TbTradesBinance[[#This Row],[Preço]])),AI219)-IF(TbTradesBinance[[#This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Row],[Tipo]]="DROP"),AI219+TbTradesBinance[[#This Row],[Qtt]],AI219-TbTradesBinance[[#This Row],[Qtt]]),IF(TbTradesBinance[[#This Row],[Tipo]]="BUY",AI219-TbTradesBinance[[#This Row],[Qtt]]*TbTradesBinance[[#This Row],[Preço]],AI219+TbTradesBinance[[#This Row],[Qtt]]*TbTradesBinance[[#This Row],[Preço]])),AI219)-IF(TbTradesBinance[[#This Row],[Moeda da Taxa]]=MID(AI$1,9,5),TbTradesBinance[[#This Row],[Taxa]],0),8)))</f>
        <v>0</v>
      </c>
      <c r="AJ220" s="145" cm="1">
        <f t="array" ref="AJ220">IF(TbTradesBinance[[#This Row],[Tipo]]="EMPTY",0,AJ219+IF(TbTradesBinance[[#This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Row],[Par]]))),$1:$1,0)),-(AI219-AI220)/AI219*AJ219),0),0)+IF(TbTradesBinance[[#This Row],[Tipo]]="SELL",IF(ISNUMBER(FIND(MID(AJ$1,10,5),TbTradesBinance[[#This Row],[Par]])),IF(FIND(MID(AJ$1,10,5),TbTradesBinance[[#This Row],[Par]])=1, -(AI219-AI220)/AI219*AJ219,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Row],[Par]])),(-(AI219-AI220)/AI219*AJ219)+IF(TbTradesBinance[[#This Row],[Resultado]]&gt;0,0,TbTradesBinance[[#This Row],[Taxa]]),0),0))</f>
        <v>0</v>
      </c>
      <c r="AK220" s="145">
        <f t="shared" si="101"/>
        <v>0</v>
      </c>
      <c r="AL22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Row],[Tipo]]="DROP"),AL219+TbTradesBinance[[#This Row],[Qtt]],AL219-TbTradesBinance[[#This Row],[Qtt]]),IF(TbTradesBinance[[#This Row],[Tipo]]="BUY",AL219-TbTradesBinance[[#This Row],[Qtt]]*TbTradesBinance[[#This Row],[Preço]],AL219+TbTradesBinance[[#This Row],[Qtt]]*TbTradesBinance[[#This Row],[Preço]])),AL219)-IF(TbTradesBinance[[#This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Row],[Tipo]]="DROP"),AL219+TbTradesBinance[[#This Row],[Qtt]],AL219-TbTradesBinance[[#This Row],[Qtt]]),IF(TbTradesBinance[[#This Row],[Tipo]]="BUY",AL219-TbTradesBinance[[#This Row],[Qtt]]*TbTradesBinance[[#This Row],[Preço]],AL219+TbTradesBinance[[#This Row],[Qtt]]*TbTradesBinance[[#This Row],[Preço]])),AL219)-IF(TbTradesBinance[[#This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Row],[Tipo]]="DROP"),AL219+TbTradesBinance[[#This Row],[Qtt]],AL219-TbTradesBinance[[#This Row],[Qtt]]),IF(TbTradesBinance[[#This Row],[Tipo]]="BUY",AL219-TbTradesBinance[[#This Row],[Qtt]]*TbTradesBinance[[#This Row],[Preço]],AL219+TbTradesBinance[[#This Row],[Qtt]]*TbTradesBinance[[#This Row],[Preço]])),AL219)-IF(TbTradesBinance[[#This Row],[Moeda da Taxa]]=MID(AL$1,9,5),TbTradesBinance[[#This Row],[Taxa]],0),8)))</f>
        <v>0</v>
      </c>
      <c r="AM220" s="145" cm="1">
        <f t="array" ref="AM220">IF(TbTradesBinance[[#This Row],[Tipo]]="EMPTY",0,AM219+IF(TbTradesBinance[[#This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Row],[Par]]))),$1:$1,0)),-(AL219-AL220)/AL219*AM219),0),0)+IF(TbTradesBinance[[#This Row],[Tipo]]="SELL",IF(ISNUMBER(FIND(MID(AM$1,10,5),TbTradesBinance[[#This Row],[Par]])),IF(FIND(MID(AM$1,10,5),TbTradesBinance[[#This Row],[Par]])=1, -(AL219-AL220)/AL219*AM219,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Row],[Par]])),(-(AL219-AL220)/AL219*AM219)+IF(TbTradesBinance[[#This Row],[Resultado]]&gt;0,0,TbTradesBinance[[#This Row],[Taxa]]),0),0))</f>
        <v>0</v>
      </c>
      <c r="AN220" s="145">
        <f t="shared" si="102"/>
        <v>0</v>
      </c>
      <c r="AO22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Row],[Tipo]]="DROP"),AO219+TbTradesBinance[[#This Row],[Qtt]],AO219-TbTradesBinance[[#This Row],[Qtt]]),IF(TbTradesBinance[[#This Row],[Tipo]]="BUY",AO219-TbTradesBinance[[#This Row],[Qtt]]*TbTradesBinance[[#This Row],[Preço]],AO219+TbTradesBinance[[#This Row],[Qtt]]*TbTradesBinance[[#This Row],[Preço]])),AO219)-IF(TbTradesBinance[[#This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Row],[Tipo]]="DROP"),AO219+TbTradesBinance[[#This Row],[Qtt]],AO219-TbTradesBinance[[#This Row],[Qtt]]),IF(TbTradesBinance[[#This Row],[Tipo]]="BUY",AO219-TbTradesBinance[[#This Row],[Qtt]]*TbTradesBinance[[#This Row],[Preço]],AO219+TbTradesBinance[[#This Row],[Qtt]]*TbTradesBinance[[#This Row],[Preço]])),AO219)-IF(TbTradesBinance[[#This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Row],[Tipo]]="DROP"),AO219+TbTradesBinance[[#This Row],[Qtt]],AO219-TbTradesBinance[[#This Row],[Qtt]]),IF(TbTradesBinance[[#This Row],[Tipo]]="BUY",AO219-TbTradesBinance[[#This Row],[Qtt]]*TbTradesBinance[[#This Row],[Preço]],AO219+TbTradesBinance[[#This Row],[Qtt]]*TbTradesBinance[[#This Row],[Preço]])),AO219)-IF(TbTradesBinance[[#This Row],[Moeda da Taxa]]=MID(AO$1,9,5),TbTradesBinance[[#This Row],[Taxa]],0),8)))</f>
        <v>6.686752E-2</v>
      </c>
      <c r="AP220" s="145" cm="1">
        <f t="array" ref="AP220">IF(TbTradesBinance[[#This Row],[Tipo]]="EMPTY",0,AP219+IF(TbTradesBinance[[#This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Row],[Par]]))),$1:$1,0)),-(AO219-AO220)/AO219*AP219),0),0)+IF(TbTradesBinance[[#This Row],[Tipo]]="SELL",IF(ISNUMBER(FIND(MID(AP$1,10,5),TbTradesBinance[[#This Row],[Par]])),IF(FIND(MID(AP$1,10,5),TbTradesBinance[[#This Row],[Par]])=1, -(AO219-AO220)/AO219*AP219,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Row],[Par]])),(-(AO219-AO220)/AO219*AP219)+IF(TbTradesBinance[[#This Row],[Resultado]]&gt;0,0,TbTradesBinance[[#This Row],[Taxa]]),0),0))</f>
        <v>102.0944711963762</v>
      </c>
      <c r="AQ220" s="145">
        <f t="shared" si="103"/>
        <v>1526.8170734667026</v>
      </c>
      <c r="AR22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Row],[Tipo]]="DROP"),AR219+TbTradesBinance[[#This Row],[Qtt]],AR219-TbTradesBinance[[#This Row],[Qtt]]),IF(TbTradesBinance[[#This Row],[Tipo]]="BUY",AR219-TbTradesBinance[[#This Row],[Qtt]]*TbTradesBinance[[#This Row],[Preço]],AR219+TbTradesBinance[[#This Row],[Qtt]]*TbTradesBinance[[#This Row],[Preço]])),AR219)-IF(TbTradesBinance[[#This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Row],[Tipo]]="DROP"),AR219+TbTradesBinance[[#This Row],[Qtt]],AR219-TbTradesBinance[[#This Row],[Qtt]]),IF(TbTradesBinance[[#This Row],[Tipo]]="BUY",AR219-TbTradesBinance[[#This Row],[Qtt]]*TbTradesBinance[[#This Row],[Preço]],AR219+TbTradesBinance[[#This Row],[Qtt]]*TbTradesBinance[[#This Row],[Preço]])),AR219)-IF(TbTradesBinance[[#This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Row],[Tipo]]="DROP"),AR219+TbTradesBinance[[#This Row],[Qtt]],AR219-TbTradesBinance[[#This Row],[Qtt]]),IF(TbTradesBinance[[#This Row],[Tipo]]="BUY",AR219-TbTradesBinance[[#This Row],[Qtt]]*TbTradesBinance[[#This Row],[Preço]],AR219+TbTradesBinance[[#This Row],[Qtt]]*TbTradesBinance[[#This Row],[Preço]])),AR219)-IF(TbTradesBinance[[#This Row],[Moeda da Taxa]]=MID(AR$1,9,5),TbTradesBinance[[#This Row],[Taxa]],0),8)))</f>
        <v>0</v>
      </c>
      <c r="AS220" s="145" cm="1">
        <f t="array" ref="AS220">IF(TbTradesBinance[[#This Row],[Tipo]]="EMPTY",0,AS219+IF(TbTradesBinance[[#This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Row],[Par]]))),$1:$1,0)),-(AR219-AR220)/AR219*AS219),0),0)+IF(TbTradesBinance[[#This Row],[Tipo]]="SELL",IF(ISNUMBER(FIND(MID(AS$1,10,5),TbTradesBinance[[#This Row],[Par]])),IF(FIND(MID(AS$1,10,5),TbTradesBinance[[#This Row],[Par]])=1, -(AR219-AR220)/AR219*AS219,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Row],[Par]])),(-(AR219-AR220)/AR219*AS219)+IF(TbTradesBinance[[#This Row],[Resultado]]&gt;0,0,TbTradesBinance[[#This Row],[Taxa]]),0),0))</f>
        <v>0</v>
      </c>
      <c r="AT220" s="145">
        <f t="shared" si="104"/>
        <v>0</v>
      </c>
      <c r="AU22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Row],[Tipo]]="DROP"),AU219+TbTradesBinance[[#This Row],[Qtt]],AU219-TbTradesBinance[[#This Row],[Qtt]]),IF(TbTradesBinance[[#This Row],[Tipo]]="BUY",AU219-TbTradesBinance[[#This Row],[Qtt]]*TbTradesBinance[[#This Row],[Preço]],AU219+TbTradesBinance[[#This Row],[Qtt]]*TbTradesBinance[[#This Row],[Preço]])),AU219)-IF(TbTradesBinance[[#This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Row],[Tipo]]="DROP"),AU219+TbTradesBinance[[#This Row],[Qtt]],AU219-TbTradesBinance[[#This Row],[Qtt]]),IF(TbTradesBinance[[#This Row],[Tipo]]="BUY",AU219-TbTradesBinance[[#This Row],[Qtt]]*TbTradesBinance[[#This Row],[Preço]],AU219+TbTradesBinance[[#This Row],[Qtt]]*TbTradesBinance[[#This Row],[Preço]])),AU219)-IF(TbTradesBinance[[#This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Row],[Tipo]]="DROP"),AU219+TbTradesBinance[[#This Row],[Qtt]],AU219-TbTradesBinance[[#This Row],[Qtt]]),IF(TbTradesBinance[[#This Row],[Tipo]]="BUY",AU219-TbTradesBinance[[#This Row],[Qtt]]*TbTradesBinance[[#This Row],[Preço]],AU219+TbTradesBinance[[#This Row],[Qtt]]*TbTradesBinance[[#This Row],[Preço]])),AU219)-IF(TbTradesBinance[[#This Row],[Moeda da Taxa]]=MID(AU$1,9,5),TbTradesBinance[[#This Row],[Taxa]],0),8)))</f>
        <v>0.51</v>
      </c>
      <c r="AV220" s="145" cm="1">
        <f t="array" ref="AV220">IF(TbTradesBinance[[#This Row],[Tipo]]="EMPTY",0,AV219+IF(TbTradesBinance[[#This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Row],[Par]]))),$1:$1,0)),-(AU219-AU220)/AU219*AV219),0),0)+IF(TbTradesBinance[[#This Row],[Tipo]]="SELL",IF(ISNUMBER(FIND(MID(AV$1,10,5),TbTradesBinance[[#This Row],[Par]])),IF(FIND(MID(AV$1,10,5),TbTradesBinance[[#This Row],[Par]])=1, -(AU219-AU220)/AU219*AV219,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Row],[Par]])),(-(AU219-AU220)/AU219*AV219)+IF(TbTradesBinance[[#This Row],[Resultado]]&gt;0,0,TbTradesBinance[[#This Row],[Taxa]]),0),0))</f>
        <v>95.466693037374753</v>
      </c>
      <c r="AW220" s="145">
        <f t="shared" si="105"/>
        <v>187.18959419093088</v>
      </c>
      <c r="AX22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Row],[Tipo]]="DROP"),AX219+TbTradesBinance[[#This Row],[Qtt]],AX219-TbTradesBinance[[#This Row],[Qtt]]),IF(TbTradesBinance[[#This Row],[Tipo]]="BUY",AX219-TbTradesBinance[[#This Row],[Qtt]]*TbTradesBinance[[#This Row],[Preço]],AX219+TbTradesBinance[[#This Row],[Qtt]]*TbTradesBinance[[#This Row],[Preço]])),AX219)-IF(TbTradesBinance[[#This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Row],[Tipo]]="DROP"),AX219+TbTradesBinance[[#This Row],[Qtt]],AX219-TbTradesBinance[[#This Row],[Qtt]]),IF(TbTradesBinance[[#This Row],[Tipo]]="BUY",AX219-TbTradesBinance[[#This Row],[Qtt]]*TbTradesBinance[[#This Row],[Preço]],AX219+TbTradesBinance[[#This Row],[Qtt]]*TbTradesBinance[[#This Row],[Preço]])),AX219)-IF(TbTradesBinance[[#This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Row],[Tipo]]="DROP"),AX219+TbTradesBinance[[#This Row],[Qtt]],AX219-TbTradesBinance[[#This Row],[Qtt]]),IF(TbTradesBinance[[#This Row],[Tipo]]="BUY",AX219-TbTradesBinance[[#This Row],[Qtt]]*TbTradesBinance[[#This Row],[Preço]],AX219+TbTradesBinance[[#This Row],[Qtt]]*TbTradesBinance[[#This Row],[Preço]])),AX219)-IF(TbTradesBinance[[#This Row],[Moeda da Taxa]]=MID(AX$1,9,5),TbTradesBinance[[#This Row],[Taxa]],0),8)))</f>
        <v>0.32838000000000001</v>
      </c>
      <c r="AY220" s="145" cm="1">
        <f t="array" ref="AY220">IF(TbTradesBinance[[#This Row],[Tipo]]="EMPTY",0,AY219+IF(TbTradesBinance[[#This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Row],[Par]]))),$1:$1,0)),-(AX219-AX220)/AX219*AY219),0),0)+IF(TbTradesBinance[[#This Row],[Tipo]]="SELL",IF(ISNUMBER(FIND(MID(AY$1,10,5),TbTradesBinance[[#This Row],[Par]])),IF(FIND(MID(AY$1,10,5),TbTradesBinance[[#This Row],[Par]])=1, -(AX219-AX220)/AX219*AY219,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Row],[Par]])),(-(AX219-AX220)/AX219*AY219)+IF(TbTradesBinance[[#This Row],[Resultado]]&gt;0,0,TbTradesBinance[[#This Row],[Taxa]]),0),0))</f>
        <v>61.364116058805678</v>
      </c>
      <c r="AZ220" s="145">
        <f t="shared" si="106"/>
        <v>186.869224857804</v>
      </c>
      <c r="BA22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Row],[Tipo]]="DROP"),BA219+TbTradesBinance[[#This Row],[Qtt]],BA219-TbTradesBinance[[#This Row],[Qtt]]),IF(TbTradesBinance[[#This Row],[Tipo]]="BUY",BA219-TbTradesBinance[[#This Row],[Qtt]]*TbTradesBinance[[#This Row],[Preço]],BA219+TbTradesBinance[[#This Row],[Qtt]]*TbTradesBinance[[#This Row],[Preço]])),BA219)-IF(TbTradesBinance[[#This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Row],[Tipo]]="DROP"),BA219+TbTradesBinance[[#This Row],[Qtt]],BA219-TbTradesBinance[[#This Row],[Qtt]]),IF(TbTradesBinance[[#This Row],[Tipo]]="BUY",BA219-TbTradesBinance[[#This Row],[Qtt]]*TbTradesBinance[[#This Row],[Preço]],BA219+TbTradesBinance[[#This Row],[Qtt]]*TbTradesBinance[[#This Row],[Preço]])),BA219)-IF(TbTradesBinance[[#This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Row],[Tipo]]="DROP"),BA219+TbTradesBinance[[#This Row],[Qtt]],BA219-TbTradesBinance[[#This Row],[Qtt]]),IF(TbTradesBinance[[#This Row],[Tipo]]="BUY",BA219-TbTradesBinance[[#This Row],[Qtt]]*TbTradesBinance[[#This Row],[Preço]],BA219+TbTradesBinance[[#This Row],[Qtt]]*TbTradesBinance[[#This Row],[Preço]])),BA219)-IF(TbTradesBinance[[#This Row],[Moeda da Taxa]]=MID(BA$1,9,5),TbTradesBinance[[#This Row],[Taxa]],0),8)))</f>
        <v>0</v>
      </c>
      <c r="BB220" s="145" cm="1">
        <f t="array" ref="BB220">IF(TbTradesBinance[[#This Row],[Tipo]]="EMPTY",0,BB219+IF(TbTradesBinance[[#This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Row],[Par]]))),$1:$1,0)),-(BA219-BA220)/BA219*BB219),0),0)+IF(TbTradesBinance[[#This Row],[Tipo]]="SELL",IF(ISNUMBER(FIND(MID(BB$1,10,5),TbTradesBinance[[#This Row],[Par]])),IF(FIND(MID(BB$1,10,5),TbTradesBinance[[#This Row],[Par]])=1, -(BA219-BA220)/BA219*BB219,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Row],[Par]])),(-(BA219-BA220)/BA219*BB219)+IF(TbTradesBinance[[#This Row],[Resultado]]&gt;0,0,TbTradesBinance[[#This Row],[Taxa]]),0),0))</f>
        <v>0</v>
      </c>
      <c r="BC220" s="145">
        <f t="shared" si="107"/>
        <v>0</v>
      </c>
      <c r="BD22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Row],[Tipo]]="DROP"),BD219+TbTradesBinance[[#This Row],[Qtt]],BD219-TbTradesBinance[[#This Row],[Qtt]]),IF(TbTradesBinance[[#This Row],[Tipo]]="BUY",BD219-TbTradesBinance[[#This Row],[Qtt]]*TbTradesBinance[[#This Row],[Preço]],BD219+TbTradesBinance[[#This Row],[Qtt]]*TbTradesBinance[[#This Row],[Preço]])),BD219)-IF(TbTradesBinance[[#This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Row],[Tipo]]="DROP"),BD219+TbTradesBinance[[#This Row],[Qtt]],BD219-TbTradesBinance[[#This Row],[Qtt]]),IF(TbTradesBinance[[#This Row],[Tipo]]="BUY",BD219-TbTradesBinance[[#This Row],[Qtt]]*TbTradesBinance[[#This Row],[Preço]],BD219+TbTradesBinance[[#This Row],[Qtt]]*TbTradesBinance[[#This Row],[Preço]])),BD219)-IF(TbTradesBinance[[#This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Row],[Tipo]]="DROP"),BD219+TbTradesBinance[[#This Row],[Qtt]],BD219-TbTradesBinance[[#This Row],[Qtt]]),IF(TbTradesBinance[[#This Row],[Tipo]]="BUY",BD219-TbTradesBinance[[#This Row],[Qtt]]*TbTradesBinance[[#This Row],[Preço]],BD219+TbTradesBinance[[#This Row],[Qtt]]*TbTradesBinance[[#This Row],[Preço]])),BD219)-IF(TbTradesBinance[[#This Row],[Moeda da Taxa]]=MID(BD$1,9,5),TbTradesBinance[[#This Row],[Taxa]],0),8)))</f>
        <v>0</v>
      </c>
      <c r="BE220" s="145" cm="1">
        <f t="array" ref="BE220">IF(TbTradesBinance[[#This Row],[Tipo]]="EMPTY",0,BE219+IF(TbTradesBinance[[#This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Row],[Par]]))),$1:$1,0)),-(BD219-BD220)/BD219*BE219),0),0)+IF(TbTradesBinance[[#This Row],[Tipo]]="SELL",IF(ISNUMBER(FIND(MID(BE$1,10,5),TbTradesBinance[[#This Row],[Par]])),IF(FIND(MID(BE$1,10,5),TbTradesBinance[[#This Row],[Par]])=1, -(BD219-BD220)/BD219*BE219,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Row],[Par]])),(-(BD219-BD220)/BD219*BE219)+IF(TbTradesBinance[[#This Row],[Resultado]]&gt;0,0,TbTradesBinance[[#This Row],[Taxa]]),0),0))</f>
        <v>0</v>
      </c>
      <c r="BF220" s="145">
        <f t="shared" si="108"/>
        <v>0</v>
      </c>
      <c r="BG22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Row],[Tipo]]="DROP"),BG219+TbTradesBinance[[#This Row],[Qtt]],BG219-TbTradesBinance[[#This Row],[Qtt]]),IF(TbTradesBinance[[#This Row],[Tipo]]="BUY",BG219-TbTradesBinance[[#This Row],[Qtt]]*TbTradesBinance[[#This Row],[Preço]],BG219+TbTradesBinance[[#This Row],[Qtt]]*TbTradesBinance[[#This Row],[Preço]])),BG219)-IF(TbTradesBinance[[#This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Row],[Tipo]]="DROP"),BG219+TbTradesBinance[[#This Row],[Qtt]],BG219-TbTradesBinance[[#This Row],[Qtt]]),IF(TbTradesBinance[[#This Row],[Tipo]]="BUY",BG219-TbTradesBinance[[#This Row],[Qtt]]*TbTradesBinance[[#This Row],[Preço]],BG219+TbTradesBinance[[#This Row],[Qtt]]*TbTradesBinance[[#This Row],[Preço]])),BG219)-IF(TbTradesBinance[[#This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Row],[Tipo]]="DROP"),BG219+TbTradesBinance[[#This Row],[Qtt]],BG219-TbTradesBinance[[#This Row],[Qtt]]),IF(TbTradesBinance[[#This Row],[Tipo]]="BUY",BG219-TbTradesBinance[[#This Row],[Qtt]]*TbTradesBinance[[#This Row],[Preço]],BG219+TbTradesBinance[[#This Row],[Qtt]]*TbTradesBinance[[#This Row],[Preço]])),BG219)-IF(TbTradesBinance[[#This Row],[Moeda da Taxa]]=MID(BG$1,9,5),TbTradesBinance[[#This Row],[Taxa]],0),8)))</f>
        <v>0</v>
      </c>
      <c r="BH220" s="145" cm="1">
        <f t="array" ref="BH220">IF(TbTradesBinance[[#This Row],[Tipo]]="EMPTY",0,BH219+IF(TbTradesBinance[[#This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Row],[Par]]))),$1:$1,0)),-(BG219-BG220)/BG219*BH219),0),0)+IF(TbTradesBinance[[#This Row],[Tipo]]="SELL",IF(ISNUMBER(FIND(MID(BH$1,10,5),TbTradesBinance[[#This Row],[Par]])),IF(FIND(MID(BH$1,10,5),TbTradesBinance[[#This Row],[Par]])=1, -(BG219-BG220)/BG219*BH219,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Row],[Par]])),(-(BG219-BG220)/BG219*BH219)+IF(TbTradesBinance[[#This Row],[Resultado]]&gt;0,0,TbTradesBinance[[#This Row],[Taxa]]),0),0))</f>
        <v>0</v>
      </c>
      <c r="BI220" s="145">
        <f t="shared" si="109"/>
        <v>0</v>
      </c>
      <c r="BJ22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Row],[Tipo]]="DROP"),BJ219+TbTradesBinance[[#This Row],[Qtt]],BJ219-TbTradesBinance[[#This Row],[Qtt]]),IF(TbTradesBinance[[#This Row],[Tipo]]="BUY",BJ219-TbTradesBinance[[#This Row],[Qtt]]*TbTradesBinance[[#This Row],[Preço]],BJ219+TbTradesBinance[[#This Row],[Qtt]]*TbTradesBinance[[#This Row],[Preço]])),BJ219)-IF(TbTradesBinance[[#This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Row],[Tipo]]="DROP"),BJ219+TbTradesBinance[[#This Row],[Qtt]],BJ219-TbTradesBinance[[#This Row],[Qtt]]),IF(TbTradesBinance[[#This Row],[Tipo]]="BUY",BJ219-TbTradesBinance[[#This Row],[Qtt]]*TbTradesBinance[[#This Row],[Preço]],BJ219+TbTradesBinance[[#This Row],[Qtt]]*TbTradesBinance[[#This Row],[Preço]])),BJ219)-IF(TbTradesBinance[[#This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Row],[Tipo]]="DROP"),BJ219+TbTradesBinance[[#This Row],[Qtt]],BJ219-TbTradesBinance[[#This Row],[Qtt]]),IF(TbTradesBinance[[#This Row],[Tipo]]="BUY",BJ219-TbTradesBinance[[#This Row],[Qtt]]*TbTradesBinance[[#This Row],[Preço]],BJ219+TbTradesBinance[[#This Row],[Qtt]]*TbTradesBinance[[#This Row],[Preço]])),BJ219)-IF(TbTradesBinance[[#This Row],[Moeda da Taxa]]=MID(BJ$1,9,5),TbTradesBinance[[#This Row],[Taxa]],0),8)))</f>
        <v>0</v>
      </c>
      <c r="BK220" s="145" cm="1">
        <f t="array" ref="BK220">IF(TbTradesBinance[[#This Row],[Tipo]]="EMPTY",0,BK219+IF(TbTradesBinance[[#This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Row],[Par]]))),$1:$1,0)),-(BJ219-BJ220)/BJ219*BK219),0),0)+IF(TbTradesBinance[[#This Row],[Tipo]]="SELL",IF(ISNUMBER(FIND(MID(BK$1,10,5),TbTradesBinance[[#This Row],[Par]])),IF(FIND(MID(BK$1,10,5),TbTradesBinance[[#This Row],[Par]])=1, -(BJ219-BJ220)/BJ219*BK219,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Row],[Par]])),(-(BJ219-BJ220)/BJ219*BK219)+IF(TbTradesBinance[[#This Row],[Resultado]]&gt;0,0,TbTradesBinance[[#This Row],[Taxa]]),0),0))</f>
        <v>0</v>
      </c>
      <c r="BL220" s="145">
        <f t="shared" si="110"/>
        <v>0</v>
      </c>
      <c r="BM22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Row],[Tipo]]="DROP"),BM219+TbTradesBinance[[#This Row],[Qtt]],BM219-TbTradesBinance[[#This Row],[Qtt]]),IF(TbTradesBinance[[#This Row],[Tipo]]="BUY",BM219-TbTradesBinance[[#This Row],[Qtt]]*TbTradesBinance[[#This Row],[Preço]],BM219+TbTradesBinance[[#This Row],[Qtt]]*TbTradesBinance[[#This Row],[Preço]])),BM219)-IF(TbTradesBinance[[#This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Row],[Tipo]]="DROP"),BM219+TbTradesBinance[[#This Row],[Qtt]],BM219-TbTradesBinance[[#This Row],[Qtt]]),IF(TbTradesBinance[[#This Row],[Tipo]]="BUY",BM219-TbTradesBinance[[#This Row],[Qtt]]*TbTradesBinance[[#This Row],[Preço]],BM219+TbTradesBinance[[#This Row],[Qtt]]*TbTradesBinance[[#This Row],[Preço]])),BM219)-IF(TbTradesBinance[[#This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Row],[Tipo]]="DROP"),BM219+TbTradesBinance[[#This Row],[Qtt]],BM219-TbTradesBinance[[#This Row],[Qtt]]),IF(TbTradesBinance[[#This Row],[Tipo]]="BUY",BM219-TbTradesBinance[[#This Row],[Qtt]]*TbTradesBinance[[#This Row],[Preço]],BM219+TbTradesBinance[[#This Row],[Qtt]]*TbTradesBinance[[#This Row],[Preço]])),BM219)-IF(TbTradesBinance[[#This Row],[Moeda da Taxa]]=MID(BM$1,9,5),TbTradesBinance[[#This Row],[Taxa]],0),8)))</f>
        <v>0</v>
      </c>
      <c r="BN220" s="145" cm="1">
        <f t="array" ref="BN220">IF(TbTradesBinance[[#This Row],[Tipo]]="EMPTY",0,BN219+IF(TbTradesBinance[[#This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Row],[Par]]))),$1:$1,0)),-(BM219-BM220)/BM219*BN219),0),0)+IF(TbTradesBinance[[#This Row],[Tipo]]="SELL",IF(ISNUMBER(FIND(MID(BN$1,10,5),TbTradesBinance[[#This Row],[Par]])),IF(FIND(MID(BN$1,10,5),TbTradesBinance[[#This Row],[Par]])=1, -(BM219-BM220)/BM219*BN219,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Row],[Par]])),(-(BM219-BM220)/BM219*BN219)+IF(TbTradesBinance[[#This Row],[Resultado]]&gt;0,0,TbTradesBinance[[#This Row],[Taxa]]),0),0))</f>
        <v>0</v>
      </c>
      <c r="BO220" s="145">
        <f t="shared" si="111"/>
        <v>0</v>
      </c>
    </row>
    <row r="221" spans="2:67" x14ac:dyDescent="0.3">
      <c r="B221" s="51"/>
      <c r="C221" s="40">
        <f>TRUNC(IF(AND(TbTradesBinance[[#This Row],[Tipo]]="SEND",TbTradesBinance[[#This Row],[Par]]="BRL"),TbTradesBinance[[#This Row],[Qtt]]*(1-P219)-IF(TbTradesBinance[[#This Row],[Moeda da Taxa]]="BRL",TbTradesBinance[[#This Row],[Taxa]],0),0)+IF(AND(TbTradesBinance[[#This Row],[Tipo]]="BURN",TbTradesBinance[[#This Row],[Par]]="BRL"),-TbTradesBinance[[#This Row],[Qtt]]*P219,0),2)</f>
        <v>0</v>
      </c>
      <c r="D221" s="53">
        <v>44408.575381944444</v>
      </c>
      <c r="E221" s="37" t="s">
        <v>237</v>
      </c>
      <c r="F221" s="47" t="s">
        <v>140</v>
      </c>
      <c r="G221" s="38">
        <v>5.2089999999999996</v>
      </c>
      <c r="H221" s="38">
        <v>2</v>
      </c>
      <c r="I221" s="38">
        <v>4.5199999999999999E-6</v>
      </c>
      <c r="J221" s="37" t="s">
        <v>45</v>
      </c>
      <c r="K221" s="52">
        <v>1</v>
      </c>
      <c r="L221" s="40">
        <f t="shared" si="94"/>
        <v>5.2</v>
      </c>
      <c r="M221" s="40">
        <f>IF(OR(TbTradesBinance[[#This Row],[Tipo]]="BUY",TbTradesBinance[[#This Row],[Tipo]]="RECEIVE",TbTradesBinance[[#This Row],[Tipo]]="DROP"),L221*H221,-L221*H221)</f>
        <v>-10.4</v>
      </c>
      <c r="N22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Row],[Tipo]]="DROP"),N220+TbTradesBinance[[#This Row],[Qtt]],N220-TbTradesBinance[[#This Row],[Qtt]]),IF(TbTradesBinance[[#This Row],[Tipo]]="BUY",N220-TbTradesBinance[[#This Row],[Qtt]]*TbTradesBinance[[#This Row],[Preço]],N220+TbTradesBinance[[#This Row],[Qtt]]*TbTradesBinance[[#This Row],[Preço]])),N220)-IF(TbTradesBinance[[#This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Row],[Tipo]]="DROP"),N220+TbTradesBinance[[#This Row],[Qtt]],N220-TbTradesBinance[[#This Row],[Qtt]]),IF(TbTradesBinance[[#This Row],[Tipo]]="BUY",N220-TbTradesBinance[[#This Row],[Qtt]]*TbTradesBinance[[#This Row],[Preço]],N220+TbTradesBinance[[#This Row],[Qtt]]*TbTradesBinance[[#This Row],[Preço]])),N220)-IF(TbTradesBinance[[#This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Row],[Tipo]]="DROP"),N220+TbTradesBinance[[#This Row],[Qtt]],N220-TbTradesBinance[[#This Row],[Qtt]]),IF(TbTradesBinance[[#This Row],[Tipo]]="BUY",N220-TbTradesBinance[[#This Row],[Qtt]]*TbTradesBinance[[#This Row],[Preço]],N220+TbTradesBinance[[#This Row],[Qtt]]*TbTradesBinance[[#This Row],[Preço]])),N220)-IF(TbTradesBinance[[#This Row],[Moeda da Taxa]]=MID(N$1,9,5),TbTradesBinance[[#This Row],[Taxa]],0),8)))</f>
        <v>120266.71374781</v>
      </c>
      <c r="O221" s="145" cm="1">
        <f t="array" ref="O221">IF(TbTradesBinance[[#This Row],[Tipo]]="EMPTY",0,O220+IF(TbTradesBinance[[#This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Row],[Par]]))),$1:$1,0)),-(N220-N221)/N220*O220),0),0)+IF(TbTradesBinance[[#This Row],[Tipo]]="SELL",IF(ISNUMBER(FIND(MID(O$1,10,5),TbTradesBinance[[#This Row],[Par]])),IF(FIND(MID(O$1,10,5),TbTradesBinance[[#This Row],[Par]])=1, -(N220-N221)/N220*O220,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Row],[Par]])),(-(N220-N221)/N220*O220)+IF(TbTradesBinance[[#This Row],[Resultado]]&gt;0,0,TbTradesBinance[[#This Row],[Taxa]]),0),0))</f>
        <v>120955.16361951364</v>
      </c>
      <c r="P221" s="145">
        <f t="shared" si="76"/>
        <v>1.0057243592200187</v>
      </c>
      <c r="Q22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Row],[Tipo]]="DROP"),Q220+TbTradesBinance[[#This Row],[Qtt]],Q220-TbTradesBinance[[#This Row],[Qtt]]),IF(TbTradesBinance[[#This Row],[Tipo]]="BUY",Q220-TbTradesBinance[[#This Row],[Qtt]]*TbTradesBinance[[#This Row],[Preço]],Q220+TbTradesBinance[[#This Row],[Qtt]]*TbTradesBinance[[#This Row],[Preço]])),Q220)-IF(TbTradesBinance[[#This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Row],[Tipo]]="DROP"),Q220+TbTradesBinance[[#This Row],[Qtt]],Q220-TbTradesBinance[[#This Row],[Qtt]]),IF(TbTradesBinance[[#This Row],[Tipo]]="BUY",Q220-TbTradesBinance[[#This Row],[Qtt]]*TbTradesBinance[[#This Row],[Preço]],Q220+TbTradesBinance[[#This Row],[Qtt]]*TbTradesBinance[[#This Row],[Preço]])),Q220)-IF(TbTradesBinance[[#This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Row],[Tipo]]="DROP"),Q220+TbTradesBinance[[#This Row],[Qtt]],Q220-TbTradesBinance[[#This Row],[Qtt]]),IF(TbTradesBinance[[#This Row],[Tipo]]="BUY",Q220-TbTradesBinance[[#This Row],[Qtt]]*TbTradesBinance[[#This Row],[Preço]],Q220+TbTradesBinance[[#This Row],[Qtt]]*TbTradesBinance[[#This Row],[Preço]])),Q220)-IF(TbTradesBinance[[#This Row],[Moeda da Taxa]]=MID(Q$1,9,5),TbTradesBinance[[#This Row],[Taxa]],0),8)))</f>
        <v>369.71335734000002</v>
      </c>
      <c r="R221" s="145" cm="1">
        <f t="array" ref="R221">IF(TbTradesBinance[[#This Row],[Tipo]]="EMPTY",0,R220+IF(TbTradesBinance[[#This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Row],[Par]]))),$1:$1,0)),-(Q220-Q221)/Q220*R220),0),0)+IF(TbTradesBinance[[#This Row],[Tipo]]="SELL",IF(ISNUMBER(FIND(MID(R$1,10,5),TbTradesBinance[[#This Row],[Par]])),IF(FIND(MID(R$1,10,5),TbTradesBinance[[#This Row],[Par]])=1, -(Q220-Q221)/Q220*R220,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Row],[Par]])),(-(Q220-Q221)/Q220*R220)+IF(TbTradesBinance[[#This Row],[Resultado]]&gt;0,0,TbTradesBinance[[#This Row],[Taxa]]),0),0))</f>
        <v>2032.6174924915908</v>
      </c>
      <c r="S221" s="145">
        <f t="shared" si="95"/>
        <v>5.4978200060603486</v>
      </c>
      <c r="T22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Row],[Tipo]]="DROP"),T220+TbTradesBinance[[#This Row],[Qtt]],T220-TbTradesBinance[[#This Row],[Qtt]]),IF(TbTradesBinance[[#This Row],[Tipo]]="BUY",T220-TbTradesBinance[[#This Row],[Qtt]]*TbTradesBinance[[#This Row],[Preço]],T220+TbTradesBinance[[#This Row],[Qtt]]*TbTradesBinance[[#This Row],[Preço]])),T220)-IF(TbTradesBinance[[#This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Row],[Tipo]]="DROP"),T220+TbTradesBinance[[#This Row],[Qtt]],T220-TbTradesBinance[[#This Row],[Qtt]]),IF(TbTradesBinance[[#This Row],[Tipo]]="BUY",T220-TbTradesBinance[[#This Row],[Qtt]]*TbTradesBinance[[#This Row],[Preço]],T220+TbTradesBinance[[#This Row],[Qtt]]*TbTradesBinance[[#This Row],[Preço]])),T220)-IF(TbTradesBinance[[#This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Row],[Tipo]]="DROP"),T220+TbTradesBinance[[#This Row],[Qtt]],T220-TbTradesBinance[[#This Row],[Qtt]]),IF(TbTradesBinance[[#This Row],[Tipo]]="BUY",T220-TbTradesBinance[[#This Row],[Qtt]]*TbTradesBinance[[#This Row],[Preço]],T220+TbTradesBinance[[#This Row],[Qtt]]*TbTradesBinance[[#This Row],[Preço]])),T220)-IF(TbTradesBinance[[#This Row],[Moeda da Taxa]]=MID(T$1,9,5),TbTradesBinance[[#This Row],[Taxa]],0),8)))</f>
        <v>101223913.720009</v>
      </c>
      <c r="U221" s="145" cm="1">
        <f t="array" ref="U221">IF(TbTradesBinance[[#This Row],[Tipo]]="EMPTY",0,U220+IF(TbTradesBinance[[#This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Row],[Par]]))),$1:$1,0)),-(T220-T221)/T220*U220),0),0)+IF(TbTradesBinance[[#This Row],[Tipo]]="SELL",IF(ISNUMBER(FIND(MID(U$1,10,5),TbTradesBinance[[#This Row],[Par]])),IF(FIND(MID(U$1,10,5),TbTradesBinance[[#This Row],[Par]])=1, -(T220-T221)/T220*U220,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Row],[Par]])),(-(T220-T221)/T220*U220)+IF(TbTradesBinance[[#This Row],[Resultado]]&gt;0,0,TbTradesBinance[[#This Row],[Taxa]]),0),0))</f>
        <v>617586601.27364206</v>
      </c>
      <c r="V221" s="145">
        <f t="shared" si="96"/>
        <v>6.1011926784605572</v>
      </c>
      <c r="W22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Row],[Tipo]]="DROP"),W220+TbTradesBinance[[#This Row],[Qtt]],W220-TbTradesBinance[[#This Row],[Qtt]]),IF(TbTradesBinance[[#This Row],[Tipo]]="BUY",W220-TbTradesBinance[[#This Row],[Qtt]]*TbTradesBinance[[#This Row],[Preço]],W220+TbTradesBinance[[#This Row],[Qtt]]*TbTradesBinance[[#This Row],[Preço]])),W220)-IF(TbTradesBinance[[#This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Row],[Tipo]]="DROP"),W220+TbTradesBinance[[#This Row],[Qtt]],W220-TbTradesBinance[[#This Row],[Qtt]]),IF(TbTradesBinance[[#This Row],[Tipo]]="BUY",W220-TbTradesBinance[[#This Row],[Qtt]]*TbTradesBinance[[#This Row],[Preço]],W220+TbTradesBinance[[#This Row],[Qtt]]*TbTradesBinance[[#This Row],[Preço]])),W220)-IF(TbTradesBinance[[#This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Row],[Tipo]]="DROP"),W220+TbTradesBinance[[#This Row],[Qtt]],W220-TbTradesBinance[[#This Row],[Qtt]]),IF(TbTradesBinance[[#This Row],[Tipo]]="BUY",W220-TbTradesBinance[[#This Row],[Qtt]]*TbTradesBinance[[#This Row],[Preço]],W220+TbTradesBinance[[#This Row],[Qtt]]*TbTradesBinance[[#This Row],[Preço]])),W220)-IF(TbTradesBinance[[#This Row],[Moeda da Taxa]]=MID(W$1,9,5),TbTradesBinance[[#This Row],[Taxa]],0),8)))</f>
        <v>3.9899999999999999E-6</v>
      </c>
      <c r="X221" s="145" cm="1">
        <f t="array" ref="X221">IF(TbTradesBinance[[#This Row],[Tipo]]="EMPTY",0,X220+IF(TbTradesBinance[[#This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Row],[Par]]))),$1:$1,0)),-(W220-W221)/W220*X220),0),0)+IF(TbTradesBinance[[#This Row],[Tipo]]="SELL",IF(ISNUMBER(FIND(MID(X$1,10,5),TbTradesBinance[[#This Row],[Par]])),IF(FIND(MID(X$1,10,5),TbTradesBinance[[#This Row],[Par]])=1, -(W220-W221)/W220*X220,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Row],[Par]])),(-(W220-W221)/W220*X220)+IF(TbTradesBinance[[#This Row],[Resultado]]&gt;0,0,TbTradesBinance[[#This Row],[Taxa]]),0),0))</f>
        <v>0.6953811938234935</v>
      </c>
      <c r="Y221" s="145">
        <f t="shared" si="97"/>
        <v>174281.00095826905</v>
      </c>
      <c r="Z22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Row],[Tipo]]="DROP"),Z220+TbTradesBinance[[#This Row],[Qtt]],Z220-TbTradesBinance[[#This Row],[Qtt]]),IF(TbTradesBinance[[#This Row],[Tipo]]="BUY",Z220-TbTradesBinance[[#This Row],[Qtt]]*TbTradesBinance[[#This Row],[Preço]],Z220+TbTradesBinance[[#This Row],[Qtt]]*TbTradesBinance[[#This Row],[Preço]])),Z220)-IF(TbTradesBinance[[#This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Row],[Tipo]]="DROP"),Z220+TbTradesBinance[[#This Row],[Qtt]],Z220-TbTradesBinance[[#This Row],[Qtt]]),IF(TbTradesBinance[[#This Row],[Tipo]]="BUY",Z220-TbTradesBinance[[#This Row],[Qtt]]*TbTradesBinance[[#This Row],[Preço]],Z220+TbTradesBinance[[#This Row],[Qtt]]*TbTradesBinance[[#This Row],[Preço]])),Z220)-IF(TbTradesBinance[[#This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Row],[Tipo]]="DROP"),Z220+TbTradesBinance[[#This Row],[Qtt]],Z220-TbTradesBinance[[#This Row],[Qtt]]),IF(TbTradesBinance[[#This Row],[Tipo]]="BUY",Z220-TbTradesBinance[[#This Row],[Qtt]]*TbTradesBinance[[#This Row],[Preço]],Z220+TbTradesBinance[[#This Row],[Qtt]]*TbTradesBinance[[#This Row],[Preço]])),Z220)-IF(TbTradesBinance[[#This Row],[Moeda da Taxa]]=MID(Z$1,9,5),TbTradesBinance[[#This Row],[Taxa]],0),8)))</f>
        <v>0</v>
      </c>
      <c r="AA221" s="145" cm="1">
        <f t="array" ref="AA221">IF(TbTradesBinance[[#This Row],[Tipo]]="EMPTY",0,AA220+IF(TbTradesBinance[[#This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Row],[Par]]))),$1:$1,0)),-(Z220-Z221)/Z220*AA220),0),0)+IF(TbTradesBinance[[#This Row],[Tipo]]="SELL",IF(ISNUMBER(FIND(MID(AA$1,10,5),TbTradesBinance[[#This Row],[Par]])),IF(FIND(MID(AA$1,10,5),TbTradesBinance[[#This Row],[Par]])=1, -(Z220-Z221)/Z220*AA220,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Row],[Par]])),(-(Z220-Z221)/Z220*AA220)+IF(TbTradesBinance[[#This Row],[Resultado]]&gt;0,0,TbTradesBinance[[#This Row],[Taxa]]),0),0))</f>
        <v>0</v>
      </c>
      <c r="AB221" s="145">
        <f t="shared" si="98"/>
        <v>0</v>
      </c>
      <c r="AC22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Row],[Tipo]]="DROP"),AC220+TbTradesBinance[[#This Row],[Qtt]],AC220-TbTradesBinance[[#This Row],[Qtt]]),IF(TbTradesBinance[[#This Row],[Tipo]]="BUY",AC220-TbTradesBinance[[#This Row],[Qtt]]*TbTradesBinance[[#This Row],[Preço]],AC220+TbTradesBinance[[#This Row],[Qtt]]*TbTradesBinance[[#This Row],[Preço]])),AC220)-IF(TbTradesBinance[[#This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Row],[Tipo]]="DROP"),AC220+TbTradesBinance[[#This Row],[Qtt]],AC220-TbTradesBinance[[#This Row],[Qtt]]),IF(TbTradesBinance[[#This Row],[Tipo]]="BUY",AC220-TbTradesBinance[[#This Row],[Qtt]]*TbTradesBinance[[#This Row],[Preço]],AC220+TbTradesBinance[[#This Row],[Qtt]]*TbTradesBinance[[#This Row],[Preço]])),AC220)-IF(TbTradesBinance[[#This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Row],[Tipo]]="DROP"),AC220+TbTradesBinance[[#This Row],[Qtt]],AC220-TbTradesBinance[[#This Row],[Qtt]]),IF(TbTradesBinance[[#This Row],[Tipo]]="BUY",AC220-TbTradesBinance[[#This Row],[Qtt]]*TbTradesBinance[[#This Row],[Preço]],AC220+TbTradesBinance[[#This Row],[Qtt]]*TbTradesBinance[[#This Row],[Preço]])),AC220)-IF(TbTradesBinance[[#This Row],[Moeda da Taxa]]=MID(AC$1,9,5),TbTradesBinance[[#This Row],[Taxa]],0),8)))</f>
        <v>0</v>
      </c>
      <c r="AD221" s="145" cm="1">
        <f t="array" ref="AD221">IF(TbTradesBinance[[#This Row],[Tipo]]="EMPTY",0,AD220+IF(TbTradesBinance[[#This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Row],[Par]]))),$1:$1,0)),-(AC220-AC221)/AC220*AD220),0),0)+IF(TbTradesBinance[[#This Row],[Tipo]]="SELL",IF(ISNUMBER(FIND(MID(AD$1,10,5),TbTradesBinance[[#This Row],[Par]])),IF(FIND(MID(AD$1,10,5),TbTradesBinance[[#This Row],[Par]])=1, -(AC220-AC221)/AC220*AD220,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Row],[Par]])),(-(AC220-AC221)/AC220*AD220)+IF(TbTradesBinance[[#This Row],[Resultado]]&gt;0,0,TbTradesBinance[[#This Row],[Taxa]]),0),0))</f>
        <v>0</v>
      </c>
      <c r="AE221" s="145">
        <f t="shared" si="99"/>
        <v>0</v>
      </c>
      <c r="AF22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Row],[Tipo]]="DROP"),AF220+TbTradesBinance[[#This Row],[Qtt]],AF220-TbTradesBinance[[#This Row],[Qtt]]),IF(TbTradesBinance[[#This Row],[Tipo]]="BUY",AF220-TbTradesBinance[[#This Row],[Qtt]]*TbTradesBinance[[#This Row],[Preço]],AF220+TbTradesBinance[[#This Row],[Qtt]]*TbTradesBinance[[#This Row],[Preço]])),AF220)-IF(TbTradesBinance[[#This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Row],[Tipo]]="DROP"),AF220+TbTradesBinance[[#This Row],[Qtt]],AF220-TbTradesBinance[[#This Row],[Qtt]]),IF(TbTradesBinance[[#This Row],[Tipo]]="BUY",AF220-TbTradesBinance[[#This Row],[Qtt]]*TbTradesBinance[[#This Row],[Preço]],AF220+TbTradesBinance[[#This Row],[Qtt]]*TbTradesBinance[[#This Row],[Preço]])),AF220)-IF(TbTradesBinance[[#This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Row],[Tipo]]="DROP"),AF220+TbTradesBinance[[#This Row],[Qtt]],AF220-TbTradesBinance[[#This Row],[Qtt]]),IF(TbTradesBinance[[#This Row],[Tipo]]="BUY",AF220-TbTradesBinance[[#This Row],[Qtt]]*TbTradesBinance[[#This Row],[Preço]],AF220+TbTradesBinance[[#This Row],[Qtt]]*TbTradesBinance[[#This Row],[Preço]])),AF220)-IF(TbTradesBinance[[#This Row],[Moeda da Taxa]]=MID(AF$1,9,5),TbTradesBinance[[#This Row],[Taxa]],0),8)))</f>
        <v>0</v>
      </c>
      <c r="AG221" s="145" cm="1">
        <f t="array" ref="AG221">IF(TbTradesBinance[[#This Row],[Tipo]]="EMPTY",0,AG220+IF(TbTradesBinance[[#This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Row],[Par]]))),$1:$1,0)),-(AF220-AF221)/AF220*AG220),0),0)+IF(TbTradesBinance[[#This Row],[Tipo]]="SELL",IF(ISNUMBER(FIND(MID(AG$1,10,5),TbTradesBinance[[#This Row],[Par]])),IF(FIND(MID(AG$1,10,5),TbTradesBinance[[#This Row],[Par]])=1, -(AF220-AF221)/AF220*AG220,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Row],[Par]])),(-(AF220-AF221)/AF220*AG220)+IF(TbTradesBinance[[#This Row],[Resultado]]&gt;0,0,TbTradesBinance[[#This Row],[Taxa]]),0),0))</f>
        <v>0</v>
      </c>
      <c r="AH221" s="145">
        <f t="shared" si="100"/>
        <v>0</v>
      </c>
      <c r="AI22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Row],[Tipo]]="DROP"),AI220+TbTradesBinance[[#This Row],[Qtt]],AI220-TbTradesBinance[[#This Row],[Qtt]]),IF(TbTradesBinance[[#This Row],[Tipo]]="BUY",AI220-TbTradesBinance[[#This Row],[Qtt]]*TbTradesBinance[[#This Row],[Preço]],AI220+TbTradesBinance[[#This Row],[Qtt]]*TbTradesBinance[[#This Row],[Preço]])),AI220)-IF(TbTradesBinance[[#This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Row],[Tipo]]="DROP"),AI220+TbTradesBinance[[#This Row],[Qtt]],AI220-TbTradesBinance[[#This Row],[Qtt]]),IF(TbTradesBinance[[#This Row],[Tipo]]="BUY",AI220-TbTradesBinance[[#This Row],[Qtt]]*TbTradesBinance[[#This Row],[Preço]],AI220+TbTradesBinance[[#This Row],[Qtt]]*TbTradesBinance[[#This Row],[Preço]])),AI220)-IF(TbTradesBinance[[#This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Row],[Tipo]]="DROP"),AI220+TbTradesBinance[[#This Row],[Qtt]],AI220-TbTradesBinance[[#This Row],[Qtt]]),IF(TbTradesBinance[[#This Row],[Tipo]]="BUY",AI220-TbTradesBinance[[#This Row],[Qtt]]*TbTradesBinance[[#This Row],[Preço]],AI220+TbTradesBinance[[#This Row],[Qtt]]*TbTradesBinance[[#This Row],[Preço]])),AI220)-IF(TbTradesBinance[[#This Row],[Moeda da Taxa]]=MID(AI$1,9,5),TbTradesBinance[[#This Row],[Taxa]],0),8)))</f>
        <v>0</v>
      </c>
      <c r="AJ221" s="145" cm="1">
        <f t="array" ref="AJ221">IF(TbTradesBinance[[#This Row],[Tipo]]="EMPTY",0,AJ220+IF(TbTradesBinance[[#This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Row],[Par]]))),$1:$1,0)),-(AI220-AI221)/AI220*AJ220),0),0)+IF(TbTradesBinance[[#This Row],[Tipo]]="SELL",IF(ISNUMBER(FIND(MID(AJ$1,10,5),TbTradesBinance[[#This Row],[Par]])),IF(FIND(MID(AJ$1,10,5),TbTradesBinance[[#This Row],[Par]])=1, -(AI220-AI221)/AI220*AJ220,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Row],[Par]])),(-(AI220-AI221)/AI220*AJ220)+IF(TbTradesBinance[[#This Row],[Resultado]]&gt;0,0,TbTradesBinance[[#This Row],[Taxa]]),0),0))</f>
        <v>0</v>
      </c>
      <c r="AK221" s="145">
        <f t="shared" si="101"/>
        <v>0</v>
      </c>
      <c r="AL22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Row],[Tipo]]="DROP"),AL220+TbTradesBinance[[#This Row],[Qtt]],AL220-TbTradesBinance[[#This Row],[Qtt]]),IF(TbTradesBinance[[#This Row],[Tipo]]="BUY",AL220-TbTradesBinance[[#This Row],[Qtt]]*TbTradesBinance[[#This Row],[Preço]],AL220+TbTradesBinance[[#This Row],[Qtt]]*TbTradesBinance[[#This Row],[Preço]])),AL220)-IF(TbTradesBinance[[#This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Row],[Tipo]]="DROP"),AL220+TbTradesBinance[[#This Row],[Qtt]],AL220-TbTradesBinance[[#This Row],[Qtt]]),IF(TbTradesBinance[[#This Row],[Tipo]]="BUY",AL220-TbTradesBinance[[#This Row],[Qtt]]*TbTradesBinance[[#This Row],[Preço]],AL220+TbTradesBinance[[#This Row],[Qtt]]*TbTradesBinance[[#This Row],[Preço]])),AL220)-IF(TbTradesBinance[[#This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Row],[Tipo]]="DROP"),AL220+TbTradesBinance[[#This Row],[Qtt]],AL220-TbTradesBinance[[#This Row],[Qtt]]),IF(TbTradesBinance[[#This Row],[Tipo]]="BUY",AL220-TbTradesBinance[[#This Row],[Qtt]]*TbTradesBinance[[#This Row],[Preço]],AL220+TbTradesBinance[[#This Row],[Qtt]]*TbTradesBinance[[#This Row],[Preço]])),AL220)-IF(TbTradesBinance[[#This Row],[Moeda da Taxa]]=MID(AL$1,9,5),TbTradesBinance[[#This Row],[Taxa]],0),8)))</f>
        <v>0</v>
      </c>
      <c r="AM221" s="145" cm="1">
        <f t="array" ref="AM221">IF(TbTradesBinance[[#This Row],[Tipo]]="EMPTY",0,AM220+IF(TbTradesBinance[[#This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Row],[Par]]))),$1:$1,0)),-(AL220-AL221)/AL220*AM220),0),0)+IF(TbTradesBinance[[#This Row],[Tipo]]="SELL",IF(ISNUMBER(FIND(MID(AM$1,10,5),TbTradesBinance[[#This Row],[Par]])),IF(FIND(MID(AM$1,10,5),TbTradesBinance[[#This Row],[Par]])=1, -(AL220-AL221)/AL220*AM220,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Row],[Par]])),(-(AL220-AL221)/AL220*AM220)+IF(TbTradesBinance[[#This Row],[Resultado]]&gt;0,0,TbTradesBinance[[#This Row],[Taxa]]),0),0))</f>
        <v>0</v>
      </c>
      <c r="AN221" s="145">
        <f t="shared" si="102"/>
        <v>0</v>
      </c>
      <c r="AO22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Row],[Tipo]]="DROP"),AO220+TbTradesBinance[[#This Row],[Qtt]],AO220-TbTradesBinance[[#This Row],[Qtt]]),IF(TbTradesBinance[[#This Row],[Tipo]]="BUY",AO220-TbTradesBinance[[#This Row],[Qtt]]*TbTradesBinance[[#This Row],[Preço]],AO220+TbTradesBinance[[#This Row],[Qtt]]*TbTradesBinance[[#This Row],[Preço]])),AO220)-IF(TbTradesBinance[[#This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Row],[Tipo]]="DROP"),AO220+TbTradesBinance[[#This Row],[Qtt]],AO220-TbTradesBinance[[#This Row],[Qtt]]),IF(TbTradesBinance[[#This Row],[Tipo]]="BUY",AO220-TbTradesBinance[[#This Row],[Qtt]]*TbTradesBinance[[#This Row],[Preço]],AO220+TbTradesBinance[[#This Row],[Qtt]]*TbTradesBinance[[#This Row],[Preço]])),AO220)-IF(TbTradesBinance[[#This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Row],[Tipo]]="DROP"),AO220+TbTradesBinance[[#This Row],[Qtt]],AO220-TbTradesBinance[[#This Row],[Qtt]]),IF(TbTradesBinance[[#This Row],[Tipo]]="BUY",AO220-TbTradesBinance[[#This Row],[Qtt]]*TbTradesBinance[[#This Row],[Preço]],AO220+TbTradesBinance[[#This Row],[Qtt]]*TbTradesBinance[[#This Row],[Preço]])),AO220)-IF(TbTradesBinance[[#This Row],[Moeda da Taxa]]=MID(AO$1,9,5),TbTradesBinance[[#This Row],[Taxa]],0),8)))</f>
        <v>6.6863000000000006E-2</v>
      </c>
      <c r="AP221" s="145" cm="1">
        <f t="array" ref="AP221">IF(TbTradesBinance[[#This Row],[Tipo]]="EMPTY",0,AP220+IF(TbTradesBinance[[#This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Row],[Par]]))),$1:$1,0)),-(AO220-AO221)/AO220*AP220),0),0)+IF(TbTradesBinance[[#This Row],[Tipo]]="SELL",IF(ISNUMBER(FIND(MID(AP$1,10,5),TbTradesBinance[[#This Row],[Par]])),IF(FIND(MID(AP$1,10,5),TbTradesBinance[[#This Row],[Par]])=1, -(AO220-AO221)/AO220*AP220,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Row],[Par]])),(-(AO220-AO221)/AO220*AP220)+IF(TbTradesBinance[[#This Row],[Resultado]]&gt;0,0,TbTradesBinance[[#This Row],[Taxa]]),0),0))</f>
        <v>102.0944711963762</v>
      </c>
      <c r="AQ221" s="145">
        <f t="shared" si="103"/>
        <v>1526.9202876983713</v>
      </c>
      <c r="AR22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Row],[Tipo]]="DROP"),AR220+TbTradesBinance[[#This Row],[Qtt]],AR220-TbTradesBinance[[#This Row],[Qtt]]),IF(TbTradesBinance[[#This Row],[Tipo]]="BUY",AR220-TbTradesBinance[[#This Row],[Qtt]]*TbTradesBinance[[#This Row],[Preço]],AR220+TbTradesBinance[[#This Row],[Qtt]]*TbTradesBinance[[#This Row],[Preço]])),AR220)-IF(TbTradesBinance[[#This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Row],[Tipo]]="DROP"),AR220+TbTradesBinance[[#This Row],[Qtt]],AR220-TbTradesBinance[[#This Row],[Qtt]]),IF(TbTradesBinance[[#This Row],[Tipo]]="BUY",AR220-TbTradesBinance[[#This Row],[Qtt]]*TbTradesBinance[[#This Row],[Preço]],AR220+TbTradesBinance[[#This Row],[Qtt]]*TbTradesBinance[[#This Row],[Preço]])),AR220)-IF(TbTradesBinance[[#This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Row],[Tipo]]="DROP"),AR220+TbTradesBinance[[#This Row],[Qtt]],AR220-TbTradesBinance[[#This Row],[Qtt]]),IF(TbTradesBinance[[#This Row],[Tipo]]="BUY",AR220-TbTradesBinance[[#This Row],[Qtt]]*TbTradesBinance[[#This Row],[Preço]],AR220+TbTradesBinance[[#This Row],[Qtt]]*TbTradesBinance[[#This Row],[Preço]])),AR220)-IF(TbTradesBinance[[#This Row],[Moeda da Taxa]]=MID(AR$1,9,5),TbTradesBinance[[#This Row],[Taxa]],0),8)))</f>
        <v>0</v>
      </c>
      <c r="AS221" s="145" cm="1">
        <f t="array" ref="AS221">IF(TbTradesBinance[[#This Row],[Tipo]]="EMPTY",0,AS220+IF(TbTradesBinance[[#This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Row],[Par]]))),$1:$1,0)),-(AR220-AR221)/AR220*AS220),0),0)+IF(TbTradesBinance[[#This Row],[Tipo]]="SELL",IF(ISNUMBER(FIND(MID(AS$1,10,5),TbTradesBinance[[#This Row],[Par]])),IF(FIND(MID(AS$1,10,5),TbTradesBinance[[#This Row],[Par]])=1, -(AR220-AR221)/AR220*AS220,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Row],[Par]])),(-(AR220-AR221)/AR220*AS220)+IF(TbTradesBinance[[#This Row],[Resultado]]&gt;0,0,TbTradesBinance[[#This Row],[Taxa]]),0),0))</f>
        <v>0</v>
      </c>
      <c r="AT221" s="145">
        <f t="shared" si="104"/>
        <v>0</v>
      </c>
      <c r="AU22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Row],[Tipo]]="DROP"),AU220+TbTradesBinance[[#This Row],[Qtt]],AU220-TbTradesBinance[[#This Row],[Qtt]]),IF(TbTradesBinance[[#This Row],[Tipo]]="BUY",AU220-TbTradesBinance[[#This Row],[Qtt]]*TbTradesBinance[[#This Row],[Preço]],AU220+TbTradesBinance[[#This Row],[Qtt]]*TbTradesBinance[[#This Row],[Preço]])),AU220)-IF(TbTradesBinance[[#This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Row],[Tipo]]="DROP"),AU220+TbTradesBinance[[#This Row],[Qtt]],AU220-TbTradesBinance[[#This Row],[Qtt]]),IF(TbTradesBinance[[#This Row],[Tipo]]="BUY",AU220-TbTradesBinance[[#This Row],[Qtt]]*TbTradesBinance[[#This Row],[Preço]],AU220+TbTradesBinance[[#This Row],[Qtt]]*TbTradesBinance[[#This Row],[Preço]])),AU220)-IF(TbTradesBinance[[#This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Row],[Tipo]]="DROP"),AU220+TbTradesBinance[[#This Row],[Qtt]],AU220-TbTradesBinance[[#This Row],[Qtt]]),IF(TbTradesBinance[[#This Row],[Tipo]]="BUY",AU220-TbTradesBinance[[#This Row],[Qtt]]*TbTradesBinance[[#This Row],[Preço]],AU220+TbTradesBinance[[#This Row],[Qtt]]*TbTradesBinance[[#This Row],[Preço]])),AU220)-IF(TbTradesBinance[[#This Row],[Moeda da Taxa]]=MID(AU$1,9,5),TbTradesBinance[[#This Row],[Taxa]],0),8)))</f>
        <v>0.51</v>
      </c>
      <c r="AV221" s="145" cm="1">
        <f t="array" ref="AV221">IF(TbTradesBinance[[#This Row],[Tipo]]="EMPTY",0,AV220+IF(TbTradesBinance[[#This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Row],[Par]]))),$1:$1,0)),-(AU220-AU221)/AU220*AV220),0),0)+IF(TbTradesBinance[[#This Row],[Tipo]]="SELL",IF(ISNUMBER(FIND(MID(AV$1,10,5),TbTradesBinance[[#This Row],[Par]])),IF(FIND(MID(AV$1,10,5),TbTradesBinance[[#This Row],[Par]])=1, -(AU220-AU221)/AU220*AV220,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Row],[Par]])),(-(AU220-AU221)/AU220*AV220)+IF(TbTradesBinance[[#This Row],[Resultado]]&gt;0,0,TbTradesBinance[[#This Row],[Taxa]]),0),0))</f>
        <v>95.466693037374753</v>
      </c>
      <c r="AW221" s="145">
        <f t="shared" si="105"/>
        <v>187.18959419093088</v>
      </c>
      <c r="AX22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Row],[Tipo]]="DROP"),AX220+TbTradesBinance[[#This Row],[Qtt]],AX220-TbTradesBinance[[#This Row],[Qtt]]),IF(TbTradesBinance[[#This Row],[Tipo]]="BUY",AX220-TbTradesBinance[[#This Row],[Qtt]]*TbTradesBinance[[#This Row],[Preço]],AX220+TbTradesBinance[[#This Row],[Qtt]]*TbTradesBinance[[#This Row],[Preço]])),AX220)-IF(TbTradesBinance[[#This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Row],[Tipo]]="DROP"),AX220+TbTradesBinance[[#This Row],[Qtt]],AX220-TbTradesBinance[[#This Row],[Qtt]]),IF(TbTradesBinance[[#This Row],[Tipo]]="BUY",AX220-TbTradesBinance[[#This Row],[Qtt]]*TbTradesBinance[[#This Row],[Preço]],AX220+TbTradesBinance[[#This Row],[Qtt]]*TbTradesBinance[[#This Row],[Preço]])),AX220)-IF(TbTradesBinance[[#This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Row],[Tipo]]="DROP"),AX220+TbTradesBinance[[#This Row],[Qtt]],AX220-TbTradesBinance[[#This Row],[Qtt]]),IF(TbTradesBinance[[#This Row],[Tipo]]="BUY",AX220-TbTradesBinance[[#This Row],[Qtt]]*TbTradesBinance[[#This Row],[Preço]],AX220+TbTradesBinance[[#This Row],[Qtt]]*TbTradesBinance[[#This Row],[Preço]])),AX220)-IF(TbTradesBinance[[#This Row],[Moeda da Taxa]]=MID(AX$1,9,5),TbTradesBinance[[#This Row],[Taxa]],0),8)))</f>
        <v>0.32838000000000001</v>
      </c>
      <c r="AY221" s="145" cm="1">
        <f t="array" ref="AY221">IF(TbTradesBinance[[#This Row],[Tipo]]="EMPTY",0,AY220+IF(TbTradesBinance[[#This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Row],[Par]]))),$1:$1,0)),-(AX220-AX221)/AX220*AY220),0),0)+IF(TbTradesBinance[[#This Row],[Tipo]]="SELL",IF(ISNUMBER(FIND(MID(AY$1,10,5),TbTradesBinance[[#This Row],[Par]])),IF(FIND(MID(AY$1,10,5),TbTradesBinance[[#This Row],[Par]])=1, -(AX220-AX221)/AX220*AY220,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Row],[Par]])),(-(AX220-AX221)/AX220*AY220)+IF(TbTradesBinance[[#This Row],[Resultado]]&gt;0,0,TbTradesBinance[[#This Row],[Taxa]]),0),0))</f>
        <v>61.364116058805678</v>
      </c>
      <c r="AZ221" s="145">
        <f t="shared" si="106"/>
        <v>186.869224857804</v>
      </c>
      <c r="BA22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Row],[Tipo]]="DROP"),BA220+TbTradesBinance[[#This Row],[Qtt]],BA220-TbTradesBinance[[#This Row],[Qtt]]),IF(TbTradesBinance[[#This Row],[Tipo]]="BUY",BA220-TbTradesBinance[[#This Row],[Qtt]]*TbTradesBinance[[#This Row],[Preço]],BA220+TbTradesBinance[[#This Row],[Qtt]]*TbTradesBinance[[#This Row],[Preço]])),BA220)-IF(TbTradesBinance[[#This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Row],[Tipo]]="DROP"),BA220+TbTradesBinance[[#This Row],[Qtt]],BA220-TbTradesBinance[[#This Row],[Qtt]]),IF(TbTradesBinance[[#This Row],[Tipo]]="BUY",BA220-TbTradesBinance[[#This Row],[Qtt]]*TbTradesBinance[[#This Row],[Preço]],BA220+TbTradesBinance[[#This Row],[Qtt]]*TbTradesBinance[[#This Row],[Preço]])),BA220)-IF(TbTradesBinance[[#This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Row],[Tipo]]="DROP"),BA220+TbTradesBinance[[#This Row],[Qtt]],BA220-TbTradesBinance[[#This Row],[Qtt]]),IF(TbTradesBinance[[#This Row],[Tipo]]="BUY",BA220-TbTradesBinance[[#This Row],[Qtt]]*TbTradesBinance[[#This Row],[Preço]],BA220+TbTradesBinance[[#This Row],[Qtt]]*TbTradesBinance[[#This Row],[Preço]])),BA220)-IF(TbTradesBinance[[#This Row],[Moeda da Taxa]]=MID(BA$1,9,5),TbTradesBinance[[#This Row],[Taxa]],0),8)))</f>
        <v>0</v>
      </c>
      <c r="BB221" s="145" cm="1">
        <f t="array" ref="BB221">IF(TbTradesBinance[[#This Row],[Tipo]]="EMPTY",0,BB220+IF(TbTradesBinance[[#This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Row],[Par]]))),$1:$1,0)),-(BA220-BA221)/BA220*BB220),0),0)+IF(TbTradesBinance[[#This Row],[Tipo]]="SELL",IF(ISNUMBER(FIND(MID(BB$1,10,5),TbTradesBinance[[#This Row],[Par]])),IF(FIND(MID(BB$1,10,5),TbTradesBinance[[#This Row],[Par]])=1, -(BA220-BA221)/BA220*BB220,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Row],[Par]])),(-(BA220-BA221)/BA220*BB220)+IF(TbTradesBinance[[#This Row],[Resultado]]&gt;0,0,TbTradesBinance[[#This Row],[Taxa]]),0),0))</f>
        <v>0</v>
      </c>
      <c r="BC221" s="145">
        <f t="shared" si="107"/>
        <v>0</v>
      </c>
      <c r="BD22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Row],[Tipo]]="DROP"),BD220+TbTradesBinance[[#This Row],[Qtt]],BD220-TbTradesBinance[[#This Row],[Qtt]]),IF(TbTradesBinance[[#This Row],[Tipo]]="BUY",BD220-TbTradesBinance[[#This Row],[Qtt]]*TbTradesBinance[[#This Row],[Preço]],BD220+TbTradesBinance[[#This Row],[Qtt]]*TbTradesBinance[[#This Row],[Preço]])),BD220)-IF(TbTradesBinance[[#This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Row],[Tipo]]="DROP"),BD220+TbTradesBinance[[#This Row],[Qtt]],BD220-TbTradesBinance[[#This Row],[Qtt]]),IF(TbTradesBinance[[#This Row],[Tipo]]="BUY",BD220-TbTradesBinance[[#This Row],[Qtt]]*TbTradesBinance[[#This Row],[Preço]],BD220+TbTradesBinance[[#This Row],[Qtt]]*TbTradesBinance[[#This Row],[Preço]])),BD220)-IF(TbTradesBinance[[#This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Row],[Tipo]]="DROP"),BD220+TbTradesBinance[[#This Row],[Qtt]],BD220-TbTradesBinance[[#This Row],[Qtt]]),IF(TbTradesBinance[[#This Row],[Tipo]]="BUY",BD220-TbTradesBinance[[#This Row],[Qtt]]*TbTradesBinance[[#This Row],[Preço]],BD220+TbTradesBinance[[#This Row],[Qtt]]*TbTradesBinance[[#This Row],[Preço]])),BD220)-IF(TbTradesBinance[[#This Row],[Moeda da Taxa]]=MID(BD$1,9,5),TbTradesBinance[[#This Row],[Taxa]],0),8)))</f>
        <v>0</v>
      </c>
      <c r="BE221" s="145" cm="1">
        <f t="array" ref="BE221">IF(TbTradesBinance[[#This Row],[Tipo]]="EMPTY",0,BE220+IF(TbTradesBinance[[#This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Row],[Par]]))),$1:$1,0)),-(BD220-BD221)/BD220*BE220),0),0)+IF(TbTradesBinance[[#This Row],[Tipo]]="SELL",IF(ISNUMBER(FIND(MID(BE$1,10,5),TbTradesBinance[[#This Row],[Par]])),IF(FIND(MID(BE$1,10,5),TbTradesBinance[[#This Row],[Par]])=1, -(BD220-BD221)/BD220*BE220,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Row],[Par]])),(-(BD220-BD221)/BD220*BE220)+IF(TbTradesBinance[[#This Row],[Resultado]]&gt;0,0,TbTradesBinance[[#This Row],[Taxa]]),0),0))</f>
        <v>0</v>
      </c>
      <c r="BF221" s="145">
        <f t="shared" si="108"/>
        <v>0</v>
      </c>
      <c r="BG22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Row],[Tipo]]="DROP"),BG220+TbTradesBinance[[#This Row],[Qtt]],BG220-TbTradesBinance[[#This Row],[Qtt]]),IF(TbTradesBinance[[#This Row],[Tipo]]="BUY",BG220-TbTradesBinance[[#This Row],[Qtt]]*TbTradesBinance[[#This Row],[Preço]],BG220+TbTradesBinance[[#This Row],[Qtt]]*TbTradesBinance[[#This Row],[Preço]])),BG220)-IF(TbTradesBinance[[#This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Row],[Tipo]]="DROP"),BG220+TbTradesBinance[[#This Row],[Qtt]],BG220-TbTradesBinance[[#This Row],[Qtt]]),IF(TbTradesBinance[[#This Row],[Tipo]]="BUY",BG220-TbTradesBinance[[#This Row],[Qtt]]*TbTradesBinance[[#This Row],[Preço]],BG220+TbTradesBinance[[#This Row],[Qtt]]*TbTradesBinance[[#This Row],[Preço]])),BG220)-IF(TbTradesBinance[[#This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Row],[Tipo]]="DROP"),BG220+TbTradesBinance[[#This Row],[Qtt]],BG220-TbTradesBinance[[#This Row],[Qtt]]),IF(TbTradesBinance[[#This Row],[Tipo]]="BUY",BG220-TbTradesBinance[[#This Row],[Qtt]]*TbTradesBinance[[#This Row],[Preço]],BG220+TbTradesBinance[[#This Row],[Qtt]]*TbTradesBinance[[#This Row],[Preço]])),BG220)-IF(TbTradesBinance[[#This Row],[Moeda da Taxa]]=MID(BG$1,9,5),TbTradesBinance[[#This Row],[Taxa]],0),8)))</f>
        <v>0</v>
      </c>
      <c r="BH221" s="145" cm="1">
        <f t="array" ref="BH221">IF(TbTradesBinance[[#This Row],[Tipo]]="EMPTY",0,BH220+IF(TbTradesBinance[[#This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Row],[Par]]))),$1:$1,0)),-(BG220-BG221)/BG220*BH220),0),0)+IF(TbTradesBinance[[#This Row],[Tipo]]="SELL",IF(ISNUMBER(FIND(MID(BH$1,10,5),TbTradesBinance[[#This Row],[Par]])),IF(FIND(MID(BH$1,10,5),TbTradesBinance[[#This Row],[Par]])=1, -(BG220-BG221)/BG220*BH220,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Row],[Par]])),(-(BG220-BG221)/BG220*BH220)+IF(TbTradesBinance[[#This Row],[Resultado]]&gt;0,0,TbTradesBinance[[#This Row],[Taxa]]),0),0))</f>
        <v>0</v>
      </c>
      <c r="BI221" s="145">
        <f t="shared" si="109"/>
        <v>0</v>
      </c>
      <c r="BJ22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Row],[Tipo]]="DROP"),BJ220+TbTradesBinance[[#This Row],[Qtt]],BJ220-TbTradesBinance[[#This Row],[Qtt]]),IF(TbTradesBinance[[#This Row],[Tipo]]="BUY",BJ220-TbTradesBinance[[#This Row],[Qtt]]*TbTradesBinance[[#This Row],[Preço]],BJ220+TbTradesBinance[[#This Row],[Qtt]]*TbTradesBinance[[#This Row],[Preço]])),BJ220)-IF(TbTradesBinance[[#This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Row],[Tipo]]="DROP"),BJ220+TbTradesBinance[[#This Row],[Qtt]],BJ220-TbTradesBinance[[#This Row],[Qtt]]),IF(TbTradesBinance[[#This Row],[Tipo]]="BUY",BJ220-TbTradesBinance[[#This Row],[Qtt]]*TbTradesBinance[[#This Row],[Preço]],BJ220+TbTradesBinance[[#This Row],[Qtt]]*TbTradesBinance[[#This Row],[Preço]])),BJ220)-IF(TbTradesBinance[[#This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Row],[Tipo]]="DROP"),BJ220+TbTradesBinance[[#This Row],[Qtt]],BJ220-TbTradesBinance[[#This Row],[Qtt]]),IF(TbTradesBinance[[#This Row],[Tipo]]="BUY",BJ220-TbTradesBinance[[#This Row],[Qtt]]*TbTradesBinance[[#This Row],[Preço]],BJ220+TbTradesBinance[[#This Row],[Qtt]]*TbTradesBinance[[#This Row],[Preço]])),BJ220)-IF(TbTradesBinance[[#This Row],[Moeda da Taxa]]=MID(BJ$1,9,5),TbTradesBinance[[#This Row],[Taxa]],0),8)))</f>
        <v>0</v>
      </c>
      <c r="BK221" s="145" cm="1">
        <f t="array" ref="BK221">IF(TbTradesBinance[[#This Row],[Tipo]]="EMPTY",0,BK220+IF(TbTradesBinance[[#This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Row],[Par]]))),$1:$1,0)),-(BJ220-BJ221)/BJ220*BK220),0),0)+IF(TbTradesBinance[[#This Row],[Tipo]]="SELL",IF(ISNUMBER(FIND(MID(BK$1,10,5),TbTradesBinance[[#This Row],[Par]])),IF(FIND(MID(BK$1,10,5),TbTradesBinance[[#This Row],[Par]])=1, -(BJ220-BJ221)/BJ220*BK220,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Row],[Par]])),(-(BJ220-BJ221)/BJ220*BK220)+IF(TbTradesBinance[[#This Row],[Resultado]]&gt;0,0,TbTradesBinance[[#This Row],[Taxa]]),0),0))</f>
        <v>0</v>
      </c>
      <c r="BL221" s="145">
        <f t="shared" si="110"/>
        <v>0</v>
      </c>
      <c r="BM22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Row],[Tipo]]="DROP"),BM220+TbTradesBinance[[#This Row],[Qtt]],BM220-TbTradesBinance[[#This Row],[Qtt]]),IF(TbTradesBinance[[#This Row],[Tipo]]="BUY",BM220-TbTradesBinance[[#This Row],[Qtt]]*TbTradesBinance[[#This Row],[Preço]],BM220+TbTradesBinance[[#This Row],[Qtt]]*TbTradesBinance[[#This Row],[Preço]])),BM220)-IF(TbTradesBinance[[#This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Row],[Tipo]]="DROP"),BM220+TbTradesBinance[[#This Row],[Qtt]],BM220-TbTradesBinance[[#This Row],[Qtt]]),IF(TbTradesBinance[[#This Row],[Tipo]]="BUY",BM220-TbTradesBinance[[#This Row],[Qtt]]*TbTradesBinance[[#This Row],[Preço]],BM220+TbTradesBinance[[#This Row],[Qtt]]*TbTradesBinance[[#This Row],[Preço]])),BM220)-IF(TbTradesBinance[[#This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Row],[Tipo]]="DROP"),BM220+TbTradesBinance[[#This Row],[Qtt]],BM220-TbTradesBinance[[#This Row],[Qtt]]),IF(TbTradesBinance[[#This Row],[Tipo]]="BUY",BM220-TbTradesBinance[[#This Row],[Qtt]]*TbTradesBinance[[#This Row],[Preço]],BM220+TbTradesBinance[[#This Row],[Qtt]]*TbTradesBinance[[#This Row],[Preço]])),BM220)-IF(TbTradesBinance[[#This Row],[Moeda da Taxa]]=MID(BM$1,9,5),TbTradesBinance[[#This Row],[Taxa]],0),8)))</f>
        <v>0</v>
      </c>
      <c r="BN221" s="145" cm="1">
        <f t="array" ref="BN221">IF(TbTradesBinance[[#This Row],[Tipo]]="EMPTY",0,BN220+IF(TbTradesBinance[[#This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Row],[Par]]))),$1:$1,0)),-(BM220-BM221)/BM220*BN220),0),0)+IF(TbTradesBinance[[#This Row],[Tipo]]="SELL",IF(ISNUMBER(FIND(MID(BN$1,10,5),TbTradesBinance[[#This Row],[Par]])),IF(FIND(MID(BN$1,10,5),TbTradesBinance[[#This Row],[Par]])=1, -(BM220-BM221)/BM220*BN220,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Row],[Par]])),(-(BM220-BM221)/BM220*BN220)+IF(TbTradesBinance[[#This Row],[Resultado]]&gt;0,0,TbTradesBinance[[#This Row],[Taxa]]),0),0))</f>
        <v>0</v>
      </c>
      <c r="BO221" s="145">
        <f t="shared" si="111"/>
        <v>0</v>
      </c>
    </row>
    <row r="222" spans="2:67" x14ac:dyDescent="0.3">
      <c r="B222" s="51"/>
      <c r="C222" s="40">
        <f>TRUNC(IF(AND(TbTradesBinance[[#This Row],[Tipo]]="SEND",TbTradesBinance[[#This Row],[Par]]="BRL"),TbTradesBinance[[#This Row],[Qtt]]*(1-P220)-IF(TbTradesBinance[[#This Row],[Moeda da Taxa]]="BRL",TbTradesBinance[[#This Row],[Taxa]],0),0)+IF(AND(TbTradesBinance[[#This Row],[Tipo]]="BURN",TbTradesBinance[[#This Row],[Par]]="BRL"),-TbTradesBinance[[#This Row],[Qtt]]*P220,0),2)</f>
        <v>0</v>
      </c>
      <c r="D222" s="53">
        <v>44408.575416666667</v>
      </c>
      <c r="E222" s="37" t="s">
        <v>237</v>
      </c>
      <c r="F222" s="47" t="s">
        <v>140</v>
      </c>
      <c r="G222" s="38">
        <v>5.2089999999999996</v>
      </c>
      <c r="H222" s="38">
        <v>52.06</v>
      </c>
      <c r="I222" s="38">
        <v>1.1778E-4</v>
      </c>
      <c r="J222" s="37" t="s">
        <v>45</v>
      </c>
      <c r="K222" s="52">
        <v>1</v>
      </c>
      <c r="L222" s="40">
        <f t="shared" si="94"/>
        <v>5.2</v>
      </c>
      <c r="M222" s="40">
        <f>IF(OR(TbTradesBinance[[#This Row],[Tipo]]="BUY",TbTradesBinance[[#This Row],[Tipo]]="RECEIVE",TbTradesBinance[[#This Row],[Tipo]]="DROP"),L222*H222,-L222*H222)</f>
        <v>-270.71200000000005</v>
      </c>
      <c r="N222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Row],[Tipo]]="DROP"),N221+TbTradesBinance[[#This Row],[Qtt]],N221-TbTradesBinance[[#This Row],[Qtt]]),IF(TbTradesBinance[[#This Row],[Tipo]]="BUY",N221-TbTradesBinance[[#This Row],[Qtt]]*TbTradesBinance[[#This Row],[Preço]],N221+TbTradesBinance[[#This Row],[Qtt]]*TbTradesBinance[[#This Row],[Preço]])),N221)-IF(TbTradesBinance[[#This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Row],[Tipo]]="DROP"),N221+TbTradesBinance[[#This Row],[Qtt]],N221-TbTradesBinance[[#This Row],[Qtt]]),IF(TbTradesBinance[[#This Row],[Tipo]]="BUY",N221-TbTradesBinance[[#This Row],[Qtt]]*TbTradesBinance[[#This Row],[Preço]],N221+TbTradesBinance[[#This Row],[Qtt]]*TbTradesBinance[[#This Row],[Preço]])),N221)-IF(TbTradesBinance[[#This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Row],[Tipo]]="DROP"),N221+TbTradesBinance[[#This Row],[Qtt]],N221-TbTradesBinance[[#This Row],[Qtt]]),IF(TbTradesBinance[[#This Row],[Tipo]]="BUY",N221-TbTradesBinance[[#This Row],[Qtt]]*TbTradesBinance[[#This Row],[Preço]],N221+TbTradesBinance[[#This Row],[Qtt]]*TbTradesBinance[[#This Row],[Preço]])),N221)-IF(TbTradesBinance[[#This Row],[Moeda da Taxa]]=MID(N$1,9,5),TbTradesBinance[[#This Row],[Taxa]],0),8)))</f>
        <v>120537.89428781001</v>
      </c>
      <c r="O222" s="145" cm="1">
        <f t="array" ref="O222">IF(TbTradesBinance[[#This Row],[Tipo]]="EMPTY",0,O221+IF(TbTradesBinance[[#This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Row],[Par]]))),$1:$1,0)),-(N221-N222)/N221*O221),0),0)+IF(TbTradesBinance[[#This Row],[Tipo]]="SELL",IF(ISNUMBER(FIND(MID(O$1,10,5),TbTradesBinance[[#This Row],[Par]])),IF(FIND(MID(O$1,10,5),TbTradesBinance[[#This Row],[Par]])=1, -(N221-N222)/N221*O221,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Row],[Par]])),(-(N221-N222)/N221*O221)+IF(TbTradesBinance[[#This Row],[Resultado]]&gt;0,0,TbTradesBinance[[#This Row],[Taxa]]),0),0))</f>
        <v>121241.38012902914</v>
      </c>
      <c r="P222" s="145">
        <f t="shared" si="76"/>
        <v>1.0058362214254333</v>
      </c>
      <c r="Q222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Row],[Tipo]]="DROP"),Q221+TbTradesBinance[[#This Row],[Qtt]],Q221-TbTradesBinance[[#This Row],[Qtt]]),IF(TbTradesBinance[[#This Row],[Tipo]]="BUY",Q221-TbTradesBinance[[#This Row],[Qtt]]*TbTradesBinance[[#This Row],[Preço]],Q221+TbTradesBinance[[#This Row],[Qtt]]*TbTradesBinance[[#This Row],[Preço]])),Q221)-IF(TbTradesBinance[[#This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Row],[Tipo]]="DROP"),Q221+TbTradesBinance[[#This Row],[Qtt]],Q221-TbTradesBinance[[#This Row],[Qtt]]),IF(TbTradesBinance[[#This Row],[Tipo]]="BUY",Q221-TbTradesBinance[[#This Row],[Qtt]]*TbTradesBinance[[#This Row],[Preço]],Q221+TbTradesBinance[[#This Row],[Qtt]]*TbTradesBinance[[#This Row],[Preço]])),Q221)-IF(TbTradesBinance[[#This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Row],[Tipo]]="DROP"),Q221+TbTradesBinance[[#This Row],[Qtt]],Q221-TbTradesBinance[[#This Row],[Qtt]]),IF(TbTradesBinance[[#This Row],[Tipo]]="BUY",Q221-TbTradesBinance[[#This Row],[Qtt]]*TbTradesBinance[[#This Row],[Preço]],Q221+TbTradesBinance[[#This Row],[Qtt]]*TbTradesBinance[[#This Row],[Preço]])),Q221)-IF(TbTradesBinance[[#This Row],[Moeda da Taxa]]=MID(Q$1,9,5),TbTradesBinance[[#This Row],[Taxa]],0),8)))</f>
        <v>317.65335734000001</v>
      </c>
      <c r="R222" s="145" cm="1">
        <f t="array" ref="R222">IF(TbTradesBinance[[#This Row],[Tipo]]="EMPTY",0,R221+IF(TbTradesBinance[[#This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Row],[Par]]))),$1:$1,0)),-(Q221-Q222)/Q221*R221),0),0)+IF(TbTradesBinance[[#This Row],[Tipo]]="SELL",IF(ISNUMBER(FIND(MID(R$1,10,5),TbTradesBinance[[#This Row],[Par]])),IF(FIND(MID(R$1,10,5),TbTradesBinance[[#This Row],[Par]])=1, -(Q221-Q222)/Q221*R221,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Row],[Par]])),(-(Q221-Q222)/Q221*R221)+IF(TbTradesBinance[[#This Row],[Resultado]]&gt;0,0,TbTradesBinance[[#This Row],[Taxa]]),0),0))</f>
        <v>1746.4009829760889</v>
      </c>
      <c r="S222" s="145">
        <f t="shared" si="95"/>
        <v>5.4978200060603486</v>
      </c>
      <c r="T222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Row],[Tipo]]="DROP"),T221+TbTradesBinance[[#This Row],[Qtt]],T221-TbTradesBinance[[#This Row],[Qtt]]),IF(TbTradesBinance[[#This Row],[Tipo]]="BUY",T221-TbTradesBinance[[#This Row],[Qtt]]*TbTradesBinance[[#This Row],[Preço]],T221+TbTradesBinance[[#This Row],[Qtt]]*TbTradesBinance[[#This Row],[Preço]])),T221)-IF(TbTradesBinance[[#This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Row],[Tipo]]="DROP"),T221+TbTradesBinance[[#This Row],[Qtt]],T221-TbTradesBinance[[#This Row],[Qtt]]),IF(TbTradesBinance[[#This Row],[Tipo]]="BUY",T221-TbTradesBinance[[#This Row],[Qtt]]*TbTradesBinance[[#This Row],[Preço]],T221+TbTradesBinance[[#This Row],[Qtt]]*TbTradesBinance[[#This Row],[Preço]])),T221)-IF(TbTradesBinance[[#This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Row],[Tipo]]="DROP"),T221+TbTradesBinance[[#This Row],[Qtt]],T221-TbTradesBinance[[#This Row],[Qtt]]),IF(TbTradesBinance[[#This Row],[Tipo]]="BUY",T221-TbTradesBinance[[#This Row],[Qtt]]*TbTradesBinance[[#This Row],[Preço]],T221+TbTradesBinance[[#This Row],[Qtt]]*TbTradesBinance[[#This Row],[Preço]])),T221)-IF(TbTradesBinance[[#This Row],[Moeda da Taxa]]=MID(T$1,9,5),TbTradesBinance[[#This Row],[Taxa]],0),8)))</f>
        <v>101223913.720009</v>
      </c>
      <c r="U222" s="145" cm="1">
        <f t="array" ref="U222">IF(TbTradesBinance[[#This Row],[Tipo]]="EMPTY",0,U221+IF(TbTradesBinance[[#This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Row],[Par]]))),$1:$1,0)),-(T221-T222)/T221*U221),0),0)+IF(TbTradesBinance[[#This Row],[Tipo]]="SELL",IF(ISNUMBER(FIND(MID(U$1,10,5),TbTradesBinance[[#This Row],[Par]])),IF(FIND(MID(U$1,10,5),TbTradesBinance[[#This Row],[Par]])=1, -(T221-T222)/T221*U221,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Row],[Par]])),(-(T221-T222)/T221*U221)+IF(TbTradesBinance[[#This Row],[Resultado]]&gt;0,0,TbTradesBinance[[#This Row],[Taxa]]),0),0))</f>
        <v>617586601.27364206</v>
      </c>
      <c r="V222" s="145">
        <f t="shared" si="96"/>
        <v>6.1011926784605572</v>
      </c>
      <c r="W222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Row],[Tipo]]="DROP"),W221+TbTradesBinance[[#This Row],[Qtt]],W221-TbTradesBinance[[#This Row],[Qtt]]),IF(TbTradesBinance[[#This Row],[Tipo]]="BUY",W221-TbTradesBinance[[#This Row],[Qtt]]*TbTradesBinance[[#This Row],[Preço]],W221+TbTradesBinance[[#This Row],[Qtt]]*TbTradesBinance[[#This Row],[Preço]])),W221)-IF(TbTradesBinance[[#This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Row],[Tipo]]="DROP"),W221+TbTradesBinance[[#This Row],[Qtt]],W221-TbTradesBinance[[#This Row],[Qtt]]),IF(TbTradesBinance[[#This Row],[Tipo]]="BUY",W221-TbTradesBinance[[#This Row],[Qtt]]*TbTradesBinance[[#This Row],[Preço]],W221+TbTradesBinance[[#This Row],[Qtt]]*TbTradesBinance[[#This Row],[Preço]])),W221)-IF(TbTradesBinance[[#This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Row],[Tipo]]="DROP"),W221+TbTradesBinance[[#This Row],[Qtt]],W221-TbTradesBinance[[#This Row],[Qtt]]),IF(TbTradesBinance[[#This Row],[Tipo]]="BUY",W221-TbTradesBinance[[#This Row],[Qtt]]*TbTradesBinance[[#This Row],[Preço]],W221+TbTradesBinance[[#This Row],[Qtt]]*TbTradesBinance[[#This Row],[Preço]])),W221)-IF(TbTradesBinance[[#This Row],[Moeda da Taxa]]=MID(W$1,9,5),TbTradesBinance[[#This Row],[Taxa]],0),8)))</f>
        <v>3.9899999999999999E-6</v>
      </c>
      <c r="X222" s="145" cm="1">
        <f t="array" ref="X222">IF(TbTradesBinance[[#This Row],[Tipo]]="EMPTY",0,X221+IF(TbTradesBinance[[#This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Row],[Par]]))),$1:$1,0)),-(W221-W222)/W221*X221),0),0)+IF(TbTradesBinance[[#This Row],[Tipo]]="SELL",IF(ISNUMBER(FIND(MID(X$1,10,5),TbTradesBinance[[#This Row],[Par]])),IF(FIND(MID(X$1,10,5),TbTradesBinance[[#This Row],[Par]])=1, -(W221-W222)/W221*X221,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Row],[Par]])),(-(W221-W222)/W221*X221)+IF(TbTradesBinance[[#This Row],[Resultado]]&gt;0,0,TbTradesBinance[[#This Row],[Taxa]]),0),0))</f>
        <v>0.6953811938234935</v>
      </c>
      <c r="Y222" s="145">
        <f t="shared" si="97"/>
        <v>174281.00095826905</v>
      </c>
      <c r="Z222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Row],[Tipo]]="DROP"),Z221+TbTradesBinance[[#This Row],[Qtt]],Z221-TbTradesBinance[[#This Row],[Qtt]]),IF(TbTradesBinance[[#This Row],[Tipo]]="BUY",Z221-TbTradesBinance[[#This Row],[Qtt]]*TbTradesBinance[[#This Row],[Preço]],Z221+TbTradesBinance[[#This Row],[Qtt]]*TbTradesBinance[[#This Row],[Preço]])),Z221)-IF(TbTradesBinance[[#This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Row],[Tipo]]="DROP"),Z221+TbTradesBinance[[#This Row],[Qtt]],Z221-TbTradesBinance[[#This Row],[Qtt]]),IF(TbTradesBinance[[#This Row],[Tipo]]="BUY",Z221-TbTradesBinance[[#This Row],[Qtt]]*TbTradesBinance[[#This Row],[Preço]],Z221+TbTradesBinance[[#This Row],[Qtt]]*TbTradesBinance[[#This Row],[Preço]])),Z221)-IF(TbTradesBinance[[#This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Row],[Tipo]]="DROP"),Z221+TbTradesBinance[[#This Row],[Qtt]],Z221-TbTradesBinance[[#This Row],[Qtt]]),IF(TbTradesBinance[[#This Row],[Tipo]]="BUY",Z221-TbTradesBinance[[#This Row],[Qtt]]*TbTradesBinance[[#This Row],[Preço]],Z221+TbTradesBinance[[#This Row],[Qtt]]*TbTradesBinance[[#This Row],[Preço]])),Z221)-IF(TbTradesBinance[[#This Row],[Moeda da Taxa]]=MID(Z$1,9,5),TbTradesBinance[[#This Row],[Taxa]],0),8)))</f>
        <v>0</v>
      </c>
      <c r="AA222" s="145" cm="1">
        <f t="array" ref="AA222">IF(TbTradesBinance[[#This Row],[Tipo]]="EMPTY",0,AA221+IF(TbTradesBinance[[#This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Row],[Par]]))),$1:$1,0)),-(Z221-Z222)/Z221*AA221),0),0)+IF(TbTradesBinance[[#This Row],[Tipo]]="SELL",IF(ISNUMBER(FIND(MID(AA$1,10,5),TbTradesBinance[[#This Row],[Par]])),IF(FIND(MID(AA$1,10,5),TbTradesBinance[[#This Row],[Par]])=1, -(Z221-Z222)/Z221*AA221,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Row],[Par]])),(-(Z221-Z222)/Z221*AA221)+IF(TbTradesBinance[[#This Row],[Resultado]]&gt;0,0,TbTradesBinance[[#This Row],[Taxa]]),0),0))</f>
        <v>0</v>
      </c>
      <c r="AB222" s="145">
        <f t="shared" si="98"/>
        <v>0</v>
      </c>
      <c r="AC222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Row],[Tipo]]="DROP"),AC221+TbTradesBinance[[#This Row],[Qtt]],AC221-TbTradesBinance[[#This Row],[Qtt]]),IF(TbTradesBinance[[#This Row],[Tipo]]="BUY",AC221-TbTradesBinance[[#This Row],[Qtt]]*TbTradesBinance[[#This Row],[Preço]],AC221+TbTradesBinance[[#This Row],[Qtt]]*TbTradesBinance[[#This Row],[Preço]])),AC221)-IF(TbTradesBinance[[#This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Row],[Tipo]]="DROP"),AC221+TbTradesBinance[[#This Row],[Qtt]],AC221-TbTradesBinance[[#This Row],[Qtt]]),IF(TbTradesBinance[[#This Row],[Tipo]]="BUY",AC221-TbTradesBinance[[#This Row],[Qtt]]*TbTradesBinance[[#This Row],[Preço]],AC221+TbTradesBinance[[#This Row],[Qtt]]*TbTradesBinance[[#This Row],[Preço]])),AC221)-IF(TbTradesBinance[[#This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Row],[Tipo]]="DROP"),AC221+TbTradesBinance[[#This Row],[Qtt]],AC221-TbTradesBinance[[#This Row],[Qtt]]),IF(TbTradesBinance[[#This Row],[Tipo]]="BUY",AC221-TbTradesBinance[[#This Row],[Qtt]]*TbTradesBinance[[#This Row],[Preço]],AC221+TbTradesBinance[[#This Row],[Qtt]]*TbTradesBinance[[#This Row],[Preço]])),AC221)-IF(TbTradesBinance[[#This Row],[Moeda da Taxa]]=MID(AC$1,9,5),TbTradesBinance[[#This Row],[Taxa]],0),8)))</f>
        <v>0</v>
      </c>
      <c r="AD222" s="145" cm="1">
        <f t="array" ref="AD222">IF(TbTradesBinance[[#This Row],[Tipo]]="EMPTY",0,AD221+IF(TbTradesBinance[[#This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Row],[Par]]))),$1:$1,0)),-(AC221-AC222)/AC221*AD221),0),0)+IF(TbTradesBinance[[#This Row],[Tipo]]="SELL",IF(ISNUMBER(FIND(MID(AD$1,10,5),TbTradesBinance[[#This Row],[Par]])),IF(FIND(MID(AD$1,10,5),TbTradesBinance[[#This Row],[Par]])=1, -(AC221-AC222)/AC221*AD221,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Row],[Par]])),(-(AC221-AC222)/AC221*AD221)+IF(TbTradesBinance[[#This Row],[Resultado]]&gt;0,0,TbTradesBinance[[#This Row],[Taxa]]),0),0))</f>
        <v>0</v>
      </c>
      <c r="AE222" s="145">
        <f t="shared" si="99"/>
        <v>0</v>
      </c>
      <c r="AF222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Row],[Tipo]]="DROP"),AF221+TbTradesBinance[[#This Row],[Qtt]],AF221-TbTradesBinance[[#This Row],[Qtt]]),IF(TbTradesBinance[[#This Row],[Tipo]]="BUY",AF221-TbTradesBinance[[#This Row],[Qtt]]*TbTradesBinance[[#This Row],[Preço]],AF221+TbTradesBinance[[#This Row],[Qtt]]*TbTradesBinance[[#This Row],[Preço]])),AF221)-IF(TbTradesBinance[[#This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Row],[Tipo]]="DROP"),AF221+TbTradesBinance[[#This Row],[Qtt]],AF221-TbTradesBinance[[#This Row],[Qtt]]),IF(TbTradesBinance[[#This Row],[Tipo]]="BUY",AF221-TbTradesBinance[[#This Row],[Qtt]]*TbTradesBinance[[#This Row],[Preço]],AF221+TbTradesBinance[[#This Row],[Qtt]]*TbTradesBinance[[#This Row],[Preço]])),AF221)-IF(TbTradesBinance[[#This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Row],[Tipo]]="DROP"),AF221+TbTradesBinance[[#This Row],[Qtt]],AF221-TbTradesBinance[[#This Row],[Qtt]]),IF(TbTradesBinance[[#This Row],[Tipo]]="BUY",AF221-TbTradesBinance[[#This Row],[Qtt]]*TbTradesBinance[[#This Row],[Preço]],AF221+TbTradesBinance[[#This Row],[Qtt]]*TbTradesBinance[[#This Row],[Preço]])),AF221)-IF(TbTradesBinance[[#This Row],[Moeda da Taxa]]=MID(AF$1,9,5),TbTradesBinance[[#This Row],[Taxa]],0),8)))</f>
        <v>0</v>
      </c>
      <c r="AG222" s="145" cm="1">
        <f t="array" ref="AG222">IF(TbTradesBinance[[#This Row],[Tipo]]="EMPTY",0,AG221+IF(TbTradesBinance[[#This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Row],[Par]]))),$1:$1,0)),-(AF221-AF222)/AF221*AG221),0),0)+IF(TbTradesBinance[[#This Row],[Tipo]]="SELL",IF(ISNUMBER(FIND(MID(AG$1,10,5),TbTradesBinance[[#This Row],[Par]])),IF(FIND(MID(AG$1,10,5),TbTradesBinance[[#This Row],[Par]])=1, -(AF221-AF222)/AF221*AG221,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Row],[Par]])),(-(AF221-AF222)/AF221*AG221)+IF(TbTradesBinance[[#This Row],[Resultado]]&gt;0,0,TbTradesBinance[[#This Row],[Taxa]]),0),0))</f>
        <v>0</v>
      </c>
      <c r="AH222" s="145">
        <f t="shared" si="100"/>
        <v>0</v>
      </c>
      <c r="AI222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Row],[Tipo]]="DROP"),AI221+TbTradesBinance[[#This Row],[Qtt]],AI221-TbTradesBinance[[#This Row],[Qtt]]),IF(TbTradesBinance[[#This Row],[Tipo]]="BUY",AI221-TbTradesBinance[[#This Row],[Qtt]]*TbTradesBinance[[#This Row],[Preço]],AI221+TbTradesBinance[[#This Row],[Qtt]]*TbTradesBinance[[#This Row],[Preço]])),AI221)-IF(TbTradesBinance[[#This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Row],[Tipo]]="DROP"),AI221+TbTradesBinance[[#This Row],[Qtt]],AI221-TbTradesBinance[[#This Row],[Qtt]]),IF(TbTradesBinance[[#This Row],[Tipo]]="BUY",AI221-TbTradesBinance[[#This Row],[Qtt]]*TbTradesBinance[[#This Row],[Preço]],AI221+TbTradesBinance[[#This Row],[Qtt]]*TbTradesBinance[[#This Row],[Preço]])),AI221)-IF(TbTradesBinance[[#This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Row],[Tipo]]="DROP"),AI221+TbTradesBinance[[#This Row],[Qtt]],AI221-TbTradesBinance[[#This Row],[Qtt]]),IF(TbTradesBinance[[#This Row],[Tipo]]="BUY",AI221-TbTradesBinance[[#This Row],[Qtt]]*TbTradesBinance[[#This Row],[Preço]],AI221+TbTradesBinance[[#This Row],[Qtt]]*TbTradesBinance[[#This Row],[Preço]])),AI221)-IF(TbTradesBinance[[#This Row],[Moeda da Taxa]]=MID(AI$1,9,5),TbTradesBinance[[#This Row],[Taxa]],0),8)))</f>
        <v>0</v>
      </c>
      <c r="AJ222" s="145" cm="1">
        <f t="array" ref="AJ222">IF(TbTradesBinance[[#This Row],[Tipo]]="EMPTY",0,AJ221+IF(TbTradesBinance[[#This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Row],[Par]]))),$1:$1,0)),-(AI221-AI222)/AI221*AJ221),0),0)+IF(TbTradesBinance[[#This Row],[Tipo]]="SELL",IF(ISNUMBER(FIND(MID(AJ$1,10,5),TbTradesBinance[[#This Row],[Par]])),IF(FIND(MID(AJ$1,10,5),TbTradesBinance[[#This Row],[Par]])=1, -(AI221-AI222)/AI221*AJ221,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Row],[Par]])),(-(AI221-AI222)/AI221*AJ221)+IF(TbTradesBinance[[#This Row],[Resultado]]&gt;0,0,TbTradesBinance[[#This Row],[Taxa]]),0),0))</f>
        <v>0</v>
      </c>
      <c r="AK222" s="145">
        <f t="shared" si="101"/>
        <v>0</v>
      </c>
      <c r="AL222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Row],[Tipo]]="DROP"),AL221+TbTradesBinance[[#This Row],[Qtt]],AL221-TbTradesBinance[[#This Row],[Qtt]]),IF(TbTradesBinance[[#This Row],[Tipo]]="BUY",AL221-TbTradesBinance[[#This Row],[Qtt]]*TbTradesBinance[[#This Row],[Preço]],AL221+TbTradesBinance[[#This Row],[Qtt]]*TbTradesBinance[[#This Row],[Preço]])),AL221)-IF(TbTradesBinance[[#This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Row],[Tipo]]="DROP"),AL221+TbTradesBinance[[#This Row],[Qtt]],AL221-TbTradesBinance[[#This Row],[Qtt]]),IF(TbTradesBinance[[#This Row],[Tipo]]="BUY",AL221-TbTradesBinance[[#This Row],[Qtt]]*TbTradesBinance[[#This Row],[Preço]],AL221+TbTradesBinance[[#This Row],[Qtt]]*TbTradesBinance[[#This Row],[Preço]])),AL221)-IF(TbTradesBinance[[#This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Row],[Tipo]]="DROP"),AL221+TbTradesBinance[[#This Row],[Qtt]],AL221-TbTradesBinance[[#This Row],[Qtt]]),IF(TbTradesBinance[[#This Row],[Tipo]]="BUY",AL221-TbTradesBinance[[#This Row],[Qtt]]*TbTradesBinance[[#This Row],[Preço]],AL221+TbTradesBinance[[#This Row],[Qtt]]*TbTradesBinance[[#This Row],[Preço]])),AL221)-IF(TbTradesBinance[[#This Row],[Moeda da Taxa]]=MID(AL$1,9,5),TbTradesBinance[[#This Row],[Taxa]],0),8)))</f>
        <v>0</v>
      </c>
      <c r="AM222" s="145" cm="1">
        <f t="array" ref="AM222">IF(TbTradesBinance[[#This Row],[Tipo]]="EMPTY",0,AM221+IF(TbTradesBinance[[#This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Row],[Par]]))),$1:$1,0)),-(AL221-AL222)/AL221*AM221),0),0)+IF(TbTradesBinance[[#This Row],[Tipo]]="SELL",IF(ISNUMBER(FIND(MID(AM$1,10,5),TbTradesBinance[[#This Row],[Par]])),IF(FIND(MID(AM$1,10,5),TbTradesBinance[[#This Row],[Par]])=1, -(AL221-AL222)/AL221*AM221,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Row],[Par]])),(-(AL221-AL222)/AL221*AM221)+IF(TbTradesBinance[[#This Row],[Resultado]]&gt;0,0,TbTradesBinance[[#This Row],[Taxa]]),0),0))</f>
        <v>0</v>
      </c>
      <c r="AN222" s="145">
        <f t="shared" si="102"/>
        <v>0</v>
      </c>
      <c r="AO222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Row],[Tipo]]="DROP"),AO221+TbTradesBinance[[#This Row],[Qtt]],AO221-TbTradesBinance[[#This Row],[Qtt]]),IF(TbTradesBinance[[#This Row],[Tipo]]="BUY",AO221-TbTradesBinance[[#This Row],[Qtt]]*TbTradesBinance[[#This Row],[Preço]],AO221+TbTradesBinance[[#This Row],[Qtt]]*TbTradesBinance[[#This Row],[Preço]])),AO221)-IF(TbTradesBinance[[#This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Row],[Tipo]]="DROP"),AO221+TbTradesBinance[[#This Row],[Qtt]],AO221-TbTradesBinance[[#This Row],[Qtt]]),IF(TbTradesBinance[[#This Row],[Tipo]]="BUY",AO221-TbTradesBinance[[#This Row],[Qtt]]*TbTradesBinance[[#This Row],[Preço]],AO221+TbTradesBinance[[#This Row],[Qtt]]*TbTradesBinance[[#This Row],[Preço]])),AO221)-IF(TbTradesBinance[[#This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Row],[Tipo]]="DROP"),AO221+TbTradesBinance[[#This Row],[Qtt]],AO221-TbTradesBinance[[#This Row],[Qtt]]),IF(TbTradesBinance[[#This Row],[Tipo]]="BUY",AO221-TbTradesBinance[[#This Row],[Qtt]]*TbTradesBinance[[#This Row],[Preço]],AO221+TbTradesBinance[[#This Row],[Qtt]]*TbTradesBinance[[#This Row],[Preço]])),AO221)-IF(TbTradesBinance[[#This Row],[Moeda da Taxa]]=MID(AO$1,9,5),TbTradesBinance[[#This Row],[Taxa]],0),8)))</f>
        <v>6.6745219999999994E-2</v>
      </c>
      <c r="AP222" s="145" cm="1">
        <f t="array" ref="AP222">IF(TbTradesBinance[[#This Row],[Tipo]]="EMPTY",0,AP221+IF(TbTradesBinance[[#This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Row],[Par]]))),$1:$1,0)),-(AO221-AO222)/AO221*AP221),0),0)+IF(TbTradesBinance[[#This Row],[Tipo]]="SELL",IF(ISNUMBER(FIND(MID(AP$1,10,5),TbTradesBinance[[#This Row],[Par]])),IF(FIND(MID(AP$1,10,5),TbTradesBinance[[#This Row],[Par]])=1, -(AO221-AO222)/AO221*AP221,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Row],[Par]])),(-(AO221-AO222)/AO221*AP221)+IF(TbTradesBinance[[#This Row],[Resultado]]&gt;0,0,TbTradesBinance[[#This Row],[Taxa]]),0),0))</f>
        <v>102.0944711963762</v>
      </c>
      <c r="AQ222" s="145">
        <f t="shared" si="103"/>
        <v>1529.6147229176293</v>
      </c>
      <c r="AR222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Row],[Tipo]]="DROP"),AR221+TbTradesBinance[[#This Row],[Qtt]],AR221-TbTradesBinance[[#This Row],[Qtt]]),IF(TbTradesBinance[[#This Row],[Tipo]]="BUY",AR221-TbTradesBinance[[#This Row],[Qtt]]*TbTradesBinance[[#This Row],[Preço]],AR221+TbTradesBinance[[#This Row],[Qtt]]*TbTradesBinance[[#This Row],[Preço]])),AR221)-IF(TbTradesBinance[[#This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Row],[Tipo]]="DROP"),AR221+TbTradesBinance[[#This Row],[Qtt]],AR221-TbTradesBinance[[#This Row],[Qtt]]),IF(TbTradesBinance[[#This Row],[Tipo]]="BUY",AR221-TbTradesBinance[[#This Row],[Qtt]]*TbTradesBinance[[#This Row],[Preço]],AR221+TbTradesBinance[[#This Row],[Qtt]]*TbTradesBinance[[#This Row],[Preço]])),AR221)-IF(TbTradesBinance[[#This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Row],[Tipo]]="DROP"),AR221+TbTradesBinance[[#This Row],[Qtt]],AR221-TbTradesBinance[[#This Row],[Qtt]]),IF(TbTradesBinance[[#This Row],[Tipo]]="BUY",AR221-TbTradesBinance[[#This Row],[Qtt]]*TbTradesBinance[[#This Row],[Preço]],AR221+TbTradesBinance[[#This Row],[Qtt]]*TbTradesBinance[[#This Row],[Preço]])),AR221)-IF(TbTradesBinance[[#This Row],[Moeda da Taxa]]=MID(AR$1,9,5),TbTradesBinance[[#This Row],[Taxa]],0),8)))</f>
        <v>0</v>
      </c>
      <c r="AS222" s="145" cm="1">
        <f t="array" ref="AS222">IF(TbTradesBinance[[#This Row],[Tipo]]="EMPTY",0,AS221+IF(TbTradesBinance[[#This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Row],[Par]]))),$1:$1,0)),-(AR221-AR222)/AR221*AS221),0),0)+IF(TbTradesBinance[[#This Row],[Tipo]]="SELL",IF(ISNUMBER(FIND(MID(AS$1,10,5),TbTradesBinance[[#This Row],[Par]])),IF(FIND(MID(AS$1,10,5),TbTradesBinance[[#This Row],[Par]])=1, -(AR221-AR222)/AR221*AS221,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Row],[Par]])),(-(AR221-AR222)/AR221*AS221)+IF(TbTradesBinance[[#This Row],[Resultado]]&gt;0,0,TbTradesBinance[[#This Row],[Taxa]]),0),0))</f>
        <v>0</v>
      </c>
      <c r="AT222" s="145">
        <f t="shared" si="104"/>
        <v>0</v>
      </c>
      <c r="AU222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Row],[Tipo]]="DROP"),AU221+TbTradesBinance[[#This Row],[Qtt]],AU221-TbTradesBinance[[#This Row],[Qtt]]),IF(TbTradesBinance[[#This Row],[Tipo]]="BUY",AU221-TbTradesBinance[[#This Row],[Qtt]]*TbTradesBinance[[#This Row],[Preço]],AU221+TbTradesBinance[[#This Row],[Qtt]]*TbTradesBinance[[#This Row],[Preço]])),AU221)-IF(TbTradesBinance[[#This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Row],[Tipo]]="DROP"),AU221+TbTradesBinance[[#This Row],[Qtt]],AU221-TbTradesBinance[[#This Row],[Qtt]]),IF(TbTradesBinance[[#This Row],[Tipo]]="BUY",AU221-TbTradesBinance[[#This Row],[Qtt]]*TbTradesBinance[[#This Row],[Preço]],AU221+TbTradesBinance[[#This Row],[Qtt]]*TbTradesBinance[[#This Row],[Preço]])),AU221)-IF(TbTradesBinance[[#This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Row],[Tipo]]="DROP"),AU221+TbTradesBinance[[#This Row],[Qtt]],AU221-TbTradesBinance[[#This Row],[Qtt]]),IF(TbTradesBinance[[#This Row],[Tipo]]="BUY",AU221-TbTradesBinance[[#This Row],[Qtt]]*TbTradesBinance[[#This Row],[Preço]],AU221+TbTradesBinance[[#This Row],[Qtt]]*TbTradesBinance[[#This Row],[Preço]])),AU221)-IF(TbTradesBinance[[#This Row],[Moeda da Taxa]]=MID(AU$1,9,5),TbTradesBinance[[#This Row],[Taxa]],0),8)))</f>
        <v>0.51</v>
      </c>
      <c r="AV222" s="145" cm="1">
        <f t="array" ref="AV222">IF(TbTradesBinance[[#This Row],[Tipo]]="EMPTY",0,AV221+IF(TbTradesBinance[[#This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Row],[Par]]))),$1:$1,0)),-(AU221-AU222)/AU221*AV221),0),0)+IF(TbTradesBinance[[#This Row],[Tipo]]="SELL",IF(ISNUMBER(FIND(MID(AV$1,10,5),TbTradesBinance[[#This Row],[Par]])),IF(FIND(MID(AV$1,10,5),TbTradesBinance[[#This Row],[Par]])=1, -(AU221-AU222)/AU221*AV221,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Row],[Par]])),(-(AU221-AU222)/AU221*AV221)+IF(TbTradesBinance[[#This Row],[Resultado]]&gt;0,0,TbTradesBinance[[#This Row],[Taxa]]),0),0))</f>
        <v>95.466693037374753</v>
      </c>
      <c r="AW222" s="145">
        <f t="shared" si="105"/>
        <v>187.18959419093088</v>
      </c>
      <c r="AX222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Row],[Tipo]]="DROP"),AX221+TbTradesBinance[[#This Row],[Qtt]],AX221-TbTradesBinance[[#This Row],[Qtt]]),IF(TbTradesBinance[[#This Row],[Tipo]]="BUY",AX221-TbTradesBinance[[#This Row],[Qtt]]*TbTradesBinance[[#This Row],[Preço]],AX221+TbTradesBinance[[#This Row],[Qtt]]*TbTradesBinance[[#This Row],[Preço]])),AX221)-IF(TbTradesBinance[[#This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Row],[Tipo]]="DROP"),AX221+TbTradesBinance[[#This Row],[Qtt]],AX221-TbTradesBinance[[#This Row],[Qtt]]),IF(TbTradesBinance[[#This Row],[Tipo]]="BUY",AX221-TbTradesBinance[[#This Row],[Qtt]]*TbTradesBinance[[#This Row],[Preço]],AX221+TbTradesBinance[[#This Row],[Qtt]]*TbTradesBinance[[#This Row],[Preço]])),AX221)-IF(TbTradesBinance[[#This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Row],[Tipo]]="DROP"),AX221+TbTradesBinance[[#This Row],[Qtt]],AX221-TbTradesBinance[[#This Row],[Qtt]]),IF(TbTradesBinance[[#This Row],[Tipo]]="BUY",AX221-TbTradesBinance[[#This Row],[Qtt]]*TbTradesBinance[[#This Row],[Preço]],AX221+TbTradesBinance[[#This Row],[Qtt]]*TbTradesBinance[[#This Row],[Preço]])),AX221)-IF(TbTradesBinance[[#This Row],[Moeda da Taxa]]=MID(AX$1,9,5),TbTradesBinance[[#This Row],[Taxa]],0),8)))</f>
        <v>0.32838000000000001</v>
      </c>
      <c r="AY222" s="145" cm="1">
        <f t="array" ref="AY222">IF(TbTradesBinance[[#This Row],[Tipo]]="EMPTY",0,AY221+IF(TbTradesBinance[[#This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Row],[Par]]))),$1:$1,0)),-(AX221-AX222)/AX221*AY221),0),0)+IF(TbTradesBinance[[#This Row],[Tipo]]="SELL",IF(ISNUMBER(FIND(MID(AY$1,10,5),TbTradesBinance[[#This Row],[Par]])),IF(FIND(MID(AY$1,10,5),TbTradesBinance[[#This Row],[Par]])=1, -(AX221-AX222)/AX221*AY221,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Row],[Par]])),(-(AX221-AX222)/AX221*AY221)+IF(TbTradesBinance[[#This Row],[Resultado]]&gt;0,0,TbTradesBinance[[#This Row],[Taxa]]),0),0))</f>
        <v>61.364116058805678</v>
      </c>
      <c r="AZ222" s="145">
        <f t="shared" si="106"/>
        <v>186.869224857804</v>
      </c>
      <c r="BA222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Row],[Tipo]]="DROP"),BA221+TbTradesBinance[[#This Row],[Qtt]],BA221-TbTradesBinance[[#This Row],[Qtt]]),IF(TbTradesBinance[[#This Row],[Tipo]]="BUY",BA221-TbTradesBinance[[#This Row],[Qtt]]*TbTradesBinance[[#This Row],[Preço]],BA221+TbTradesBinance[[#This Row],[Qtt]]*TbTradesBinance[[#This Row],[Preço]])),BA221)-IF(TbTradesBinance[[#This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Row],[Tipo]]="DROP"),BA221+TbTradesBinance[[#This Row],[Qtt]],BA221-TbTradesBinance[[#This Row],[Qtt]]),IF(TbTradesBinance[[#This Row],[Tipo]]="BUY",BA221-TbTradesBinance[[#This Row],[Qtt]]*TbTradesBinance[[#This Row],[Preço]],BA221+TbTradesBinance[[#This Row],[Qtt]]*TbTradesBinance[[#This Row],[Preço]])),BA221)-IF(TbTradesBinance[[#This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Row],[Tipo]]="DROP"),BA221+TbTradesBinance[[#This Row],[Qtt]],BA221-TbTradesBinance[[#This Row],[Qtt]]),IF(TbTradesBinance[[#This Row],[Tipo]]="BUY",BA221-TbTradesBinance[[#This Row],[Qtt]]*TbTradesBinance[[#This Row],[Preço]],BA221+TbTradesBinance[[#This Row],[Qtt]]*TbTradesBinance[[#This Row],[Preço]])),BA221)-IF(TbTradesBinance[[#This Row],[Moeda da Taxa]]=MID(BA$1,9,5),TbTradesBinance[[#This Row],[Taxa]],0),8)))</f>
        <v>0</v>
      </c>
      <c r="BB222" s="145" cm="1">
        <f t="array" ref="BB222">IF(TbTradesBinance[[#This Row],[Tipo]]="EMPTY",0,BB221+IF(TbTradesBinance[[#This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Row],[Par]]))),$1:$1,0)),-(BA221-BA222)/BA221*BB221),0),0)+IF(TbTradesBinance[[#This Row],[Tipo]]="SELL",IF(ISNUMBER(FIND(MID(BB$1,10,5),TbTradesBinance[[#This Row],[Par]])),IF(FIND(MID(BB$1,10,5),TbTradesBinance[[#This Row],[Par]])=1, -(BA221-BA222)/BA221*BB221,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Row],[Par]])),(-(BA221-BA222)/BA221*BB221)+IF(TbTradesBinance[[#This Row],[Resultado]]&gt;0,0,TbTradesBinance[[#This Row],[Taxa]]),0),0))</f>
        <v>0</v>
      </c>
      <c r="BC222" s="145">
        <f t="shared" si="107"/>
        <v>0</v>
      </c>
      <c r="BD222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Row],[Tipo]]="DROP"),BD221+TbTradesBinance[[#This Row],[Qtt]],BD221-TbTradesBinance[[#This Row],[Qtt]]),IF(TbTradesBinance[[#This Row],[Tipo]]="BUY",BD221-TbTradesBinance[[#This Row],[Qtt]]*TbTradesBinance[[#This Row],[Preço]],BD221+TbTradesBinance[[#This Row],[Qtt]]*TbTradesBinance[[#This Row],[Preço]])),BD221)-IF(TbTradesBinance[[#This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Row],[Tipo]]="DROP"),BD221+TbTradesBinance[[#This Row],[Qtt]],BD221-TbTradesBinance[[#This Row],[Qtt]]),IF(TbTradesBinance[[#This Row],[Tipo]]="BUY",BD221-TbTradesBinance[[#This Row],[Qtt]]*TbTradesBinance[[#This Row],[Preço]],BD221+TbTradesBinance[[#This Row],[Qtt]]*TbTradesBinance[[#This Row],[Preço]])),BD221)-IF(TbTradesBinance[[#This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Row],[Tipo]]="DROP"),BD221+TbTradesBinance[[#This Row],[Qtt]],BD221-TbTradesBinance[[#This Row],[Qtt]]),IF(TbTradesBinance[[#This Row],[Tipo]]="BUY",BD221-TbTradesBinance[[#This Row],[Qtt]]*TbTradesBinance[[#This Row],[Preço]],BD221+TbTradesBinance[[#This Row],[Qtt]]*TbTradesBinance[[#This Row],[Preço]])),BD221)-IF(TbTradesBinance[[#This Row],[Moeda da Taxa]]=MID(BD$1,9,5),TbTradesBinance[[#This Row],[Taxa]],0),8)))</f>
        <v>0</v>
      </c>
      <c r="BE222" s="145" cm="1">
        <f t="array" ref="BE222">IF(TbTradesBinance[[#This Row],[Tipo]]="EMPTY",0,BE221+IF(TbTradesBinance[[#This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Row],[Par]]))),$1:$1,0)),-(BD221-BD222)/BD221*BE221),0),0)+IF(TbTradesBinance[[#This Row],[Tipo]]="SELL",IF(ISNUMBER(FIND(MID(BE$1,10,5),TbTradesBinance[[#This Row],[Par]])),IF(FIND(MID(BE$1,10,5),TbTradesBinance[[#This Row],[Par]])=1, -(BD221-BD222)/BD221*BE221,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Row],[Par]])),(-(BD221-BD222)/BD221*BE221)+IF(TbTradesBinance[[#This Row],[Resultado]]&gt;0,0,TbTradesBinance[[#This Row],[Taxa]]),0),0))</f>
        <v>0</v>
      </c>
      <c r="BF222" s="145">
        <f t="shared" si="108"/>
        <v>0</v>
      </c>
      <c r="BG222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Row],[Tipo]]="DROP"),BG221+TbTradesBinance[[#This Row],[Qtt]],BG221-TbTradesBinance[[#This Row],[Qtt]]),IF(TbTradesBinance[[#This Row],[Tipo]]="BUY",BG221-TbTradesBinance[[#This Row],[Qtt]]*TbTradesBinance[[#This Row],[Preço]],BG221+TbTradesBinance[[#This Row],[Qtt]]*TbTradesBinance[[#This Row],[Preço]])),BG221)-IF(TbTradesBinance[[#This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Row],[Tipo]]="DROP"),BG221+TbTradesBinance[[#This Row],[Qtt]],BG221-TbTradesBinance[[#This Row],[Qtt]]),IF(TbTradesBinance[[#This Row],[Tipo]]="BUY",BG221-TbTradesBinance[[#This Row],[Qtt]]*TbTradesBinance[[#This Row],[Preço]],BG221+TbTradesBinance[[#This Row],[Qtt]]*TbTradesBinance[[#This Row],[Preço]])),BG221)-IF(TbTradesBinance[[#This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Row],[Tipo]]="DROP"),BG221+TbTradesBinance[[#This Row],[Qtt]],BG221-TbTradesBinance[[#This Row],[Qtt]]),IF(TbTradesBinance[[#This Row],[Tipo]]="BUY",BG221-TbTradesBinance[[#This Row],[Qtt]]*TbTradesBinance[[#This Row],[Preço]],BG221+TbTradesBinance[[#This Row],[Qtt]]*TbTradesBinance[[#This Row],[Preço]])),BG221)-IF(TbTradesBinance[[#This Row],[Moeda da Taxa]]=MID(BG$1,9,5),TbTradesBinance[[#This Row],[Taxa]],0),8)))</f>
        <v>0</v>
      </c>
      <c r="BH222" s="145" cm="1">
        <f t="array" ref="BH222">IF(TbTradesBinance[[#This Row],[Tipo]]="EMPTY",0,BH221+IF(TbTradesBinance[[#This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Row],[Par]]))),$1:$1,0)),-(BG221-BG222)/BG221*BH221),0),0)+IF(TbTradesBinance[[#This Row],[Tipo]]="SELL",IF(ISNUMBER(FIND(MID(BH$1,10,5),TbTradesBinance[[#This Row],[Par]])),IF(FIND(MID(BH$1,10,5),TbTradesBinance[[#This Row],[Par]])=1, -(BG221-BG222)/BG221*BH221,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Row],[Par]])),(-(BG221-BG222)/BG221*BH221)+IF(TbTradesBinance[[#This Row],[Resultado]]&gt;0,0,TbTradesBinance[[#This Row],[Taxa]]),0),0))</f>
        <v>0</v>
      </c>
      <c r="BI222" s="145">
        <f t="shared" si="109"/>
        <v>0</v>
      </c>
      <c r="BJ222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Row],[Tipo]]="DROP"),BJ221+TbTradesBinance[[#This Row],[Qtt]],BJ221-TbTradesBinance[[#This Row],[Qtt]]),IF(TbTradesBinance[[#This Row],[Tipo]]="BUY",BJ221-TbTradesBinance[[#This Row],[Qtt]]*TbTradesBinance[[#This Row],[Preço]],BJ221+TbTradesBinance[[#This Row],[Qtt]]*TbTradesBinance[[#This Row],[Preço]])),BJ221)-IF(TbTradesBinance[[#This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Row],[Tipo]]="DROP"),BJ221+TbTradesBinance[[#This Row],[Qtt]],BJ221-TbTradesBinance[[#This Row],[Qtt]]),IF(TbTradesBinance[[#This Row],[Tipo]]="BUY",BJ221-TbTradesBinance[[#This Row],[Qtt]]*TbTradesBinance[[#This Row],[Preço]],BJ221+TbTradesBinance[[#This Row],[Qtt]]*TbTradesBinance[[#This Row],[Preço]])),BJ221)-IF(TbTradesBinance[[#This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Row],[Tipo]]="DROP"),BJ221+TbTradesBinance[[#This Row],[Qtt]],BJ221-TbTradesBinance[[#This Row],[Qtt]]),IF(TbTradesBinance[[#This Row],[Tipo]]="BUY",BJ221-TbTradesBinance[[#This Row],[Qtt]]*TbTradesBinance[[#This Row],[Preço]],BJ221+TbTradesBinance[[#This Row],[Qtt]]*TbTradesBinance[[#This Row],[Preço]])),BJ221)-IF(TbTradesBinance[[#This Row],[Moeda da Taxa]]=MID(BJ$1,9,5),TbTradesBinance[[#This Row],[Taxa]],0),8)))</f>
        <v>0</v>
      </c>
      <c r="BK222" s="145" cm="1">
        <f t="array" ref="BK222">IF(TbTradesBinance[[#This Row],[Tipo]]="EMPTY",0,BK221+IF(TbTradesBinance[[#This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Row],[Par]]))),$1:$1,0)),-(BJ221-BJ222)/BJ221*BK221),0),0)+IF(TbTradesBinance[[#This Row],[Tipo]]="SELL",IF(ISNUMBER(FIND(MID(BK$1,10,5),TbTradesBinance[[#This Row],[Par]])),IF(FIND(MID(BK$1,10,5),TbTradesBinance[[#This Row],[Par]])=1, -(BJ221-BJ222)/BJ221*BK221,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Row],[Par]])),(-(BJ221-BJ222)/BJ221*BK221)+IF(TbTradesBinance[[#This Row],[Resultado]]&gt;0,0,TbTradesBinance[[#This Row],[Taxa]]),0),0))</f>
        <v>0</v>
      </c>
      <c r="BL222" s="145">
        <f t="shared" si="110"/>
        <v>0</v>
      </c>
      <c r="BM222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Row],[Tipo]]="DROP"),BM221+TbTradesBinance[[#This Row],[Qtt]],BM221-TbTradesBinance[[#This Row],[Qtt]]),IF(TbTradesBinance[[#This Row],[Tipo]]="BUY",BM221-TbTradesBinance[[#This Row],[Qtt]]*TbTradesBinance[[#This Row],[Preço]],BM221+TbTradesBinance[[#This Row],[Qtt]]*TbTradesBinance[[#This Row],[Preço]])),BM221)-IF(TbTradesBinance[[#This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Row],[Tipo]]="DROP"),BM221+TbTradesBinance[[#This Row],[Qtt]],BM221-TbTradesBinance[[#This Row],[Qtt]]),IF(TbTradesBinance[[#This Row],[Tipo]]="BUY",BM221-TbTradesBinance[[#This Row],[Qtt]]*TbTradesBinance[[#This Row],[Preço]],BM221+TbTradesBinance[[#This Row],[Qtt]]*TbTradesBinance[[#This Row],[Preço]])),BM221)-IF(TbTradesBinance[[#This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Row],[Tipo]]="DROP"),BM221+TbTradesBinance[[#This Row],[Qtt]],BM221-TbTradesBinance[[#This Row],[Qtt]]),IF(TbTradesBinance[[#This Row],[Tipo]]="BUY",BM221-TbTradesBinance[[#This Row],[Qtt]]*TbTradesBinance[[#This Row],[Preço]],BM221+TbTradesBinance[[#This Row],[Qtt]]*TbTradesBinance[[#This Row],[Preço]])),BM221)-IF(TbTradesBinance[[#This Row],[Moeda da Taxa]]=MID(BM$1,9,5),TbTradesBinance[[#This Row],[Taxa]],0),8)))</f>
        <v>0</v>
      </c>
      <c r="BN222" s="145" cm="1">
        <f t="array" ref="BN222">IF(TbTradesBinance[[#This Row],[Tipo]]="EMPTY",0,BN221+IF(TbTradesBinance[[#This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Row],[Par]]))),$1:$1,0)),-(BM221-BM222)/BM221*BN221),0),0)+IF(TbTradesBinance[[#This Row],[Tipo]]="SELL",IF(ISNUMBER(FIND(MID(BN$1,10,5),TbTradesBinance[[#This Row],[Par]])),IF(FIND(MID(BN$1,10,5),TbTradesBinance[[#This Row],[Par]])=1, -(BM221-BM222)/BM221*BN221,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Row],[Par]])),(-(BM221-BM222)/BM221*BN221)+IF(TbTradesBinance[[#This Row],[Resultado]]&gt;0,0,TbTradesBinance[[#This Row],[Taxa]]),0),0))</f>
        <v>0</v>
      </c>
      <c r="BO222" s="145">
        <f t="shared" si="111"/>
        <v>0</v>
      </c>
    </row>
    <row r="223" spans="2:67" x14ac:dyDescent="0.3">
      <c r="B223" s="51"/>
      <c r="C223" s="40">
        <f>TRUNC(IF(AND(TbTradesBinance[[#This Row],[Tipo]]="SEND",TbTradesBinance[[#This Row],[Par]]="BRL"),TbTradesBinance[[#This Row],[Qtt]]*(1-P221)-IF(TbTradesBinance[[#This Row],[Moeda da Taxa]]="BRL",TbTradesBinance[[#This Row],[Taxa]],0),0)+IF(AND(TbTradesBinance[[#This Row],[Tipo]]="BURN",TbTradesBinance[[#This Row],[Par]]="BRL"),-TbTradesBinance[[#This Row],[Qtt]]*P221,0),2)</f>
        <v>-4.49</v>
      </c>
      <c r="D223" s="53">
        <v>44408.701365740744</v>
      </c>
      <c r="E223" s="37" t="s">
        <v>50</v>
      </c>
      <c r="F223" s="47" t="s">
        <v>142</v>
      </c>
      <c r="G223" s="38">
        <v>1</v>
      </c>
      <c r="H223" s="38">
        <v>784.94</v>
      </c>
      <c r="I223" s="38">
        <v>0</v>
      </c>
      <c r="J223" s="37" t="s">
        <v>45</v>
      </c>
      <c r="K223" s="52">
        <v>1</v>
      </c>
      <c r="L223" s="40">
        <f t="shared" si="94"/>
        <v>1</v>
      </c>
      <c r="M223" s="40">
        <f>IF(OR(TbTradesBinance[[#This Row],[Tipo]]="BUY",TbTradesBinance[[#This Row],[Tipo]]="RECEIVE",TbTradesBinance[[#This Row],[Tipo]]="DROP"),L223*H223,-L223*H223)</f>
        <v>-784.94</v>
      </c>
      <c r="N223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Row],[Tipo]]="DROP"),N222+TbTradesBinance[[#This Row],[Qtt]],N222-TbTradesBinance[[#This Row],[Qtt]]),IF(TbTradesBinance[[#This Row],[Tipo]]="BUY",N222-TbTradesBinance[[#This Row],[Qtt]]*TbTradesBinance[[#This Row],[Preço]],N222+TbTradesBinance[[#This Row],[Qtt]]*TbTradesBinance[[#This Row],[Preço]])),N222)-IF(TbTradesBinance[[#This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Row],[Tipo]]="DROP"),N222+TbTradesBinance[[#This Row],[Qtt]],N222-TbTradesBinance[[#This Row],[Qtt]]),IF(TbTradesBinance[[#This Row],[Tipo]]="BUY",N222-TbTradesBinance[[#This Row],[Qtt]]*TbTradesBinance[[#This Row],[Preço]],N222+TbTradesBinance[[#This Row],[Qtt]]*TbTradesBinance[[#This Row],[Preço]])),N222)-IF(TbTradesBinance[[#This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Row],[Tipo]]="DROP"),N222+TbTradesBinance[[#This Row],[Qtt]],N222-TbTradesBinance[[#This Row],[Qtt]]),IF(TbTradesBinance[[#This Row],[Tipo]]="BUY",N222-TbTradesBinance[[#This Row],[Qtt]]*TbTradesBinance[[#This Row],[Preço]],N222+TbTradesBinance[[#This Row],[Qtt]]*TbTradesBinance[[#This Row],[Preço]])),N222)-IF(TbTradesBinance[[#This Row],[Moeda da Taxa]]=MID(N$1,9,5),TbTradesBinance[[#This Row],[Taxa]],0),8)))</f>
        <v>119752.95428781</v>
      </c>
      <c r="O223" s="145" cm="1">
        <f t="array" ref="O223">IF(TbTradesBinance[[#This Row],[Tipo]]="EMPTY",0,O222+IF(TbTradesBinance[[#This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Row],[Par]]))),$1:$1,0)),-(N222-N223)/N222*O222),0),0)+IF(TbTradesBinance[[#This Row],[Tipo]]="SELL",IF(ISNUMBER(FIND(MID(O$1,10,5),TbTradesBinance[[#This Row],[Par]])),IF(FIND(MID(O$1,10,5),TbTradesBinance[[#This Row],[Par]])=1, -(N222-N223)/N222*O222,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Row],[Par]])),(-(N222-N223)/N222*O222)+IF(TbTradesBinance[[#This Row],[Resultado]]&gt;0,0,TbTradesBinance[[#This Row],[Taxa]]),0),0))</f>
        <v>120451.85904538346</v>
      </c>
      <c r="P223" s="145">
        <f t="shared" si="76"/>
        <v>1.0058362214254333</v>
      </c>
      <c r="Q223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Row],[Tipo]]="DROP"),Q222+TbTradesBinance[[#This Row],[Qtt]],Q222-TbTradesBinance[[#This Row],[Qtt]]),IF(TbTradesBinance[[#This Row],[Tipo]]="BUY",Q222-TbTradesBinance[[#This Row],[Qtt]]*TbTradesBinance[[#This Row],[Preço]],Q222+TbTradesBinance[[#This Row],[Qtt]]*TbTradesBinance[[#This Row],[Preço]])),Q222)-IF(TbTradesBinance[[#This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Row],[Tipo]]="DROP"),Q222+TbTradesBinance[[#This Row],[Qtt]],Q222-TbTradesBinance[[#This Row],[Qtt]]),IF(TbTradesBinance[[#This Row],[Tipo]]="BUY",Q222-TbTradesBinance[[#This Row],[Qtt]]*TbTradesBinance[[#This Row],[Preço]],Q222+TbTradesBinance[[#This Row],[Qtt]]*TbTradesBinance[[#This Row],[Preço]])),Q222)-IF(TbTradesBinance[[#This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Row],[Tipo]]="DROP"),Q222+TbTradesBinance[[#This Row],[Qtt]],Q222-TbTradesBinance[[#This Row],[Qtt]]),IF(TbTradesBinance[[#This Row],[Tipo]]="BUY",Q222-TbTradesBinance[[#This Row],[Qtt]]*TbTradesBinance[[#This Row],[Preço]],Q222+TbTradesBinance[[#This Row],[Qtt]]*TbTradesBinance[[#This Row],[Preço]])),Q222)-IF(TbTradesBinance[[#This Row],[Moeda da Taxa]]=MID(Q$1,9,5),TbTradesBinance[[#This Row],[Taxa]],0),8)))</f>
        <v>317.65335734000001</v>
      </c>
      <c r="R223" s="145" cm="1">
        <f t="array" ref="R223">IF(TbTradesBinance[[#This Row],[Tipo]]="EMPTY",0,R222+IF(TbTradesBinance[[#This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Row],[Par]]))),$1:$1,0)),-(Q222-Q223)/Q222*R222),0),0)+IF(TbTradesBinance[[#This Row],[Tipo]]="SELL",IF(ISNUMBER(FIND(MID(R$1,10,5),TbTradesBinance[[#This Row],[Par]])),IF(FIND(MID(R$1,10,5),TbTradesBinance[[#This Row],[Par]])=1, -(Q222-Q223)/Q222*R222,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Row],[Par]])),(-(Q222-Q223)/Q222*R222)+IF(TbTradesBinance[[#This Row],[Resultado]]&gt;0,0,TbTradesBinance[[#This Row],[Taxa]]),0),0))</f>
        <v>1746.4009829760889</v>
      </c>
      <c r="S223" s="145">
        <f t="shared" si="95"/>
        <v>5.4978200060603486</v>
      </c>
      <c r="T223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Row],[Tipo]]="DROP"),T222+TbTradesBinance[[#This Row],[Qtt]],T222-TbTradesBinance[[#This Row],[Qtt]]),IF(TbTradesBinance[[#This Row],[Tipo]]="BUY",T222-TbTradesBinance[[#This Row],[Qtt]]*TbTradesBinance[[#This Row],[Preço]],T222+TbTradesBinance[[#This Row],[Qtt]]*TbTradesBinance[[#This Row],[Preço]])),T222)-IF(TbTradesBinance[[#This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Row],[Tipo]]="DROP"),T222+TbTradesBinance[[#This Row],[Qtt]],T222-TbTradesBinance[[#This Row],[Qtt]]),IF(TbTradesBinance[[#This Row],[Tipo]]="BUY",T222-TbTradesBinance[[#This Row],[Qtt]]*TbTradesBinance[[#This Row],[Preço]],T222+TbTradesBinance[[#This Row],[Qtt]]*TbTradesBinance[[#This Row],[Preço]])),T222)-IF(TbTradesBinance[[#This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Row],[Tipo]]="DROP"),T222+TbTradesBinance[[#This Row],[Qtt]],T222-TbTradesBinance[[#This Row],[Qtt]]),IF(TbTradesBinance[[#This Row],[Tipo]]="BUY",T222-TbTradesBinance[[#This Row],[Qtt]]*TbTradesBinance[[#This Row],[Preço]],T222+TbTradesBinance[[#This Row],[Qtt]]*TbTradesBinance[[#This Row],[Preço]])),T222)-IF(TbTradesBinance[[#This Row],[Moeda da Taxa]]=MID(T$1,9,5),TbTradesBinance[[#This Row],[Taxa]],0),8)))</f>
        <v>101223913.720009</v>
      </c>
      <c r="U223" s="145" cm="1">
        <f t="array" ref="U223">IF(TbTradesBinance[[#This Row],[Tipo]]="EMPTY",0,U222+IF(TbTradesBinance[[#This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Row],[Par]]))),$1:$1,0)),-(T222-T223)/T222*U222),0),0)+IF(TbTradesBinance[[#This Row],[Tipo]]="SELL",IF(ISNUMBER(FIND(MID(U$1,10,5),TbTradesBinance[[#This Row],[Par]])),IF(FIND(MID(U$1,10,5),TbTradesBinance[[#This Row],[Par]])=1, -(T222-T223)/T222*U222,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Row],[Par]])),(-(T222-T223)/T222*U222)+IF(TbTradesBinance[[#This Row],[Resultado]]&gt;0,0,TbTradesBinance[[#This Row],[Taxa]]),0),0))</f>
        <v>617586601.27364206</v>
      </c>
      <c r="V223" s="145">
        <f t="shared" si="96"/>
        <v>6.1011926784605572</v>
      </c>
      <c r="W223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Row],[Tipo]]="DROP"),W222+TbTradesBinance[[#This Row],[Qtt]],W222-TbTradesBinance[[#This Row],[Qtt]]),IF(TbTradesBinance[[#This Row],[Tipo]]="BUY",W222-TbTradesBinance[[#This Row],[Qtt]]*TbTradesBinance[[#This Row],[Preço]],W222+TbTradesBinance[[#This Row],[Qtt]]*TbTradesBinance[[#This Row],[Preço]])),W222)-IF(TbTradesBinance[[#This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Row],[Tipo]]="DROP"),W222+TbTradesBinance[[#This Row],[Qtt]],W222-TbTradesBinance[[#This Row],[Qtt]]),IF(TbTradesBinance[[#This Row],[Tipo]]="BUY",W222-TbTradesBinance[[#This Row],[Qtt]]*TbTradesBinance[[#This Row],[Preço]],W222+TbTradesBinance[[#This Row],[Qtt]]*TbTradesBinance[[#This Row],[Preço]])),W222)-IF(TbTradesBinance[[#This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Row],[Tipo]]="DROP"),W222+TbTradesBinance[[#This Row],[Qtt]],W222-TbTradesBinance[[#This Row],[Qtt]]),IF(TbTradesBinance[[#This Row],[Tipo]]="BUY",W222-TbTradesBinance[[#This Row],[Qtt]]*TbTradesBinance[[#This Row],[Preço]],W222+TbTradesBinance[[#This Row],[Qtt]]*TbTradesBinance[[#This Row],[Preço]])),W222)-IF(TbTradesBinance[[#This Row],[Moeda da Taxa]]=MID(W$1,9,5),TbTradesBinance[[#This Row],[Taxa]],0),8)))</f>
        <v>3.9899999999999999E-6</v>
      </c>
      <c r="X223" s="145" cm="1">
        <f t="array" ref="X223">IF(TbTradesBinance[[#This Row],[Tipo]]="EMPTY",0,X222+IF(TbTradesBinance[[#This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Row],[Par]]))),$1:$1,0)),-(W222-W223)/W222*X222),0),0)+IF(TbTradesBinance[[#This Row],[Tipo]]="SELL",IF(ISNUMBER(FIND(MID(X$1,10,5),TbTradesBinance[[#This Row],[Par]])),IF(FIND(MID(X$1,10,5),TbTradesBinance[[#This Row],[Par]])=1, -(W222-W223)/W222*X222,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Row],[Par]])),(-(W222-W223)/W222*X222)+IF(TbTradesBinance[[#This Row],[Resultado]]&gt;0,0,TbTradesBinance[[#This Row],[Taxa]]),0),0))</f>
        <v>0.6953811938234935</v>
      </c>
      <c r="Y223" s="145">
        <f t="shared" si="97"/>
        <v>174281.00095826905</v>
      </c>
      <c r="Z223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Row],[Tipo]]="DROP"),Z222+TbTradesBinance[[#This Row],[Qtt]],Z222-TbTradesBinance[[#This Row],[Qtt]]),IF(TbTradesBinance[[#This Row],[Tipo]]="BUY",Z222-TbTradesBinance[[#This Row],[Qtt]]*TbTradesBinance[[#This Row],[Preço]],Z222+TbTradesBinance[[#This Row],[Qtt]]*TbTradesBinance[[#This Row],[Preço]])),Z222)-IF(TbTradesBinance[[#This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Row],[Tipo]]="DROP"),Z222+TbTradesBinance[[#This Row],[Qtt]],Z222-TbTradesBinance[[#This Row],[Qtt]]),IF(TbTradesBinance[[#This Row],[Tipo]]="BUY",Z222-TbTradesBinance[[#This Row],[Qtt]]*TbTradesBinance[[#This Row],[Preço]],Z222+TbTradesBinance[[#This Row],[Qtt]]*TbTradesBinance[[#This Row],[Preço]])),Z222)-IF(TbTradesBinance[[#This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Row],[Tipo]]="DROP"),Z222+TbTradesBinance[[#This Row],[Qtt]],Z222-TbTradesBinance[[#This Row],[Qtt]]),IF(TbTradesBinance[[#This Row],[Tipo]]="BUY",Z222-TbTradesBinance[[#This Row],[Qtt]]*TbTradesBinance[[#This Row],[Preço]],Z222+TbTradesBinance[[#This Row],[Qtt]]*TbTradesBinance[[#This Row],[Preço]])),Z222)-IF(TbTradesBinance[[#This Row],[Moeda da Taxa]]=MID(Z$1,9,5),TbTradesBinance[[#This Row],[Taxa]],0),8)))</f>
        <v>0</v>
      </c>
      <c r="AA223" s="145" cm="1">
        <f t="array" ref="AA223">IF(TbTradesBinance[[#This Row],[Tipo]]="EMPTY",0,AA222+IF(TbTradesBinance[[#This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Row],[Par]]))),$1:$1,0)),-(Z222-Z223)/Z222*AA222),0),0)+IF(TbTradesBinance[[#This Row],[Tipo]]="SELL",IF(ISNUMBER(FIND(MID(AA$1,10,5),TbTradesBinance[[#This Row],[Par]])),IF(FIND(MID(AA$1,10,5),TbTradesBinance[[#This Row],[Par]])=1, -(Z222-Z223)/Z222*AA222,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Row],[Par]])),(-(Z222-Z223)/Z222*AA222)+IF(TbTradesBinance[[#This Row],[Resultado]]&gt;0,0,TbTradesBinance[[#This Row],[Taxa]]),0),0))</f>
        <v>0</v>
      </c>
      <c r="AB223" s="145">
        <f t="shared" si="98"/>
        <v>0</v>
      </c>
      <c r="AC223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Row],[Tipo]]="DROP"),AC222+TbTradesBinance[[#This Row],[Qtt]],AC222-TbTradesBinance[[#This Row],[Qtt]]),IF(TbTradesBinance[[#This Row],[Tipo]]="BUY",AC222-TbTradesBinance[[#This Row],[Qtt]]*TbTradesBinance[[#This Row],[Preço]],AC222+TbTradesBinance[[#This Row],[Qtt]]*TbTradesBinance[[#This Row],[Preço]])),AC222)-IF(TbTradesBinance[[#This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Row],[Tipo]]="DROP"),AC222+TbTradesBinance[[#This Row],[Qtt]],AC222-TbTradesBinance[[#This Row],[Qtt]]),IF(TbTradesBinance[[#This Row],[Tipo]]="BUY",AC222-TbTradesBinance[[#This Row],[Qtt]]*TbTradesBinance[[#This Row],[Preço]],AC222+TbTradesBinance[[#This Row],[Qtt]]*TbTradesBinance[[#This Row],[Preço]])),AC222)-IF(TbTradesBinance[[#This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Row],[Tipo]]="DROP"),AC222+TbTradesBinance[[#This Row],[Qtt]],AC222-TbTradesBinance[[#This Row],[Qtt]]),IF(TbTradesBinance[[#This Row],[Tipo]]="BUY",AC222-TbTradesBinance[[#This Row],[Qtt]]*TbTradesBinance[[#This Row],[Preço]],AC222+TbTradesBinance[[#This Row],[Qtt]]*TbTradesBinance[[#This Row],[Preço]])),AC222)-IF(TbTradesBinance[[#This Row],[Moeda da Taxa]]=MID(AC$1,9,5),TbTradesBinance[[#This Row],[Taxa]],0),8)))</f>
        <v>0</v>
      </c>
      <c r="AD223" s="145" cm="1">
        <f t="array" ref="AD223">IF(TbTradesBinance[[#This Row],[Tipo]]="EMPTY",0,AD222+IF(TbTradesBinance[[#This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Row],[Par]]))),$1:$1,0)),-(AC222-AC223)/AC222*AD222),0),0)+IF(TbTradesBinance[[#This Row],[Tipo]]="SELL",IF(ISNUMBER(FIND(MID(AD$1,10,5),TbTradesBinance[[#This Row],[Par]])),IF(FIND(MID(AD$1,10,5),TbTradesBinance[[#This Row],[Par]])=1, -(AC222-AC223)/AC222*AD222,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Row],[Par]])),(-(AC222-AC223)/AC222*AD222)+IF(TbTradesBinance[[#This Row],[Resultado]]&gt;0,0,TbTradesBinance[[#This Row],[Taxa]]),0),0))</f>
        <v>0</v>
      </c>
      <c r="AE223" s="145">
        <f t="shared" si="99"/>
        <v>0</v>
      </c>
      <c r="AF223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Row],[Tipo]]="DROP"),AF222+TbTradesBinance[[#This Row],[Qtt]],AF222-TbTradesBinance[[#This Row],[Qtt]]),IF(TbTradesBinance[[#This Row],[Tipo]]="BUY",AF222-TbTradesBinance[[#This Row],[Qtt]]*TbTradesBinance[[#This Row],[Preço]],AF222+TbTradesBinance[[#This Row],[Qtt]]*TbTradesBinance[[#This Row],[Preço]])),AF222)-IF(TbTradesBinance[[#This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Row],[Tipo]]="DROP"),AF222+TbTradesBinance[[#This Row],[Qtt]],AF222-TbTradesBinance[[#This Row],[Qtt]]),IF(TbTradesBinance[[#This Row],[Tipo]]="BUY",AF222-TbTradesBinance[[#This Row],[Qtt]]*TbTradesBinance[[#This Row],[Preço]],AF222+TbTradesBinance[[#This Row],[Qtt]]*TbTradesBinance[[#This Row],[Preço]])),AF222)-IF(TbTradesBinance[[#This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Row],[Tipo]]="DROP"),AF222+TbTradesBinance[[#This Row],[Qtt]],AF222-TbTradesBinance[[#This Row],[Qtt]]),IF(TbTradesBinance[[#This Row],[Tipo]]="BUY",AF222-TbTradesBinance[[#This Row],[Qtt]]*TbTradesBinance[[#This Row],[Preço]],AF222+TbTradesBinance[[#This Row],[Qtt]]*TbTradesBinance[[#This Row],[Preço]])),AF222)-IF(TbTradesBinance[[#This Row],[Moeda da Taxa]]=MID(AF$1,9,5),TbTradesBinance[[#This Row],[Taxa]],0),8)))</f>
        <v>0</v>
      </c>
      <c r="AG223" s="145" cm="1">
        <f t="array" ref="AG223">IF(TbTradesBinance[[#This Row],[Tipo]]="EMPTY",0,AG222+IF(TbTradesBinance[[#This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Row],[Par]]))),$1:$1,0)),-(AF222-AF223)/AF222*AG222),0),0)+IF(TbTradesBinance[[#This Row],[Tipo]]="SELL",IF(ISNUMBER(FIND(MID(AG$1,10,5),TbTradesBinance[[#This Row],[Par]])),IF(FIND(MID(AG$1,10,5),TbTradesBinance[[#This Row],[Par]])=1, -(AF222-AF223)/AF222*AG222,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Row],[Par]])),(-(AF222-AF223)/AF222*AG222)+IF(TbTradesBinance[[#This Row],[Resultado]]&gt;0,0,TbTradesBinance[[#This Row],[Taxa]]),0),0))</f>
        <v>0</v>
      </c>
      <c r="AH223" s="145">
        <f t="shared" si="100"/>
        <v>0</v>
      </c>
      <c r="AI223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Row],[Tipo]]="DROP"),AI222+TbTradesBinance[[#This Row],[Qtt]],AI222-TbTradesBinance[[#This Row],[Qtt]]),IF(TbTradesBinance[[#This Row],[Tipo]]="BUY",AI222-TbTradesBinance[[#This Row],[Qtt]]*TbTradesBinance[[#This Row],[Preço]],AI222+TbTradesBinance[[#This Row],[Qtt]]*TbTradesBinance[[#This Row],[Preço]])),AI222)-IF(TbTradesBinance[[#This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Row],[Tipo]]="DROP"),AI222+TbTradesBinance[[#This Row],[Qtt]],AI222-TbTradesBinance[[#This Row],[Qtt]]),IF(TbTradesBinance[[#This Row],[Tipo]]="BUY",AI222-TbTradesBinance[[#This Row],[Qtt]]*TbTradesBinance[[#This Row],[Preço]],AI222+TbTradesBinance[[#This Row],[Qtt]]*TbTradesBinance[[#This Row],[Preço]])),AI222)-IF(TbTradesBinance[[#This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Row],[Tipo]]="DROP"),AI222+TbTradesBinance[[#This Row],[Qtt]],AI222-TbTradesBinance[[#This Row],[Qtt]]),IF(TbTradesBinance[[#This Row],[Tipo]]="BUY",AI222-TbTradesBinance[[#This Row],[Qtt]]*TbTradesBinance[[#This Row],[Preço]],AI222+TbTradesBinance[[#This Row],[Qtt]]*TbTradesBinance[[#This Row],[Preço]])),AI222)-IF(TbTradesBinance[[#This Row],[Moeda da Taxa]]=MID(AI$1,9,5),TbTradesBinance[[#This Row],[Taxa]],0),8)))</f>
        <v>0</v>
      </c>
      <c r="AJ223" s="145" cm="1">
        <f t="array" ref="AJ223">IF(TbTradesBinance[[#This Row],[Tipo]]="EMPTY",0,AJ222+IF(TbTradesBinance[[#This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Row],[Par]]))),$1:$1,0)),-(AI222-AI223)/AI222*AJ222),0),0)+IF(TbTradesBinance[[#This Row],[Tipo]]="SELL",IF(ISNUMBER(FIND(MID(AJ$1,10,5),TbTradesBinance[[#This Row],[Par]])),IF(FIND(MID(AJ$1,10,5),TbTradesBinance[[#This Row],[Par]])=1, -(AI222-AI223)/AI222*AJ222,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Row],[Par]])),(-(AI222-AI223)/AI222*AJ222)+IF(TbTradesBinance[[#This Row],[Resultado]]&gt;0,0,TbTradesBinance[[#This Row],[Taxa]]),0),0))</f>
        <v>0</v>
      </c>
      <c r="AK223" s="145">
        <f t="shared" si="101"/>
        <v>0</v>
      </c>
      <c r="AL223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Row],[Tipo]]="DROP"),AL222+TbTradesBinance[[#This Row],[Qtt]],AL222-TbTradesBinance[[#This Row],[Qtt]]),IF(TbTradesBinance[[#This Row],[Tipo]]="BUY",AL222-TbTradesBinance[[#This Row],[Qtt]]*TbTradesBinance[[#This Row],[Preço]],AL222+TbTradesBinance[[#This Row],[Qtt]]*TbTradesBinance[[#This Row],[Preço]])),AL222)-IF(TbTradesBinance[[#This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Row],[Tipo]]="DROP"),AL222+TbTradesBinance[[#This Row],[Qtt]],AL222-TbTradesBinance[[#This Row],[Qtt]]),IF(TbTradesBinance[[#This Row],[Tipo]]="BUY",AL222-TbTradesBinance[[#This Row],[Qtt]]*TbTradesBinance[[#This Row],[Preço]],AL222+TbTradesBinance[[#This Row],[Qtt]]*TbTradesBinance[[#This Row],[Preço]])),AL222)-IF(TbTradesBinance[[#This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Row],[Tipo]]="DROP"),AL222+TbTradesBinance[[#This Row],[Qtt]],AL222-TbTradesBinance[[#This Row],[Qtt]]),IF(TbTradesBinance[[#This Row],[Tipo]]="BUY",AL222-TbTradesBinance[[#This Row],[Qtt]]*TbTradesBinance[[#This Row],[Preço]],AL222+TbTradesBinance[[#This Row],[Qtt]]*TbTradesBinance[[#This Row],[Preço]])),AL222)-IF(TbTradesBinance[[#This Row],[Moeda da Taxa]]=MID(AL$1,9,5),TbTradesBinance[[#This Row],[Taxa]],0),8)))</f>
        <v>0</v>
      </c>
      <c r="AM223" s="145" cm="1">
        <f t="array" ref="AM223">IF(TbTradesBinance[[#This Row],[Tipo]]="EMPTY",0,AM222+IF(TbTradesBinance[[#This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Row],[Par]]))),$1:$1,0)),-(AL222-AL223)/AL222*AM222),0),0)+IF(TbTradesBinance[[#This Row],[Tipo]]="SELL",IF(ISNUMBER(FIND(MID(AM$1,10,5),TbTradesBinance[[#This Row],[Par]])),IF(FIND(MID(AM$1,10,5),TbTradesBinance[[#This Row],[Par]])=1, -(AL222-AL223)/AL222*AM222,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Row],[Par]])),(-(AL222-AL223)/AL222*AM222)+IF(TbTradesBinance[[#This Row],[Resultado]]&gt;0,0,TbTradesBinance[[#This Row],[Taxa]]),0),0))</f>
        <v>0</v>
      </c>
      <c r="AN223" s="145">
        <f t="shared" si="102"/>
        <v>0</v>
      </c>
      <c r="AO223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Row],[Tipo]]="DROP"),AO222+TbTradesBinance[[#This Row],[Qtt]],AO222-TbTradesBinance[[#This Row],[Qtt]]),IF(TbTradesBinance[[#This Row],[Tipo]]="BUY",AO222-TbTradesBinance[[#This Row],[Qtt]]*TbTradesBinance[[#This Row],[Preço]],AO222+TbTradesBinance[[#This Row],[Qtt]]*TbTradesBinance[[#This Row],[Preço]])),AO222)-IF(TbTradesBinance[[#This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Row],[Tipo]]="DROP"),AO222+TbTradesBinance[[#This Row],[Qtt]],AO222-TbTradesBinance[[#This Row],[Qtt]]),IF(TbTradesBinance[[#This Row],[Tipo]]="BUY",AO222-TbTradesBinance[[#This Row],[Qtt]]*TbTradesBinance[[#This Row],[Preço]],AO222+TbTradesBinance[[#This Row],[Qtt]]*TbTradesBinance[[#This Row],[Preço]])),AO222)-IF(TbTradesBinance[[#This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Row],[Tipo]]="DROP"),AO222+TbTradesBinance[[#This Row],[Qtt]],AO222-TbTradesBinance[[#This Row],[Qtt]]),IF(TbTradesBinance[[#This Row],[Tipo]]="BUY",AO222-TbTradesBinance[[#This Row],[Qtt]]*TbTradesBinance[[#This Row],[Preço]],AO222+TbTradesBinance[[#This Row],[Qtt]]*TbTradesBinance[[#This Row],[Preço]])),AO222)-IF(TbTradesBinance[[#This Row],[Moeda da Taxa]]=MID(AO$1,9,5),TbTradesBinance[[#This Row],[Taxa]],0),8)))</f>
        <v>6.6745219999999994E-2</v>
      </c>
      <c r="AP223" s="145" cm="1">
        <f t="array" ref="AP223">IF(TbTradesBinance[[#This Row],[Tipo]]="EMPTY",0,AP222+IF(TbTradesBinance[[#This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Row],[Par]]))),$1:$1,0)),-(AO222-AO223)/AO222*AP222),0),0)+IF(TbTradesBinance[[#This Row],[Tipo]]="SELL",IF(ISNUMBER(FIND(MID(AP$1,10,5),TbTradesBinance[[#This Row],[Par]])),IF(FIND(MID(AP$1,10,5),TbTradesBinance[[#This Row],[Par]])=1, -(AO222-AO223)/AO222*AP222,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Row],[Par]])),(-(AO222-AO223)/AO222*AP222)+IF(TbTradesBinance[[#This Row],[Resultado]]&gt;0,0,TbTradesBinance[[#This Row],[Taxa]]),0),0))</f>
        <v>102.0944711963762</v>
      </c>
      <c r="AQ223" s="145">
        <f t="shared" si="103"/>
        <v>1529.6147229176293</v>
      </c>
      <c r="AR223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Row],[Tipo]]="DROP"),AR222+TbTradesBinance[[#This Row],[Qtt]],AR222-TbTradesBinance[[#This Row],[Qtt]]),IF(TbTradesBinance[[#This Row],[Tipo]]="BUY",AR222-TbTradesBinance[[#This Row],[Qtt]]*TbTradesBinance[[#This Row],[Preço]],AR222+TbTradesBinance[[#This Row],[Qtt]]*TbTradesBinance[[#This Row],[Preço]])),AR222)-IF(TbTradesBinance[[#This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Row],[Tipo]]="DROP"),AR222+TbTradesBinance[[#This Row],[Qtt]],AR222-TbTradesBinance[[#This Row],[Qtt]]),IF(TbTradesBinance[[#This Row],[Tipo]]="BUY",AR222-TbTradesBinance[[#This Row],[Qtt]]*TbTradesBinance[[#This Row],[Preço]],AR222+TbTradesBinance[[#This Row],[Qtt]]*TbTradesBinance[[#This Row],[Preço]])),AR222)-IF(TbTradesBinance[[#This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Row],[Tipo]]="DROP"),AR222+TbTradesBinance[[#This Row],[Qtt]],AR222-TbTradesBinance[[#This Row],[Qtt]]),IF(TbTradesBinance[[#This Row],[Tipo]]="BUY",AR222-TbTradesBinance[[#This Row],[Qtt]]*TbTradesBinance[[#This Row],[Preço]],AR222+TbTradesBinance[[#This Row],[Qtt]]*TbTradesBinance[[#This Row],[Preço]])),AR222)-IF(TbTradesBinance[[#This Row],[Moeda da Taxa]]=MID(AR$1,9,5),TbTradesBinance[[#This Row],[Taxa]],0),8)))</f>
        <v>0</v>
      </c>
      <c r="AS223" s="145" cm="1">
        <f t="array" ref="AS223">IF(TbTradesBinance[[#This Row],[Tipo]]="EMPTY",0,AS222+IF(TbTradesBinance[[#This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Row],[Par]]))),$1:$1,0)),-(AR222-AR223)/AR222*AS222),0),0)+IF(TbTradesBinance[[#This Row],[Tipo]]="SELL",IF(ISNUMBER(FIND(MID(AS$1,10,5),TbTradesBinance[[#This Row],[Par]])),IF(FIND(MID(AS$1,10,5),TbTradesBinance[[#This Row],[Par]])=1, -(AR222-AR223)/AR222*AS222,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Row],[Par]])),(-(AR222-AR223)/AR222*AS222)+IF(TbTradesBinance[[#This Row],[Resultado]]&gt;0,0,TbTradesBinance[[#This Row],[Taxa]]),0),0))</f>
        <v>0</v>
      </c>
      <c r="AT223" s="145">
        <f t="shared" si="104"/>
        <v>0</v>
      </c>
      <c r="AU223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Row],[Tipo]]="DROP"),AU222+TbTradesBinance[[#This Row],[Qtt]],AU222-TbTradesBinance[[#This Row],[Qtt]]),IF(TbTradesBinance[[#This Row],[Tipo]]="BUY",AU222-TbTradesBinance[[#This Row],[Qtt]]*TbTradesBinance[[#This Row],[Preço]],AU222+TbTradesBinance[[#This Row],[Qtt]]*TbTradesBinance[[#This Row],[Preço]])),AU222)-IF(TbTradesBinance[[#This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Row],[Tipo]]="DROP"),AU222+TbTradesBinance[[#This Row],[Qtt]],AU222-TbTradesBinance[[#This Row],[Qtt]]),IF(TbTradesBinance[[#This Row],[Tipo]]="BUY",AU222-TbTradesBinance[[#This Row],[Qtt]]*TbTradesBinance[[#This Row],[Preço]],AU222+TbTradesBinance[[#This Row],[Qtt]]*TbTradesBinance[[#This Row],[Preço]])),AU222)-IF(TbTradesBinance[[#This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Row],[Tipo]]="DROP"),AU222+TbTradesBinance[[#This Row],[Qtt]],AU222-TbTradesBinance[[#This Row],[Qtt]]),IF(TbTradesBinance[[#This Row],[Tipo]]="BUY",AU222-TbTradesBinance[[#This Row],[Qtt]]*TbTradesBinance[[#This Row],[Preço]],AU222+TbTradesBinance[[#This Row],[Qtt]]*TbTradesBinance[[#This Row],[Preço]])),AU222)-IF(TbTradesBinance[[#This Row],[Moeda da Taxa]]=MID(AU$1,9,5),TbTradesBinance[[#This Row],[Taxa]],0),8)))</f>
        <v>0.51</v>
      </c>
      <c r="AV223" s="145" cm="1">
        <f t="array" ref="AV223">IF(TbTradesBinance[[#This Row],[Tipo]]="EMPTY",0,AV222+IF(TbTradesBinance[[#This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Row],[Par]]))),$1:$1,0)),-(AU222-AU223)/AU222*AV222),0),0)+IF(TbTradesBinance[[#This Row],[Tipo]]="SELL",IF(ISNUMBER(FIND(MID(AV$1,10,5),TbTradesBinance[[#This Row],[Par]])),IF(FIND(MID(AV$1,10,5),TbTradesBinance[[#This Row],[Par]])=1, -(AU222-AU223)/AU222*AV222,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Row],[Par]])),(-(AU222-AU223)/AU222*AV222)+IF(TbTradesBinance[[#This Row],[Resultado]]&gt;0,0,TbTradesBinance[[#This Row],[Taxa]]),0),0))</f>
        <v>95.466693037374753</v>
      </c>
      <c r="AW223" s="145">
        <f t="shared" si="105"/>
        <v>187.18959419093088</v>
      </c>
      <c r="AX223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Row],[Tipo]]="DROP"),AX222+TbTradesBinance[[#This Row],[Qtt]],AX222-TbTradesBinance[[#This Row],[Qtt]]),IF(TbTradesBinance[[#This Row],[Tipo]]="BUY",AX222-TbTradesBinance[[#This Row],[Qtt]]*TbTradesBinance[[#This Row],[Preço]],AX222+TbTradesBinance[[#This Row],[Qtt]]*TbTradesBinance[[#This Row],[Preço]])),AX222)-IF(TbTradesBinance[[#This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Row],[Tipo]]="DROP"),AX222+TbTradesBinance[[#This Row],[Qtt]],AX222-TbTradesBinance[[#This Row],[Qtt]]),IF(TbTradesBinance[[#This Row],[Tipo]]="BUY",AX222-TbTradesBinance[[#This Row],[Qtt]]*TbTradesBinance[[#This Row],[Preço]],AX222+TbTradesBinance[[#This Row],[Qtt]]*TbTradesBinance[[#This Row],[Preço]])),AX222)-IF(TbTradesBinance[[#This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Row],[Tipo]]="DROP"),AX222+TbTradesBinance[[#This Row],[Qtt]],AX222-TbTradesBinance[[#This Row],[Qtt]]),IF(TbTradesBinance[[#This Row],[Tipo]]="BUY",AX222-TbTradesBinance[[#This Row],[Qtt]]*TbTradesBinance[[#This Row],[Preço]],AX222+TbTradesBinance[[#This Row],[Qtt]]*TbTradesBinance[[#This Row],[Preço]])),AX222)-IF(TbTradesBinance[[#This Row],[Moeda da Taxa]]=MID(AX$1,9,5),TbTradesBinance[[#This Row],[Taxa]],0),8)))</f>
        <v>0.32838000000000001</v>
      </c>
      <c r="AY223" s="145" cm="1">
        <f t="array" ref="AY223">IF(TbTradesBinance[[#This Row],[Tipo]]="EMPTY",0,AY222+IF(TbTradesBinance[[#This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Row],[Par]]))),$1:$1,0)),-(AX222-AX223)/AX222*AY222),0),0)+IF(TbTradesBinance[[#This Row],[Tipo]]="SELL",IF(ISNUMBER(FIND(MID(AY$1,10,5),TbTradesBinance[[#This Row],[Par]])),IF(FIND(MID(AY$1,10,5),TbTradesBinance[[#This Row],[Par]])=1, -(AX222-AX223)/AX222*AY222,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Row],[Par]])),(-(AX222-AX223)/AX222*AY222)+IF(TbTradesBinance[[#This Row],[Resultado]]&gt;0,0,TbTradesBinance[[#This Row],[Taxa]]),0),0))</f>
        <v>61.364116058805678</v>
      </c>
      <c r="AZ223" s="145">
        <f t="shared" si="106"/>
        <v>186.869224857804</v>
      </c>
      <c r="BA223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Row],[Tipo]]="DROP"),BA222+TbTradesBinance[[#This Row],[Qtt]],BA222-TbTradesBinance[[#This Row],[Qtt]]),IF(TbTradesBinance[[#This Row],[Tipo]]="BUY",BA222-TbTradesBinance[[#This Row],[Qtt]]*TbTradesBinance[[#This Row],[Preço]],BA222+TbTradesBinance[[#This Row],[Qtt]]*TbTradesBinance[[#This Row],[Preço]])),BA222)-IF(TbTradesBinance[[#This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Row],[Tipo]]="DROP"),BA222+TbTradesBinance[[#This Row],[Qtt]],BA222-TbTradesBinance[[#This Row],[Qtt]]),IF(TbTradesBinance[[#This Row],[Tipo]]="BUY",BA222-TbTradesBinance[[#This Row],[Qtt]]*TbTradesBinance[[#This Row],[Preço]],BA222+TbTradesBinance[[#This Row],[Qtt]]*TbTradesBinance[[#This Row],[Preço]])),BA222)-IF(TbTradesBinance[[#This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Row],[Tipo]]="DROP"),BA222+TbTradesBinance[[#This Row],[Qtt]],BA222-TbTradesBinance[[#This Row],[Qtt]]),IF(TbTradesBinance[[#This Row],[Tipo]]="BUY",BA222-TbTradesBinance[[#This Row],[Qtt]]*TbTradesBinance[[#This Row],[Preço]],BA222+TbTradesBinance[[#This Row],[Qtt]]*TbTradesBinance[[#This Row],[Preço]])),BA222)-IF(TbTradesBinance[[#This Row],[Moeda da Taxa]]=MID(BA$1,9,5),TbTradesBinance[[#This Row],[Taxa]],0),8)))</f>
        <v>0</v>
      </c>
      <c r="BB223" s="145" cm="1">
        <f t="array" ref="BB223">IF(TbTradesBinance[[#This Row],[Tipo]]="EMPTY",0,BB222+IF(TbTradesBinance[[#This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Row],[Par]]))),$1:$1,0)),-(BA222-BA223)/BA222*BB222),0),0)+IF(TbTradesBinance[[#This Row],[Tipo]]="SELL",IF(ISNUMBER(FIND(MID(BB$1,10,5),TbTradesBinance[[#This Row],[Par]])),IF(FIND(MID(BB$1,10,5),TbTradesBinance[[#This Row],[Par]])=1, -(BA222-BA223)/BA222*BB222,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Row],[Par]])),(-(BA222-BA223)/BA222*BB222)+IF(TbTradesBinance[[#This Row],[Resultado]]&gt;0,0,TbTradesBinance[[#This Row],[Taxa]]),0),0))</f>
        <v>0</v>
      </c>
      <c r="BC223" s="145">
        <f t="shared" si="107"/>
        <v>0</v>
      </c>
      <c r="BD223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Row],[Tipo]]="DROP"),BD222+TbTradesBinance[[#This Row],[Qtt]],BD222-TbTradesBinance[[#This Row],[Qtt]]),IF(TbTradesBinance[[#This Row],[Tipo]]="BUY",BD222-TbTradesBinance[[#This Row],[Qtt]]*TbTradesBinance[[#This Row],[Preço]],BD222+TbTradesBinance[[#This Row],[Qtt]]*TbTradesBinance[[#This Row],[Preço]])),BD222)-IF(TbTradesBinance[[#This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Row],[Tipo]]="DROP"),BD222+TbTradesBinance[[#This Row],[Qtt]],BD222-TbTradesBinance[[#This Row],[Qtt]]),IF(TbTradesBinance[[#This Row],[Tipo]]="BUY",BD222-TbTradesBinance[[#This Row],[Qtt]]*TbTradesBinance[[#This Row],[Preço]],BD222+TbTradesBinance[[#This Row],[Qtt]]*TbTradesBinance[[#This Row],[Preço]])),BD222)-IF(TbTradesBinance[[#This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Row],[Tipo]]="DROP"),BD222+TbTradesBinance[[#This Row],[Qtt]],BD222-TbTradesBinance[[#This Row],[Qtt]]),IF(TbTradesBinance[[#This Row],[Tipo]]="BUY",BD222-TbTradesBinance[[#This Row],[Qtt]]*TbTradesBinance[[#This Row],[Preço]],BD222+TbTradesBinance[[#This Row],[Qtt]]*TbTradesBinance[[#This Row],[Preço]])),BD222)-IF(TbTradesBinance[[#This Row],[Moeda da Taxa]]=MID(BD$1,9,5),TbTradesBinance[[#This Row],[Taxa]],0),8)))</f>
        <v>0</v>
      </c>
      <c r="BE223" s="145" cm="1">
        <f t="array" ref="BE223">IF(TbTradesBinance[[#This Row],[Tipo]]="EMPTY",0,BE222+IF(TbTradesBinance[[#This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Row],[Par]]))),$1:$1,0)),-(BD222-BD223)/BD222*BE222),0),0)+IF(TbTradesBinance[[#This Row],[Tipo]]="SELL",IF(ISNUMBER(FIND(MID(BE$1,10,5),TbTradesBinance[[#This Row],[Par]])),IF(FIND(MID(BE$1,10,5),TbTradesBinance[[#This Row],[Par]])=1, -(BD222-BD223)/BD222*BE222,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Row],[Par]])),(-(BD222-BD223)/BD222*BE222)+IF(TbTradesBinance[[#This Row],[Resultado]]&gt;0,0,TbTradesBinance[[#This Row],[Taxa]]),0),0))</f>
        <v>0</v>
      </c>
      <c r="BF223" s="145">
        <f t="shared" si="108"/>
        <v>0</v>
      </c>
      <c r="BG223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Row],[Tipo]]="DROP"),BG222+TbTradesBinance[[#This Row],[Qtt]],BG222-TbTradesBinance[[#This Row],[Qtt]]),IF(TbTradesBinance[[#This Row],[Tipo]]="BUY",BG222-TbTradesBinance[[#This Row],[Qtt]]*TbTradesBinance[[#This Row],[Preço]],BG222+TbTradesBinance[[#This Row],[Qtt]]*TbTradesBinance[[#This Row],[Preço]])),BG222)-IF(TbTradesBinance[[#This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Row],[Tipo]]="DROP"),BG222+TbTradesBinance[[#This Row],[Qtt]],BG222-TbTradesBinance[[#This Row],[Qtt]]),IF(TbTradesBinance[[#This Row],[Tipo]]="BUY",BG222-TbTradesBinance[[#This Row],[Qtt]]*TbTradesBinance[[#This Row],[Preço]],BG222+TbTradesBinance[[#This Row],[Qtt]]*TbTradesBinance[[#This Row],[Preço]])),BG222)-IF(TbTradesBinance[[#This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Row],[Tipo]]="DROP"),BG222+TbTradesBinance[[#This Row],[Qtt]],BG222-TbTradesBinance[[#This Row],[Qtt]]),IF(TbTradesBinance[[#This Row],[Tipo]]="BUY",BG222-TbTradesBinance[[#This Row],[Qtt]]*TbTradesBinance[[#This Row],[Preço]],BG222+TbTradesBinance[[#This Row],[Qtt]]*TbTradesBinance[[#This Row],[Preço]])),BG222)-IF(TbTradesBinance[[#This Row],[Moeda da Taxa]]=MID(BG$1,9,5),TbTradesBinance[[#This Row],[Taxa]],0),8)))</f>
        <v>0</v>
      </c>
      <c r="BH223" s="145" cm="1">
        <f t="array" ref="BH223">IF(TbTradesBinance[[#This Row],[Tipo]]="EMPTY",0,BH222+IF(TbTradesBinance[[#This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Row],[Par]]))),$1:$1,0)),-(BG222-BG223)/BG222*BH222),0),0)+IF(TbTradesBinance[[#This Row],[Tipo]]="SELL",IF(ISNUMBER(FIND(MID(BH$1,10,5),TbTradesBinance[[#This Row],[Par]])),IF(FIND(MID(BH$1,10,5),TbTradesBinance[[#This Row],[Par]])=1, -(BG222-BG223)/BG222*BH222,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Row],[Par]])),(-(BG222-BG223)/BG222*BH222)+IF(TbTradesBinance[[#This Row],[Resultado]]&gt;0,0,TbTradesBinance[[#This Row],[Taxa]]),0),0))</f>
        <v>0</v>
      </c>
      <c r="BI223" s="145">
        <f t="shared" si="109"/>
        <v>0</v>
      </c>
      <c r="BJ223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Row],[Tipo]]="DROP"),BJ222+TbTradesBinance[[#This Row],[Qtt]],BJ222-TbTradesBinance[[#This Row],[Qtt]]),IF(TbTradesBinance[[#This Row],[Tipo]]="BUY",BJ222-TbTradesBinance[[#This Row],[Qtt]]*TbTradesBinance[[#This Row],[Preço]],BJ222+TbTradesBinance[[#This Row],[Qtt]]*TbTradesBinance[[#This Row],[Preço]])),BJ222)-IF(TbTradesBinance[[#This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Row],[Tipo]]="DROP"),BJ222+TbTradesBinance[[#This Row],[Qtt]],BJ222-TbTradesBinance[[#This Row],[Qtt]]),IF(TbTradesBinance[[#This Row],[Tipo]]="BUY",BJ222-TbTradesBinance[[#This Row],[Qtt]]*TbTradesBinance[[#This Row],[Preço]],BJ222+TbTradesBinance[[#This Row],[Qtt]]*TbTradesBinance[[#This Row],[Preço]])),BJ222)-IF(TbTradesBinance[[#This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Row],[Tipo]]="DROP"),BJ222+TbTradesBinance[[#This Row],[Qtt]],BJ222-TbTradesBinance[[#This Row],[Qtt]]),IF(TbTradesBinance[[#This Row],[Tipo]]="BUY",BJ222-TbTradesBinance[[#This Row],[Qtt]]*TbTradesBinance[[#This Row],[Preço]],BJ222+TbTradesBinance[[#This Row],[Qtt]]*TbTradesBinance[[#This Row],[Preço]])),BJ222)-IF(TbTradesBinance[[#This Row],[Moeda da Taxa]]=MID(BJ$1,9,5),TbTradesBinance[[#This Row],[Taxa]],0),8)))</f>
        <v>0</v>
      </c>
      <c r="BK223" s="145" cm="1">
        <f t="array" ref="BK223">IF(TbTradesBinance[[#This Row],[Tipo]]="EMPTY",0,BK222+IF(TbTradesBinance[[#This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Row],[Par]]))),$1:$1,0)),-(BJ222-BJ223)/BJ222*BK222),0),0)+IF(TbTradesBinance[[#This Row],[Tipo]]="SELL",IF(ISNUMBER(FIND(MID(BK$1,10,5),TbTradesBinance[[#This Row],[Par]])),IF(FIND(MID(BK$1,10,5),TbTradesBinance[[#This Row],[Par]])=1, -(BJ222-BJ223)/BJ222*BK222,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Row],[Par]])),(-(BJ222-BJ223)/BJ222*BK222)+IF(TbTradesBinance[[#This Row],[Resultado]]&gt;0,0,TbTradesBinance[[#This Row],[Taxa]]),0),0))</f>
        <v>0</v>
      </c>
      <c r="BL223" s="145">
        <f t="shared" si="110"/>
        <v>0</v>
      </c>
      <c r="BM223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Row],[Tipo]]="DROP"),BM222+TbTradesBinance[[#This Row],[Qtt]],BM222-TbTradesBinance[[#This Row],[Qtt]]),IF(TbTradesBinance[[#This Row],[Tipo]]="BUY",BM222-TbTradesBinance[[#This Row],[Qtt]]*TbTradesBinance[[#This Row],[Preço]],BM222+TbTradesBinance[[#This Row],[Qtt]]*TbTradesBinance[[#This Row],[Preço]])),BM222)-IF(TbTradesBinance[[#This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Row],[Tipo]]="DROP"),BM222+TbTradesBinance[[#This Row],[Qtt]],BM222-TbTradesBinance[[#This Row],[Qtt]]),IF(TbTradesBinance[[#This Row],[Tipo]]="BUY",BM222-TbTradesBinance[[#This Row],[Qtt]]*TbTradesBinance[[#This Row],[Preço]],BM222+TbTradesBinance[[#This Row],[Qtt]]*TbTradesBinance[[#This Row],[Preço]])),BM222)-IF(TbTradesBinance[[#This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Row],[Tipo]]="DROP"),BM222+TbTradesBinance[[#This Row],[Qtt]],BM222-TbTradesBinance[[#This Row],[Qtt]]),IF(TbTradesBinance[[#This Row],[Tipo]]="BUY",BM222-TbTradesBinance[[#This Row],[Qtt]]*TbTradesBinance[[#This Row],[Preço]],BM222+TbTradesBinance[[#This Row],[Qtt]]*TbTradesBinance[[#This Row],[Preço]])),BM222)-IF(TbTradesBinance[[#This Row],[Moeda da Taxa]]=MID(BM$1,9,5),TbTradesBinance[[#This Row],[Taxa]],0),8)))</f>
        <v>0</v>
      </c>
      <c r="BN223" s="145" cm="1">
        <f t="array" ref="BN223">IF(TbTradesBinance[[#This Row],[Tipo]]="EMPTY",0,BN222+IF(TbTradesBinance[[#This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Row],[Par]]))),$1:$1,0)),-(BM222-BM223)/BM222*BN222),0),0)+IF(TbTradesBinance[[#This Row],[Tipo]]="SELL",IF(ISNUMBER(FIND(MID(BN$1,10,5),TbTradesBinance[[#This Row],[Par]])),IF(FIND(MID(BN$1,10,5),TbTradesBinance[[#This Row],[Par]])=1, -(BM222-BM223)/BM222*BN222,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Row],[Par]])),(-(BM222-BM223)/BM222*BN222)+IF(TbTradesBinance[[#This Row],[Resultado]]&gt;0,0,TbTradesBinance[[#This Row],[Taxa]]),0),0))</f>
        <v>0</v>
      </c>
      <c r="BO223" s="145">
        <f t="shared" si="111"/>
        <v>0</v>
      </c>
    </row>
    <row r="224" spans="2:67" x14ac:dyDescent="0.3">
      <c r="B224" s="51"/>
      <c r="C224" s="40">
        <f>TRUNC(IF(AND(TbTradesBinance[[#This Row],[Tipo]]="SEND",TbTradesBinance[[#This Row],[Par]]="BRL"),TbTradesBinance[[#This Row],[Qtt]]*(1-P222)-IF(TbTradesBinance[[#This Row],[Moeda da Taxa]]="BRL",TbTradesBinance[[#This Row],[Taxa]],0),0)+IF(AND(TbTradesBinance[[#This Row],[Tipo]]="BURN",TbTradesBinance[[#This Row],[Par]]="BRL"),-TbTradesBinance[[#This Row],[Qtt]]*P222,0),2)</f>
        <v>0</v>
      </c>
      <c r="D224" s="53">
        <v>44409.628888888888</v>
      </c>
      <c r="E224" s="37" t="s">
        <v>237</v>
      </c>
      <c r="F224" s="47" t="s">
        <v>140</v>
      </c>
      <c r="G224" s="38">
        <v>5.2130000000000001</v>
      </c>
      <c r="H224" s="38">
        <v>11.9</v>
      </c>
      <c r="I224" s="38">
        <v>2.6080000000000001E-5</v>
      </c>
      <c r="J224" s="37" t="s">
        <v>45</v>
      </c>
      <c r="K224" s="52">
        <v>1</v>
      </c>
      <c r="L224" s="40">
        <f t="shared" si="94"/>
        <v>5.21</v>
      </c>
      <c r="M224" s="40">
        <f>IF(OR(TbTradesBinance[[#This Row],[Tipo]]="BUY",TbTradesBinance[[#This Row],[Tipo]]="RECEIVE",TbTradesBinance[[#This Row],[Tipo]]="DROP"),L224*H224,-L224*H224)</f>
        <v>-61.999000000000002</v>
      </c>
      <c r="N224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Row],[Tipo]]="DROP"),N223+TbTradesBinance[[#This Row],[Qtt]],N223-TbTradesBinance[[#This Row],[Qtt]]),IF(TbTradesBinance[[#This Row],[Tipo]]="BUY",N223-TbTradesBinance[[#This Row],[Qtt]]*TbTradesBinance[[#This Row],[Preço]],N223+TbTradesBinance[[#This Row],[Qtt]]*TbTradesBinance[[#This Row],[Preço]])),N223)-IF(TbTradesBinance[[#This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Row],[Tipo]]="DROP"),N223+TbTradesBinance[[#This Row],[Qtt]],N223-TbTradesBinance[[#This Row],[Qtt]]),IF(TbTradesBinance[[#This Row],[Tipo]]="BUY",N223-TbTradesBinance[[#This Row],[Qtt]]*TbTradesBinance[[#This Row],[Preço]],N223+TbTradesBinance[[#This Row],[Qtt]]*TbTradesBinance[[#This Row],[Preço]])),N223)-IF(TbTradesBinance[[#This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Row],[Tipo]]="DROP"),N223+TbTradesBinance[[#This Row],[Qtt]],N223-TbTradesBinance[[#This Row],[Qtt]]),IF(TbTradesBinance[[#This Row],[Tipo]]="BUY",N223-TbTradesBinance[[#This Row],[Qtt]]*TbTradesBinance[[#This Row],[Preço]],N223+TbTradesBinance[[#This Row],[Qtt]]*TbTradesBinance[[#This Row],[Preço]])),N223)-IF(TbTradesBinance[[#This Row],[Moeda da Taxa]]=MID(N$1,9,5),TbTradesBinance[[#This Row],[Taxa]],0),8)))</f>
        <v>119814.98898780999</v>
      </c>
      <c r="O224" s="145" cm="1">
        <f t="array" ref="O224">IF(TbTradesBinance[[#This Row],[Tipo]]="EMPTY",0,O223+IF(TbTradesBinance[[#This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Row],[Par]]))),$1:$1,0)),-(N223-N224)/N223*O223),0),0)+IF(TbTradesBinance[[#This Row],[Tipo]]="SELL",IF(ISNUMBER(FIND(MID(O$1,10,5),TbTradesBinance[[#This Row],[Par]])),IF(FIND(MID(O$1,10,5),TbTradesBinance[[#This Row],[Par]])=1, -(N223-N224)/N223*O223,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Row],[Par]])),(-(N223-N224)/N223*O223)+IF(TbTradesBinance[[#This Row],[Resultado]]&gt;0,0,TbTradesBinance[[#This Row],[Taxa]]),0),0))</f>
        <v>120517.28310345559</v>
      </c>
      <c r="P224" s="145">
        <f t="shared" ref="P224:P226" si="112">IF(N224=0,0,O224/N224)</f>
        <v>1.0058614879622201</v>
      </c>
      <c r="Q224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Row],[Tipo]]="DROP"),Q223+TbTradesBinance[[#This Row],[Qtt]],Q223-TbTradesBinance[[#This Row],[Qtt]]),IF(TbTradesBinance[[#This Row],[Tipo]]="BUY",Q223-TbTradesBinance[[#This Row],[Qtt]]*TbTradesBinance[[#This Row],[Preço]],Q223+TbTradesBinance[[#This Row],[Qtt]]*TbTradesBinance[[#This Row],[Preço]])),Q223)-IF(TbTradesBinance[[#This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Row],[Tipo]]="DROP"),Q223+TbTradesBinance[[#This Row],[Qtt]],Q223-TbTradesBinance[[#This Row],[Qtt]]),IF(TbTradesBinance[[#This Row],[Tipo]]="BUY",Q223-TbTradesBinance[[#This Row],[Qtt]]*TbTradesBinance[[#This Row],[Preço]],Q223+TbTradesBinance[[#This Row],[Qtt]]*TbTradesBinance[[#This Row],[Preço]])),Q223)-IF(TbTradesBinance[[#This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Row],[Tipo]]="DROP"),Q223+TbTradesBinance[[#This Row],[Qtt]],Q223-TbTradesBinance[[#This Row],[Qtt]]),IF(TbTradesBinance[[#This Row],[Tipo]]="BUY",Q223-TbTradesBinance[[#This Row],[Qtt]]*TbTradesBinance[[#This Row],[Preço]],Q223+TbTradesBinance[[#This Row],[Qtt]]*TbTradesBinance[[#This Row],[Preço]])),Q223)-IF(TbTradesBinance[[#This Row],[Moeda da Taxa]]=MID(Q$1,9,5),TbTradesBinance[[#This Row],[Taxa]],0),8)))</f>
        <v>305.75335733999998</v>
      </c>
      <c r="R224" s="145" cm="1">
        <f t="array" ref="R224">IF(TbTradesBinance[[#This Row],[Tipo]]="EMPTY",0,R223+IF(TbTradesBinance[[#This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Row],[Par]]))),$1:$1,0)),-(Q223-Q224)/Q223*R223),0),0)+IF(TbTradesBinance[[#This Row],[Tipo]]="SELL",IF(ISNUMBER(FIND(MID(R$1,10,5),TbTradesBinance[[#This Row],[Par]])),IF(FIND(MID(R$1,10,5),TbTradesBinance[[#This Row],[Par]])=1, -(Q223-Q224)/Q223*R223,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Row],[Par]])),(-(Q223-Q224)/Q223*R223)+IF(TbTradesBinance[[#This Row],[Resultado]]&gt;0,0,TbTradesBinance[[#This Row],[Taxa]]),0),0))</f>
        <v>1680.9769249039705</v>
      </c>
      <c r="S224" s="145">
        <f t="shared" ref="S224:S226" si="113">IF(Q224=0,0,R224/Q224)</f>
        <v>5.4978200060603486</v>
      </c>
      <c r="T224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Row],[Tipo]]="DROP"),T223+TbTradesBinance[[#This Row],[Qtt]],T223-TbTradesBinance[[#This Row],[Qtt]]),IF(TbTradesBinance[[#This Row],[Tipo]]="BUY",T223-TbTradesBinance[[#This Row],[Qtt]]*TbTradesBinance[[#This Row],[Preço]],T223+TbTradesBinance[[#This Row],[Qtt]]*TbTradesBinance[[#This Row],[Preço]])),T223)-IF(TbTradesBinance[[#This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Row],[Tipo]]="DROP"),T223+TbTradesBinance[[#This Row],[Qtt]],T223-TbTradesBinance[[#This Row],[Qtt]]),IF(TbTradesBinance[[#This Row],[Tipo]]="BUY",T223-TbTradesBinance[[#This Row],[Qtt]]*TbTradesBinance[[#This Row],[Preço]],T223+TbTradesBinance[[#This Row],[Qtt]]*TbTradesBinance[[#This Row],[Preço]])),T223)-IF(TbTradesBinance[[#This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Row],[Tipo]]="DROP"),T223+TbTradesBinance[[#This Row],[Qtt]],T223-TbTradesBinance[[#This Row],[Qtt]]),IF(TbTradesBinance[[#This Row],[Tipo]]="BUY",T223-TbTradesBinance[[#This Row],[Qtt]]*TbTradesBinance[[#This Row],[Preço]],T223+TbTradesBinance[[#This Row],[Qtt]]*TbTradesBinance[[#This Row],[Preço]])),T223)-IF(TbTradesBinance[[#This Row],[Moeda da Taxa]]=MID(T$1,9,5),TbTradesBinance[[#This Row],[Taxa]],0),8)))</f>
        <v>101223913.720009</v>
      </c>
      <c r="U224" s="145" cm="1">
        <f t="array" ref="U224">IF(TbTradesBinance[[#This Row],[Tipo]]="EMPTY",0,U223+IF(TbTradesBinance[[#This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Row],[Par]]))),$1:$1,0)),-(T223-T224)/T223*U223),0),0)+IF(TbTradesBinance[[#This Row],[Tipo]]="SELL",IF(ISNUMBER(FIND(MID(U$1,10,5),TbTradesBinance[[#This Row],[Par]])),IF(FIND(MID(U$1,10,5),TbTradesBinance[[#This Row],[Par]])=1, -(T223-T224)/T223*U223,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Row],[Par]])),(-(T223-T224)/T223*U223)+IF(TbTradesBinance[[#This Row],[Resultado]]&gt;0,0,TbTradesBinance[[#This Row],[Taxa]]),0),0))</f>
        <v>617586601.27364206</v>
      </c>
      <c r="V224" s="145">
        <f t="shared" ref="V224:V226" si="114">IF(T224=0,0,U224/T224)</f>
        <v>6.1011926784605572</v>
      </c>
      <c r="W224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Row],[Tipo]]="DROP"),W223+TbTradesBinance[[#This Row],[Qtt]],W223-TbTradesBinance[[#This Row],[Qtt]]),IF(TbTradesBinance[[#This Row],[Tipo]]="BUY",W223-TbTradesBinance[[#This Row],[Qtt]]*TbTradesBinance[[#This Row],[Preço]],W223+TbTradesBinance[[#This Row],[Qtt]]*TbTradesBinance[[#This Row],[Preço]])),W223)-IF(TbTradesBinance[[#This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Row],[Tipo]]="DROP"),W223+TbTradesBinance[[#This Row],[Qtt]],W223-TbTradesBinance[[#This Row],[Qtt]]),IF(TbTradesBinance[[#This Row],[Tipo]]="BUY",W223-TbTradesBinance[[#This Row],[Qtt]]*TbTradesBinance[[#This Row],[Preço]],W223+TbTradesBinance[[#This Row],[Qtt]]*TbTradesBinance[[#This Row],[Preço]])),W223)-IF(TbTradesBinance[[#This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Row],[Tipo]]="DROP"),W223+TbTradesBinance[[#This Row],[Qtt]],W223-TbTradesBinance[[#This Row],[Qtt]]),IF(TbTradesBinance[[#This Row],[Tipo]]="BUY",W223-TbTradesBinance[[#This Row],[Qtt]]*TbTradesBinance[[#This Row],[Preço]],W223+TbTradesBinance[[#This Row],[Qtt]]*TbTradesBinance[[#This Row],[Preço]])),W223)-IF(TbTradesBinance[[#This Row],[Moeda da Taxa]]=MID(W$1,9,5),TbTradesBinance[[#This Row],[Taxa]],0),8)))</f>
        <v>3.9899999999999999E-6</v>
      </c>
      <c r="X224" s="145" cm="1">
        <f t="array" ref="X224">IF(TbTradesBinance[[#This Row],[Tipo]]="EMPTY",0,X223+IF(TbTradesBinance[[#This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Row],[Par]]))),$1:$1,0)),-(W223-W224)/W223*X223),0),0)+IF(TbTradesBinance[[#This Row],[Tipo]]="SELL",IF(ISNUMBER(FIND(MID(X$1,10,5),TbTradesBinance[[#This Row],[Par]])),IF(FIND(MID(X$1,10,5),TbTradesBinance[[#This Row],[Par]])=1, -(W223-W224)/W223*X223,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Row],[Par]])),(-(W223-W224)/W223*X223)+IF(TbTradesBinance[[#This Row],[Resultado]]&gt;0,0,TbTradesBinance[[#This Row],[Taxa]]),0),0))</f>
        <v>0.6953811938234935</v>
      </c>
      <c r="Y224" s="145">
        <f t="shared" ref="Y224:Y226" si="115">IF(W224=0,0,X224/W224)</f>
        <v>174281.00095826905</v>
      </c>
      <c r="Z224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Row],[Tipo]]="DROP"),Z223+TbTradesBinance[[#This Row],[Qtt]],Z223-TbTradesBinance[[#This Row],[Qtt]]),IF(TbTradesBinance[[#This Row],[Tipo]]="BUY",Z223-TbTradesBinance[[#This Row],[Qtt]]*TbTradesBinance[[#This Row],[Preço]],Z223+TbTradesBinance[[#This Row],[Qtt]]*TbTradesBinance[[#This Row],[Preço]])),Z223)-IF(TbTradesBinance[[#This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Row],[Tipo]]="DROP"),Z223+TbTradesBinance[[#This Row],[Qtt]],Z223-TbTradesBinance[[#This Row],[Qtt]]),IF(TbTradesBinance[[#This Row],[Tipo]]="BUY",Z223-TbTradesBinance[[#This Row],[Qtt]]*TbTradesBinance[[#This Row],[Preço]],Z223+TbTradesBinance[[#This Row],[Qtt]]*TbTradesBinance[[#This Row],[Preço]])),Z223)-IF(TbTradesBinance[[#This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Row],[Tipo]]="DROP"),Z223+TbTradesBinance[[#This Row],[Qtt]],Z223-TbTradesBinance[[#This Row],[Qtt]]),IF(TbTradesBinance[[#This Row],[Tipo]]="BUY",Z223-TbTradesBinance[[#This Row],[Qtt]]*TbTradesBinance[[#This Row],[Preço]],Z223+TbTradesBinance[[#This Row],[Qtt]]*TbTradesBinance[[#This Row],[Preço]])),Z223)-IF(TbTradesBinance[[#This Row],[Moeda da Taxa]]=MID(Z$1,9,5),TbTradesBinance[[#This Row],[Taxa]],0),8)))</f>
        <v>0</v>
      </c>
      <c r="AA224" s="145" cm="1">
        <f t="array" ref="AA224">IF(TbTradesBinance[[#This Row],[Tipo]]="EMPTY",0,AA223+IF(TbTradesBinance[[#This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Row],[Par]]))),$1:$1,0)),-(Z223-Z224)/Z223*AA223),0),0)+IF(TbTradesBinance[[#This Row],[Tipo]]="SELL",IF(ISNUMBER(FIND(MID(AA$1,10,5),TbTradesBinance[[#This Row],[Par]])),IF(FIND(MID(AA$1,10,5),TbTradesBinance[[#This Row],[Par]])=1, -(Z223-Z224)/Z223*AA223,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Row],[Par]])),(-(Z223-Z224)/Z223*AA223)+IF(TbTradesBinance[[#This Row],[Resultado]]&gt;0,0,TbTradesBinance[[#This Row],[Taxa]]),0),0))</f>
        <v>0</v>
      </c>
      <c r="AB224" s="145">
        <f t="shared" ref="AB224:AB226" si="116">IF(Z224=0,0,AA224/Z224)</f>
        <v>0</v>
      </c>
      <c r="AC224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Row],[Tipo]]="DROP"),AC223+TbTradesBinance[[#This Row],[Qtt]],AC223-TbTradesBinance[[#This Row],[Qtt]]),IF(TbTradesBinance[[#This Row],[Tipo]]="BUY",AC223-TbTradesBinance[[#This Row],[Qtt]]*TbTradesBinance[[#This Row],[Preço]],AC223+TbTradesBinance[[#This Row],[Qtt]]*TbTradesBinance[[#This Row],[Preço]])),AC223)-IF(TbTradesBinance[[#This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Row],[Tipo]]="DROP"),AC223+TbTradesBinance[[#This Row],[Qtt]],AC223-TbTradesBinance[[#This Row],[Qtt]]),IF(TbTradesBinance[[#This Row],[Tipo]]="BUY",AC223-TbTradesBinance[[#This Row],[Qtt]]*TbTradesBinance[[#This Row],[Preço]],AC223+TbTradesBinance[[#This Row],[Qtt]]*TbTradesBinance[[#This Row],[Preço]])),AC223)-IF(TbTradesBinance[[#This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Row],[Tipo]]="DROP"),AC223+TbTradesBinance[[#This Row],[Qtt]],AC223-TbTradesBinance[[#This Row],[Qtt]]),IF(TbTradesBinance[[#This Row],[Tipo]]="BUY",AC223-TbTradesBinance[[#This Row],[Qtt]]*TbTradesBinance[[#This Row],[Preço]],AC223+TbTradesBinance[[#This Row],[Qtt]]*TbTradesBinance[[#This Row],[Preço]])),AC223)-IF(TbTradesBinance[[#This Row],[Moeda da Taxa]]=MID(AC$1,9,5),TbTradesBinance[[#This Row],[Taxa]],0),8)))</f>
        <v>0</v>
      </c>
      <c r="AD224" s="145" cm="1">
        <f t="array" ref="AD224">IF(TbTradesBinance[[#This Row],[Tipo]]="EMPTY",0,AD223+IF(TbTradesBinance[[#This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Row],[Par]]))),$1:$1,0)),-(AC223-AC224)/AC223*AD223),0),0)+IF(TbTradesBinance[[#This Row],[Tipo]]="SELL",IF(ISNUMBER(FIND(MID(AD$1,10,5),TbTradesBinance[[#This Row],[Par]])),IF(FIND(MID(AD$1,10,5),TbTradesBinance[[#This Row],[Par]])=1, -(AC223-AC224)/AC223*AD223,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Row],[Par]])),(-(AC223-AC224)/AC223*AD223)+IF(TbTradesBinance[[#This Row],[Resultado]]&gt;0,0,TbTradesBinance[[#This Row],[Taxa]]),0),0))</f>
        <v>0</v>
      </c>
      <c r="AE224" s="145">
        <f t="shared" ref="AE224:AE226" si="117">IF(AC224=0,0,AD224/AC224)</f>
        <v>0</v>
      </c>
      <c r="AF224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Row],[Tipo]]="DROP"),AF223+TbTradesBinance[[#This Row],[Qtt]],AF223-TbTradesBinance[[#This Row],[Qtt]]),IF(TbTradesBinance[[#This Row],[Tipo]]="BUY",AF223-TbTradesBinance[[#This Row],[Qtt]]*TbTradesBinance[[#This Row],[Preço]],AF223+TbTradesBinance[[#This Row],[Qtt]]*TbTradesBinance[[#This Row],[Preço]])),AF223)-IF(TbTradesBinance[[#This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Row],[Tipo]]="DROP"),AF223+TbTradesBinance[[#This Row],[Qtt]],AF223-TbTradesBinance[[#This Row],[Qtt]]),IF(TbTradesBinance[[#This Row],[Tipo]]="BUY",AF223-TbTradesBinance[[#This Row],[Qtt]]*TbTradesBinance[[#This Row],[Preço]],AF223+TbTradesBinance[[#This Row],[Qtt]]*TbTradesBinance[[#This Row],[Preço]])),AF223)-IF(TbTradesBinance[[#This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Row],[Tipo]]="DROP"),AF223+TbTradesBinance[[#This Row],[Qtt]],AF223-TbTradesBinance[[#This Row],[Qtt]]),IF(TbTradesBinance[[#This Row],[Tipo]]="BUY",AF223-TbTradesBinance[[#This Row],[Qtt]]*TbTradesBinance[[#This Row],[Preço]],AF223+TbTradesBinance[[#This Row],[Qtt]]*TbTradesBinance[[#This Row],[Preço]])),AF223)-IF(TbTradesBinance[[#This Row],[Moeda da Taxa]]=MID(AF$1,9,5),TbTradesBinance[[#This Row],[Taxa]],0),8)))</f>
        <v>0</v>
      </c>
      <c r="AG224" s="145" cm="1">
        <f t="array" ref="AG224">IF(TbTradesBinance[[#This Row],[Tipo]]="EMPTY",0,AG223+IF(TbTradesBinance[[#This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Row],[Par]]))),$1:$1,0)),-(AF223-AF224)/AF223*AG223),0),0)+IF(TbTradesBinance[[#This Row],[Tipo]]="SELL",IF(ISNUMBER(FIND(MID(AG$1,10,5),TbTradesBinance[[#This Row],[Par]])),IF(FIND(MID(AG$1,10,5),TbTradesBinance[[#This Row],[Par]])=1, -(AF223-AF224)/AF223*AG223,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Row],[Par]])),(-(AF223-AF224)/AF223*AG223)+IF(TbTradesBinance[[#This Row],[Resultado]]&gt;0,0,TbTradesBinance[[#This Row],[Taxa]]),0),0))</f>
        <v>0</v>
      </c>
      <c r="AH224" s="145">
        <f t="shared" ref="AH224:AH226" si="118">IF(AF224=0,0,AG224/AF224)</f>
        <v>0</v>
      </c>
      <c r="AI224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Row],[Tipo]]="DROP"),AI223+TbTradesBinance[[#This Row],[Qtt]],AI223-TbTradesBinance[[#This Row],[Qtt]]),IF(TbTradesBinance[[#This Row],[Tipo]]="BUY",AI223-TbTradesBinance[[#This Row],[Qtt]]*TbTradesBinance[[#This Row],[Preço]],AI223+TbTradesBinance[[#This Row],[Qtt]]*TbTradesBinance[[#This Row],[Preço]])),AI223)-IF(TbTradesBinance[[#This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Row],[Tipo]]="DROP"),AI223+TbTradesBinance[[#This Row],[Qtt]],AI223-TbTradesBinance[[#This Row],[Qtt]]),IF(TbTradesBinance[[#This Row],[Tipo]]="BUY",AI223-TbTradesBinance[[#This Row],[Qtt]]*TbTradesBinance[[#This Row],[Preço]],AI223+TbTradesBinance[[#This Row],[Qtt]]*TbTradesBinance[[#This Row],[Preço]])),AI223)-IF(TbTradesBinance[[#This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Row],[Tipo]]="DROP"),AI223+TbTradesBinance[[#This Row],[Qtt]],AI223-TbTradesBinance[[#This Row],[Qtt]]),IF(TbTradesBinance[[#This Row],[Tipo]]="BUY",AI223-TbTradesBinance[[#This Row],[Qtt]]*TbTradesBinance[[#This Row],[Preço]],AI223+TbTradesBinance[[#This Row],[Qtt]]*TbTradesBinance[[#This Row],[Preço]])),AI223)-IF(TbTradesBinance[[#This Row],[Moeda da Taxa]]=MID(AI$1,9,5),TbTradesBinance[[#This Row],[Taxa]],0),8)))</f>
        <v>0</v>
      </c>
      <c r="AJ224" s="145" cm="1">
        <f t="array" ref="AJ224">IF(TbTradesBinance[[#This Row],[Tipo]]="EMPTY",0,AJ223+IF(TbTradesBinance[[#This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Row],[Par]]))),$1:$1,0)),-(AI223-AI224)/AI223*AJ223),0),0)+IF(TbTradesBinance[[#This Row],[Tipo]]="SELL",IF(ISNUMBER(FIND(MID(AJ$1,10,5),TbTradesBinance[[#This Row],[Par]])),IF(FIND(MID(AJ$1,10,5),TbTradesBinance[[#This Row],[Par]])=1, -(AI223-AI224)/AI223*AJ223,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Row],[Par]])),(-(AI223-AI224)/AI223*AJ223)+IF(TbTradesBinance[[#This Row],[Resultado]]&gt;0,0,TbTradesBinance[[#This Row],[Taxa]]),0),0))</f>
        <v>0</v>
      </c>
      <c r="AK224" s="145">
        <f t="shared" ref="AK224:AK226" si="119">IF(AI224=0,0,AJ224/AI224)</f>
        <v>0</v>
      </c>
      <c r="AL224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Row],[Tipo]]="DROP"),AL223+TbTradesBinance[[#This Row],[Qtt]],AL223-TbTradesBinance[[#This Row],[Qtt]]),IF(TbTradesBinance[[#This Row],[Tipo]]="BUY",AL223-TbTradesBinance[[#This Row],[Qtt]]*TbTradesBinance[[#This Row],[Preço]],AL223+TbTradesBinance[[#This Row],[Qtt]]*TbTradesBinance[[#This Row],[Preço]])),AL223)-IF(TbTradesBinance[[#This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Row],[Tipo]]="DROP"),AL223+TbTradesBinance[[#This Row],[Qtt]],AL223-TbTradesBinance[[#This Row],[Qtt]]),IF(TbTradesBinance[[#This Row],[Tipo]]="BUY",AL223-TbTradesBinance[[#This Row],[Qtt]]*TbTradesBinance[[#This Row],[Preço]],AL223+TbTradesBinance[[#This Row],[Qtt]]*TbTradesBinance[[#This Row],[Preço]])),AL223)-IF(TbTradesBinance[[#This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Row],[Tipo]]="DROP"),AL223+TbTradesBinance[[#This Row],[Qtt]],AL223-TbTradesBinance[[#This Row],[Qtt]]),IF(TbTradesBinance[[#This Row],[Tipo]]="BUY",AL223-TbTradesBinance[[#This Row],[Qtt]]*TbTradesBinance[[#This Row],[Preço]],AL223+TbTradesBinance[[#This Row],[Qtt]]*TbTradesBinance[[#This Row],[Preço]])),AL223)-IF(TbTradesBinance[[#This Row],[Moeda da Taxa]]=MID(AL$1,9,5),TbTradesBinance[[#This Row],[Taxa]],0),8)))</f>
        <v>0</v>
      </c>
      <c r="AM224" s="145" cm="1">
        <f t="array" ref="AM224">IF(TbTradesBinance[[#This Row],[Tipo]]="EMPTY",0,AM223+IF(TbTradesBinance[[#This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Row],[Par]]))),$1:$1,0)),-(AL223-AL224)/AL223*AM223),0),0)+IF(TbTradesBinance[[#This Row],[Tipo]]="SELL",IF(ISNUMBER(FIND(MID(AM$1,10,5),TbTradesBinance[[#This Row],[Par]])),IF(FIND(MID(AM$1,10,5),TbTradesBinance[[#This Row],[Par]])=1, -(AL223-AL224)/AL223*AM223,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Row],[Par]])),(-(AL223-AL224)/AL223*AM223)+IF(TbTradesBinance[[#This Row],[Resultado]]&gt;0,0,TbTradesBinance[[#This Row],[Taxa]]),0),0))</f>
        <v>0</v>
      </c>
      <c r="AN224" s="145">
        <f t="shared" ref="AN224:AN226" si="120">IF(AL224=0,0,AM224/AL224)</f>
        <v>0</v>
      </c>
      <c r="AO224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Row],[Tipo]]="DROP"),AO223+TbTradesBinance[[#This Row],[Qtt]],AO223-TbTradesBinance[[#This Row],[Qtt]]),IF(TbTradesBinance[[#This Row],[Tipo]]="BUY",AO223-TbTradesBinance[[#This Row],[Qtt]]*TbTradesBinance[[#This Row],[Preço]],AO223+TbTradesBinance[[#This Row],[Qtt]]*TbTradesBinance[[#This Row],[Preço]])),AO223)-IF(TbTradesBinance[[#This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Row],[Tipo]]="DROP"),AO223+TbTradesBinance[[#This Row],[Qtt]],AO223-TbTradesBinance[[#This Row],[Qtt]]),IF(TbTradesBinance[[#This Row],[Tipo]]="BUY",AO223-TbTradesBinance[[#This Row],[Qtt]]*TbTradesBinance[[#This Row],[Preço]],AO223+TbTradesBinance[[#This Row],[Qtt]]*TbTradesBinance[[#This Row],[Preço]])),AO223)-IF(TbTradesBinance[[#This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Row],[Tipo]]="DROP"),AO223+TbTradesBinance[[#This Row],[Qtt]],AO223-TbTradesBinance[[#This Row],[Qtt]]),IF(TbTradesBinance[[#This Row],[Tipo]]="BUY",AO223-TbTradesBinance[[#This Row],[Qtt]]*TbTradesBinance[[#This Row],[Preço]],AO223+TbTradesBinance[[#This Row],[Qtt]]*TbTradesBinance[[#This Row],[Preço]])),AO223)-IF(TbTradesBinance[[#This Row],[Moeda da Taxa]]=MID(AO$1,9,5),TbTradesBinance[[#This Row],[Taxa]],0),8)))</f>
        <v>6.6719139999999996E-2</v>
      </c>
      <c r="AP224" s="145" cm="1">
        <f t="array" ref="AP224">IF(TbTradesBinance[[#This Row],[Tipo]]="EMPTY",0,AP223+IF(TbTradesBinance[[#This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Row],[Par]]))),$1:$1,0)),-(AO223-AO224)/AO223*AP223),0),0)+IF(TbTradesBinance[[#This Row],[Tipo]]="SELL",IF(ISNUMBER(FIND(MID(AP$1,10,5),TbTradesBinance[[#This Row],[Par]])),IF(FIND(MID(AP$1,10,5),TbTradesBinance[[#This Row],[Par]])=1, -(AO223-AO224)/AO223*AP223,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Row],[Par]])),(-(AO223-AO224)/AO223*AP223)+IF(TbTradesBinance[[#This Row],[Resultado]]&gt;0,0,TbTradesBinance[[#This Row],[Taxa]]),0),0))</f>
        <v>102.0944711963762</v>
      </c>
      <c r="AQ224" s="145">
        <f t="shared" ref="AQ224:AQ226" si="121">IF(AO224=0,0,AP224/AO224)</f>
        <v>1530.2126375786049</v>
      </c>
      <c r="AR224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Row],[Tipo]]="DROP"),AR223+TbTradesBinance[[#This Row],[Qtt]],AR223-TbTradesBinance[[#This Row],[Qtt]]),IF(TbTradesBinance[[#This Row],[Tipo]]="BUY",AR223-TbTradesBinance[[#This Row],[Qtt]]*TbTradesBinance[[#This Row],[Preço]],AR223+TbTradesBinance[[#This Row],[Qtt]]*TbTradesBinance[[#This Row],[Preço]])),AR223)-IF(TbTradesBinance[[#This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Row],[Tipo]]="DROP"),AR223+TbTradesBinance[[#This Row],[Qtt]],AR223-TbTradesBinance[[#This Row],[Qtt]]),IF(TbTradesBinance[[#This Row],[Tipo]]="BUY",AR223-TbTradesBinance[[#This Row],[Qtt]]*TbTradesBinance[[#This Row],[Preço]],AR223+TbTradesBinance[[#This Row],[Qtt]]*TbTradesBinance[[#This Row],[Preço]])),AR223)-IF(TbTradesBinance[[#This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Row],[Tipo]]="DROP"),AR223+TbTradesBinance[[#This Row],[Qtt]],AR223-TbTradesBinance[[#This Row],[Qtt]]),IF(TbTradesBinance[[#This Row],[Tipo]]="BUY",AR223-TbTradesBinance[[#This Row],[Qtt]]*TbTradesBinance[[#This Row],[Preço]],AR223+TbTradesBinance[[#This Row],[Qtt]]*TbTradesBinance[[#This Row],[Preço]])),AR223)-IF(TbTradesBinance[[#This Row],[Moeda da Taxa]]=MID(AR$1,9,5),TbTradesBinance[[#This Row],[Taxa]],0),8)))</f>
        <v>0</v>
      </c>
      <c r="AS224" s="145" cm="1">
        <f t="array" ref="AS224">IF(TbTradesBinance[[#This Row],[Tipo]]="EMPTY",0,AS223+IF(TbTradesBinance[[#This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Row],[Par]]))),$1:$1,0)),-(AR223-AR224)/AR223*AS223),0),0)+IF(TbTradesBinance[[#This Row],[Tipo]]="SELL",IF(ISNUMBER(FIND(MID(AS$1,10,5),TbTradesBinance[[#This Row],[Par]])),IF(FIND(MID(AS$1,10,5),TbTradesBinance[[#This Row],[Par]])=1, -(AR223-AR224)/AR223*AS223,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Row],[Par]])),(-(AR223-AR224)/AR223*AS223)+IF(TbTradesBinance[[#This Row],[Resultado]]&gt;0,0,TbTradesBinance[[#This Row],[Taxa]]),0),0))</f>
        <v>0</v>
      </c>
      <c r="AT224" s="145">
        <f t="shared" ref="AT224:AT226" si="122">IF(AR224=0,0,AS224/AR224)</f>
        <v>0</v>
      </c>
      <c r="AU224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Row],[Tipo]]="DROP"),AU223+TbTradesBinance[[#This Row],[Qtt]],AU223-TbTradesBinance[[#This Row],[Qtt]]),IF(TbTradesBinance[[#This Row],[Tipo]]="BUY",AU223-TbTradesBinance[[#This Row],[Qtt]]*TbTradesBinance[[#This Row],[Preço]],AU223+TbTradesBinance[[#This Row],[Qtt]]*TbTradesBinance[[#This Row],[Preço]])),AU223)-IF(TbTradesBinance[[#This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Row],[Tipo]]="DROP"),AU223+TbTradesBinance[[#This Row],[Qtt]],AU223-TbTradesBinance[[#This Row],[Qtt]]),IF(TbTradesBinance[[#This Row],[Tipo]]="BUY",AU223-TbTradesBinance[[#This Row],[Qtt]]*TbTradesBinance[[#This Row],[Preço]],AU223+TbTradesBinance[[#This Row],[Qtt]]*TbTradesBinance[[#This Row],[Preço]])),AU223)-IF(TbTradesBinance[[#This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Row],[Tipo]]="DROP"),AU223+TbTradesBinance[[#This Row],[Qtt]],AU223-TbTradesBinance[[#This Row],[Qtt]]),IF(TbTradesBinance[[#This Row],[Tipo]]="BUY",AU223-TbTradesBinance[[#This Row],[Qtt]]*TbTradesBinance[[#This Row],[Preço]],AU223+TbTradesBinance[[#This Row],[Qtt]]*TbTradesBinance[[#This Row],[Preço]])),AU223)-IF(TbTradesBinance[[#This Row],[Moeda da Taxa]]=MID(AU$1,9,5),TbTradesBinance[[#This Row],[Taxa]],0),8)))</f>
        <v>0.51</v>
      </c>
      <c r="AV224" s="145" cm="1">
        <f t="array" ref="AV224">IF(TbTradesBinance[[#This Row],[Tipo]]="EMPTY",0,AV223+IF(TbTradesBinance[[#This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Row],[Par]]))),$1:$1,0)),-(AU223-AU224)/AU223*AV223),0),0)+IF(TbTradesBinance[[#This Row],[Tipo]]="SELL",IF(ISNUMBER(FIND(MID(AV$1,10,5),TbTradesBinance[[#This Row],[Par]])),IF(FIND(MID(AV$1,10,5),TbTradesBinance[[#This Row],[Par]])=1, -(AU223-AU224)/AU223*AV223,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Row],[Par]])),(-(AU223-AU224)/AU223*AV223)+IF(TbTradesBinance[[#This Row],[Resultado]]&gt;0,0,TbTradesBinance[[#This Row],[Taxa]]),0),0))</f>
        <v>95.466693037374753</v>
      </c>
      <c r="AW224" s="145">
        <f t="shared" ref="AW224:AW226" si="123">IF(AU224=0,0,AV224/AU224)</f>
        <v>187.18959419093088</v>
      </c>
      <c r="AX224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Row],[Tipo]]="DROP"),AX223+TbTradesBinance[[#This Row],[Qtt]],AX223-TbTradesBinance[[#This Row],[Qtt]]),IF(TbTradesBinance[[#This Row],[Tipo]]="BUY",AX223-TbTradesBinance[[#This Row],[Qtt]]*TbTradesBinance[[#This Row],[Preço]],AX223+TbTradesBinance[[#This Row],[Qtt]]*TbTradesBinance[[#This Row],[Preço]])),AX223)-IF(TbTradesBinance[[#This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Row],[Tipo]]="DROP"),AX223+TbTradesBinance[[#This Row],[Qtt]],AX223-TbTradesBinance[[#This Row],[Qtt]]),IF(TbTradesBinance[[#This Row],[Tipo]]="BUY",AX223-TbTradesBinance[[#This Row],[Qtt]]*TbTradesBinance[[#This Row],[Preço]],AX223+TbTradesBinance[[#This Row],[Qtt]]*TbTradesBinance[[#This Row],[Preço]])),AX223)-IF(TbTradesBinance[[#This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Row],[Tipo]]="DROP"),AX223+TbTradesBinance[[#This Row],[Qtt]],AX223-TbTradesBinance[[#This Row],[Qtt]]),IF(TbTradesBinance[[#This Row],[Tipo]]="BUY",AX223-TbTradesBinance[[#This Row],[Qtt]]*TbTradesBinance[[#This Row],[Preço]],AX223+TbTradesBinance[[#This Row],[Qtt]]*TbTradesBinance[[#This Row],[Preço]])),AX223)-IF(TbTradesBinance[[#This Row],[Moeda da Taxa]]=MID(AX$1,9,5),TbTradesBinance[[#This Row],[Taxa]],0),8)))</f>
        <v>0.32838000000000001</v>
      </c>
      <c r="AY224" s="145" cm="1">
        <f t="array" ref="AY224">IF(TbTradesBinance[[#This Row],[Tipo]]="EMPTY",0,AY223+IF(TbTradesBinance[[#This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Row],[Par]]))),$1:$1,0)),-(AX223-AX224)/AX223*AY223),0),0)+IF(TbTradesBinance[[#This Row],[Tipo]]="SELL",IF(ISNUMBER(FIND(MID(AY$1,10,5),TbTradesBinance[[#This Row],[Par]])),IF(FIND(MID(AY$1,10,5),TbTradesBinance[[#This Row],[Par]])=1, -(AX223-AX224)/AX223*AY223,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Row],[Par]])),(-(AX223-AX224)/AX223*AY223)+IF(TbTradesBinance[[#This Row],[Resultado]]&gt;0,0,TbTradesBinance[[#This Row],[Taxa]]),0),0))</f>
        <v>61.364116058805678</v>
      </c>
      <c r="AZ224" s="145">
        <f t="shared" ref="AZ224:AZ226" si="124">IF(AX224=0,0,AY224/AX224)</f>
        <v>186.869224857804</v>
      </c>
      <c r="BA224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Row],[Tipo]]="DROP"),BA223+TbTradesBinance[[#This Row],[Qtt]],BA223-TbTradesBinance[[#This Row],[Qtt]]),IF(TbTradesBinance[[#This Row],[Tipo]]="BUY",BA223-TbTradesBinance[[#This Row],[Qtt]]*TbTradesBinance[[#This Row],[Preço]],BA223+TbTradesBinance[[#This Row],[Qtt]]*TbTradesBinance[[#This Row],[Preço]])),BA223)-IF(TbTradesBinance[[#This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Row],[Tipo]]="DROP"),BA223+TbTradesBinance[[#This Row],[Qtt]],BA223-TbTradesBinance[[#This Row],[Qtt]]),IF(TbTradesBinance[[#This Row],[Tipo]]="BUY",BA223-TbTradesBinance[[#This Row],[Qtt]]*TbTradesBinance[[#This Row],[Preço]],BA223+TbTradesBinance[[#This Row],[Qtt]]*TbTradesBinance[[#This Row],[Preço]])),BA223)-IF(TbTradesBinance[[#This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Row],[Tipo]]="DROP"),BA223+TbTradesBinance[[#This Row],[Qtt]],BA223-TbTradesBinance[[#This Row],[Qtt]]),IF(TbTradesBinance[[#This Row],[Tipo]]="BUY",BA223-TbTradesBinance[[#This Row],[Qtt]]*TbTradesBinance[[#This Row],[Preço]],BA223+TbTradesBinance[[#This Row],[Qtt]]*TbTradesBinance[[#This Row],[Preço]])),BA223)-IF(TbTradesBinance[[#This Row],[Moeda da Taxa]]=MID(BA$1,9,5),TbTradesBinance[[#This Row],[Taxa]],0),8)))</f>
        <v>0</v>
      </c>
      <c r="BB224" s="145" cm="1">
        <f t="array" ref="BB224">IF(TbTradesBinance[[#This Row],[Tipo]]="EMPTY",0,BB223+IF(TbTradesBinance[[#This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Row],[Par]]))),$1:$1,0)),-(BA223-BA224)/BA223*BB223),0),0)+IF(TbTradesBinance[[#This Row],[Tipo]]="SELL",IF(ISNUMBER(FIND(MID(BB$1,10,5),TbTradesBinance[[#This Row],[Par]])),IF(FIND(MID(BB$1,10,5),TbTradesBinance[[#This Row],[Par]])=1, -(BA223-BA224)/BA223*BB223,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Row],[Par]])),(-(BA223-BA224)/BA223*BB223)+IF(TbTradesBinance[[#This Row],[Resultado]]&gt;0,0,TbTradesBinance[[#This Row],[Taxa]]),0),0))</f>
        <v>0</v>
      </c>
      <c r="BC224" s="145">
        <f t="shared" ref="BC224:BC226" si="125">IF(BA224=0,0,BB224/BA224)</f>
        <v>0</v>
      </c>
      <c r="BD224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Row],[Tipo]]="DROP"),BD223+TbTradesBinance[[#This Row],[Qtt]],BD223-TbTradesBinance[[#This Row],[Qtt]]),IF(TbTradesBinance[[#This Row],[Tipo]]="BUY",BD223-TbTradesBinance[[#This Row],[Qtt]]*TbTradesBinance[[#This Row],[Preço]],BD223+TbTradesBinance[[#This Row],[Qtt]]*TbTradesBinance[[#This Row],[Preço]])),BD223)-IF(TbTradesBinance[[#This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Row],[Tipo]]="DROP"),BD223+TbTradesBinance[[#This Row],[Qtt]],BD223-TbTradesBinance[[#This Row],[Qtt]]),IF(TbTradesBinance[[#This Row],[Tipo]]="BUY",BD223-TbTradesBinance[[#This Row],[Qtt]]*TbTradesBinance[[#This Row],[Preço]],BD223+TbTradesBinance[[#This Row],[Qtt]]*TbTradesBinance[[#This Row],[Preço]])),BD223)-IF(TbTradesBinance[[#This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Row],[Tipo]]="DROP"),BD223+TbTradesBinance[[#This Row],[Qtt]],BD223-TbTradesBinance[[#This Row],[Qtt]]),IF(TbTradesBinance[[#This Row],[Tipo]]="BUY",BD223-TbTradesBinance[[#This Row],[Qtt]]*TbTradesBinance[[#This Row],[Preço]],BD223+TbTradesBinance[[#This Row],[Qtt]]*TbTradesBinance[[#This Row],[Preço]])),BD223)-IF(TbTradesBinance[[#This Row],[Moeda da Taxa]]=MID(BD$1,9,5),TbTradesBinance[[#This Row],[Taxa]],0),8)))</f>
        <v>0</v>
      </c>
      <c r="BE224" s="145" cm="1">
        <f t="array" ref="BE224">IF(TbTradesBinance[[#This Row],[Tipo]]="EMPTY",0,BE223+IF(TbTradesBinance[[#This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Row],[Par]]))),$1:$1,0)),-(BD223-BD224)/BD223*BE223),0),0)+IF(TbTradesBinance[[#This Row],[Tipo]]="SELL",IF(ISNUMBER(FIND(MID(BE$1,10,5),TbTradesBinance[[#This Row],[Par]])),IF(FIND(MID(BE$1,10,5),TbTradesBinance[[#This Row],[Par]])=1, -(BD223-BD224)/BD223*BE223,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Row],[Par]])),(-(BD223-BD224)/BD223*BE223)+IF(TbTradesBinance[[#This Row],[Resultado]]&gt;0,0,TbTradesBinance[[#This Row],[Taxa]]),0),0))</f>
        <v>0</v>
      </c>
      <c r="BF224" s="145">
        <f t="shared" ref="BF224:BF226" si="126">IF(BD224=0,0,BE224/BD224)</f>
        <v>0</v>
      </c>
      <c r="BG224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Row],[Tipo]]="DROP"),BG223+TbTradesBinance[[#This Row],[Qtt]],BG223-TbTradesBinance[[#This Row],[Qtt]]),IF(TbTradesBinance[[#This Row],[Tipo]]="BUY",BG223-TbTradesBinance[[#This Row],[Qtt]]*TbTradesBinance[[#This Row],[Preço]],BG223+TbTradesBinance[[#This Row],[Qtt]]*TbTradesBinance[[#This Row],[Preço]])),BG223)-IF(TbTradesBinance[[#This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Row],[Tipo]]="DROP"),BG223+TbTradesBinance[[#This Row],[Qtt]],BG223-TbTradesBinance[[#This Row],[Qtt]]),IF(TbTradesBinance[[#This Row],[Tipo]]="BUY",BG223-TbTradesBinance[[#This Row],[Qtt]]*TbTradesBinance[[#This Row],[Preço]],BG223+TbTradesBinance[[#This Row],[Qtt]]*TbTradesBinance[[#This Row],[Preço]])),BG223)-IF(TbTradesBinance[[#This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Row],[Tipo]]="DROP"),BG223+TbTradesBinance[[#This Row],[Qtt]],BG223-TbTradesBinance[[#This Row],[Qtt]]),IF(TbTradesBinance[[#This Row],[Tipo]]="BUY",BG223-TbTradesBinance[[#This Row],[Qtt]]*TbTradesBinance[[#This Row],[Preço]],BG223+TbTradesBinance[[#This Row],[Qtt]]*TbTradesBinance[[#This Row],[Preço]])),BG223)-IF(TbTradesBinance[[#This Row],[Moeda da Taxa]]=MID(BG$1,9,5),TbTradesBinance[[#This Row],[Taxa]],0),8)))</f>
        <v>0</v>
      </c>
      <c r="BH224" s="145" cm="1">
        <f t="array" ref="BH224">IF(TbTradesBinance[[#This Row],[Tipo]]="EMPTY",0,BH223+IF(TbTradesBinance[[#This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Row],[Par]]))),$1:$1,0)),-(BG223-BG224)/BG223*BH223),0),0)+IF(TbTradesBinance[[#This Row],[Tipo]]="SELL",IF(ISNUMBER(FIND(MID(BH$1,10,5),TbTradesBinance[[#This Row],[Par]])),IF(FIND(MID(BH$1,10,5),TbTradesBinance[[#This Row],[Par]])=1, -(BG223-BG224)/BG223*BH223,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Row],[Par]])),(-(BG223-BG224)/BG223*BH223)+IF(TbTradesBinance[[#This Row],[Resultado]]&gt;0,0,TbTradesBinance[[#This Row],[Taxa]]),0),0))</f>
        <v>0</v>
      </c>
      <c r="BI224" s="145">
        <f t="shared" ref="BI224:BI226" si="127">IF(BG224=0,0,BH224/BG224)</f>
        <v>0</v>
      </c>
      <c r="BJ224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Row],[Tipo]]="DROP"),BJ223+TbTradesBinance[[#This Row],[Qtt]],BJ223-TbTradesBinance[[#This Row],[Qtt]]),IF(TbTradesBinance[[#This Row],[Tipo]]="BUY",BJ223-TbTradesBinance[[#This Row],[Qtt]]*TbTradesBinance[[#This Row],[Preço]],BJ223+TbTradesBinance[[#This Row],[Qtt]]*TbTradesBinance[[#This Row],[Preço]])),BJ223)-IF(TbTradesBinance[[#This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Row],[Tipo]]="DROP"),BJ223+TbTradesBinance[[#This Row],[Qtt]],BJ223-TbTradesBinance[[#This Row],[Qtt]]),IF(TbTradesBinance[[#This Row],[Tipo]]="BUY",BJ223-TbTradesBinance[[#This Row],[Qtt]]*TbTradesBinance[[#This Row],[Preço]],BJ223+TbTradesBinance[[#This Row],[Qtt]]*TbTradesBinance[[#This Row],[Preço]])),BJ223)-IF(TbTradesBinance[[#This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Row],[Tipo]]="DROP"),BJ223+TbTradesBinance[[#This Row],[Qtt]],BJ223-TbTradesBinance[[#This Row],[Qtt]]),IF(TbTradesBinance[[#This Row],[Tipo]]="BUY",BJ223-TbTradesBinance[[#This Row],[Qtt]]*TbTradesBinance[[#This Row],[Preço]],BJ223+TbTradesBinance[[#This Row],[Qtt]]*TbTradesBinance[[#This Row],[Preço]])),BJ223)-IF(TbTradesBinance[[#This Row],[Moeda da Taxa]]=MID(BJ$1,9,5),TbTradesBinance[[#This Row],[Taxa]],0),8)))</f>
        <v>0</v>
      </c>
      <c r="BK224" s="145" cm="1">
        <f t="array" ref="BK224">IF(TbTradesBinance[[#This Row],[Tipo]]="EMPTY",0,BK223+IF(TbTradesBinance[[#This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Row],[Par]]))),$1:$1,0)),-(BJ223-BJ224)/BJ223*BK223),0),0)+IF(TbTradesBinance[[#This Row],[Tipo]]="SELL",IF(ISNUMBER(FIND(MID(BK$1,10,5),TbTradesBinance[[#This Row],[Par]])),IF(FIND(MID(BK$1,10,5),TbTradesBinance[[#This Row],[Par]])=1, -(BJ223-BJ224)/BJ223*BK223,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Row],[Par]])),(-(BJ223-BJ224)/BJ223*BK223)+IF(TbTradesBinance[[#This Row],[Resultado]]&gt;0,0,TbTradesBinance[[#This Row],[Taxa]]),0),0))</f>
        <v>0</v>
      </c>
      <c r="BL224" s="145">
        <f t="shared" ref="BL224:BL226" si="128">IF(BJ224=0,0,BK224/BJ224)</f>
        <v>0</v>
      </c>
      <c r="BM224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Row],[Tipo]]="DROP"),BM223+TbTradesBinance[[#This Row],[Qtt]],BM223-TbTradesBinance[[#This Row],[Qtt]]),IF(TbTradesBinance[[#This Row],[Tipo]]="BUY",BM223-TbTradesBinance[[#This Row],[Qtt]]*TbTradesBinance[[#This Row],[Preço]],BM223+TbTradesBinance[[#This Row],[Qtt]]*TbTradesBinance[[#This Row],[Preço]])),BM223)-IF(TbTradesBinance[[#This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Row],[Tipo]]="DROP"),BM223+TbTradesBinance[[#This Row],[Qtt]],BM223-TbTradesBinance[[#This Row],[Qtt]]),IF(TbTradesBinance[[#This Row],[Tipo]]="BUY",BM223-TbTradesBinance[[#This Row],[Qtt]]*TbTradesBinance[[#This Row],[Preço]],BM223+TbTradesBinance[[#This Row],[Qtt]]*TbTradesBinance[[#This Row],[Preço]])),BM223)-IF(TbTradesBinance[[#This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Row],[Tipo]]="DROP"),BM223+TbTradesBinance[[#This Row],[Qtt]],BM223-TbTradesBinance[[#This Row],[Qtt]]),IF(TbTradesBinance[[#This Row],[Tipo]]="BUY",BM223-TbTradesBinance[[#This Row],[Qtt]]*TbTradesBinance[[#This Row],[Preço]],BM223+TbTradesBinance[[#This Row],[Qtt]]*TbTradesBinance[[#This Row],[Preço]])),BM223)-IF(TbTradesBinance[[#This Row],[Moeda da Taxa]]=MID(BM$1,9,5),TbTradesBinance[[#This Row],[Taxa]],0),8)))</f>
        <v>0</v>
      </c>
      <c r="BN224" s="145" cm="1">
        <f t="array" ref="BN224">IF(TbTradesBinance[[#This Row],[Tipo]]="EMPTY",0,BN223+IF(TbTradesBinance[[#This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Row],[Par]]))),$1:$1,0)),-(BM223-BM224)/BM223*BN223),0),0)+IF(TbTradesBinance[[#This Row],[Tipo]]="SELL",IF(ISNUMBER(FIND(MID(BN$1,10,5),TbTradesBinance[[#This Row],[Par]])),IF(FIND(MID(BN$1,10,5),TbTradesBinance[[#This Row],[Par]])=1, -(BM223-BM224)/BM223*BN223,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Row],[Par]])),(-(BM223-BM224)/BM223*BN223)+IF(TbTradesBinance[[#This Row],[Resultado]]&gt;0,0,TbTradesBinance[[#This Row],[Taxa]]),0),0))</f>
        <v>0</v>
      </c>
      <c r="BO224" s="145">
        <f t="shared" ref="BO224:BO226" si="129">IF(BM224=0,0,BN224/BM224)</f>
        <v>0</v>
      </c>
    </row>
    <row r="225" spans="2:67" x14ac:dyDescent="0.3">
      <c r="B225" s="51"/>
      <c r="C225" s="40">
        <f>TRUNC(IF(AND(TbTradesBinance[[#This Row],[Tipo]]="SEND",TbTradesBinance[[#This Row],[Par]]="BRL"),TbTradesBinance[[#This Row],[Qtt]]*(1-P223)-IF(TbTradesBinance[[#This Row],[Moeda da Taxa]]="BRL",TbTradesBinance[[#This Row],[Taxa]],0),0)+IF(AND(TbTradesBinance[[#This Row],[Tipo]]="BURN",TbTradesBinance[[#This Row],[Par]]="BRL"),-TbTradesBinance[[#This Row],[Qtt]]*P223,0),2)</f>
        <v>-0.4</v>
      </c>
      <c r="D225" s="53">
        <v>44409.75440972222</v>
      </c>
      <c r="E225" s="37" t="s">
        <v>50</v>
      </c>
      <c r="F225" s="47" t="s">
        <v>142</v>
      </c>
      <c r="G225" s="38">
        <v>1</v>
      </c>
      <c r="H225" s="38">
        <v>69.5</v>
      </c>
      <c r="I225" s="38">
        <v>0</v>
      </c>
      <c r="J225" s="37" t="s">
        <v>45</v>
      </c>
      <c r="K225" s="52">
        <v>1</v>
      </c>
      <c r="L225" s="40">
        <f t="shared" si="94"/>
        <v>1</v>
      </c>
      <c r="M225" s="40">
        <f>IF(OR(TbTradesBinance[[#This Row],[Tipo]]="BUY",TbTradesBinance[[#This Row],[Tipo]]="RECEIVE",TbTradesBinance[[#This Row],[Tipo]]="DROP"),L225*H225,-L225*H225)</f>
        <v>-69.5</v>
      </c>
      <c r="N225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Row],[Tipo]]="DROP"),N224+TbTradesBinance[[#This Row],[Qtt]],N224-TbTradesBinance[[#This Row],[Qtt]]),IF(TbTradesBinance[[#This Row],[Tipo]]="BUY",N224-TbTradesBinance[[#This Row],[Qtt]]*TbTradesBinance[[#This Row],[Preço]],N224+TbTradesBinance[[#This Row],[Qtt]]*TbTradesBinance[[#This Row],[Preço]])),N224)-IF(TbTradesBinance[[#This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Row],[Tipo]]="DROP"),N224+TbTradesBinance[[#This Row],[Qtt]],N224-TbTradesBinance[[#This Row],[Qtt]]),IF(TbTradesBinance[[#This Row],[Tipo]]="BUY",N224-TbTradesBinance[[#This Row],[Qtt]]*TbTradesBinance[[#This Row],[Preço]],N224+TbTradesBinance[[#This Row],[Qtt]]*TbTradesBinance[[#This Row],[Preço]])),N224)-IF(TbTradesBinance[[#This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Row],[Tipo]]="DROP"),N224+TbTradesBinance[[#This Row],[Qtt]],N224-TbTradesBinance[[#This Row],[Qtt]]),IF(TbTradesBinance[[#This Row],[Tipo]]="BUY",N224-TbTradesBinance[[#This Row],[Qtt]]*TbTradesBinance[[#This Row],[Preço]],N224+TbTradesBinance[[#This Row],[Qtt]]*TbTradesBinance[[#This Row],[Preço]])),N224)-IF(TbTradesBinance[[#This Row],[Moeda da Taxa]]=MID(N$1,9,5),TbTradesBinance[[#This Row],[Taxa]],0),8)))</f>
        <v>119745.48898780999</v>
      </c>
      <c r="O225" s="145" cm="1">
        <f t="array" ref="O225">IF(TbTradesBinance[[#This Row],[Tipo]]="EMPTY",0,O224+IF(TbTradesBinance[[#This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Row],[Par]]))),$1:$1,0)),-(N224-N225)/N224*O224),0),0)+IF(TbTradesBinance[[#This Row],[Tipo]]="SELL",IF(ISNUMBER(FIND(MID(O$1,10,5),TbTradesBinance[[#This Row],[Par]])),IF(FIND(MID(O$1,10,5),TbTradesBinance[[#This Row],[Par]])=1, -(N224-N225)/N224*O224,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Row],[Par]])),(-(N224-N225)/N224*O224)+IF(TbTradesBinance[[#This Row],[Resultado]]&gt;0,0,TbTradesBinance[[#This Row],[Taxa]]),0),0))</f>
        <v>120447.37573004221</v>
      </c>
      <c r="P225" s="145">
        <f t="shared" si="112"/>
        <v>1.0058614879622203</v>
      </c>
      <c r="Q225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Row],[Tipo]]="DROP"),Q224+TbTradesBinance[[#This Row],[Qtt]],Q224-TbTradesBinance[[#This Row],[Qtt]]),IF(TbTradesBinance[[#This Row],[Tipo]]="BUY",Q224-TbTradesBinance[[#This Row],[Qtt]]*TbTradesBinance[[#This Row],[Preço]],Q224+TbTradesBinance[[#This Row],[Qtt]]*TbTradesBinance[[#This Row],[Preço]])),Q224)-IF(TbTradesBinance[[#This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Row],[Tipo]]="DROP"),Q224+TbTradesBinance[[#This Row],[Qtt]],Q224-TbTradesBinance[[#This Row],[Qtt]]),IF(TbTradesBinance[[#This Row],[Tipo]]="BUY",Q224-TbTradesBinance[[#This Row],[Qtt]]*TbTradesBinance[[#This Row],[Preço]],Q224+TbTradesBinance[[#This Row],[Qtt]]*TbTradesBinance[[#This Row],[Preço]])),Q224)-IF(TbTradesBinance[[#This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Row],[Tipo]]="DROP"),Q224+TbTradesBinance[[#This Row],[Qtt]],Q224-TbTradesBinance[[#This Row],[Qtt]]),IF(TbTradesBinance[[#This Row],[Tipo]]="BUY",Q224-TbTradesBinance[[#This Row],[Qtt]]*TbTradesBinance[[#This Row],[Preço]],Q224+TbTradesBinance[[#This Row],[Qtt]]*TbTradesBinance[[#This Row],[Preço]])),Q224)-IF(TbTradesBinance[[#This Row],[Moeda da Taxa]]=MID(Q$1,9,5),TbTradesBinance[[#This Row],[Taxa]],0),8)))</f>
        <v>305.75335733999998</v>
      </c>
      <c r="R225" s="145" cm="1">
        <f t="array" ref="R225">IF(TbTradesBinance[[#This Row],[Tipo]]="EMPTY",0,R224+IF(TbTradesBinance[[#This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Row],[Par]]))),$1:$1,0)),-(Q224-Q225)/Q224*R224),0),0)+IF(TbTradesBinance[[#This Row],[Tipo]]="SELL",IF(ISNUMBER(FIND(MID(R$1,10,5),TbTradesBinance[[#This Row],[Par]])),IF(FIND(MID(R$1,10,5),TbTradesBinance[[#This Row],[Par]])=1, -(Q224-Q225)/Q224*R224,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Row],[Par]])),(-(Q224-Q225)/Q224*R224)+IF(TbTradesBinance[[#This Row],[Resultado]]&gt;0,0,TbTradesBinance[[#This Row],[Taxa]]),0),0))</f>
        <v>1680.9769249039705</v>
      </c>
      <c r="S225" s="145">
        <f t="shared" si="113"/>
        <v>5.4978200060603486</v>
      </c>
      <c r="T225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Row],[Tipo]]="DROP"),T224+TbTradesBinance[[#This Row],[Qtt]],T224-TbTradesBinance[[#This Row],[Qtt]]),IF(TbTradesBinance[[#This Row],[Tipo]]="BUY",T224-TbTradesBinance[[#This Row],[Qtt]]*TbTradesBinance[[#This Row],[Preço]],T224+TbTradesBinance[[#This Row],[Qtt]]*TbTradesBinance[[#This Row],[Preço]])),T224)-IF(TbTradesBinance[[#This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Row],[Tipo]]="DROP"),T224+TbTradesBinance[[#This Row],[Qtt]],T224-TbTradesBinance[[#This Row],[Qtt]]),IF(TbTradesBinance[[#This Row],[Tipo]]="BUY",T224-TbTradesBinance[[#This Row],[Qtt]]*TbTradesBinance[[#This Row],[Preço]],T224+TbTradesBinance[[#This Row],[Qtt]]*TbTradesBinance[[#This Row],[Preço]])),T224)-IF(TbTradesBinance[[#This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Row],[Tipo]]="DROP"),T224+TbTradesBinance[[#This Row],[Qtt]],T224-TbTradesBinance[[#This Row],[Qtt]]),IF(TbTradesBinance[[#This Row],[Tipo]]="BUY",T224-TbTradesBinance[[#This Row],[Qtt]]*TbTradesBinance[[#This Row],[Preço]],T224+TbTradesBinance[[#This Row],[Qtt]]*TbTradesBinance[[#This Row],[Preço]])),T224)-IF(TbTradesBinance[[#This Row],[Moeda da Taxa]]=MID(T$1,9,5),TbTradesBinance[[#This Row],[Taxa]],0),8)))</f>
        <v>101223913.720009</v>
      </c>
      <c r="U225" s="145" cm="1">
        <f t="array" ref="U225">IF(TbTradesBinance[[#This Row],[Tipo]]="EMPTY",0,U224+IF(TbTradesBinance[[#This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Row],[Par]]))),$1:$1,0)),-(T224-T225)/T224*U224),0),0)+IF(TbTradesBinance[[#This Row],[Tipo]]="SELL",IF(ISNUMBER(FIND(MID(U$1,10,5),TbTradesBinance[[#This Row],[Par]])),IF(FIND(MID(U$1,10,5),TbTradesBinance[[#This Row],[Par]])=1, -(T224-T225)/T224*U224,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Row],[Par]])),(-(T224-T225)/T224*U224)+IF(TbTradesBinance[[#This Row],[Resultado]]&gt;0,0,TbTradesBinance[[#This Row],[Taxa]]),0),0))</f>
        <v>617586601.27364206</v>
      </c>
      <c r="V225" s="145">
        <f t="shared" si="114"/>
        <v>6.1011926784605572</v>
      </c>
      <c r="W225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Row],[Tipo]]="DROP"),W224+TbTradesBinance[[#This Row],[Qtt]],W224-TbTradesBinance[[#This Row],[Qtt]]),IF(TbTradesBinance[[#This Row],[Tipo]]="BUY",W224-TbTradesBinance[[#This Row],[Qtt]]*TbTradesBinance[[#This Row],[Preço]],W224+TbTradesBinance[[#This Row],[Qtt]]*TbTradesBinance[[#This Row],[Preço]])),W224)-IF(TbTradesBinance[[#This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Row],[Tipo]]="DROP"),W224+TbTradesBinance[[#This Row],[Qtt]],W224-TbTradesBinance[[#This Row],[Qtt]]),IF(TbTradesBinance[[#This Row],[Tipo]]="BUY",W224-TbTradesBinance[[#This Row],[Qtt]]*TbTradesBinance[[#This Row],[Preço]],W224+TbTradesBinance[[#This Row],[Qtt]]*TbTradesBinance[[#This Row],[Preço]])),W224)-IF(TbTradesBinance[[#This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Row],[Tipo]]="DROP"),W224+TbTradesBinance[[#This Row],[Qtt]],W224-TbTradesBinance[[#This Row],[Qtt]]),IF(TbTradesBinance[[#This Row],[Tipo]]="BUY",W224-TbTradesBinance[[#This Row],[Qtt]]*TbTradesBinance[[#This Row],[Preço]],W224+TbTradesBinance[[#This Row],[Qtt]]*TbTradesBinance[[#This Row],[Preço]])),W224)-IF(TbTradesBinance[[#This Row],[Moeda da Taxa]]=MID(W$1,9,5),TbTradesBinance[[#This Row],[Taxa]],0),8)))</f>
        <v>3.9899999999999999E-6</v>
      </c>
      <c r="X225" s="145" cm="1">
        <f t="array" ref="X225">IF(TbTradesBinance[[#This Row],[Tipo]]="EMPTY",0,X224+IF(TbTradesBinance[[#This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Row],[Par]]))),$1:$1,0)),-(W224-W225)/W224*X224),0),0)+IF(TbTradesBinance[[#This Row],[Tipo]]="SELL",IF(ISNUMBER(FIND(MID(X$1,10,5),TbTradesBinance[[#This Row],[Par]])),IF(FIND(MID(X$1,10,5),TbTradesBinance[[#This Row],[Par]])=1, -(W224-W225)/W224*X224,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Row],[Par]])),(-(W224-W225)/W224*X224)+IF(TbTradesBinance[[#This Row],[Resultado]]&gt;0,0,TbTradesBinance[[#This Row],[Taxa]]),0),0))</f>
        <v>0.6953811938234935</v>
      </c>
      <c r="Y225" s="145">
        <f t="shared" si="115"/>
        <v>174281.00095826905</v>
      </c>
      <c r="Z225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Row],[Tipo]]="DROP"),Z224+TbTradesBinance[[#This Row],[Qtt]],Z224-TbTradesBinance[[#This Row],[Qtt]]),IF(TbTradesBinance[[#This Row],[Tipo]]="BUY",Z224-TbTradesBinance[[#This Row],[Qtt]]*TbTradesBinance[[#This Row],[Preço]],Z224+TbTradesBinance[[#This Row],[Qtt]]*TbTradesBinance[[#This Row],[Preço]])),Z224)-IF(TbTradesBinance[[#This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Row],[Tipo]]="DROP"),Z224+TbTradesBinance[[#This Row],[Qtt]],Z224-TbTradesBinance[[#This Row],[Qtt]]),IF(TbTradesBinance[[#This Row],[Tipo]]="BUY",Z224-TbTradesBinance[[#This Row],[Qtt]]*TbTradesBinance[[#This Row],[Preço]],Z224+TbTradesBinance[[#This Row],[Qtt]]*TbTradesBinance[[#This Row],[Preço]])),Z224)-IF(TbTradesBinance[[#This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Row],[Tipo]]="DROP"),Z224+TbTradesBinance[[#This Row],[Qtt]],Z224-TbTradesBinance[[#This Row],[Qtt]]),IF(TbTradesBinance[[#This Row],[Tipo]]="BUY",Z224-TbTradesBinance[[#This Row],[Qtt]]*TbTradesBinance[[#This Row],[Preço]],Z224+TbTradesBinance[[#This Row],[Qtt]]*TbTradesBinance[[#This Row],[Preço]])),Z224)-IF(TbTradesBinance[[#This Row],[Moeda da Taxa]]=MID(Z$1,9,5),TbTradesBinance[[#This Row],[Taxa]],0),8)))</f>
        <v>0</v>
      </c>
      <c r="AA225" s="145" cm="1">
        <f t="array" ref="AA225">IF(TbTradesBinance[[#This Row],[Tipo]]="EMPTY",0,AA224+IF(TbTradesBinance[[#This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Row],[Par]]))),$1:$1,0)),-(Z224-Z225)/Z224*AA224),0),0)+IF(TbTradesBinance[[#This Row],[Tipo]]="SELL",IF(ISNUMBER(FIND(MID(AA$1,10,5),TbTradesBinance[[#This Row],[Par]])),IF(FIND(MID(AA$1,10,5),TbTradesBinance[[#This Row],[Par]])=1, -(Z224-Z225)/Z224*AA224,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Row],[Par]])),(-(Z224-Z225)/Z224*AA224)+IF(TbTradesBinance[[#This Row],[Resultado]]&gt;0,0,TbTradesBinance[[#This Row],[Taxa]]),0),0))</f>
        <v>0</v>
      </c>
      <c r="AB225" s="145">
        <f t="shared" si="116"/>
        <v>0</v>
      </c>
      <c r="AC225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Row],[Tipo]]="DROP"),AC224+TbTradesBinance[[#This Row],[Qtt]],AC224-TbTradesBinance[[#This Row],[Qtt]]),IF(TbTradesBinance[[#This Row],[Tipo]]="BUY",AC224-TbTradesBinance[[#This Row],[Qtt]]*TbTradesBinance[[#This Row],[Preço]],AC224+TbTradesBinance[[#This Row],[Qtt]]*TbTradesBinance[[#This Row],[Preço]])),AC224)-IF(TbTradesBinance[[#This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Row],[Tipo]]="DROP"),AC224+TbTradesBinance[[#This Row],[Qtt]],AC224-TbTradesBinance[[#This Row],[Qtt]]),IF(TbTradesBinance[[#This Row],[Tipo]]="BUY",AC224-TbTradesBinance[[#This Row],[Qtt]]*TbTradesBinance[[#This Row],[Preço]],AC224+TbTradesBinance[[#This Row],[Qtt]]*TbTradesBinance[[#This Row],[Preço]])),AC224)-IF(TbTradesBinance[[#This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Row],[Tipo]]="DROP"),AC224+TbTradesBinance[[#This Row],[Qtt]],AC224-TbTradesBinance[[#This Row],[Qtt]]),IF(TbTradesBinance[[#This Row],[Tipo]]="BUY",AC224-TbTradesBinance[[#This Row],[Qtt]]*TbTradesBinance[[#This Row],[Preço]],AC224+TbTradesBinance[[#This Row],[Qtt]]*TbTradesBinance[[#This Row],[Preço]])),AC224)-IF(TbTradesBinance[[#This Row],[Moeda da Taxa]]=MID(AC$1,9,5),TbTradesBinance[[#This Row],[Taxa]],0),8)))</f>
        <v>0</v>
      </c>
      <c r="AD225" s="145" cm="1">
        <f t="array" ref="AD225">IF(TbTradesBinance[[#This Row],[Tipo]]="EMPTY",0,AD224+IF(TbTradesBinance[[#This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Row],[Par]]))),$1:$1,0)),-(AC224-AC225)/AC224*AD224),0),0)+IF(TbTradesBinance[[#This Row],[Tipo]]="SELL",IF(ISNUMBER(FIND(MID(AD$1,10,5),TbTradesBinance[[#This Row],[Par]])),IF(FIND(MID(AD$1,10,5),TbTradesBinance[[#This Row],[Par]])=1, -(AC224-AC225)/AC224*AD224,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Row],[Par]])),(-(AC224-AC225)/AC224*AD224)+IF(TbTradesBinance[[#This Row],[Resultado]]&gt;0,0,TbTradesBinance[[#This Row],[Taxa]]),0),0))</f>
        <v>0</v>
      </c>
      <c r="AE225" s="145">
        <f t="shared" si="117"/>
        <v>0</v>
      </c>
      <c r="AF225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Row],[Tipo]]="DROP"),AF224+TbTradesBinance[[#This Row],[Qtt]],AF224-TbTradesBinance[[#This Row],[Qtt]]),IF(TbTradesBinance[[#This Row],[Tipo]]="BUY",AF224-TbTradesBinance[[#This Row],[Qtt]]*TbTradesBinance[[#This Row],[Preço]],AF224+TbTradesBinance[[#This Row],[Qtt]]*TbTradesBinance[[#This Row],[Preço]])),AF224)-IF(TbTradesBinance[[#This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Row],[Tipo]]="DROP"),AF224+TbTradesBinance[[#This Row],[Qtt]],AF224-TbTradesBinance[[#This Row],[Qtt]]),IF(TbTradesBinance[[#This Row],[Tipo]]="BUY",AF224-TbTradesBinance[[#This Row],[Qtt]]*TbTradesBinance[[#This Row],[Preço]],AF224+TbTradesBinance[[#This Row],[Qtt]]*TbTradesBinance[[#This Row],[Preço]])),AF224)-IF(TbTradesBinance[[#This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Row],[Tipo]]="DROP"),AF224+TbTradesBinance[[#This Row],[Qtt]],AF224-TbTradesBinance[[#This Row],[Qtt]]),IF(TbTradesBinance[[#This Row],[Tipo]]="BUY",AF224-TbTradesBinance[[#This Row],[Qtt]]*TbTradesBinance[[#This Row],[Preço]],AF224+TbTradesBinance[[#This Row],[Qtt]]*TbTradesBinance[[#This Row],[Preço]])),AF224)-IF(TbTradesBinance[[#This Row],[Moeda da Taxa]]=MID(AF$1,9,5),TbTradesBinance[[#This Row],[Taxa]],0),8)))</f>
        <v>0</v>
      </c>
      <c r="AG225" s="145" cm="1">
        <f t="array" ref="AG225">IF(TbTradesBinance[[#This Row],[Tipo]]="EMPTY",0,AG224+IF(TbTradesBinance[[#This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Row],[Par]]))),$1:$1,0)),-(AF224-AF225)/AF224*AG224),0),0)+IF(TbTradesBinance[[#This Row],[Tipo]]="SELL",IF(ISNUMBER(FIND(MID(AG$1,10,5),TbTradesBinance[[#This Row],[Par]])),IF(FIND(MID(AG$1,10,5),TbTradesBinance[[#This Row],[Par]])=1, -(AF224-AF225)/AF224*AG224,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Row],[Par]])),(-(AF224-AF225)/AF224*AG224)+IF(TbTradesBinance[[#This Row],[Resultado]]&gt;0,0,TbTradesBinance[[#This Row],[Taxa]]),0),0))</f>
        <v>0</v>
      </c>
      <c r="AH225" s="145">
        <f t="shared" si="118"/>
        <v>0</v>
      </c>
      <c r="AI225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Row],[Tipo]]="DROP"),AI224+TbTradesBinance[[#This Row],[Qtt]],AI224-TbTradesBinance[[#This Row],[Qtt]]),IF(TbTradesBinance[[#This Row],[Tipo]]="BUY",AI224-TbTradesBinance[[#This Row],[Qtt]]*TbTradesBinance[[#This Row],[Preço]],AI224+TbTradesBinance[[#This Row],[Qtt]]*TbTradesBinance[[#This Row],[Preço]])),AI224)-IF(TbTradesBinance[[#This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Row],[Tipo]]="DROP"),AI224+TbTradesBinance[[#This Row],[Qtt]],AI224-TbTradesBinance[[#This Row],[Qtt]]),IF(TbTradesBinance[[#This Row],[Tipo]]="BUY",AI224-TbTradesBinance[[#This Row],[Qtt]]*TbTradesBinance[[#This Row],[Preço]],AI224+TbTradesBinance[[#This Row],[Qtt]]*TbTradesBinance[[#This Row],[Preço]])),AI224)-IF(TbTradesBinance[[#This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Row],[Tipo]]="DROP"),AI224+TbTradesBinance[[#This Row],[Qtt]],AI224-TbTradesBinance[[#This Row],[Qtt]]),IF(TbTradesBinance[[#This Row],[Tipo]]="BUY",AI224-TbTradesBinance[[#This Row],[Qtt]]*TbTradesBinance[[#This Row],[Preço]],AI224+TbTradesBinance[[#This Row],[Qtt]]*TbTradesBinance[[#This Row],[Preço]])),AI224)-IF(TbTradesBinance[[#This Row],[Moeda da Taxa]]=MID(AI$1,9,5),TbTradesBinance[[#This Row],[Taxa]],0),8)))</f>
        <v>0</v>
      </c>
      <c r="AJ225" s="145" cm="1">
        <f t="array" ref="AJ225">IF(TbTradesBinance[[#This Row],[Tipo]]="EMPTY",0,AJ224+IF(TbTradesBinance[[#This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Row],[Par]]))),$1:$1,0)),-(AI224-AI225)/AI224*AJ224),0),0)+IF(TbTradesBinance[[#This Row],[Tipo]]="SELL",IF(ISNUMBER(FIND(MID(AJ$1,10,5),TbTradesBinance[[#This Row],[Par]])),IF(FIND(MID(AJ$1,10,5),TbTradesBinance[[#This Row],[Par]])=1, -(AI224-AI225)/AI224*AJ224,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Row],[Par]])),(-(AI224-AI225)/AI224*AJ224)+IF(TbTradesBinance[[#This Row],[Resultado]]&gt;0,0,TbTradesBinance[[#This Row],[Taxa]]),0),0))</f>
        <v>0</v>
      </c>
      <c r="AK225" s="145">
        <f t="shared" si="119"/>
        <v>0</v>
      </c>
      <c r="AL225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Row],[Tipo]]="DROP"),AL224+TbTradesBinance[[#This Row],[Qtt]],AL224-TbTradesBinance[[#This Row],[Qtt]]),IF(TbTradesBinance[[#This Row],[Tipo]]="BUY",AL224-TbTradesBinance[[#This Row],[Qtt]]*TbTradesBinance[[#This Row],[Preço]],AL224+TbTradesBinance[[#This Row],[Qtt]]*TbTradesBinance[[#This Row],[Preço]])),AL224)-IF(TbTradesBinance[[#This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Row],[Tipo]]="DROP"),AL224+TbTradesBinance[[#This Row],[Qtt]],AL224-TbTradesBinance[[#This Row],[Qtt]]),IF(TbTradesBinance[[#This Row],[Tipo]]="BUY",AL224-TbTradesBinance[[#This Row],[Qtt]]*TbTradesBinance[[#This Row],[Preço]],AL224+TbTradesBinance[[#This Row],[Qtt]]*TbTradesBinance[[#This Row],[Preço]])),AL224)-IF(TbTradesBinance[[#This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Row],[Tipo]]="DROP"),AL224+TbTradesBinance[[#This Row],[Qtt]],AL224-TbTradesBinance[[#This Row],[Qtt]]),IF(TbTradesBinance[[#This Row],[Tipo]]="BUY",AL224-TbTradesBinance[[#This Row],[Qtt]]*TbTradesBinance[[#This Row],[Preço]],AL224+TbTradesBinance[[#This Row],[Qtt]]*TbTradesBinance[[#This Row],[Preço]])),AL224)-IF(TbTradesBinance[[#This Row],[Moeda da Taxa]]=MID(AL$1,9,5),TbTradesBinance[[#This Row],[Taxa]],0),8)))</f>
        <v>0</v>
      </c>
      <c r="AM225" s="145" cm="1">
        <f t="array" ref="AM225">IF(TbTradesBinance[[#This Row],[Tipo]]="EMPTY",0,AM224+IF(TbTradesBinance[[#This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Row],[Par]]))),$1:$1,0)),-(AL224-AL225)/AL224*AM224),0),0)+IF(TbTradesBinance[[#This Row],[Tipo]]="SELL",IF(ISNUMBER(FIND(MID(AM$1,10,5),TbTradesBinance[[#This Row],[Par]])),IF(FIND(MID(AM$1,10,5),TbTradesBinance[[#This Row],[Par]])=1, -(AL224-AL225)/AL224*AM224,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Row],[Par]])),(-(AL224-AL225)/AL224*AM224)+IF(TbTradesBinance[[#This Row],[Resultado]]&gt;0,0,TbTradesBinance[[#This Row],[Taxa]]),0),0))</f>
        <v>0</v>
      </c>
      <c r="AN225" s="145">
        <f t="shared" si="120"/>
        <v>0</v>
      </c>
      <c r="AO225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Row],[Tipo]]="DROP"),AO224+TbTradesBinance[[#This Row],[Qtt]],AO224-TbTradesBinance[[#This Row],[Qtt]]),IF(TbTradesBinance[[#This Row],[Tipo]]="BUY",AO224-TbTradesBinance[[#This Row],[Qtt]]*TbTradesBinance[[#This Row],[Preço]],AO224+TbTradesBinance[[#This Row],[Qtt]]*TbTradesBinance[[#This Row],[Preço]])),AO224)-IF(TbTradesBinance[[#This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Row],[Tipo]]="DROP"),AO224+TbTradesBinance[[#This Row],[Qtt]],AO224-TbTradesBinance[[#This Row],[Qtt]]),IF(TbTradesBinance[[#This Row],[Tipo]]="BUY",AO224-TbTradesBinance[[#This Row],[Qtt]]*TbTradesBinance[[#This Row],[Preço]],AO224+TbTradesBinance[[#This Row],[Qtt]]*TbTradesBinance[[#This Row],[Preço]])),AO224)-IF(TbTradesBinance[[#This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Row],[Tipo]]="DROP"),AO224+TbTradesBinance[[#This Row],[Qtt]],AO224-TbTradesBinance[[#This Row],[Qtt]]),IF(TbTradesBinance[[#This Row],[Tipo]]="BUY",AO224-TbTradesBinance[[#This Row],[Qtt]]*TbTradesBinance[[#This Row],[Preço]],AO224+TbTradesBinance[[#This Row],[Qtt]]*TbTradesBinance[[#This Row],[Preço]])),AO224)-IF(TbTradesBinance[[#This Row],[Moeda da Taxa]]=MID(AO$1,9,5),TbTradesBinance[[#This Row],[Taxa]],0),8)))</f>
        <v>6.6719139999999996E-2</v>
      </c>
      <c r="AP225" s="145" cm="1">
        <f t="array" ref="AP225">IF(TbTradesBinance[[#This Row],[Tipo]]="EMPTY",0,AP224+IF(TbTradesBinance[[#This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Row],[Par]]))),$1:$1,0)),-(AO224-AO225)/AO224*AP224),0),0)+IF(TbTradesBinance[[#This Row],[Tipo]]="SELL",IF(ISNUMBER(FIND(MID(AP$1,10,5),TbTradesBinance[[#This Row],[Par]])),IF(FIND(MID(AP$1,10,5),TbTradesBinance[[#This Row],[Par]])=1, -(AO224-AO225)/AO224*AP224,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Row],[Par]])),(-(AO224-AO225)/AO224*AP224)+IF(TbTradesBinance[[#This Row],[Resultado]]&gt;0,0,TbTradesBinance[[#This Row],[Taxa]]),0),0))</f>
        <v>102.0944711963762</v>
      </c>
      <c r="AQ225" s="145">
        <f t="shared" si="121"/>
        <v>1530.2126375786049</v>
      </c>
      <c r="AR225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Row],[Tipo]]="DROP"),AR224+TbTradesBinance[[#This Row],[Qtt]],AR224-TbTradesBinance[[#This Row],[Qtt]]),IF(TbTradesBinance[[#This Row],[Tipo]]="BUY",AR224-TbTradesBinance[[#This Row],[Qtt]]*TbTradesBinance[[#This Row],[Preço]],AR224+TbTradesBinance[[#This Row],[Qtt]]*TbTradesBinance[[#This Row],[Preço]])),AR224)-IF(TbTradesBinance[[#This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Row],[Tipo]]="DROP"),AR224+TbTradesBinance[[#This Row],[Qtt]],AR224-TbTradesBinance[[#This Row],[Qtt]]),IF(TbTradesBinance[[#This Row],[Tipo]]="BUY",AR224-TbTradesBinance[[#This Row],[Qtt]]*TbTradesBinance[[#This Row],[Preço]],AR224+TbTradesBinance[[#This Row],[Qtt]]*TbTradesBinance[[#This Row],[Preço]])),AR224)-IF(TbTradesBinance[[#This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Row],[Tipo]]="DROP"),AR224+TbTradesBinance[[#This Row],[Qtt]],AR224-TbTradesBinance[[#This Row],[Qtt]]),IF(TbTradesBinance[[#This Row],[Tipo]]="BUY",AR224-TbTradesBinance[[#This Row],[Qtt]]*TbTradesBinance[[#This Row],[Preço]],AR224+TbTradesBinance[[#This Row],[Qtt]]*TbTradesBinance[[#This Row],[Preço]])),AR224)-IF(TbTradesBinance[[#This Row],[Moeda da Taxa]]=MID(AR$1,9,5),TbTradesBinance[[#This Row],[Taxa]],0),8)))</f>
        <v>0</v>
      </c>
      <c r="AS225" s="145" cm="1">
        <f t="array" ref="AS225">IF(TbTradesBinance[[#This Row],[Tipo]]="EMPTY",0,AS224+IF(TbTradesBinance[[#This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Row],[Par]]))),$1:$1,0)),-(AR224-AR225)/AR224*AS224),0),0)+IF(TbTradesBinance[[#This Row],[Tipo]]="SELL",IF(ISNUMBER(FIND(MID(AS$1,10,5),TbTradesBinance[[#This Row],[Par]])),IF(FIND(MID(AS$1,10,5),TbTradesBinance[[#This Row],[Par]])=1, -(AR224-AR225)/AR224*AS224,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Row],[Par]])),(-(AR224-AR225)/AR224*AS224)+IF(TbTradesBinance[[#This Row],[Resultado]]&gt;0,0,TbTradesBinance[[#This Row],[Taxa]]),0),0))</f>
        <v>0</v>
      </c>
      <c r="AT225" s="145">
        <f t="shared" si="122"/>
        <v>0</v>
      </c>
      <c r="AU225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Row],[Tipo]]="DROP"),AU224+TbTradesBinance[[#This Row],[Qtt]],AU224-TbTradesBinance[[#This Row],[Qtt]]),IF(TbTradesBinance[[#This Row],[Tipo]]="BUY",AU224-TbTradesBinance[[#This Row],[Qtt]]*TbTradesBinance[[#This Row],[Preço]],AU224+TbTradesBinance[[#This Row],[Qtt]]*TbTradesBinance[[#This Row],[Preço]])),AU224)-IF(TbTradesBinance[[#This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Row],[Tipo]]="DROP"),AU224+TbTradesBinance[[#This Row],[Qtt]],AU224-TbTradesBinance[[#This Row],[Qtt]]),IF(TbTradesBinance[[#This Row],[Tipo]]="BUY",AU224-TbTradesBinance[[#This Row],[Qtt]]*TbTradesBinance[[#This Row],[Preço]],AU224+TbTradesBinance[[#This Row],[Qtt]]*TbTradesBinance[[#This Row],[Preço]])),AU224)-IF(TbTradesBinance[[#This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Row],[Tipo]]="DROP"),AU224+TbTradesBinance[[#This Row],[Qtt]],AU224-TbTradesBinance[[#This Row],[Qtt]]),IF(TbTradesBinance[[#This Row],[Tipo]]="BUY",AU224-TbTradesBinance[[#This Row],[Qtt]]*TbTradesBinance[[#This Row],[Preço]],AU224+TbTradesBinance[[#This Row],[Qtt]]*TbTradesBinance[[#This Row],[Preço]])),AU224)-IF(TbTradesBinance[[#This Row],[Moeda da Taxa]]=MID(AU$1,9,5),TbTradesBinance[[#This Row],[Taxa]],0),8)))</f>
        <v>0.51</v>
      </c>
      <c r="AV225" s="145" cm="1">
        <f t="array" ref="AV225">IF(TbTradesBinance[[#This Row],[Tipo]]="EMPTY",0,AV224+IF(TbTradesBinance[[#This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Row],[Par]]))),$1:$1,0)),-(AU224-AU225)/AU224*AV224),0),0)+IF(TbTradesBinance[[#This Row],[Tipo]]="SELL",IF(ISNUMBER(FIND(MID(AV$1,10,5),TbTradesBinance[[#This Row],[Par]])),IF(FIND(MID(AV$1,10,5),TbTradesBinance[[#This Row],[Par]])=1, -(AU224-AU225)/AU224*AV224,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Row],[Par]])),(-(AU224-AU225)/AU224*AV224)+IF(TbTradesBinance[[#This Row],[Resultado]]&gt;0,0,TbTradesBinance[[#This Row],[Taxa]]),0),0))</f>
        <v>95.466693037374753</v>
      </c>
      <c r="AW225" s="145">
        <f t="shared" si="123"/>
        <v>187.18959419093088</v>
      </c>
      <c r="AX225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Row],[Tipo]]="DROP"),AX224+TbTradesBinance[[#This Row],[Qtt]],AX224-TbTradesBinance[[#This Row],[Qtt]]),IF(TbTradesBinance[[#This Row],[Tipo]]="BUY",AX224-TbTradesBinance[[#This Row],[Qtt]]*TbTradesBinance[[#This Row],[Preço]],AX224+TbTradesBinance[[#This Row],[Qtt]]*TbTradesBinance[[#This Row],[Preço]])),AX224)-IF(TbTradesBinance[[#This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Row],[Tipo]]="DROP"),AX224+TbTradesBinance[[#This Row],[Qtt]],AX224-TbTradesBinance[[#This Row],[Qtt]]),IF(TbTradesBinance[[#This Row],[Tipo]]="BUY",AX224-TbTradesBinance[[#This Row],[Qtt]]*TbTradesBinance[[#This Row],[Preço]],AX224+TbTradesBinance[[#This Row],[Qtt]]*TbTradesBinance[[#This Row],[Preço]])),AX224)-IF(TbTradesBinance[[#This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Row],[Tipo]]="DROP"),AX224+TbTradesBinance[[#This Row],[Qtt]],AX224-TbTradesBinance[[#This Row],[Qtt]]),IF(TbTradesBinance[[#This Row],[Tipo]]="BUY",AX224-TbTradesBinance[[#This Row],[Qtt]]*TbTradesBinance[[#This Row],[Preço]],AX224+TbTradesBinance[[#This Row],[Qtt]]*TbTradesBinance[[#This Row],[Preço]])),AX224)-IF(TbTradesBinance[[#This Row],[Moeda da Taxa]]=MID(AX$1,9,5),TbTradesBinance[[#This Row],[Taxa]],0),8)))</f>
        <v>0.32838000000000001</v>
      </c>
      <c r="AY225" s="145" cm="1">
        <f t="array" ref="AY225">IF(TbTradesBinance[[#This Row],[Tipo]]="EMPTY",0,AY224+IF(TbTradesBinance[[#This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Row],[Par]]))),$1:$1,0)),-(AX224-AX225)/AX224*AY224),0),0)+IF(TbTradesBinance[[#This Row],[Tipo]]="SELL",IF(ISNUMBER(FIND(MID(AY$1,10,5),TbTradesBinance[[#This Row],[Par]])),IF(FIND(MID(AY$1,10,5),TbTradesBinance[[#This Row],[Par]])=1, -(AX224-AX225)/AX224*AY224,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Row],[Par]])),(-(AX224-AX225)/AX224*AY224)+IF(TbTradesBinance[[#This Row],[Resultado]]&gt;0,0,TbTradesBinance[[#This Row],[Taxa]]),0),0))</f>
        <v>61.364116058805678</v>
      </c>
      <c r="AZ225" s="145">
        <f t="shared" si="124"/>
        <v>186.869224857804</v>
      </c>
      <c r="BA225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Row],[Tipo]]="DROP"),BA224+TbTradesBinance[[#This Row],[Qtt]],BA224-TbTradesBinance[[#This Row],[Qtt]]),IF(TbTradesBinance[[#This Row],[Tipo]]="BUY",BA224-TbTradesBinance[[#This Row],[Qtt]]*TbTradesBinance[[#This Row],[Preço]],BA224+TbTradesBinance[[#This Row],[Qtt]]*TbTradesBinance[[#This Row],[Preço]])),BA224)-IF(TbTradesBinance[[#This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Row],[Tipo]]="DROP"),BA224+TbTradesBinance[[#This Row],[Qtt]],BA224-TbTradesBinance[[#This Row],[Qtt]]),IF(TbTradesBinance[[#This Row],[Tipo]]="BUY",BA224-TbTradesBinance[[#This Row],[Qtt]]*TbTradesBinance[[#This Row],[Preço]],BA224+TbTradesBinance[[#This Row],[Qtt]]*TbTradesBinance[[#This Row],[Preço]])),BA224)-IF(TbTradesBinance[[#This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Row],[Tipo]]="DROP"),BA224+TbTradesBinance[[#This Row],[Qtt]],BA224-TbTradesBinance[[#This Row],[Qtt]]),IF(TbTradesBinance[[#This Row],[Tipo]]="BUY",BA224-TbTradesBinance[[#This Row],[Qtt]]*TbTradesBinance[[#This Row],[Preço]],BA224+TbTradesBinance[[#This Row],[Qtt]]*TbTradesBinance[[#This Row],[Preço]])),BA224)-IF(TbTradesBinance[[#This Row],[Moeda da Taxa]]=MID(BA$1,9,5),TbTradesBinance[[#This Row],[Taxa]],0),8)))</f>
        <v>0</v>
      </c>
      <c r="BB225" s="145" cm="1">
        <f t="array" ref="BB225">IF(TbTradesBinance[[#This Row],[Tipo]]="EMPTY",0,BB224+IF(TbTradesBinance[[#This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Row],[Par]]))),$1:$1,0)),-(BA224-BA225)/BA224*BB224),0),0)+IF(TbTradesBinance[[#This Row],[Tipo]]="SELL",IF(ISNUMBER(FIND(MID(BB$1,10,5),TbTradesBinance[[#This Row],[Par]])),IF(FIND(MID(BB$1,10,5),TbTradesBinance[[#This Row],[Par]])=1, -(BA224-BA225)/BA224*BB224,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Row],[Par]])),(-(BA224-BA225)/BA224*BB224)+IF(TbTradesBinance[[#This Row],[Resultado]]&gt;0,0,TbTradesBinance[[#This Row],[Taxa]]),0),0))</f>
        <v>0</v>
      </c>
      <c r="BC225" s="145">
        <f t="shared" si="125"/>
        <v>0</v>
      </c>
      <c r="BD225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Row],[Tipo]]="DROP"),BD224+TbTradesBinance[[#This Row],[Qtt]],BD224-TbTradesBinance[[#This Row],[Qtt]]),IF(TbTradesBinance[[#This Row],[Tipo]]="BUY",BD224-TbTradesBinance[[#This Row],[Qtt]]*TbTradesBinance[[#This Row],[Preço]],BD224+TbTradesBinance[[#This Row],[Qtt]]*TbTradesBinance[[#This Row],[Preço]])),BD224)-IF(TbTradesBinance[[#This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Row],[Tipo]]="DROP"),BD224+TbTradesBinance[[#This Row],[Qtt]],BD224-TbTradesBinance[[#This Row],[Qtt]]),IF(TbTradesBinance[[#This Row],[Tipo]]="BUY",BD224-TbTradesBinance[[#This Row],[Qtt]]*TbTradesBinance[[#This Row],[Preço]],BD224+TbTradesBinance[[#This Row],[Qtt]]*TbTradesBinance[[#This Row],[Preço]])),BD224)-IF(TbTradesBinance[[#This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Row],[Tipo]]="DROP"),BD224+TbTradesBinance[[#This Row],[Qtt]],BD224-TbTradesBinance[[#This Row],[Qtt]]),IF(TbTradesBinance[[#This Row],[Tipo]]="BUY",BD224-TbTradesBinance[[#This Row],[Qtt]]*TbTradesBinance[[#This Row],[Preço]],BD224+TbTradesBinance[[#This Row],[Qtt]]*TbTradesBinance[[#This Row],[Preço]])),BD224)-IF(TbTradesBinance[[#This Row],[Moeda da Taxa]]=MID(BD$1,9,5),TbTradesBinance[[#This Row],[Taxa]],0),8)))</f>
        <v>0</v>
      </c>
      <c r="BE225" s="145" cm="1">
        <f t="array" ref="BE225">IF(TbTradesBinance[[#This Row],[Tipo]]="EMPTY",0,BE224+IF(TbTradesBinance[[#This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Row],[Par]]))),$1:$1,0)),-(BD224-BD225)/BD224*BE224),0),0)+IF(TbTradesBinance[[#This Row],[Tipo]]="SELL",IF(ISNUMBER(FIND(MID(BE$1,10,5),TbTradesBinance[[#This Row],[Par]])),IF(FIND(MID(BE$1,10,5),TbTradesBinance[[#This Row],[Par]])=1, -(BD224-BD225)/BD224*BE224,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Row],[Par]])),(-(BD224-BD225)/BD224*BE224)+IF(TbTradesBinance[[#This Row],[Resultado]]&gt;0,0,TbTradesBinance[[#This Row],[Taxa]]),0),0))</f>
        <v>0</v>
      </c>
      <c r="BF225" s="145">
        <f t="shared" si="126"/>
        <v>0</v>
      </c>
      <c r="BG225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Row],[Tipo]]="DROP"),BG224+TbTradesBinance[[#This Row],[Qtt]],BG224-TbTradesBinance[[#This Row],[Qtt]]),IF(TbTradesBinance[[#This Row],[Tipo]]="BUY",BG224-TbTradesBinance[[#This Row],[Qtt]]*TbTradesBinance[[#This Row],[Preço]],BG224+TbTradesBinance[[#This Row],[Qtt]]*TbTradesBinance[[#This Row],[Preço]])),BG224)-IF(TbTradesBinance[[#This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Row],[Tipo]]="DROP"),BG224+TbTradesBinance[[#This Row],[Qtt]],BG224-TbTradesBinance[[#This Row],[Qtt]]),IF(TbTradesBinance[[#This Row],[Tipo]]="BUY",BG224-TbTradesBinance[[#This Row],[Qtt]]*TbTradesBinance[[#This Row],[Preço]],BG224+TbTradesBinance[[#This Row],[Qtt]]*TbTradesBinance[[#This Row],[Preço]])),BG224)-IF(TbTradesBinance[[#This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Row],[Tipo]]="DROP"),BG224+TbTradesBinance[[#This Row],[Qtt]],BG224-TbTradesBinance[[#This Row],[Qtt]]),IF(TbTradesBinance[[#This Row],[Tipo]]="BUY",BG224-TbTradesBinance[[#This Row],[Qtt]]*TbTradesBinance[[#This Row],[Preço]],BG224+TbTradesBinance[[#This Row],[Qtt]]*TbTradesBinance[[#This Row],[Preço]])),BG224)-IF(TbTradesBinance[[#This Row],[Moeda da Taxa]]=MID(BG$1,9,5),TbTradesBinance[[#This Row],[Taxa]],0),8)))</f>
        <v>0</v>
      </c>
      <c r="BH225" s="145" cm="1">
        <f t="array" ref="BH225">IF(TbTradesBinance[[#This Row],[Tipo]]="EMPTY",0,BH224+IF(TbTradesBinance[[#This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Row],[Par]]))),$1:$1,0)),-(BG224-BG225)/BG224*BH224),0),0)+IF(TbTradesBinance[[#This Row],[Tipo]]="SELL",IF(ISNUMBER(FIND(MID(BH$1,10,5),TbTradesBinance[[#This Row],[Par]])),IF(FIND(MID(BH$1,10,5),TbTradesBinance[[#This Row],[Par]])=1, -(BG224-BG225)/BG224*BH224,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Row],[Par]])),(-(BG224-BG225)/BG224*BH224)+IF(TbTradesBinance[[#This Row],[Resultado]]&gt;0,0,TbTradesBinance[[#This Row],[Taxa]]),0),0))</f>
        <v>0</v>
      </c>
      <c r="BI225" s="145">
        <f t="shared" si="127"/>
        <v>0</v>
      </c>
      <c r="BJ225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Row],[Tipo]]="DROP"),BJ224+TbTradesBinance[[#This Row],[Qtt]],BJ224-TbTradesBinance[[#This Row],[Qtt]]),IF(TbTradesBinance[[#This Row],[Tipo]]="BUY",BJ224-TbTradesBinance[[#This Row],[Qtt]]*TbTradesBinance[[#This Row],[Preço]],BJ224+TbTradesBinance[[#This Row],[Qtt]]*TbTradesBinance[[#This Row],[Preço]])),BJ224)-IF(TbTradesBinance[[#This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Row],[Tipo]]="DROP"),BJ224+TbTradesBinance[[#This Row],[Qtt]],BJ224-TbTradesBinance[[#This Row],[Qtt]]),IF(TbTradesBinance[[#This Row],[Tipo]]="BUY",BJ224-TbTradesBinance[[#This Row],[Qtt]]*TbTradesBinance[[#This Row],[Preço]],BJ224+TbTradesBinance[[#This Row],[Qtt]]*TbTradesBinance[[#This Row],[Preço]])),BJ224)-IF(TbTradesBinance[[#This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Row],[Tipo]]="DROP"),BJ224+TbTradesBinance[[#This Row],[Qtt]],BJ224-TbTradesBinance[[#This Row],[Qtt]]),IF(TbTradesBinance[[#This Row],[Tipo]]="BUY",BJ224-TbTradesBinance[[#This Row],[Qtt]]*TbTradesBinance[[#This Row],[Preço]],BJ224+TbTradesBinance[[#This Row],[Qtt]]*TbTradesBinance[[#This Row],[Preço]])),BJ224)-IF(TbTradesBinance[[#This Row],[Moeda da Taxa]]=MID(BJ$1,9,5),TbTradesBinance[[#This Row],[Taxa]],0),8)))</f>
        <v>0</v>
      </c>
      <c r="BK225" s="145" cm="1">
        <f t="array" ref="BK225">IF(TbTradesBinance[[#This Row],[Tipo]]="EMPTY",0,BK224+IF(TbTradesBinance[[#This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Row],[Par]]))),$1:$1,0)),-(BJ224-BJ225)/BJ224*BK224),0),0)+IF(TbTradesBinance[[#This Row],[Tipo]]="SELL",IF(ISNUMBER(FIND(MID(BK$1,10,5),TbTradesBinance[[#This Row],[Par]])),IF(FIND(MID(BK$1,10,5),TbTradesBinance[[#This Row],[Par]])=1, -(BJ224-BJ225)/BJ224*BK224,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Row],[Par]])),(-(BJ224-BJ225)/BJ224*BK224)+IF(TbTradesBinance[[#This Row],[Resultado]]&gt;0,0,TbTradesBinance[[#This Row],[Taxa]]),0),0))</f>
        <v>0</v>
      </c>
      <c r="BL225" s="145">
        <f t="shared" si="128"/>
        <v>0</v>
      </c>
      <c r="BM225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Row],[Tipo]]="DROP"),BM224+TbTradesBinance[[#This Row],[Qtt]],BM224-TbTradesBinance[[#This Row],[Qtt]]),IF(TbTradesBinance[[#This Row],[Tipo]]="BUY",BM224-TbTradesBinance[[#This Row],[Qtt]]*TbTradesBinance[[#This Row],[Preço]],BM224+TbTradesBinance[[#This Row],[Qtt]]*TbTradesBinance[[#This Row],[Preço]])),BM224)-IF(TbTradesBinance[[#This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Row],[Tipo]]="DROP"),BM224+TbTradesBinance[[#This Row],[Qtt]],BM224-TbTradesBinance[[#This Row],[Qtt]]),IF(TbTradesBinance[[#This Row],[Tipo]]="BUY",BM224-TbTradesBinance[[#This Row],[Qtt]]*TbTradesBinance[[#This Row],[Preço]],BM224+TbTradesBinance[[#This Row],[Qtt]]*TbTradesBinance[[#This Row],[Preço]])),BM224)-IF(TbTradesBinance[[#This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Row],[Tipo]]="DROP"),BM224+TbTradesBinance[[#This Row],[Qtt]],BM224-TbTradesBinance[[#This Row],[Qtt]]),IF(TbTradesBinance[[#This Row],[Tipo]]="BUY",BM224-TbTradesBinance[[#This Row],[Qtt]]*TbTradesBinance[[#This Row],[Preço]],BM224+TbTradesBinance[[#This Row],[Qtt]]*TbTradesBinance[[#This Row],[Preço]])),BM224)-IF(TbTradesBinance[[#This Row],[Moeda da Taxa]]=MID(BM$1,9,5),TbTradesBinance[[#This Row],[Taxa]],0),8)))</f>
        <v>0</v>
      </c>
      <c r="BN225" s="145" cm="1">
        <f t="array" ref="BN225">IF(TbTradesBinance[[#This Row],[Tipo]]="EMPTY",0,BN224+IF(TbTradesBinance[[#This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Row],[Par]]))),$1:$1,0)),-(BM224-BM225)/BM224*BN224),0),0)+IF(TbTradesBinance[[#This Row],[Tipo]]="SELL",IF(ISNUMBER(FIND(MID(BN$1,10,5),TbTradesBinance[[#This Row],[Par]])),IF(FIND(MID(BN$1,10,5),TbTradesBinance[[#This Row],[Par]])=1, -(BM224-BM225)/BM224*BN224,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Row],[Par]])),(-(BM224-BM225)/BM224*BN224)+IF(TbTradesBinance[[#This Row],[Resultado]]&gt;0,0,TbTradesBinance[[#This Row],[Taxa]]),0),0))</f>
        <v>0</v>
      </c>
      <c r="BO225" s="145">
        <f t="shared" si="129"/>
        <v>0</v>
      </c>
    </row>
    <row r="226" spans="2:67" x14ac:dyDescent="0.3">
      <c r="B226" s="51"/>
      <c r="C226" s="40">
        <f>TRUNC(IF(AND(TbTradesBinance[[#This Row],[Tipo]]="SEND",TbTradesBinance[[#This Row],[Par]]="BRL"),TbTradesBinance[[#This Row],[Qtt]]*(1-P224)-IF(TbTradesBinance[[#This Row],[Moeda da Taxa]]="BRL",TbTradesBinance[[#This Row],[Taxa]],0),0)+IF(AND(TbTradesBinance[[#This Row],[Tipo]]="BURN",TbTradesBinance[[#This Row],[Par]]="BRL"),-TbTradesBinance[[#This Row],[Qtt]]*P224,0),2)</f>
        <v>0</v>
      </c>
      <c r="D226" s="53">
        <v>44410.481539351851</v>
      </c>
      <c r="E226" s="37" t="s">
        <v>237</v>
      </c>
      <c r="F226" s="47" t="s">
        <v>140</v>
      </c>
      <c r="G226" s="38">
        <v>5.2130000000000001</v>
      </c>
      <c r="H226" s="38">
        <v>40.69</v>
      </c>
      <c r="I226" s="38">
        <v>9.1030000000000001E-5</v>
      </c>
      <c r="J226" s="37" t="s">
        <v>45</v>
      </c>
      <c r="K226" s="52">
        <v>1</v>
      </c>
      <c r="L226" s="40">
        <f t="shared" si="94"/>
        <v>5.21</v>
      </c>
      <c r="M226" s="40">
        <f>IF(OR(TbTradesBinance[[#This Row],[Tipo]]="BUY",TbTradesBinance[[#This Row],[Tipo]]="RECEIVE",TbTradesBinance[[#This Row],[Tipo]]="DROP"),L226*H226,-L226*H226)</f>
        <v>-211.99489999999997</v>
      </c>
      <c r="N226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Row],[Tipo]]="DROP"),N225+TbTradesBinance[[#This Row],[Qtt]],N225-TbTradesBinance[[#This Row],[Qtt]]),IF(TbTradesBinance[[#This Row],[Tipo]]="BUY",N225-TbTradesBinance[[#This Row],[Qtt]]*TbTradesBinance[[#This Row],[Preço]],N225+TbTradesBinance[[#This Row],[Qtt]]*TbTradesBinance[[#This Row],[Preço]])),N225)-IF(TbTradesBinance[[#This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Row],[Tipo]]="DROP"),N225+TbTradesBinance[[#This Row],[Qtt]],N225-TbTradesBinance[[#This Row],[Qtt]]),IF(TbTradesBinance[[#This Row],[Tipo]]="BUY",N225-TbTradesBinance[[#This Row],[Qtt]]*TbTradesBinance[[#This Row],[Preço]],N225+TbTradesBinance[[#This Row],[Qtt]]*TbTradesBinance[[#This Row],[Preço]])),N225)-IF(TbTradesBinance[[#This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Row],[Tipo]]="DROP"),N225+TbTradesBinance[[#This Row],[Qtt]],N225-TbTradesBinance[[#This Row],[Qtt]]),IF(TbTradesBinance[[#This Row],[Tipo]]="BUY",N225-TbTradesBinance[[#This Row],[Qtt]]*TbTradesBinance[[#This Row],[Preço]],N225+TbTradesBinance[[#This Row],[Qtt]]*TbTradesBinance[[#This Row],[Preço]])),N225)-IF(TbTradesBinance[[#This Row],[Moeda da Taxa]]=MID(N$1,9,5),TbTradesBinance[[#This Row],[Taxa]],0),8)))</f>
        <v>119957.60595781</v>
      </c>
      <c r="O226" s="145" cm="1">
        <f t="array" ref="O226">IF(TbTradesBinance[[#This Row],[Tipo]]="EMPTY",0,O225+IF(TbTradesBinance[[#This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Row],[Par]]))),$1:$1,0)),-(N225-N226)/N225*O225),0),0)+IF(TbTradesBinance[[#This Row],[Tipo]]="SELL",IF(ISNUMBER(FIND(MID(O$1,10,5),TbTradesBinance[[#This Row],[Par]])),IF(FIND(MID(O$1,10,5),TbTradesBinance[[#This Row],[Par]])=1, -(N225-N226)/N225*O225,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Row],[Par]])),(-(N225-N226)/N225*O225)+IF(TbTradesBinance[[#This Row],[Resultado]]&gt;0,0,TbTradesBinance[[#This Row],[Taxa]]),0),0))</f>
        <v>120671.08202608881</v>
      </c>
      <c r="P226" s="145">
        <f t="shared" si="112"/>
        <v>1.0059477351401107</v>
      </c>
      <c r="Q226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Row],[Tipo]]="DROP"),Q225+TbTradesBinance[[#This Row],[Qtt]],Q225-TbTradesBinance[[#This Row],[Qtt]]),IF(TbTradesBinance[[#This Row],[Tipo]]="BUY",Q225-TbTradesBinance[[#This Row],[Qtt]]*TbTradesBinance[[#This Row],[Preço]],Q225+TbTradesBinance[[#This Row],[Qtt]]*TbTradesBinance[[#This Row],[Preço]])),Q225)-IF(TbTradesBinance[[#This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Row],[Tipo]]="DROP"),Q225+TbTradesBinance[[#This Row],[Qtt]],Q225-TbTradesBinance[[#This Row],[Qtt]]),IF(TbTradesBinance[[#This Row],[Tipo]]="BUY",Q225-TbTradesBinance[[#This Row],[Qtt]]*TbTradesBinance[[#This Row],[Preço]],Q225+TbTradesBinance[[#This Row],[Qtt]]*TbTradesBinance[[#This Row],[Preço]])),Q225)-IF(TbTradesBinance[[#This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Row],[Tipo]]="DROP"),Q225+TbTradesBinance[[#This Row],[Qtt]],Q225-TbTradesBinance[[#This Row],[Qtt]]),IF(TbTradesBinance[[#This Row],[Tipo]]="BUY",Q225-TbTradesBinance[[#This Row],[Qtt]]*TbTradesBinance[[#This Row],[Preço]],Q225+TbTradesBinance[[#This Row],[Qtt]]*TbTradesBinance[[#This Row],[Preço]])),Q225)-IF(TbTradesBinance[[#This Row],[Moeda da Taxa]]=MID(Q$1,9,5),TbTradesBinance[[#This Row],[Taxa]],0),8)))</f>
        <v>265.06335733999998</v>
      </c>
      <c r="R226" s="145" cm="1">
        <f t="array" ref="R226">IF(TbTradesBinance[[#This Row],[Tipo]]="EMPTY",0,R225+IF(TbTradesBinance[[#This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Row],[Par]]))),$1:$1,0)),-(Q225-Q226)/Q225*R225),0),0)+IF(TbTradesBinance[[#This Row],[Tipo]]="SELL",IF(ISNUMBER(FIND(MID(R$1,10,5),TbTradesBinance[[#This Row],[Par]])),IF(FIND(MID(R$1,10,5),TbTradesBinance[[#This Row],[Par]])=1, -(Q225-Q226)/Q225*R225,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Row],[Par]])),(-(Q225-Q226)/Q225*R225)+IF(TbTradesBinance[[#This Row],[Resultado]]&gt;0,0,TbTradesBinance[[#This Row],[Taxa]]),0),0))</f>
        <v>1457.270628857375</v>
      </c>
      <c r="S226" s="145">
        <f t="shared" si="113"/>
        <v>5.4978200060603486</v>
      </c>
      <c r="T226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Row],[Tipo]]="DROP"),T225+TbTradesBinance[[#This Row],[Qtt]],T225-TbTradesBinance[[#This Row],[Qtt]]),IF(TbTradesBinance[[#This Row],[Tipo]]="BUY",T225-TbTradesBinance[[#This Row],[Qtt]]*TbTradesBinance[[#This Row],[Preço]],T225+TbTradesBinance[[#This Row],[Qtt]]*TbTradesBinance[[#This Row],[Preço]])),T225)-IF(TbTradesBinance[[#This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Row],[Tipo]]="DROP"),T225+TbTradesBinance[[#This Row],[Qtt]],T225-TbTradesBinance[[#This Row],[Qtt]]),IF(TbTradesBinance[[#This Row],[Tipo]]="BUY",T225-TbTradesBinance[[#This Row],[Qtt]]*TbTradesBinance[[#This Row],[Preço]],T225+TbTradesBinance[[#This Row],[Qtt]]*TbTradesBinance[[#This Row],[Preço]])),T225)-IF(TbTradesBinance[[#This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Row],[Tipo]]="DROP"),T225+TbTradesBinance[[#This Row],[Qtt]],T225-TbTradesBinance[[#This Row],[Qtt]]),IF(TbTradesBinance[[#This Row],[Tipo]]="BUY",T225-TbTradesBinance[[#This Row],[Qtt]]*TbTradesBinance[[#This Row],[Preço]],T225+TbTradesBinance[[#This Row],[Qtt]]*TbTradesBinance[[#This Row],[Preço]])),T225)-IF(TbTradesBinance[[#This Row],[Moeda da Taxa]]=MID(T$1,9,5),TbTradesBinance[[#This Row],[Taxa]],0),8)))</f>
        <v>101223913.720009</v>
      </c>
      <c r="U226" s="145" cm="1">
        <f t="array" ref="U226">IF(TbTradesBinance[[#This Row],[Tipo]]="EMPTY",0,U225+IF(TbTradesBinance[[#This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Row],[Par]]))),$1:$1,0)),-(T225-T226)/T225*U225),0),0)+IF(TbTradesBinance[[#This Row],[Tipo]]="SELL",IF(ISNUMBER(FIND(MID(U$1,10,5),TbTradesBinance[[#This Row],[Par]])),IF(FIND(MID(U$1,10,5),TbTradesBinance[[#This Row],[Par]])=1, -(T225-T226)/T225*U225,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Row],[Par]])),(-(T225-T226)/T225*U225)+IF(TbTradesBinance[[#This Row],[Resultado]]&gt;0,0,TbTradesBinance[[#This Row],[Taxa]]),0),0))</f>
        <v>617586601.27364206</v>
      </c>
      <c r="V226" s="145">
        <f t="shared" si="114"/>
        <v>6.1011926784605572</v>
      </c>
      <c r="W226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Row],[Tipo]]="DROP"),W225+TbTradesBinance[[#This Row],[Qtt]],W225-TbTradesBinance[[#This Row],[Qtt]]),IF(TbTradesBinance[[#This Row],[Tipo]]="BUY",W225-TbTradesBinance[[#This Row],[Qtt]]*TbTradesBinance[[#This Row],[Preço]],W225+TbTradesBinance[[#This Row],[Qtt]]*TbTradesBinance[[#This Row],[Preço]])),W225)-IF(TbTradesBinance[[#This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Row],[Tipo]]="DROP"),W225+TbTradesBinance[[#This Row],[Qtt]],W225-TbTradesBinance[[#This Row],[Qtt]]),IF(TbTradesBinance[[#This Row],[Tipo]]="BUY",W225-TbTradesBinance[[#This Row],[Qtt]]*TbTradesBinance[[#This Row],[Preço]],W225+TbTradesBinance[[#This Row],[Qtt]]*TbTradesBinance[[#This Row],[Preço]])),W225)-IF(TbTradesBinance[[#This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Row],[Tipo]]="DROP"),W225+TbTradesBinance[[#This Row],[Qtt]],W225-TbTradesBinance[[#This Row],[Qtt]]),IF(TbTradesBinance[[#This Row],[Tipo]]="BUY",W225-TbTradesBinance[[#This Row],[Qtt]]*TbTradesBinance[[#This Row],[Preço]],W225+TbTradesBinance[[#This Row],[Qtt]]*TbTradesBinance[[#This Row],[Preço]])),W225)-IF(TbTradesBinance[[#This Row],[Moeda da Taxa]]=MID(W$1,9,5),TbTradesBinance[[#This Row],[Taxa]],0),8)))</f>
        <v>3.9899999999999999E-6</v>
      </c>
      <c r="X226" s="145" cm="1">
        <f t="array" ref="X226">IF(TbTradesBinance[[#This Row],[Tipo]]="EMPTY",0,X225+IF(TbTradesBinance[[#This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Row],[Par]]))),$1:$1,0)),-(W225-W226)/W225*X225),0),0)+IF(TbTradesBinance[[#This Row],[Tipo]]="SELL",IF(ISNUMBER(FIND(MID(X$1,10,5),TbTradesBinance[[#This Row],[Par]])),IF(FIND(MID(X$1,10,5),TbTradesBinance[[#This Row],[Par]])=1, -(W225-W226)/W225*X225,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Row],[Par]])),(-(W225-W226)/W225*X225)+IF(TbTradesBinance[[#This Row],[Resultado]]&gt;0,0,TbTradesBinance[[#This Row],[Taxa]]),0),0))</f>
        <v>0.6953811938234935</v>
      </c>
      <c r="Y226" s="145">
        <f t="shared" si="115"/>
        <v>174281.00095826905</v>
      </c>
      <c r="Z226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Row],[Tipo]]="DROP"),Z225+TbTradesBinance[[#This Row],[Qtt]],Z225-TbTradesBinance[[#This Row],[Qtt]]),IF(TbTradesBinance[[#This Row],[Tipo]]="BUY",Z225-TbTradesBinance[[#This Row],[Qtt]]*TbTradesBinance[[#This Row],[Preço]],Z225+TbTradesBinance[[#This Row],[Qtt]]*TbTradesBinance[[#This Row],[Preço]])),Z225)-IF(TbTradesBinance[[#This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Row],[Tipo]]="DROP"),Z225+TbTradesBinance[[#This Row],[Qtt]],Z225-TbTradesBinance[[#This Row],[Qtt]]),IF(TbTradesBinance[[#This Row],[Tipo]]="BUY",Z225-TbTradesBinance[[#This Row],[Qtt]]*TbTradesBinance[[#This Row],[Preço]],Z225+TbTradesBinance[[#This Row],[Qtt]]*TbTradesBinance[[#This Row],[Preço]])),Z225)-IF(TbTradesBinance[[#This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Row],[Tipo]]="DROP"),Z225+TbTradesBinance[[#This Row],[Qtt]],Z225-TbTradesBinance[[#This Row],[Qtt]]),IF(TbTradesBinance[[#This Row],[Tipo]]="BUY",Z225-TbTradesBinance[[#This Row],[Qtt]]*TbTradesBinance[[#This Row],[Preço]],Z225+TbTradesBinance[[#This Row],[Qtt]]*TbTradesBinance[[#This Row],[Preço]])),Z225)-IF(TbTradesBinance[[#This Row],[Moeda da Taxa]]=MID(Z$1,9,5),TbTradesBinance[[#This Row],[Taxa]],0),8)))</f>
        <v>0</v>
      </c>
      <c r="AA226" s="145" cm="1">
        <f t="array" ref="AA226">IF(TbTradesBinance[[#This Row],[Tipo]]="EMPTY",0,AA225+IF(TbTradesBinance[[#This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Row],[Par]]))),$1:$1,0)),-(Z225-Z226)/Z225*AA225),0),0)+IF(TbTradesBinance[[#This Row],[Tipo]]="SELL",IF(ISNUMBER(FIND(MID(AA$1,10,5),TbTradesBinance[[#This Row],[Par]])),IF(FIND(MID(AA$1,10,5),TbTradesBinance[[#This Row],[Par]])=1, -(Z225-Z226)/Z225*AA225,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Row],[Par]])),(-(Z225-Z226)/Z225*AA225)+IF(TbTradesBinance[[#This Row],[Resultado]]&gt;0,0,TbTradesBinance[[#This Row],[Taxa]]),0),0))</f>
        <v>0</v>
      </c>
      <c r="AB226" s="145">
        <f t="shared" si="116"/>
        <v>0</v>
      </c>
      <c r="AC226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Row],[Tipo]]="DROP"),AC225+TbTradesBinance[[#This Row],[Qtt]],AC225-TbTradesBinance[[#This Row],[Qtt]]),IF(TbTradesBinance[[#This Row],[Tipo]]="BUY",AC225-TbTradesBinance[[#This Row],[Qtt]]*TbTradesBinance[[#This Row],[Preço]],AC225+TbTradesBinance[[#This Row],[Qtt]]*TbTradesBinance[[#This Row],[Preço]])),AC225)-IF(TbTradesBinance[[#This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Row],[Tipo]]="DROP"),AC225+TbTradesBinance[[#This Row],[Qtt]],AC225-TbTradesBinance[[#This Row],[Qtt]]),IF(TbTradesBinance[[#This Row],[Tipo]]="BUY",AC225-TbTradesBinance[[#This Row],[Qtt]]*TbTradesBinance[[#This Row],[Preço]],AC225+TbTradesBinance[[#This Row],[Qtt]]*TbTradesBinance[[#This Row],[Preço]])),AC225)-IF(TbTradesBinance[[#This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Row],[Tipo]]="DROP"),AC225+TbTradesBinance[[#This Row],[Qtt]],AC225-TbTradesBinance[[#This Row],[Qtt]]),IF(TbTradesBinance[[#This Row],[Tipo]]="BUY",AC225-TbTradesBinance[[#This Row],[Qtt]]*TbTradesBinance[[#This Row],[Preço]],AC225+TbTradesBinance[[#This Row],[Qtt]]*TbTradesBinance[[#This Row],[Preço]])),AC225)-IF(TbTradesBinance[[#This Row],[Moeda da Taxa]]=MID(AC$1,9,5),TbTradesBinance[[#This Row],[Taxa]],0),8)))</f>
        <v>0</v>
      </c>
      <c r="AD226" s="145" cm="1">
        <f t="array" ref="AD226">IF(TbTradesBinance[[#This Row],[Tipo]]="EMPTY",0,AD225+IF(TbTradesBinance[[#This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Row],[Par]]))),$1:$1,0)),-(AC225-AC226)/AC225*AD225),0),0)+IF(TbTradesBinance[[#This Row],[Tipo]]="SELL",IF(ISNUMBER(FIND(MID(AD$1,10,5),TbTradesBinance[[#This Row],[Par]])),IF(FIND(MID(AD$1,10,5),TbTradesBinance[[#This Row],[Par]])=1, -(AC225-AC226)/AC225*AD225,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Row],[Par]])),(-(AC225-AC226)/AC225*AD225)+IF(TbTradesBinance[[#This Row],[Resultado]]&gt;0,0,TbTradesBinance[[#This Row],[Taxa]]),0),0))</f>
        <v>0</v>
      </c>
      <c r="AE226" s="145">
        <f t="shared" si="117"/>
        <v>0</v>
      </c>
      <c r="AF226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Row],[Tipo]]="DROP"),AF225+TbTradesBinance[[#This Row],[Qtt]],AF225-TbTradesBinance[[#This Row],[Qtt]]),IF(TbTradesBinance[[#This Row],[Tipo]]="BUY",AF225-TbTradesBinance[[#This Row],[Qtt]]*TbTradesBinance[[#This Row],[Preço]],AF225+TbTradesBinance[[#This Row],[Qtt]]*TbTradesBinance[[#This Row],[Preço]])),AF225)-IF(TbTradesBinance[[#This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Row],[Tipo]]="DROP"),AF225+TbTradesBinance[[#This Row],[Qtt]],AF225-TbTradesBinance[[#This Row],[Qtt]]),IF(TbTradesBinance[[#This Row],[Tipo]]="BUY",AF225-TbTradesBinance[[#This Row],[Qtt]]*TbTradesBinance[[#This Row],[Preço]],AF225+TbTradesBinance[[#This Row],[Qtt]]*TbTradesBinance[[#This Row],[Preço]])),AF225)-IF(TbTradesBinance[[#This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Row],[Tipo]]="DROP"),AF225+TbTradesBinance[[#This Row],[Qtt]],AF225-TbTradesBinance[[#This Row],[Qtt]]),IF(TbTradesBinance[[#This Row],[Tipo]]="BUY",AF225-TbTradesBinance[[#This Row],[Qtt]]*TbTradesBinance[[#This Row],[Preço]],AF225+TbTradesBinance[[#This Row],[Qtt]]*TbTradesBinance[[#This Row],[Preço]])),AF225)-IF(TbTradesBinance[[#This Row],[Moeda da Taxa]]=MID(AF$1,9,5),TbTradesBinance[[#This Row],[Taxa]],0),8)))</f>
        <v>0</v>
      </c>
      <c r="AG226" s="145" cm="1">
        <f t="array" ref="AG226">IF(TbTradesBinance[[#This Row],[Tipo]]="EMPTY",0,AG225+IF(TbTradesBinance[[#This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Row],[Par]]))),$1:$1,0)),-(AF225-AF226)/AF225*AG225),0),0)+IF(TbTradesBinance[[#This Row],[Tipo]]="SELL",IF(ISNUMBER(FIND(MID(AG$1,10,5),TbTradesBinance[[#This Row],[Par]])),IF(FIND(MID(AG$1,10,5),TbTradesBinance[[#This Row],[Par]])=1, -(AF225-AF226)/AF225*AG225,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Row],[Par]])),(-(AF225-AF226)/AF225*AG225)+IF(TbTradesBinance[[#This Row],[Resultado]]&gt;0,0,TbTradesBinance[[#This Row],[Taxa]]),0),0))</f>
        <v>0</v>
      </c>
      <c r="AH226" s="145">
        <f t="shared" si="118"/>
        <v>0</v>
      </c>
      <c r="AI226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Row],[Tipo]]="DROP"),AI225+TbTradesBinance[[#This Row],[Qtt]],AI225-TbTradesBinance[[#This Row],[Qtt]]),IF(TbTradesBinance[[#This Row],[Tipo]]="BUY",AI225-TbTradesBinance[[#This Row],[Qtt]]*TbTradesBinance[[#This Row],[Preço]],AI225+TbTradesBinance[[#This Row],[Qtt]]*TbTradesBinance[[#This Row],[Preço]])),AI225)-IF(TbTradesBinance[[#This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Row],[Tipo]]="DROP"),AI225+TbTradesBinance[[#This Row],[Qtt]],AI225-TbTradesBinance[[#This Row],[Qtt]]),IF(TbTradesBinance[[#This Row],[Tipo]]="BUY",AI225-TbTradesBinance[[#This Row],[Qtt]]*TbTradesBinance[[#This Row],[Preço]],AI225+TbTradesBinance[[#This Row],[Qtt]]*TbTradesBinance[[#This Row],[Preço]])),AI225)-IF(TbTradesBinance[[#This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Row],[Tipo]]="DROP"),AI225+TbTradesBinance[[#This Row],[Qtt]],AI225-TbTradesBinance[[#This Row],[Qtt]]),IF(TbTradesBinance[[#This Row],[Tipo]]="BUY",AI225-TbTradesBinance[[#This Row],[Qtt]]*TbTradesBinance[[#This Row],[Preço]],AI225+TbTradesBinance[[#This Row],[Qtt]]*TbTradesBinance[[#This Row],[Preço]])),AI225)-IF(TbTradesBinance[[#This Row],[Moeda da Taxa]]=MID(AI$1,9,5),TbTradesBinance[[#This Row],[Taxa]],0),8)))</f>
        <v>0</v>
      </c>
      <c r="AJ226" s="145" cm="1">
        <f t="array" ref="AJ226">IF(TbTradesBinance[[#This Row],[Tipo]]="EMPTY",0,AJ225+IF(TbTradesBinance[[#This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Row],[Par]]))),$1:$1,0)),-(AI225-AI226)/AI225*AJ225),0),0)+IF(TbTradesBinance[[#This Row],[Tipo]]="SELL",IF(ISNUMBER(FIND(MID(AJ$1,10,5),TbTradesBinance[[#This Row],[Par]])),IF(FIND(MID(AJ$1,10,5),TbTradesBinance[[#This Row],[Par]])=1, -(AI225-AI226)/AI225*AJ225,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Row],[Par]])),(-(AI225-AI226)/AI225*AJ225)+IF(TbTradesBinance[[#This Row],[Resultado]]&gt;0,0,TbTradesBinance[[#This Row],[Taxa]]),0),0))</f>
        <v>0</v>
      </c>
      <c r="AK226" s="145">
        <f t="shared" si="119"/>
        <v>0</v>
      </c>
      <c r="AL226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Row],[Tipo]]="DROP"),AL225+TbTradesBinance[[#This Row],[Qtt]],AL225-TbTradesBinance[[#This Row],[Qtt]]),IF(TbTradesBinance[[#This Row],[Tipo]]="BUY",AL225-TbTradesBinance[[#This Row],[Qtt]]*TbTradesBinance[[#This Row],[Preço]],AL225+TbTradesBinance[[#This Row],[Qtt]]*TbTradesBinance[[#This Row],[Preço]])),AL225)-IF(TbTradesBinance[[#This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Row],[Tipo]]="DROP"),AL225+TbTradesBinance[[#This Row],[Qtt]],AL225-TbTradesBinance[[#This Row],[Qtt]]),IF(TbTradesBinance[[#This Row],[Tipo]]="BUY",AL225-TbTradesBinance[[#This Row],[Qtt]]*TbTradesBinance[[#This Row],[Preço]],AL225+TbTradesBinance[[#This Row],[Qtt]]*TbTradesBinance[[#This Row],[Preço]])),AL225)-IF(TbTradesBinance[[#This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Row],[Tipo]]="DROP"),AL225+TbTradesBinance[[#This Row],[Qtt]],AL225-TbTradesBinance[[#This Row],[Qtt]]),IF(TbTradesBinance[[#This Row],[Tipo]]="BUY",AL225-TbTradesBinance[[#This Row],[Qtt]]*TbTradesBinance[[#This Row],[Preço]],AL225+TbTradesBinance[[#This Row],[Qtt]]*TbTradesBinance[[#This Row],[Preço]])),AL225)-IF(TbTradesBinance[[#This Row],[Moeda da Taxa]]=MID(AL$1,9,5),TbTradesBinance[[#This Row],[Taxa]],0),8)))</f>
        <v>0</v>
      </c>
      <c r="AM226" s="145" cm="1">
        <f t="array" ref="AM226">IF(TbTradesBinance[[#This Row],[Tipo]]="EMPTY",0,AM225+IF(TbTradesBinance[[#This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Row],[Par]]))),$1:$1,0)),-(AL225-AL226)/AL225*AM225),0),0)+IF(TbTradesBinance[[#This Row],[Tipo]]="SELL",IF(ISNUMBER(FIND(MID(AM$1,10,5),TbTradesBinance[[#This Row],[Par]])),IF(FIND(MID(AM$1,10,5),TbTradesBinance[[#This Row],[Par]])=1, -(AL225-AL226)/AL225*AM225,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Row],[Par]])),(-(AL225-AL226)/AL225*AM225)+IF(TbTradesBinance[[#This Row],[Resultado]]&gt;0,0,TbTradesBinance[[#This Row],[Taxa]]),0),0))</f>
        <v>0</v>
      </c>
      <c r="AN226" s="145">
        <f t="shared" si="120"/>
        <v>0</v>
      </c>
      <c r="AO226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Row],[Tipo]]="DROP"),AO225+TbTradesBinance[[#This Row],[Qtt]],AO225-TbTradesBinance[[#This Row],[Qtt]]),IF(TbTradesBinance[[#This Row],[Tipo]]="BUY",AO225-TbTradesBinance[[#This Row],[Qtt]]*TbTradesBinance[[#This Row],[Preço]],AO225+TbTradesBinance[[#This Row],[Qtt]]*TbTradesBinance[[#This Row],[Preço]])),AO225)-IF(TbTradesBinance[[#This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Row],[Tipo]]="DROP"),AO225+TbTradesBinance[[#This Row],[Qtt]],AO225-TbTradesBinance[[#This Row],[Qtt]]),IF(TbTradesBinance[[#This Row],[Tipo]]="BUY",AO225-TbTradesBinance[[#This Row],[Qtt]]*TbTradesBinance[[#This Row],[Preço]],AO225+TbTradesBinance[[#This Row],[Qtt]]*TbTradesBinance[[#This Row],[Preço]])),AO225)-IF(TbTradesBinance[[#This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Row],[Tipo]]="DROP"),AO225+TbTradesBinance[[#This Row],[Qtt]],AO225-TbTradesBinance[[#This Row],[Qtt]]),IF(TbTradesBinance[[#This Row],[Tipo]]="BUY",AO225-TbTradesBinance[[#This Row],[Qtt]]*TbTradesBinance[[#This Row],[Preço]],AO225+TbTradesBinance[[#This Row],[Qtt]]*TbTradesBinance[[#This Row],[Preço]])),AO225)-IF(TbTradesBinance[[#This Row],[Moeda da Taxa]]=MID(AO$1,9,5),TbTradesBinance[[#This Row],[Taxa]],0),8)))</f>
        <v>6.6628110000000004E-2</v>
      </c>
      <c r="AP226" s="145" cm="1">
        <f t="array" ref="AP226">IF(TbTradesBinance[[#This Row],[Tipo]]="EMPTY",0,AP225+IF(TbTradesBinance[[#This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Row],[Par]]))),$1:$1,0)),-(AO225-AO226)/AO225*AP225),0),0)+IF(TbTradesBinance[[#This Row],[Tipo]]="SELL",IF(ISNUMBER(FIND(MID(AP$1,10,5),TbTradesBinance[[#This Row],[Par]])),IF(FIND(MID(AP$1,10,5),TbTradesBinance[[#This Row],[Par]])=1, -(AO225-AO226)/AO225*AP225,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Row],[Par]])),(-(AO225-AO226)/AO225*AP225)+IF(TbTradesBinance[[#This Row],[Resultado]]&gt;0,0,TbTradesBinance[[#This Row],[Taxa]]),0),0))</f>
        <v>102.0944711963762</v>
      </c>
      <c r="AQ226" s="145">
        <f t="shared" si="121"/>
        <v>1532.3032755450545</v>
      </c>
      <c r="AR226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Row],[Tipo]]="DROP"),AR225+TbTradesBinance[[#This Row],[Qtt]],AR225-TbTradesBinance[[#This Row],[Qtt]]),IF(TbTradesBinance[[#This Row],[Tipo]]="BUY",AR225-TbTradesBinance[[#This Row],[Qtt]]*TbTradesBinance[[#This Row],[Preço]],AR225+TbTradesBinance[[#This Row],[Qtt]]*TbTradesBinance[[#This Row],[Preço]])),AR225)-IF(TbTradesBinance[[#This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Row],[Tipo]]="DROP"),AR225+TbTradesBinance[[#This Row],[Qtt]],AR225-TbTradesBinance[[#This Row],[Qtt]]),IF(TbTradesBinance[[#This Row],[Tipo]]="BUY",AR225-TbTradesBinance[[#This Row],[Qtt]]*TbTradesBinance[[#This Row],[Preço]],AR225+TbTradesBinance[[#This Row],[Qtt]]*TbTradesBinance[[#This Row],[Preço]])),AR225)-IF(TbTradesBinance[[#This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Row],[Tipo]]="DROP"),AR225+TbTradesBinance[[#This Row],[Qtt]],AR225-TbTradesBinance[[#This Row],[Qtt]]),IF(TbTradesBinance[[#This Row],[Tipo]]="BUY",AR225-TbTradesBinance[[#This Row],[Qtt]]*TbTradesBinance[[#This Row],[Preço]],AR225+TbTradesBinance[[#This Row],[Qtt]]*TbTradesBinance[[#This Row],[Preço]])),AR225)-IF(TbTradesBinance[[#This Row],[Moeda da Taxa]]=MID(AR$1,9,5),TbTradesBinance[[#This Row],[Taxa]],0),8)))</f>
        <v>0</v>
      </c>
      <c r="AS226" s="145" cm="1">
        <f t="array" ref="AS226">IF(TbTradesBinance[[#This Row],[Tipo]]="EMPTY",0,AS225+IF(TbTradesBinance[[#This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Row],[Par]]))),$1:$1,0)),-(AR225-AR226)/AR225*AS225),0),0)+IF(TbTradesBinance[[#This Row],[Tipo]]="SELL",IF(ISNUMBER(FIND(MID(AS$1,10,5),TbTradesBinance[[#This Row],[Par]])),IF(FIND(MID(AS$1,10,5),TbTradesBinance[[#This Row],[Par]])=1, -(AR225-AR226)/AR225*AS225,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Row],[Par]])),(-(AR225-AR226)/AR225*AS225)+IF(TbTradesBinance[[#This Row],[Resultado]]&gt;0,0,TbTradesBinance[[#This Row],[Taxa]]),0),0))</f>
        <v>0</v>
      </c>
      <c r="AT226" s="145">
        <f t="shared" si="122"/>
        <v>0</v>
      </c>
      <c r="AU226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Row],[Tipo]]="DROP"),AU225+TbTradesBinance[[#This Row],[Qtt]],AU225-TbTradesBinance[[#This Row],[Qtt]]),IF(TbTradesBinance[[#This Row],[Tipo]]="BUY",AU225-TbTradesBinance[[#This Row],[Qtt]]*TbTradesBinance[[#This Row],[Preço]],AU225+TbTradesBinance[[#This Row],[Qtt]]*TbTradesBinance[[#This Row],[Preço]])),AU225)-IF(TbTradesBinance[[#This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Row],[Tipo]]="DROP"),AU225+TbTradesBinance[[#This Row],[Qtt]],AU225-TbTradesBinance[[#This Row],[Qtt]]),IF(TbTradesBinance[[#This Row],[Tipo]]="BUY",AU225-TbTradesBinance[[#This Row],[Qtt]]*TbTradesBinance[[#This Row],[Preço]],AU225+TbTradesBinance[[#This Row],[Qtt]]*TbTradesBinance[[#This Row],[Preço]])),AU225)-IF(TbTradesBinance[[#This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Row],[Tipo]]="DROP"),AU225+TbTradesBinance[[#This Row],[Qtt]],AU225-TbTradesBinance[[#This Row],[Qtt]]),IF(TbTradesBinance[[#This Row],[Tipo]]="BUY",AU225-TbTradesBinance[[#This Row],[Qtt]]*TbTradesBinance[[#This Row],[Preço]],AU225+TbTradesBinance[[#This Row],[Qtt]]*TbTradesBinance[[#This Row],[Preço]])),AU225)-IF(TbTradesBinance[[#This Row],[Moeda da Taxa]]=MID(AU$1,9,5),TbTradesBinance[[#This Row],[Taxa]],0),8)))</f>
        <v>0.51</v>
      </c>
      <c r="AV226" s="145" cm="1">
        <f t="array" ref="AV226">IF(TbTradesBinance[[#This Row],[Tipo]]="EMPTY",0,AV225+IF(TbTradesBinance[[#This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Row],[Par]]))),$1:$1,0)),-(AU225-AU226)/AU225*AV225),0),0)+IF(TbTradesBinance[[#This Row],[Tipo]]="SELL",IF(ISNUMBER(FIND(MID(AV$1,10,5),TbTradesBinance[[#This Row],[Par]])),IF(FIND(MID(AV$1,10,5),TbTradesBinance[[#This Row],[Par]])=1, -(AU225-AU226)/AU225*AV225,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Row],[Par]])),(-(AU225-AU226)/AU225*AV225)+IF(TbTradesBinance[[#This Row],[Resultado]]&gt;0,0,TbTradesBinance[[#This Row],[Taxa]]),0),0))</f>
        <v>95.466693037374753</v>
      </c>
      <c r="AW226" s="145">
        <f t="shared" si="123"/>
        <v>187.18959419093088</v>
      </c>
      <c r="AX226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Row],[Tipo]]="DROP"),AX225+TbTradesBinance[[#This Row],[Qtt]],AX225-TbTradesBinance[[#This Row],[Qtt]]),IF(TbTradesBinance[[#This Row],[Tipo]]="BUY",AX225-TbTradesBinance[[#This Row],[Qtt]]*TbTradesBinance[[#This Row],[Preço]],AX225+TbTradesBinance[[#This Row],[Qtt]]*TbTradesBinance[[#This Row],[Preço]])),AX225)-IF(TbTradesBinance[[#This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Row],[Tipo]]="DROP"),AX225+TbTradesBinance[[#This Row],[Qtt]],AX225-TbTradesBinance[[#This Row],[Qtt]]),IF(TbTradesBinance[[#This Row],[Tipo]]="BUY",AX225-TbTradesBinance[[#This Row],[Qtt]]*TbTradesBinance[[#This Row],[Preço]],AX225+TbTradesBinance[[#This Row],[Qtt]]*TbTradesBinance[[#This Row],[Preço]])),AX225)-IF(TbTradesBinance[[#This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Row],[Tipo]]="DROP"),AX225+TbTradesBinance[[#This Row],[Qtt]],AX225-TbTradesBinance[[#This Row],[Qtt]]),IF(TbTradesBinance[[#This Row],[Tipo]]="BUY",AX225-TbTradesBinance[[#This Row],[Qtt]]*TbTradesBinance[[#This Row],[Preço]],AX225+TbTradesBinance[[#This Row],[Qtt]]*TbTradesBinance[[#This Row],[Preço]])),AX225)-IF(TbTradesBinance[[#This Row],[Moeda da Taxa]]=MID(AX$1,9,5),TbTradesBinance[[#This Row],[Taxa]],0),8)))</f>
        <v>0.32838000000000001</v>
      </c>
      <c r="AY226" s="145" cm="1">
        <f t="array" ref="AY226">IF(TbTradesBinance[[#This Row],[Tipo]]="EMPTY",0,AY225+IF(TbTradesBinance[[#This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Row],[Par]]))),$1:$1,0)),-(AX225-AX226)/AX225*AY225),0),0)+IF(TbTradesBinance[[#This Row],[Tipo]]="SELL",IF(ISNUMBER(FIND(MID(AY$1,10,5),TbTradesBinance[[#This Row],[Par]])),IF(FIND(MID(AY$1,10,5),TbTradesBinance[[#This Row],[Par]])=1, -(AX225-AX226)/AX225*AY225,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Row],[Par]])),(-(AX225-AX226)/AX225*AY225)+IF(TbTradesBinance[[#This Row],[Resultado]]&gt;0,0,TbTradesBinance[[#This Row],[Taxa]]),0),0))</f>
        <v>61.364116058805678</v>
      </c>
      <c r="AZ226" s="145">
        <f t="shared" si="124"/>
        <v>186.869224857804</v>
      </c>
      <c r="BA226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Row],[Tipo]]="DROP"),BA225+TbTradesBinance[[#This Row],[Qtt]],BA225-TbTradesBinance[[#This Row],[Qtt]]),IF(TbTradesBinance[[#This Row],[Tipo]]="BUY",BA225-TbTradesBinance[[#This Row],[Qtt]]*TbTradesBinance[[#This Row],[Preço]],BA225+TbTradesBinance[[#This Row],[Qtt]]*TbTradesBinance[[#This Row],[Preço]])),BA225)-IF(TbTradesBinance[[#This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Row],[Tipo]]="DROP"),BA225+TbTradesBinance[[#This Row],[Qtt]],BA225-TbTradesBinance[[#This Row],[Qtt]]),IF(TbTradesBinance[[#This Row],[Tipo]]="BUY",BA225-TbTradesBinance[[#This Row],[Qtt]]*TbTradesBinance[[#This Row],[Preço]],BA225+TbTradesBinance[[#This Row],[Qtt]]*TbTradesBinance[[#This Row],[Preço]])),BA225)-IF(TbTradesBinance[[#This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Row],[Tipo]]="DROP"),BA225+TbTradesBinance[[#This Row],[Qtt]],BA225-TbTradesBinance[[#This Row],[Qtt]]),IF(TbTradesBinance[[#This Row],[Tipo]]="BUY",BA225-TbTradesBinance[[#This Row],[Qtt]]*TbTradesBinance[[#This Row],[Preço]],BA225+TbTradesBinance[[#This Row],[Qtt]]*TbTradesBinance[[#This Row],[Preço]])),BA225)-IF(TbTradesBinance[[#This Row],[Moeda da Taxa]]=MID(BA$1,9,5),TbTradesBinance[[#This Row],[Taxa]],0),8)))</f>
        <v>0</v>
      </c>
      <c r="BB226" s="145" cm="1">
        <f t="array" ref="BB226">IF(TbTradesBinance[[#This Row],[Tipo]]="EMPTY",0,BB225+IF(TbTradesBinance[[#This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Row],[Par]]))),$1:$1,0)),-(BA225-BA226)/BA225*BB225),0),0)+IF(TbTradesBinance[[#This Row],[Tipo]]="SELL",IF(ISNUMBER(FIND(MID(BB$1,10,5),TbTradesBinance[[#This Row],[Par]])),IF(FIND(MID(BB$1,10,5),TbTradesBinance[[#This Row],[Par]])=1, -(BA225-BA226)/BA225*BB225,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Row],[Par]])),(-(BA225-BA226)/BA225*BB225)+IF(TbTradesBinance[[#This Row],[Resultado]]&gt;0,0,TbTradesBinance[[#This Row],[Taxa]]),0),0))</f>
        <v>0</v>
      </c>
      <c r="BC226" s="145">
        <f t="shared" si="125"/>
        <v>0</v>
      </c>
      <c r="BD226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Row],[Tipo]]="DROP"),BD225+TbTradesBinance[[#This Row],[Qtt]],BD225-TbTradesBinance[[#This Row],[Qtt]]),IF(TbTradesBinance[[#This Row],[Tipo]]="BUY",BD225-TbTradesBinance[[#This Row],[Qtt]]*TbTradesBinance[[#This Row],[Preço]],BD225+TbTradesBinance[[#This Row],[Qtt]]*TbTradesBinance[[#This Row],[Preço]])),BD225)-IF(TbTradesBinance[[#This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Row],[Tipo]]="DROP"),BD225+TbTradesBinance[[#This Row],[Qtt]],BD225-TbTradesBinance[[#This Row],[Qtt]]),IF(TbTradesBinance[[#This Row],[Tipo]]="BUY",BD225-TbTradesBinance[[#This Row],[Qtt]]*TbTradesBinance[[#This Row],[Preço]],BD225+TbTradesBinance[[#This Row],[Qtt]]*TbTradesBinance[[#This Row],[Preço]])),BD225)-IF(TbTradesBinance[[#This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Row],[Tipo]]="DROP"),BD225+TbTradesBinance[[#This Row],[Qtt]],BD225-TbTradesBinance[[#This Row],[Qtt]]),IF(TbTradesBinance[[#This Row],[Tipo]]="BUY",BD225-TbTradesBinance[[#This Row],[Qtt]]*TbTradesBinance[[#This Row],[Preço]],BD225+TbTradesBinance[[#This Row],[Qtt]]*TbTradesBinance[[#This Row],[Preço]])),BD225)-IF(TbTradesBinance[[#This Row],[Moeda da Taxa]]=MID(BD$1,9,5),TbTradesBinance[[#This Row],[Taxa]],0),8)))</f>
        <v>0</v>
      </c>
      <c r="BE226" s="145" cm="1">
        <f t="array" ref="BE226">IF(TbTradesBinance[[#This Row],[Tipo]]="EMPTY",0,BE225+IF(TbTradesBinance[[#This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Row],[Par]]))),$1:$1,0)),-(BD225-BD226)/BD225*BE225),0),0)+IF(TbTradesBinance[[#This Row],[Tipo]]="SELL",IF(ISNUMBER(FIND(MID(BE$1,10,5),TbTradesBinance[[#This Row],[Par]])),IF(FIND(MID(BE$1,10,5),TbTradesBinance[[#This Row],[Par]])=1, -(BD225-BD226)/BD225*BE225,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Row],[Par]])),(-(BD225-BD226)/BD225*BE225)+IF(TbTradesBinance[[#This Row],[Resultado]]&gt;0,0,TbTradesBinance[[#This Row],[Taxa]]),0),0))</f>
        <v>0</v>
      </c>
      <c r="BF226" s="145">
        <f t="shared" si="126"/>
        <v>0</v>
      </c>
      <c r="BG226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Row],[Tipo]]="DROP"),BG225+TbTradesBinance[[#This Row],[Qtt]],BG225-TbTradesBinance[[#This Row],[Qtt]]),IF(TbTradesBinance[[#This Row],[Tipo]]="BUY",BG225-TbTradesBinance[[#This Row],[Qtt]]*TbTradesBinance[[#This Row],[Preço]],BG225+TbTradesBinance[[#This Row],[Qtt]]*TbTradesBinance[[#This Row],[Preço]])),BG225)-IF(TbTradesBinance[[#This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Row],[Tipo]]="DROP"),BG225+TbTradesBinance[[#This Row],[Qtt]],BG225-TbTradesBinance[[#This Row],[Qtt]]),IF(TbTradesBinance[[#This Row],[Tipo]]="BUY",BG225-TbTradesBinance[[#This Row],[Qtt]]*TbTradesBinance[[#This Row],[Preço]],BG225+TbTradesBinance[[#This Row],[Qtt]]*TbTradesBinance[[#This Row],[Preço]])),BG225)-IF(TbTradesBinance[[#This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Row],[Tipo]]="DROP"),BG225+TbTradesBinance[[#This Row],[Qtt]],BG225-TbTradesBinance[[#This Row],[Qtt]]),IF(TbTradesBinance[[#This Row],[Tipo]]="BUY",BG225-TbTradesBinance[[#This Row],[Qtt]]*TbTradesBinance[[#This Row],[Preço]],BG225+TbTradesBinance[[#This Row],[Qtt]]*TbTradesBinance[[#This Row],[Preço]])),BG225)-IF(TbTradesBinance[[#This Row],[Moeda da Taxa]]=MID(BG$1,9,5),TbTradesBinance[[#This Row],[Taxa]],0),8)))</f>
        <v>0</v>
      </c>
      <c r="BH226" s="145" cm="1">
        <f t="array" ref="BH226">IF(TbTradesBinance[[#This Row],[Tipo]]="EMPTY",0,BH225+IF(TbTradesBinance[[#This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Row],[Par]]))),$1:$1,0)),-(BG225-BG226)/BG225*BH225),0),0)+IF(TbTradesBinance[[#This Row],[Tipo]]="SELL",IF(ISNUMBER(FIND(MID(BH$1,10,5),TbTradesBinance[[#This Row],[Par]])),IF(FIND(MID(BH$1,10,5),TbTradesBinance[[#This Row],[Par]])=1, -(BG225-BG226)/BG225*BH225,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Row],[Par]])),(-(BG225-BG226)/BG225*BH225)+IF(TbTradesBinance[[#This Row],[Resultado]]&gt;0,0,TbTradesBinance[[#This Row],[Taxa]]),0),0))</f>
        <v>0</v>
      </c>
      <c r="BI226" s="145">
        <f t="shared" si="127"/>
        <v>0</v>
      </c>
      <c r="BJ226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Row],[Tipo]]="DROP"),BJ225+TbTradesBinance[[#This Row],[Qtt]],BJ225-TbTradesBinance[[#This Row],[Qtt]]),IF(TbTradesBinance[[#This Row],[Tipo]]="BUY",BJ225-TbTradesBinance[[#This Row],[Qtt]]*TbTradesBinance[[#This Row],[Preço]],BJ225+TbTradesBinance[[#This Row],[Qtt]]*TbTradesBinance[[#This Row],[Preço]])),BJ225)-IF(TbTradesBinance[[#This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Row],[Tipo]]="DROP"),BJ225+TbTradesBinance[[#This Row],[Qtt]],BJ225-TbTradesBinance[[#This Row],[Qtt]]),IF(TbTradesBinance[[#This Row],[Tipo]]="BUY",BJ225-TbTradesBinance[[#This Row],[Qtt]]*TbTradesBinance[[#This Row],[Preço]],BJ225+TbTradesBinance[[#This Row],[Qtt]]*TbTradesBinance[[#This Row],[Preço]])),BJ225)-IF(TbTradesBinance[[#This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Row],[Tipo]]="DROP"),BJ225+TbTradesBinance[[#This Row],[Qtt]],BJ225-TbTradesBinance[[#This Row],[Qtt]]),IF(TbTradesBinance[[#This Row],[Tipo]]="BUY",BJ225-TbTradesBinance[[#This Row],[Qtt]]*TbTradesBinance[[#This Row],[Preço]],BJ225+TbTradesBinance[[#This Row],[Qtt]]*TbTradesBinance[[#This Row],[Preço]])),BJ225)-IF(TbTradesBinance[[#This Row],[Moeda da Taxa]]=MID(BJ$1,9,5),TbTradesBinance[[#This Row],[Taxa]],0),8)))</f>
        <v>0</v>
      </c>
      <c r="BK226" s="145" cm="1">
        <f t="array" ref="BK226">IF(TbTradesBinance[[#This Row],[Tipo]]="EMPTY",0,BK225+IF(TbTradesBinance[[#This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Row],[Par]]))),$1:$1,0)),-(BJ225-BJ226)/BJ225*BK225),0),0)+IF(TbTradesBinance[[#This Row],[Tipo]]="SELL",IF(ISNUMBER(FIND(MID(BK$1,10,5),TbTradesBinance[[#This Row],[Par]])),IF(FIND(MID(BK$1,10,5),TbTradesBinance[[#This Row],[Par]])=1, -(BJ225-BJ226)/BJ225*BK225,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Row],[Par]])),(-(BJ225-BJ226)/BJ225*BK225)+IF(TbTradesBinance[[#This Row],[Resultado]]&gt;0,0,TbTradesBinance[[#This Row],[Taxa]]),0),0))</f>
        <v>0</v>
      </c>
      <c r="BL226" s="145">
        <f t="shared" si="128"/>
        <v>0</v>
      </c>
      <c r="BM226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Row],[Tipo]]="DROP"),BM225+TbTradesBinance[[#This Row],[Qtt]],BM225-TbTradesBinance[[#This Row],[Qtt]]),IF(TbTradesBinance[[#This Row],[Tipo]]="BUY",BM225-TbTradesBinance[[#This Row],[Qtt]]*TbTradesBinance[[#This Row],[Preço]],BM225+TbTradesBinance[[#This Row],[Qtt]]*TbTradesBinance[[#This Row],[Preço]])),BM225)-IF(TbTradesBinance[[#This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Row],[Tipo]]="DROP"),BM225+TbTradesBinance[[#This Row],[Qtt]],BM225-TbTradesBinance[[#This Row],[Qtt]]),IF(TbTradesBinance[[#This Row],[Tipo]]="BUY",BM225-TbTradesBinance[[#This Row],[Qtt]]*TbTradesBinance[[#This Row],[Preço]],BM225+TbTradesBinance[[#This Row],[Qtt]]*TbTradesBinance[[#This Row],[Preço]])),BM225)-IF(TbTradesBinance[[#This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Row],[Tipo]]="DROP"),BM225+TbTradesBinance[[#This Row],[Qtt]],BM225-TbTradesBinance[[#This Row],[Qtt]]),IF(TbTradesBinance[[#This Row],[Tipo]]="BUY",BM225-TbTradesBinance[[#This Row],[Qtt]]*TbTradesBinance[[#This Row],[Preço]],BM225+TbTradesBinance[[#This Row],[Qtt]]*TbTradesBinance[[#This Row],[Preço]])),BM225)-IF(TbTradesBinance[[#This Row],[Moeda da Taxa]]=MID(BM$1,9,5),TbTradesBinance[[#This Row],[Taxa]],0),8)))</f>
        <v>0</v>
      </c>
      <c r="BN226" s="145" cm="1">
        <f t="array" ref="BN226">IF(TbTradesBinance[[#This Row],[Tipo]]="EMPTY",0,BN225+IF(TbTradesBinance[[#This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Row],[Par]]))),$1:$1,0)),-(BM225-BM226)/BM225*BN225),0),0)+IF(TbTradesBinance[[#This Row],[Tipo]]="SELL",IF(ISNUMBER(FIND(MID(BN$1,10,5),TbTradesBinance[[#This Row],[Par]])),IF(FIND(MID(BN$1,10,5),TbTradesBinance[[#This Row],[Par]])=1, -(BM225-BM226)/BM225*BN225,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Row],[Par]])),(-(BM225-BM226)/BM225*BN225)+IF(TbTradesBinance[[#This Row],[Resultado]]&gt;0,0,TbTradesBinance[[#This Row],[Taxa]]),0),0))</f>
        <v>0</v>
      </c>
      <c r="BO226" s="145">
        <f t="shared" si="129"/>
        <v>0</v>
      </c>
    </row>
    <row r="227" spans="2:67" x14ac:dyDescent="0.3">
      <c r="B227" s="51"/>
      <c r="C227" s="40">
        <f>TRUNC(IF(AND(TbTradesBinance[[#This Row],[Tipo]]="SEND",TbTradesBinance[[#This Row],[Par]]="BRL"),TbTradesBinance[[#This Row],[Qtt]]*(1-P225)-IF(TbTradesBinance[[#This Row],[Moeda da Taxa]]="BRL",TbTradesBinance[[#This Row],[Taxa]],0),0)+IF(AND(TbTradesBinance[[#This Row],[Tipo]]="BURN",TbTradesBinance[[#This Row],[Par]]="BRL"),-TbTradesBinance[[#This Row],[Qtt]]*P225,0),2)</f>
        <v>-1.23</v>
      </c>
      <c r="D227" s="53">
        <v>44410.607199074075</v>
      </c>
      <c r="E227" s="37" t="s">
        <v>50</v>
      </c>
      <c r="F227" s="47" t="s">
        <v>142</v>
      </c>
      <c r="G227" s="38">
        <v>1</v>
      </c>
      <c r="H227" s="38">
        <v>210</v>
      </c>
      <c r="I227" s="38">
        <v>0</v>
      </c>
      <c r="J227" s="37" t="s">
        <v>45</v>
      </c>
      <c r="K227" s="52">
        <v>1</v>
      </c>
      <c r="L227" s="40">
        <f t="shared" si="94"/>
        <v>1</v>
      </c>
      <c r="M227" s="40">
        <f>IF(OR(TbTradesBinance[[#This Row],[Tipo]]="BUY",TbTradesBinance[[#This Row],[Tipo]]="RECEIVE",TbTradesBinance[[#This Row],[Tipo]]="DROP"),L227*H227,-L227*H227)</f>
        <v>-210</v>
      </c>
      <c r="N227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Row],[Tipo]]="DROP"),N226+TbTradesBinance[[#This Row],[Qtt]],N226-TbTradesBinance[[#This Row],[Qtt]]),IF(TbTradesBinance[[#This Row],[Tipo]]="BUY",N226-TbTradesBinance[[#This Row],[Qtt]]*TbTradesBinance[[#This Row],[Preço]],N226+TbTradesBinance[[#This Row],[Qtt]]*TbTradesBinance[[#This Row],[Preço]])),N226)-IF(TbTradesBinance[[#This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Row],[Tipo]]="DROP"),N226+TbTradesBinance[[#This Row],[Qtt]],N226-TbTradesBinance[[#This Row],[Qtt]]),IF(TbTradesBinance[[#This Row],[Tipo]]="BUY",N226-TbTradesBinance[[#This Row],[Qtt]]*TbTradesBinance[[#This Row],[Preço]],N226+TbTradesBinance[[#This Row],[Qtt]]*TbTradesBinance[[#This Row],[Preço]])),N226)-IF(TbTradesBinance[[#This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Row],[Tipo]]="DROP"),N226+TbTradesBinance[[#This Row],[Qtt]],N226-TbTradesBinance[[#This Row],[Qtt]]),IF(TbTradesBinance[[#This Row],[Tipo]]="BUY",N226-TbTradesBinance[[#This Row],[Qtt]]*TbTradesBinance[[#This Row],[Preço]],N226+TbTradesBinance[[#This Row],[Qtt]]*TbTradesBinance[[#This Row],[Preço]])),N226)-IF(TbTradesBinance[[#This Row],[Moeda da Taxa]]=MID(N$1,9,5),TbTradesBinance[[#This Row],[Taxa]],0),8)))</f>
        <v>119747.60595781</v>
      </c>
      <c r="O227" s="145" cm="1">
        <f t="array" ref="O227">IF(TbTradesBinance[[#This Row],[Tipo]]="EMPTY",0,O226+IF(TbTradesBinance[[#This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Row],[Par]]))),$1:$1,0)),-(N226-N227)/N226*O226),0),0)+IF(TbTradesBinance[[#This Row],[Tipo]]="SELL",IF(ISNUMBER(FIND(MID(O$1,10,5),TbTradesBinance[[#This Row],[Par]])),IF(FIND(MID(O$1,10,5),TbTradesBinance[[#This Row],[Par]])=1, -(N226-N227)/N226*O226,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Row],[Par]])),(-(N226-N227)/N226*O226)+IF(TbTradesBinance[[#This Row],[Resultado]]&gt;0,0,TbTradesBinance[[#This Row],[Taxa]]),0),0))</f>
        <v>120459.8330017094</v>
      </c>
      <c r="P227" s="145">
        <f t="shared" ref="P227:P229" si="130">IF(N227=0,0,O227/N227)</f>
        <v>1.0059477351401107</v>
      </c>
      <c r="Q227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Row],[Tipo]]="DROP"),Q226+TbTradesBinance[[#This Row],[Qtt]],Q226-TbTradesBinance[[#This Row],[Qtt]]),IF(TbTradesBinance[[#This Row],[Tipo]]="BUY",Q226-TbTradesBinance[[#This Row],[Qtt]]*TbTradesBinance[[#This Row],[Preço]],Q226+TbTradesBinance[[#This Row],[Qtt]]*TbTradesBinance[[#This Row],[Preço]])),Q226)-IF(TbTradesBinance[[#This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Row],[Tipo]]="DROP"),Q226+TbTradesBinance[[#This Row],[Qtt]],Q226-TbTradesBinance[[#This Row],[Qtt]]),IF(TbTradesBinance[[#This Row],[Tipo]]="BUY",Q226-TbTradesBinance[[#This Row],[Qtt]]*TbTradesBinance[[#This Row],[Preço]],Q226+TbTradesBinance[[#This Row],[Qtt]]*TbTradesBinance[[#This Row],[Preço]])),Q226)-IF(TbTradesBinance[[#This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Row],[Tipo]]="DROP"),Q226+TbTradesBinance[[#This Row],[Qtt]],Q226-TbTradesBinance[[#This Row],[Qtt]]),IF(TbTradesBinance[[#This Row],[Tipo]]="BUY",Q226-TbTradesBinance[[#This Row],[Qtt]]*TbTradesBinance[[#This Row],[Preço]],Q226+TbTradesBinance[[#This Row],[Qtt]]*TbTradesBinance[[#This Row],[Preço]])),Q226)-IF(TbTradesBinance[[#This Row],[Moeda da Taxa]]=MID(Q$1,9,5),TbTradesBinance[[#This Row],[Taxa]],0),8)))</f>
        <v>265.06335733999998</v>
      </c>
      <c r="R227" s="145" cm="1">
        <f t="array" ref="R227">IF(TbTradesBinance[[#This Row],[Tipo]]="EMPTY",0,R226+IF(TbTradesBinance[[#This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Row],[Par]]))),$1:$1,0)),-(Q226-Q227)/Q226*R226),0),0)+IF(TbTradesBinance[[#This Row],[Tipo]]="SELL",IF(ISNUMBER(FIND(MID(R$1,10,5),TbTradesBinance[[#This Row],[Par]])),IF(FIND(MID(R$1,10,5),TbTradesBinance[[#This Row],[Par]])=1, -(Q226-Q227)/Q226*R226,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Row],[Par]])),(-(Q226-Q227)/Q226*R226)+IF(TbTradesBinance[[#This Row],[Resultado]]&gt;0,0,TbTradesBinance[[#This Row],[Taxa]]),0),0))</f>
        <v>1457.270628857375</v>
      </c>
      <c r="S227" s="145">
        <f t="shared" ref="S227:S229" si="131">IF(Q227=0,0,R227/Q227)</f>
        <v>5.4978200060603486</v>
      </c>
      <c r="T227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Row],[Tipo]]="DROP"),T226+TbTradesBinance[[#This Row],[Qtt]],T226-TbTradesBinance[[#This Row],[Qtt]]),IF(TbTradesBinance[[#This Row],[Tipo]]="BUY",T226-TbTradesBinance[[#This Row],[Qtt]]*TbTradesBinance[[#This Row],[Preço]],T226+TbTradesBinance[[#This Row],[Qtt]]*TbTradesBinance[[#This Row],[Preço]])),T226)-IF(TbTradesBinance[[#This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Row],[Tipo]]="DROP"),T226+TbTradesBinance[[#This Row],[Qtt]],T226-TbTradesBinance[[#This Row],[Qtt]]),IF(TbTradesBinance[[#This Row],[Tipo]]="BUY",T226-TbTradesBinance[[#This Row],[Qtt]]*TbTradesBinance[[#This Row],[Preço]],T226+TbTradesBinance[[#This Row],[Qtt]]*TbTradesBinance[[#This Row],[Preço]])),T226)-IF(TbTradesBinance[[#This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Row],[Tipo]]="DROP"),T226+TbTradesBinance[[#This Row],[Qtt]],T226-TbTradesBinance[[#This Row],[Qtt]]),IF(TbTradesBinance[[#This Row],[Tipo]]="BUY",T226-TbTradesBinance[[#This Row],[Qtt]]*TbTradesBinance[[#This Row],[Preço]],T226+TbTradesBinance[[#This Row],[Qtt]]*TbTradesBinance[[#This Row],[Preço]])),T226)-IF(TbTradesBinance[[#This Row],[Moeda da Taxa]]=MID(T$1,9,5),TbTradesBinance[[#This Row],[Taxa]],0),8)))</f>
        <v>101223913.720009</v>
      </c>
      <c r="U227" s="145" cm="1">
        <f t="array" ref="U227">IF(TbTradesBinance[[#This Row],[Tipo]]="EMPTY",0,U226+IF(TbTradesBinance[[#This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Row],[Par]]))),$1:$1,0)),-(T226-T227)/T226*U226),0),0)+IF(TbTradesBinance[[#This Row],[Tipo]]="SELL",IF(ISNUMBER(FIND(MID(U$1,10,5),TbTradesBinance[[#This Row],[Par]])),IF(FIND(MID(U$1,10,5),TbTradesBinance[[#This Row],[Par]])=1, -(T226-T227)/T226*U226,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Row],[Par]])),(-(T226-T227)/T226*U226)+IF(TbTradesBinance[[#This Row],[Resultado]]&gt;0,0,TbTradesBinance[[#This Row],[Taxa]]),0),0))</f>
        <v>617586601.27364206</v>
      </c>
      <c r="V227" s="145">
        <f t="shared" ref="V227" si="132">IF(T227=0,0,U227/T227)</f>
        <v>6.1011926784605572</v>
      </c>
      <c r="W227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Row],[Tipo]]="DROP"),W226+TbTradesBinance[[#This Row],[Qtt]],W226-TbTradesBinance[[#This Row],[Qtt]]),IF(TbTradesBinance[[#This Row],[Tipo]]="BUY",W226-TbTradesBinance[[#This Row],[Qtt]]*TbTradesBinance[[#This Row],[Preço]],W226+TbTradesBinance[[#This Row],[Qtt]]*TbTradesBinance[[#This Row],[Preço]])),W226)-IF(TbTradesBinance[[#This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Row],[Tipo]]="DROP"),W226+TbTradesBinance[[#This Row],[Qtt]],W226-TbTradesBinance[[#This Row],[Qtt]]),IF(TbTradesBinance[[#This Row],[Tipo]]="BUY",W226-TbTradesBinance[[#This Row],[Qtt]]*TbTradesBinance[[#This Row],[Preço]],W226+TbTradesBinance[[#This Row],[Qtt]]*TbTradesBinance[[#This Row],[Preço]])),W226)-IF(TbTradesBinance[[#This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Row],[Tipo]]="DROP"),W226+TbTradesBinance[[#This Row],[Qtt]],W226-TbTradesBinance[[#This Row],[Qtt]]),IF(TbTradesBinance[[#This Row],[Tipo]]="BUY",W226-TbTradesBinance[[#This Row],[Qtt]]*TbTradesBinance[[#This Row],[Preço]],W226+TbTradesBinance[[#This Row],[Qtt]]*TbTradesBinance[[#This Row],[Preço]])),W226)-IF(TbTradesBinance[[#This Row],[Moeda da Taxa]]=MID(W$1,9,5),TbTradesBinance[[#This Row],[Taxa]],0),8)))</f>
        <v>3.9899999999999999E-6</v>
      </c>
      <c r="X227" s="145" cm="1">
        <f t="array" ref="X227">IF(TbTradesBinance[[#This Row],[Tipo]]="EMPTY",0,X226+IF(TbTradesBinance[[#This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Row],[Par]]))),$1:$1,0)),-(W226-W227)/W226*X226),0),0)+IF(TbTradesBinance[[#This Row],[Tipo]]="SELL",IF(ISNUMBER(FIND(MID(X$1,10,5),TbTradesBinance[[#This Row],[Par]])),IF(FIND(MID(X$1,10,5),TbTradesBinance[[#This Row],[Par]])=1, -(W226-W227)/W226*X226,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Row],[Par]])),(-(W226-W227)/W226*X226)+IF(TbTradesBinance[[#This Row],[Resultado]]&gt;0,0,TbTradesBinance[[#This Row],[Taxa]]),0),0))</f>
        <v>0.6953811938234935</v>
      </c>
      <c r="Y227" s="145">
        <f t="shared" ref="Y227" si="133">IF(W227=0,0,X227/W227)</f>
        <v>174281.00095826905</v>
      </c>
      <c r="Z227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Row],[Tipo]]="DROP"),Z226+TbTradesBinance[[#This Row],[Qtt]],Z226-TbTradesBinance[[#This Row],[Qtt]]),IF(TbTradesBinance[[#This Row],[Tipo]]="BUY",Z226-TbTradesBinance[[#This Row],[Qtt]]*TbTradesBinance[[#This Row],[Preço]],Z226+TbTradesBinance[[#This Row],[Qtt]]*TbTradesBinance[[#This Row],[Preço]])),Z226)-IF(TbTradesBinance[[#This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Row],[Tipo]]="DROP"),Z226+TbTradesBinance[[#This Row],[Qtt]],Z226-TbTradesBinance[[#This Row],[Qtt]]),IF(TbTradesBinance[[#This Row],[Tipo]]="BUY",Z226-TbTradesBinance[[#This Row],[Qtt]]*TbTradesBinance[[#This Row],[Preço]],Z226+TbTradesBinance[[#This Row],[Qtt]]*TbTradesBinance[[#This Row],[Preço]])),Z226)-IF(TbTradesBinance[[#This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Row],[Tipo]]="DROP"),Z226+TbTradesBinance[[#This Row],[Qtt]],Z226-TbTradesBinance[[#This Row],[Qtt]]),IF(TbTradesBinance[[#This Row],[Tipo]]="BUY",Z226-TbTradesBinance[[#This Row],[Qtt]]*TbTradesBinance[[#This Row],[Preço]],Z226+TbTradesBinance[[#This Row],[Qtt]]*TbTradesBinance[[#This Row],[Preço]])),Z226)-IF(TbTradesBinance[[#This Row],[Moeda da Taxa]]=MID(Z$1,9,5),TbTradesBinance[[#This Row],[Taxa]],0),8)))</f>
        <v>0</v>
      </c>
      <c r="AA227" s="145" cm="1">
        <f t="array" ref="AA227">IF(TbTradesBinance[[#This Row],[Tipo]]="EMPTY",0,AA226+IF(TbTradesBinance[[#This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Row],[Par]]))),$1:$1,0)),-(Z226-Z227)/Z226*AA226),0),0)+IF(TbTradesBinance[[#This Row],[Tipo]]="SELL",IF(ISNUMBER(FIND(MID(AA$1,10,5),TbTradesBinance[[#This Row],[Par]])),IF(FIND(MID(AA$1,10,5),TbTradesBinance[[#This Row],[Par]])=1, -(Z226-Z227)/Z226*AA226,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Row],[Par]])),(-(Z226-Z227)/Z226*AA226)+IF(TbTradesBinance[[#This Row],[Resultado]]&gt;0,0,TbTradesBinance[[#This Row],[Taxa]]),0),0))</f>
        <v>0</v>
      </c>
      <c r="AB227" s="145">
        <f t="shared" ref="AB227" si="134">IF(Z227=0,0,AA227/Z227)</f>
        <v>0</v>
      </c>
      <c r="AC227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Row],[Tipo]]="DROP"),AC226+TbTradesBinance[[#This Row],[Qtt]],AC226-TbTradesBinance[[#This Row],[Qtt]]),IF(TbTradesBinance[[#This Row],[Tipo]]="BUY",AC226-TbTradesBinance[[#This Row],[Qtt]]*TbTradesBinance[[#This Row],[Preço]],AC226+TbTradesBinance[[#This Row],[Qtt]]*TbTradesBinance[[#This Row],[Preço]])),AC226)-IF(TbTradesBinance[[#This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Row],[Tipo]]="DROP"),AC226+TbTradesBinance[[#This Row],[Qtt]],AC226-TbTradesBinance[[#This Row],[Qtt]]),IF(TbTradesBinance[[#This Row],[Tipo]]="BUY",AC226-TbTradesBinance[[#This Row],[Qtt]]*TbTradesBinance[[#This Row],[Preço]],AC226+TbTradesBinance[[#This Row],[Qtt]]*TbTradesBinance[[#This Row],[Preço]])),AC226)-IF(TbTradesBinance[[#This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Row],[Tipo]]="DROP"),AC226+TbTradesBinance[[#This Row],[Qtt]],AC226-TbTradesBinance[[#This Row],[Qtt]]),IF(TbTradesBinance[[#This Row],[Tipo]]="BUY",AC226-TbTradesBinance[[#This Row],[Qtt]]*TbTradesBinance[[#This Row],[Preço]],AC226+TbTradesBinance[[#This Row],[Qtt]]*TbTradesBinance[[#This Row],[Preço]])),AC226)-IF(TbTradesBinance[[#This Row],[Moeda da Taxa]]=MID(AC$1,9,5),TbTradesBinance[[#This Row],[Taxa]],0),8)))</f>
        <v>0</v>
      </c>
      <c r="AD227" s="145" cm="1">
        <f t="array" ref="AD227">IF(TbTradesBinance[[#This Row],[Tipo]]="EMPTY",0,AD226+IF(TbTradesBinance[[#This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Row],[Par]]))),$1:$1,0)),-(AC226-AC227)/AC226*AD226),0),0)+IF(TbTradesBinance[[#This Row],[Tipo]]="SELL",IF(ISNUMBER(FIND(MID(AD$1,10,5),TbTradesBinance[[#This Row],[Par]])),IF(FIND(MID(AD$1,10,5),TbTradesBinance[[#This Row],[Par]])=1, -(AC226-AC227)/AC226*AD226,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Row],[Par]])),(-(AC226-AC227)/AC226*AD226)+IF(TbTradesBinance[[#This Row],[Resultado]]&gt;0,0,TbTradesBinance[[#This Row],[Taxa]]),0),0))</f>
        <v>0</v>
      </c>
      <c r="AE227" s="145">
        <f t="shared" ref="AE227" si="135">IF(AC227=0,0,AD227/AC227)</f>
        <v>0</v>
      </c>
      <c r="AF227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Row],[Tipo]]="DROP"),AF226+TbTradesBinance[[#This Row],[Qtt]],AF226-TbTradesBinance[[#This Row],[Qtt]]),IF(TbTradesBinance[[#This Row],[Tipo]]="BUY",AF226-TbTradesBinance[[#This Row],[Qtt]]*TbTradesBinance[[#This Row],[Preço]],AF226+TbTradesBinance[[#This Row],[Qtt]]*TbTradesBinance[[#This Row],[Preço]])),AF226)-IF(TbTradesBinance[[#This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Row],[Tipo]]="DROP"),AF226+TbTradesBinance[[#This Row],[Qtt]],AF226-TbTradesBinance[[#This Row],[Qtt]]),IF(TbTradesBinance[[#This Row],[Tipo]]="BUY",AF226-TbTradesBinance[[#This Row],[Qtt]]*TbTradesBinance[[#This Row],[Preço]],AF226+TbTradesBinance[[#This Row],[Qtt]]*TbTradesBinance[[#This Row],[Preço]])),AF226)-IF(TbTradesBinance[[#This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Row],[Tipo]]="DROP"),AF226+TbTradesBinance[[#This Row],[Qtt]],AF226-TbTradesBinance[[#This Row],[Qtt]]),IF(TbTradesBinance[[#This Row],[Tipo]]="BUY",AF226-TbTradesBinance[[#This Row],[Qtt]]*TbTradesBinance[[#This Row],[Preço]],AF226+TbTradesBinance[[#This Row],[Qtt]]*TbTradesBinance[[#This Row],[Preço]])),AF226)-IF(TbTradesBinance[[#This Row],[Moeda da Taxa]]=MID(AF$1,9,5),TbTradesBinance[[#This Row],[Taxa]],0),8)))</f>
        <v>0</v>
      </c>
      <c r="AG227" s="145" cm="1">
        <f t="array" ref="AG227">IF(TbTradesBinance[[#This Row],[Tipo]]="EMPTY",0,AG226+IF(TbTradesBinance[[#This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Row],[Par]]))),$1:$1,0)),-(AF226-AF227)/AF226*AG226),0),0)+IF(TbTradesBinance[[#This Row],[Tipo]]="SELL",IF(ISNUMBER(FIND(MID(AG$1,10,5),TbTradesBinance[[#This Row],[Par]])),IF(FIND(MID(AG$1,10,5),TbTradesBinance[[#This Row],[Par]])=1, -(AF226-AF227)/AF226*AG226,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Row],[Par]])),(-(AF226-AF227)/AF226*AG226)+IF(TbTradesBinance[[#This Row],[Resultado]]&gt;0,0,TbTradesBinance[[#This Row],[Taxa]]),0),0))</f>
        <v>0</v>
      </c>
      <c r="AH227" s="145">
        <f t="shared" ref="AH227" si="136">IF(AF227=0,0,AG227/AF227)</f>
        <v>0</v>
      </c>
      <c r="AI227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Row],[Tipo]]="DROP"),AI226+TbTradesBinance[[#This Row],[Qtt]],AI226-TbTradesBinance[[#This Row],[Qtt]]),IF(TbTradesBinance[[#This Row],[Tipo]]="BUY",AI226-TbTradesBinance[[#This Row],[Qtt]]*TbTradesBinance[[#This Row],[Preço]],AI226+TbTradesBinance[[#This Row],[Qtt]]*TbTradesBinance[[#This Row],[Preço]])),AI226)-IF(TbTradesBinance[[#This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Row],[Tipo]]="DROP"),AI226+TbTradesBinance[[#This Row],[Qtt]],AI226-TbTradesBinance[[#This Row],[Qtt]]),IF(TbTradesBinance[[#This Row],[Tipo]]="BUY",AI226-TbTradesBinance[[#This Row],[Qtt]]*TbTradesBinance[[#This Row],[Preço]],AI226+TbTradesBinance[[#This Row],[Qtt]]*TbTradesBinance[[#This Row],[Preço]])),AI226)-IF(TbTradesBinance[[#This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Row],[Tipo]]="DROP"),AI226+TbTradesBinance[[#This Row],[Qtt]],AI226-TbTradesBinance[[#This Row],[Qtt]]),IF(TbTradesBinance[[#This Row],[Tipo]]="BUY",AI226-TbTradesBinance[[#This Row],[Qtt]]*TbTradesBinance[[#This Row],[Preço]],AI226+TbTradesBinance[[#This Row],[Qtt]]*TbTradesBinance[[#This Row],[Preço]])),AI226)-IF(TbTradesBinance[[#This Row],[Moeda da Taxa]]=MID(AI$1,9,5),TbTradesBinance[[#This Row],[Taxa]],0),8)))</f>
        <v>0</v>
      </c>
      <c r="AJ227" s="145" cm="1">
        <f t="array" ref="AJ227">IF(TbTradesBinance[[#This Row],[Tipo]]="EMPTY",0,AJ226+IF(TbTradesBinance[[#This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Row],[Par]]))),$1:$1,0)),-(AI226-AI227)/AI226*AJ226),0),0)+IF(TbTradesBinance[[#This Row],[Tipo]]="SELL",IF(ISNUMBER(FIND(MID(AJ$1,10,5),TbTradesBinance[[#This Row],[Par]])),IF(FIND(MID(AJ$1,10,5),TbTradesBinance[[#This Row],[Par]])=1, -(AI226-AI227)/AI226*AJ226,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Row],[Par]])),(-(AI226-AI227)/AI226*AJ226)+IF(TbTradesBinance[[#This Row],[Resultado]]&gt;0,0,TbTradesBinance[[#This Row],[Taxa]]),0),0))</f>
        <v>0</v>
      </c>
      <c r="AK227" s="145">
        <f t="shared" ref="AK227" si="137">IF(AI227=0,0,AJ227/AI227)</f>
        <v>0</v>
      </c>
      <c r="AL227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Row],[Tipo]]="DROP"),AL226+TbTradesBinance[[#This Row],[Qtt]],AL226-TbTradesBinance[[#This Row],[Qtt]]),IF(TbTradesBinance[[#This Row],[Tipo]]="BUY",AL226-TbTradesBinance[[#This Row],[Qtt]]*TbTradesBinance[[#This Row],[Preço]],AL226+TbTradesBinance[[#This Row],[Qtt]]*TbTradesBinance[[#This Row],[Preço]])),AL226)-IF(TbTradesBinance[[#This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Row],[Tipo]]="DROP"),AL226+TbTradesBinance[[#This Row],[Qtt]],AL226-TbTradesBinance[[#This Row],[Qtt]]),IF(TbTradesBinance[[#This Row],[Tipo]]="BUY",AL226-TbTradesBinance[[#This Row],[Qtt]]*TbTradesBinance[[#This Row],[Preço]],AL226+TbTradesBinance[[#This Row],[Qtt]]*TbTradesBinance[[#This Row],[Preço]])),AL226)-IF(TbTradesBinance[[#This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Row],[Tipo]]="DROP"),AL226+TbTradesBinance[[#This Row],[Qtt]],AL226-TbTradesBinance[[#This Row],[Qtt]]),IF(TbTradesBinance[[#This Row],[Tipo]]="BUY",AL226-TbTradesBinance[[#This Row],[Qtt]]*TbTradesBinance[[#This Row],[Preço]],AL226+TbTradesBinance[[#This Row],[Qtt]]*TbTradesBinance[[#This Row],[Preço]])),AL226)-IF(TbTradesBinance[[#This Row],[Moeda da Taxa]]=MID(AL$1,9,5),TbTradesBinance[[#This Row],[Taxa]],0),8)))</f>
        <v>0</v>
      </c>
      <c r="AM227" s="145" cm="1">
        <f t="array" ref="AM227">IF(TbTradesBinance[[#This Row],[Tipo]]="EMPTY",0,AM226+IF(TbTradesBinance[[#This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Row],[Par]]))),$1:$1,0)),-(AL226-AL227)/AL226*AM226),0),0)+IF(TbTradesBinance[[#This Row],[Tipo]]="SELL",IF(ISNUMBER(FIND(MID(AM$1,10,5),TbTradesBinance[[#This Row],[Par]])),IF(FIND(MID(AM$1,10,5),TbTradesBinance[[#This Row],[Par]])=1, -(AL226-AL227)/AL226*AM226,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Row],[Par]])),(-(AL226-AL227)/AL226*AM226)+IF(TbTradesBinance[[#This Row],[Resultado]]&gt;0,0,TbTradesBinance[[#This Row],[Taxa]]),0),0))</f>
        <v>0</v>
      </c>
      <c r="AN227" s="145">
        <f t="shared" ref="AN227" si="138">IF(AL227=0,0,AM227/AL227)</f>
        <v>0</v>
      </c>
      <c r="AO227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Row],[Tipo]]="DROP"),AO226+TbTradesBinance[[#This Row],[Qtt]],AO226-TbTradesBinance[[#This Row],[Qtt]]),IF(TbTradesBinance[[#This Row],[Tipo]]="BUY",AO226-TbTradesBinance[[#This Row],[Qtt]]*TbTradesBinance[[#This Row],[Preço]],AO226+TbTradesBinance[[#This Row],[Qtt]]*TbTradesBinance[[#This Row],[Preço]])),AO226)-IF(TbTradesBinance[[#This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Row],[Tipo]]="DROP"),AO226+TbTradesBinance[[#This Row],[Qtt]],AO226-TbTradesBinance[[#This Row],[Qtt]]),IF(TbTradesBinance[[#This Row],[Tipo]]="BUY",AO226-TbTradesBinance[[#This Row],[Qtt]]*TbTradesBinance[[#This Row],[Preço]],AO226+TbTradesBinance[[#This Row],[Qtt]]*TbTradesBinance[[#This Row],[Preço]])),AO226)-IF(TbTradesBinance[[#This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Row],[Tipo]]="DROP"),AO226+TbTradesBinance[[#This Row],[Qtt]],AO226-TbTradesBinance[[#This Row],[Qtt]]),IF(TbTradesBinance[[#This Row],[Tipo]]="BUY",AO226-TbTradesBinance[[#This Row],[Qtt]]*TbTradesBinance[[#This Row],[Preço]],AO226+TbTradesBinance[[#This Row],[Qtt]]*TbTradesBinance[[#This Row],[Preço]])),AO226)-IF(TbTradesBinance[[#This Row],[Moeda da Taxa]]=MID(AO$1,9,5),TbTradesBinance[[#This Row],[Taxa]],0),8)))</f>
        <v>6.6628110000000004E-2</v>
      </c>
      <c r="AP227" s="145" cm="1">
        <f t="array" ref="AP227">IF(TbTradesBinance[[#This Row],[Tipo]]="EMPTY",0,AP226+IF(TbTradesBinance[[#This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Row],[Par]]))),$1:$1,0)),-(AO226-AO227)/AO226*AP226),0),0)+IF(TbTradesBinance[[#This Row],[Tipo]]="SELL",IF(ISNUMBER(FIND(MID(AP$1,10,5),TbTradesBinance[[#This Row],[Par]])),IF(FIND(MID(AP$1,10,5),TbTradesBinance[[#This Row],[Par]])=1, -(AO226-AO227)/AO226*AP226,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Row],[Par]])),(-(AO226-AO227)/AO226*AP226)+IF(TbTradesBinance[[#This Row],[Resultado]]&gt;0,0,TbTradesBinance[[#This Row],[Taxa]]),0),0))</f>
        <v>102.0944711963762</v>
      </c>
      <c r="AQ227" s="145">
        <f t="shared" ref="AQ227" si="139">IF(AO227=0,0,AP227/AO227)</f>
        <v>1532.3032755450545</v>
      </c>
      <c r="AR227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Row],[Tipo]]="DROP"),AR226+TbTradesBinance[[#This Row],[Qtt]],AR226-TbTradesBinance[[#This Row],[Qtt]]),IF(TbTradesBinance[[#This Row],[Tipo]]="BUY",AR226-TbTradesBinance[[#This Row],[Qtt]]*TbTradesBinance[[#This Row],[Preço]],AR226+TbTradesBinance[[#This Row],[Qtt]]*TbTradesBinance[[#This Row],[Preço]])),AR226)-IF(TbTradesBinance[[#This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Row],[Tipo]]="DROP"),AR226+TbTradesBinance[[#This Row],[Qtt]],AR226-TbTradesBinance[[#This Row],[Qtt]]),IF(TbTradesBinance[[#This Row],[Tipo]]="BUY",AR226-TbTradesBinance[[#This Row],[Qtt]]*TbTradesBinance[[#This Row],[Preço]],AR226+TbTradesBinance[[#This Row],[Qtt]]*TbTradesBinance[[#This Row],[Preço]])),AR226)-IF(TbTradesBinance[[#This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Row],[Tipo]]="DROP"),AR226+TbTradesBinance[[#This Row],[Qtt]],AR226-TbTradesBinance[[#This Row],[Qtt]]),IF(TbTradesBinance[[#This Row],[Tipo]]="BUY",AR226-TbTradesBinance[[#This Row],[Qtt]]*TbTradesBinance[[#This Row],[Preço]],AR226+TbTradesBinance[[#This Row],[Qtt]]*TbTradesBinance[[#This Row],[Preço]])),AR226)-IF(TbTradesBinance[[#This Row],[Moeda da Taxa]]=MID(AR$1,9,5),TbTradesBinance[[#This Row],[Taxa]],0),8)))</f>
        <v>0</v>
      </c>
      <c r="AS227" s="145" cm="1">
        <f t="array" ref="AS227">IF(TbTradesBinance[[#This Row],[Tipo]]="EMPTY",0,AS226+IF(TbTradesBinance[[#This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Row],[Par]]))),$1:$1,0)),-(AR226-AR227)/AR226*AS226),0),0)+IF(TbTradesBinance[[#This Row],[Tipo]]="SELL",IF(ISNUMBER(FIND(MID(AS$1,10,5),TbTradesBinance[[#This Row],[Par]])),IF(FIND(MID(AS$1,10,5),TbTradesBinance[[#This Row],[Par]])=1, -(AR226-AR227)/AR226*AS226,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Row],[Par]])),(-(AR226-AR227)/AR226*AS226)+IF(TbTradesBinance[[#This Row],[Resultado]]&gt;0,0,TbTradesBinance[[#This Row],[Taxa]]),0),0))</f>
        <v>0</v>
      </c>
      <c r="AT227" s="145">
        <f t="shared" ref="AT227" si="140">IF(AR227=0,0,AS227/AR227)</f>
        <v>0</v>
      </c>
      <c r="AU227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Row],[Tipo]]="DROP"),AU226+TbTradesBinance[[#This Row],[Qtt]],AU226-TbTradesBinance[[#This Row],[Qtt]]),IF(TbTradesBinance[[#This Row],[Tipo]]="BUY",AU226-TbTradesBinance[[#This Row],[Qtt]]*TbTradesBinance[[#This Row],[Preço]],AU226+TbTradesBinance[[#This Row],[Qtt]]*TbTradesBinance[[#This Row],[Preço]])),AU226)-IF(TbTradesBinance[[#This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Row],[Tipo]]="DROP"),AU226+TbTradesBinance[[#This Row],[Qtt]],AU226-TbTradesBinance[[#This Row],[Qtt]]),IF(TbTradesBinance[[#This Row],[Tipo]]="BUY",AU226-TbTradesBinance[[#This Row],[Qtt]]*TbTradesBinance[[#This Row],[Preço]],AU226+TbTradesBinance[[#This Row],[Qtt]]*TbTradesBinance[[#This Row],[Preço]])),AU226)-IF(TbTradesBinance[[#This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Row],[Tipo]]="DROP"),AU226+TbTradesBinance[[#This Row],[Qtt]],AU226-TbTradesBinance[[#This Row],[Qtt]]),IF(TbTradesBinance[[#This Row],[Tipo]]="BUY",AU226-TbTradesBinance[[#This Row],[Qtt]]*TbTradesBinance[[#This Row],[Preço]],AU226+TbTradesBinance[[#This Row],[Qtt]]*TbTradesBinance[[#This Row],[Preço]])),AU226)-IF(TbTradesBinance[[#This Row],[Moeda da Taxa]]=MID(AU$1,9,5),TbTradesBinance[[#This Row],[Taxa]],0),8)))</f>
        <v>0.51</v>
      </c>
      <c r="AV227" s="145" cm="1">
        <f t="array" ref="AV227">IF(TbTradesBinance[[#This Row],[Tipo]]="EMPTY",0,AV226+IF(TbTradesBinance[[#This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Row],[Par]]))),$1:$1,0)),-(AU226-AU227)/AU226*AV226),0),0)+IF(TbTradesBinance[[#This Row],[Tipo]]="SELL",IF(ISNUMBER(FIND(MID(AV$1,10,5),TbTradesBinance[[#This Row],[Par]])),IF(FIND(MID(AV$1,10,5),TbTradesBinance[[#This Row],[Par]])=1, -(AU226-AU227)/AU226*AV226,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Row],[Par]])),(-(AU226-AU227)/AU226*AV226)+IF(TbTradesBinance[[#This Row],[Resultado]]&gt;0,0,TbTradesBinance[[#This Row],[Taxa]]),0),0))</f>
        <v>95.466693037374753</v>
      </c>
      <c r="AW227" s="145">
        <f t="shared" ref="AW227" si="141">IF(AU227=0,0,AV227/AU227)</f>
        <v>187.18959419093088</v>
      </c>
      <c r="AX227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Row],[Tipo]]="DROP"),AX226+TbTradesBinance[[#This Row],[Qtt]],AX226-TbTradesBinance[[#This Row],[Qtt]]),IF(TbTradesBinance[[#This Row],[Tipo]]="BUY",AX226-TbTradesBinance[[#This Row],[Qtt]]*TbTradesBinance[[#This Row],[Preço]],AX226+TbTradesBinance[[#This Row],[Qtt]]*TbTradesBinance[[#This Row],[Preço]])),AX226)-IF(TbTradesBinance[[#This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Row],[Tipo]]="DROP"),AX226+TbTradesBinance[[#This Row],[Qtt]],AX226-TbTradesBinance[[#This Row],[Qtt]]),IF(TbTradesBinance[[#This Row],[Tipo]]="BUY",AX226-TbTradesBinance[[#This Row],[Qtt]]*TbTradesBinance[[#This Row],[Preço]],AX226+TbTradesBinance[[#This Row],[Qtt]]*TbTradesBinance[[#This Row],[Preço]])),AX226)-IF(TbTradesBinance[[#This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Row],[Tipo]]="DROP"),AX226+TbTradesBinance[[#This Row],[Qtt]],AX226-TbTradesBinance[[#This Row],[Qtt]]),IF(TbTradesBinance[[#This Row],[Tipo]]="BUY",AX226-TbTradesBinance[[#This Row],[Qtt]]*TbTradesBinance[[#This Row],[Preço]],AX226+TbTradesBinance[[#This Row],[Qtt]]*TbTradesBinance[[#This Row],[Preço]])),AX226)-IF(TbTradesBinance[[#This Row],[Moeda da Taxa]]=MID(AX$1,9,5),TbTradesBinance[[#This Row],[Taxa]],0),8)))</f>
        <v>0.32838000000000001</v>
      </c>
      <c r="AY227" s="145" cm="1">
        <f t="array" ref="AY227">IF(TbTradesBinance[[#This Row],[Tipo]]="EMPTY",0,AY226+IF(TbTradesBinance[[#This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Row],[Par]]))),$1:$1,0)),-(AX226-AX227)/AX226*AY226),0),0)+IF(TbTradesBinance[[#This Row],[Tipo]]="SELL",IF(ISNUMBER(FIND(MID(AY$1,10,5),TbTradesBinance[[#This Row],[Par]])),IF(FIND(MID(AY$1,10,5),TbTradesBinance[[#This Row],[Par]])=1, -(AX226-AX227)/AX226*AY226,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Row],[Par]])),(-(AX226-AX227)/AX226*AY226)+IF(TbTradesBinance[[#This Row],[Resultado]]&gt;0,0,TbTradesBinance[[#This Row],[Taxa]]),0),0))</f>
        <v>61.364116058805678</v>
      </c>
      <c r="AZ227" s="145">
        <f t="shared" ref="AZ227" si="142">IF(AX227=0,0,AY227/AX227)</f>
        <v>186.869224857804</v>
      </c>
      <c r="BA227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Row],[Tipo]]="DROP"),BA226+TbTradesBinance[[#This Row],[Qtt]],BA226-TbTradesBinance[[#This Row],[Qtt]]),IF(TbTradesBinance[[#This Row],[Tipo]]="BUY",BA226-TbTradesBinance[[#This Row],[Qtt]]*TbTradesBinance[[#This Row],[Preço]],BA226+TbTradesBinance[[#This Row],[Qtt]]*TbTradesBinance[[#This Row],[Preço]])),BA226)-IF(TbTradesBinance[[#This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Row],[Tipo]]="DROP"),BA226+TbTradesBinance[[#This Row],[Qtt]],BA226-TbTradesBinance[[#This Row],[Qtt]]),IF(TbTradesBinance[[#This Row],[Tipo]]="BUY",BA226-TbTradesBinance[[#This Row],[Qtt]]*TbTradesBinance[[#This Row],[Preço]],BA226+TbTradesBinance[[#This Row],[Qtt]]*TbTradesBinance[[#This Row],[Preço]])),BA226)-IF(TbTradesBinance[[#This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Row],[Tipo]]="DROP"),BA226+TbTradesBinance[[#This Row],[Qtt]],BA226-TbTradesBinance[[#This Row],[Qtt]]),IF(TbTradesBinance[[#This Row],[Tipo]]="BUY",BA226-TbTradesBinance[[#This Row],[Qtt]]*TbTradesBinance[[#This Row],[Preço]],BA226+TbTradesBinance[[#This Row],[Qtt]]*TbTradesBinance[[#This Row],[Preço]])),BA226)-IF(TbTradesBinance[[#This Row],[Moeda da Taxa]]=MID(BA$1,9,5),TbTradesBinance[[#This Row],[Taxa]],0),8)))</f>
        <v>0</v>
      </c>
      <c r="BB227" s="145" cm="1">
        <f t="array" ref="BB227">IF(TbTradesBinance[[#This Row],[Tipo]]="EMPTY",0,BB226+IF(TbTradesBinance[[#This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Row],[Par]]))),$1:$1,0)),-(BA226-BA227)/BA226*BB226),0),0)+IF(TbTradesBinance[[#This Row],[Tipo]]="SELL",IF(ISNUMBER(FIND(MID(BB$1,10,5),TbTradesBinance[[#This Row],[Par]])),IF(FIND(MID(BB$1,10,5),TbTradesBinance[[#This Row],[Par]])=1, -(BA226-BA227)/BA226*BB226,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Row],[Par]])),(-(BA226-BA227)/BA226*BB226)+IF(TbTradesBinance[[#This Row],[Resultado]]&gt;0,0,TbTradesBinance[[#This Row],[Taxa]]),0),0))</f>
        <v>0</v>
      </c>
      <c r="BC227" s="145">
        <f t="shared" ref="BC227" si="143">IF(BA227=0,0,BB227/BA227)</f>
        <v>0</v>
      </c>
      <c r="BD227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Row],[Tipo]]="DROP"),BD226+TbTradesBinance[[#This Row],[Qtt]],BD226-TbTradesBinance[[#This Row],[Qtt]]),IF(TbTradesBinance[[#This Row],[Tipo]]="BUY",BD226-TbTradesBinance[[#This Row],[Qtt]]*TbTradesBinance[[#This Row],[Preço]],BD226+TbTradesBinance[[#This Row],[Qtt]]*TbTradesBinance[[#This Row],[Preço]])),BD226)-IF(TbTradesBinance[[#This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Row],[Tipo]]="DROP"),BD226+TbTradesBinance[[#This Row],[Qtt]],BD226-TbTradesBinance[[#This Row],[Qtt]]),IF(TbTradesBinance[[#This Row],[Tipo]]="BUY",BD226-TbTradesBinance[[#This Row],[Qtt]]*TbTradesBinance[[#This Row],[Preço]],BD226+TbTradesBinance[[#This Row],[Qtt]]*TbTradesBinance[[#This Row],[Preço]])),BD226)-IF(TbTradesBinance[[#This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Row],[Tipo]]="DROP"),BD226+TbTradesBinance[[#This Row],[Qtt]],BD226-TbTradesBinance[[#This Row],[Qtt]]),IF(TbTradesBinance[[#This Row],[Tipo]]="BUY",BD226-TbTradesBinance[[#This Row],[Qtt]]*TbTradesBinance[[#This Row],[Preço]],BD226+TbTradesBinance[[#This Row],[Qtt]]*TbTradesBinance[[#This Row],[Preço]])),BD226)-IF(TbTradesBinance[[#This Row],[Moeda da Taxa]]=MID(BD$1,9,5),TbTradesBinance[[#This Row],[Taxa]],0),8)))</f>
        <v>0</v>
      </c>
      <c r="BE227" s="145" cm="1">
        <f t="array" ref="BE227">IF(TbTradesBinance[[#This Row],[Tipo]]="EMPTY",0,BE226+IF(TbTradesBinance[[#This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Row],[Par]]))),$1:$1,0)),-(BD226-BD227)/BD226*BE226),0),0)+IF(TbTradesBinance[[#This Row],[Tipo]]="SELL",IF(ISNUMBER(FIND(MID(BE$1,10,5),TbTradesBinance[[#This Row],[Par]])),IF(FIND(MID(BE$1,10,5),TbTradesBinance[[#This Row],[Par]])=1, -(BD226-BD227)/BD226*BE226,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Row],[Par]])),(-(BD226-BD227)/BD226*BE226)+IF(TbTradesBinance[[#This Row],[Resultado]]&gt;0,0,TbTradesBinance[[#This Row],[Taxa]]),0),0))</f>
        <v>0</v>
      </c>
      <c r="BF227" s="145">
        <f t="shared" ref="BF227" si="144">IF(BD227=0,0,BE227/BD227)</f>
        <v>0</v>
      </c>
      <c r="BG227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Row],[Tipo]]="DROP"),BG226+TbTradesBinance[[#This Row],[Qtt]],BG226-TbTradesBinance[[#This Row],[Qtt]]),IF(TbTradesBinance[[#This Row],[Tipo]]="BUY",BG226-TbTradesBinance[[#This Row],[Qtt]]*TbTradesBinance[[#This Row],[Preço]],BG226+TbTradesBinance[[#This Row],[Qtt]]*TbTradesBinance[[#This Row],[Preço]])),BG226)-IF(TbTradesBinance[[#This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Row],[Tipo]]="DROP"),BG226+TbTradesBinance[[#This Row],[Qtt]],BG226-TbTradesBinance[[#This Row],[Qtt]]),IF(TbTradesBinance[[#This Row],[Tipo]]="BUY",BG226-TbTradesBinance[[#This Row],[Qtt]]*TbTradesBinance[[#This Row],[Preço]],BG226+TbTradesBinance[[#This Row],[Qtt]]*TbTradesBinance[[#This Row],[Preço]])),BG226)-IF(TbTradesBinance[[#This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Row],[Tipo]]="DROP"),BG226+TbTradesBinance[[#This Row],[Qtt]],BG226-TbTradesBinance[[#This Row],[Qtt]]),IF(TbTradesBinance[[#This Row],[Tipo]]="BUY",BG226-TbTradesBinance[[#This Row],[Qtt]]*TbTradesBinance[[#This Row],[Preço]],BG226+TbTradesBinance[[#This Row],[Qtt]]*TbTradesBinance[[#This Row],[Preço]])),BG226)-IF(TbTradesBinance[[#This Row],[Moeda da Taxa]]=MID(BG$1,9,5),TbTradesBinance[[#This Row],[Taxa]],0),8)))</f>
        <v>0</v>
      </c>
      <c r="BH227" s="145" cm="1">
        <f t="array" ref="BH227">IF(TbTradesBinance[[#This Row],[Tipo]]="EMPTY",0,BH226+IF(TbTradesBinance[[#This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Row],[Par]]))),$1:$1,0)),-(BG226-BG227)/BG226*BH226),0),0)+IF(TbTradesBinance[[#This Row],[Tipo]]="SELL",IF(ISNUMBER(FIND(MID(BH$1,10,5),TbTradesBinance[[#This Row],[Par]])),IF(FIND(MID(BH$1,10,5),TbTradesBinance[[#This Row],[Par]])=1, -(BG226-BG227)/BG226*BH226,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Row],[Par]])),(-(BG226-BG227)/BG226*BH226)+IF(TbTradesBinance[[#This Row],[Resultado]]&gt;0,0,TbTradesBinance[[#This Row],[Taxa]]),0),0))</f>
        <v>0</v>
      </c>
      <c r="BI227" s="145">
        <f t="shared" ref="BI227" si="145">IF(BG227=0,0,BH227/BG227)</f>
        <v>0</v>
      </c>
      <c r="BJ227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Row],[Tipo]]="DROP"),BJ226+TbTradesBinance[[#This Row],[Qtt]],BJ226-TbTradesBinance[[#This Row],[Qtt]]),IF(TbTradesBinance[[#This Row],[Tipo]]="BUY",BJ226-TbTradesBinance[[#This Row],[Qtt]]*TbTradesBinance[[#This Row],[Preço]],BJ226+TbTradesBinance[[#This Row],[Qtt]]*TbTradesBinance[[#This Row],[Preço]])),BJ226)-IF(TbTradesBinance[[#This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Row],[Tipo]]="DROP"),BJ226+TbTradesBinance[[#This Row],[Qtt]],BJ226-TbTradesBinance[[#This Row],[Qtt]]),IF(TbTradesBinance[[#This Row],[Tipo]]="BUY",BJ226-TbTradesBinance[[#This Row],[Qtt]]*TbTradesBinance[[#This Row],[Preço]],BJ226+TbTradesBinance[[#This Row],[Qtt]]*TbTradesBinance[[#This Row],[Preço]])),BJ226)-IF(TbTradesBinance[[#This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Row],[Tipo]]="DROP"),BJ226+TbTradesBinance[[#This Row],[Qtt]],BJ226-TbTradesBinance[[#This Row],[Qtt]]),IF(TbTradesBinance[[#This Row],[Tipo]]="BUY",BJ226-TbTradesBinance[[#This Row],[Qtt]]*TbTradesBinance[[#This Row],[Preço]],BJ226+TbTradesBinance[[#This Row],[Qtt]]*TbTradesBinance[[#This Row],[Preço]])),BJ226)-IF(TbTradesBinance[[#This Row],[Moeda da Taxa]]=MID(BJ$1,9,5),TbTradesBinance[[#This Row],[Taxa]],0),8)))</f>
        <v>0</v>
      </c>
      <c r="BK227" s="145" cm="1">
        <f t="array" ref="BK227">IF(TbTradesBinance[[#This Row],[Tipo]]="EMPTY",0,BK226+IF(TbTradesBinance[[#This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Row],[Par]]))),$1:$1,0)),-(BJ226-BJ227)/BJ226*BK226),0),0)+IF(TbTradesBinance[[#This Row],[Tipo]]="SELL",IF(ISNUMBER(FIND(MID(BK$1,10,5),TbTradesBinance[[#This Row],[Par]])),IF(FIND(MID(BK$1,10,5),TbTradesBinance[[#This Row],[Par]])=1, -(BJ226-BJ227)/BJ226*BK226,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Row],[Par]])),(-(BJ226-BJ227)/BJ226*BK226)+IF(TbTradesBinance[[#This Row],[Resultado]]&gt;0,0,TbTradesBinance[[#This Row],[Taxa]]),0),0))</f>
        <v>0</v>
      </c>
      <c r="BL227" s="145">
        <f t="shared" ref="BL227" si="146">IF(BJ227=0,0,BK227/BJ227)</f>
        <v>0</v>
      </c>
      <c r="BM227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Row],[Tipo]]="DROP"),BM226+TbTradesBinance[[#This Row],[Qtt]],BM226-TbTradesBinance[[#This Row],[Qtt]]),IF(TbTradesBinance[[#This Row],[Tipo]]="BUY",BM226-TbTradesBinance[[#This Row],[Qtt]]*TbTradesBinance[[#This Row],[Preço]],BM226+TbTradesBinance[[#This Row],[Qtt]]*TbTradesBinance[[#This Row],[Preço]])),BM226)-IF(TbTradesBinance[[#This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Row],[Tipo]]="DROP"),BM226+TbTradesBinance[[#This Row],[Qtt]],BM226-TbTradesBinance[[#This Row],[Qtt]]),IF(TbTradesBinance[[#This Row],[Tipo]]="BUY",BM226-TbTradesBinance[[#This Row],[Qtt]]*TbTradesBinance[[#This Row],[Preço]],BM226+TbTradesBinance[[#This Row],[Qtt]]*TbTradesBinance[[#This Row],[Preço]])),BM226)-IF(TbTradesBinance[[#This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Row],[Tipo]]="DROP"),BM226+TbTradesBinance[[#This Row],[Qtt]],BM226-TbTradesBinance[[#This Row],[Qtt]]),IF(TbTradesBinance[[#This Row],[Tipo]]="BUY",BM226-TbTradesBinance[[#This Row],[Qtt]]*TbTradesBinance[[#This Row],[Preço]],BM226+TbTradesBinance[[#This Row],[Qtt]]*TbTradesBinance[[#This Row],[Preço]])),BM226)-IF(TbTradesBinance[[#This Row],[Moeda da Taxa]]=MID(BM$1,9,5),TbTradesBinance[[#This Row],[Taxa]],0),8)))</f>
        <v>0</v>
      </c>
      <c r="BN227" s="145" cm="1">
        <f t="array" ref="BN227">IF(TbTradesBinance[[#This Row],[Tipo]]="EMPTY",0,BN226+IF(TbTradesBinance[[#This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Row],[Par]]))),$1:$1,0)),-(BM226-BM227)/BM226*BN226),0),0)+IF(TbTradesBinance[[#This Row],[Tipo]]="SELL",IF(ISNUMBER(FIND(MID(BN$1,10,5),TbTradesBinance[[#This Row],[Par]])),IF(FIND(MID(BN$1,10,5),TbTradesBinance[[#This Row],[Par]])=1, -(BM226-BM227)/BM226*BN226,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Row],[Par]])),(-(BM226-BM227)/BM226*BN226)+IF(TbTradesBinance[[#This Row],[Resultado]]&gt;0,0,TbTradesBinance[[#This Row],[Taxa]]),0),0))</f>
        <v>0</v>
      </c>
      <c r="BO227" s="145">
        <f t="shared" ref="BO227" si="147">IF(BM227=0,0,BN227/BM227)</f>
        <v>0</v>
      </c>
    </row>
    <row r="228" spans="2:67" x14ac:dyDescent="0.3">
      <c r="B228" s="51"/>
      <c r="C228" s="40">
        <f>TRUNC(IF(AND(TbTradesBinance[[#This Row],[Tipo]]="SEND",TbTradesBinance[[#This Row],[Par]]="BRL"),TbTradesBinance[[#This Row],[Qtt]]*(1-P226)-IF(TbTradesBinance[[#This Row],[Moeda da Taxa]]="BRL",TbTradesBinance[[#This Row],[Taxa]],0),0)+IF(AND(TbTradesBinance[[#This Row],[Tipo]]="BURN",TbTradesBinance[[#This Row],[Par]]="BRL"),-TbTradesBinance[[#This Row],[Qtt]]*P226,0),2)</f>
        <v>0</v>
      </c>
      <c r="D228" s="53">
        <v>44437.152696759258</v>
      </c>
      <c r="E228" s="37" t="s">
        <v>249</v>
      </c>
      <c r="F228" s="47" t="s">
        <v>139</v>
      </c>
      <c r="G228" s="38">
        <v>48164.37</v>
      </c>
      <c r="H228" s="38">
        <v>3.0300000000000001E-3</v>
      </c>
      <c r="I228" s="38">
        <v>2.2714999999999999E-4</v>
      </c>
      <c r="J228" s="37" t="s">
        <v>45</v>
      </c>
      <c r="K228" s="52">
        <v>5.2469999999999999</v>
      </c>
      <c r="L228" s="40">
        <f>TRUNC(K228*G228,2)</f>
        <v>252718.44</v>
      </c>
      <c r="M228" s="40">
        <f>IF(OR(TbTradesBinance[[#This Row],[Tipo]]="BUY",TbTradesBinance[[#This Row],[Tipo]]="RECEIVE",TbTradesBinance[[#This Row],[Tipo]]="DROP"),L228*H228,-L228*H228)</f>
        <v>765.73687319999999</v>
      </c>
      <c r="N228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Row],[Tipo]]="DROP"),N227+TbTradesBinance[[#This Row],[Qtt]],N227-TbTradesBinance[[#This Row],[Qtt]]),IF(TbTradesBinance[[#This Row],[Tipo]]="BUY",N227-TbTradesBinance[[#This Row],[Qtt]]*TbTradesBinance[[#This Row],[Preço]],N227+TbTradesBinance[[#This Row],[Qtt]]*TbTradesBinance[[#This Row],[Preço]])),N227)-IF(TbTradesBinance[[#This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Row],[Tipo]]="DROP"),N227+TbTradesBinance[[#This Row],[Qtt]],N227-TbTradesBinance[[#This Row],[Qtt]]),IF(TbTradesBinance[[#This Row],[Tipo]]="BUY",N227-TbTradesBinance[[#This Row],[Qtt]]*TbTradesBinance[[#This Row],[Preço]],N227+TbTradesBinance[[#This Row],[Qtt]]*TbTradesBinance[[#This Row],[Preço]])),N227)-IF(TbTradesBinance[[#This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Row],[Tipo]]="DROP"),N227+TbTradesBinance[[#This Row],[Qtt]],N227-TbTradesBinance[[#This Row],[Qtt]]),IF(TbTradesBinance[[#This Row],[Tipo]]="BUY",N227-TbTradesBinance[[#This Row],[Qtt]]*TbTradesBinance[[#This Row],[Preço]],N227+TbTradesBinance[[#This Row],[Qtt]]*TbTradesBinance[[#This Row],[Preço]])),N227)-IF(TbTradesBinance[[#This Row],[Moeda da Taxa]]=MID(N$1,9,5),TbTradesBinance[[#This Row],[Taxa]],0),8)))</f>
        <v>119747.60595781</v>
      </c>
      <c r="O228" s="145" cm="1">
        <f t="array" ref="O228">IF(TbTradesBinance[[#This Row],[Tipo]]="EMPTY",0,O227+IF(TbTradesBinance[[#This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Row],[Par]]))),$1:$1,0)),-(N227-N228)/N227*O227),0),0)+IF(TbTradesBinance[[#This Row],[Tipo]]="SELL",IF(ISNUMBER(FIND(MID(O$1,10,5),TbTradesBinance[[#This Row],[Par]])),IF(FIND(MID(O$1,10,5),TbTradesBinance[[#This Row],[Par]])=1, -(N227-N228)/N227*O227,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Row],[Par]])),(-(N227-N228)/N227*O227)+IF(TbTradesBinance[[#This Row],[Resultado]]&gt;0,0,TbTradesBinance[[#This Row],[Taxa]]),0),0))</f>
        <v>120459.8330017094</v>
      </c>
      <c r="P228" s="145">
        <f t="shared" si="130"/>
        <v>1.0059477351401107</v>
      </c>
      <c r="Q228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Row],[Tipo]]="DROP"),Q227+TbTradesBinance[[#This Row],[Qtt]],Q227-TbTradesBinance[[#This Row],[Qtt]]),IF(TbTradesBinance[[#This Row],[Tipo]]="BUY",Q227-TbTradesBinance[[#This Row],[Qtt]]*TbTradesBinance[[#This Row],[Preço]],Q227+TbTradesBinance[[#This Row],[Qtt]]*TbTradesBinance[[#This Row],[Preço]])),Q227)-IF(TbTradesBinance[[#This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Row],[Tipo]]="DROP"),Q227+TbTradesBinance[[#This Row],[Qtt]],Q227-TbTradesBinance[[#This Row],[Qtt]]),IF(TbTradesBinance[[#This Row],[Tipo]]="BUY",Q227-TbTradesBinance[[#This Row],[Qtt]]*TbTradesBinance[[#This Row],[Preço]],Q227+TbTradesBinance[[#This Row],[Qtt]]*TbTradesBinance[[#This Row],[Preço]])),Q227)-IF(TbTradesBinance[[#This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Row],[Tipo]]="DROP"),Q227+TbTradesBinance[[#This Row],[Qtt]],Q227-TbTradesBinance[[#This Row],[Qtt]]),IF(TbTradesBinance[[#This Row],[Tipo]]="BUY",Q227-TbTradesBinance[[#This Row],[Qtt]]*TbTradesBinance[[#This Row],[Preço]],Q227+TbTradesBinance[[#This Row],[Qtt]]*TbTradesBinance[[#This Row],[Preço]])),Q227)-IF(TbTradesBinance[[#This Row],[Moeda da Taxa]]=MID(Q$1,9,5),TbTradesBinance[[#This Row],[Taxa]],0),8)))</f>
        <v>119.12531624</v>
      </c>
      <c r="R228" s="145" cm="1">
        <f t="array" ref="R228">IF(TbTradesBinance[[#This Row],[Tipo]]="EMPTY",0,R227+IF(TbTradesBinance[[#This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Row],[Par]]))),$1:$1,0)),-(Q227-Q228)/Q227*R227),0),0)+IF(TbTradesBinance[[#This Row],[Tipo]]="SELL",IF(ISNUMBER(FIND(MID(R$1,10,5),TbTradesBinance[[#This Row],[Par]])),IF(FIND(MID(R$1,10,5),TbTradesBinance[[#This Row],[Par]])=1, -(Q227-Q228)/Q227*R227,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Row],[Par]])),(-(Q227-Q228)/Q227*R227)+IF(TbTradesBinance[[#This Row],[Resultado]]&gt;0,0,TbTradesBinance[[#This Row],[Taxa]]),0),0))</f>
        <v>654.92954685253778</v>
      </c>
      <c r="S228" s="145">
        <f t="shared" si="131"/>
        <v>5.4978200060603486</v>
      </c>
      <c r="T228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Row],[Tipo]]="DROP"),T227+TbTradesBinance[[#This Row],[Qtt]],T227-TbTradesBinance[[#This Row],[Qtt]]),IF(TbTradesBinance[[#This Row],[Tipo]]="BUY",T227-TbTradesBinance[[#This Row],[Qtt]]*TbTradesBinance[[#This Row],[Preço]],T227+TbTradesBinance[[#This Row],[Qtt]]*TbTradesBinance[[#This Row],[Preço]])),T227)-IF(TbTradesBinance[[#This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Row],[Tipo]]="DROP"),T227+TbTradesBinance[[#This Row],[Qtt]],T227-TbTradesBinance[[#This Row],[Qtt]]),IF(TbTradesBinance[[#This Row],[Tipo]]="BUY",T227-TbTradesBinance[[#This Row],[Qtt]]*TbTradesBinance[[#This Row],[Preço]],T227+TbTradesBinance[[#This Row],[Qtt]]*TbTradesBinance[[#This Row],[Preço]])),T227)-IF(TbTradesBinance[[#This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Row],[Tipo]]="DROP"),T227+TbTradesBinance[[#This Row],[Qtt]],T227-TbTradesBinance[[#This Row],[Qtt]]),IF(TbTradesBinance[[#This Row],[Tipo]]="BUY",T227-TbTradesBinance[[#This Row],[Qtt]]*TbTradesBinance[[#This Row],[Preço]],T227+TbTradesBinance[[#This Row],[Qtt]]*TbTradesBinance[[#This Row],[Preço]])),T227)-IF(TbTradesBinance[[#This Row],[Moeda da Taxa]]=MID(T$1,9,5),TbTradesBinance[[#This Row],[Taxa]],0),8)))</f>
        <v>101223913.720009</v>
      </c>
      <c r="U228" s="145" cm="1">
        <f t="array" ref="U228">IF(TbTradesBinance[[#This Row],[Tipo]]="EMPTY",0,U227+IF(TbTradesBinance[[#This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Row],[Par]]))),$1:$1,0)),-(T227-T228)/T227*U227),0),0)+IF(TbTradesBinance[[#This Row],[Tipo]]="SELL",IF(ISNUMBER(FIND(MID(U$1,10,5),TbTradesBinance[[#This Row],[Par]])),IF(FIND(MID(U$1,10,5),TbTradesBinance[[#This Row],[Par]])=1, -(T227-T228)/T227*U227,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Row],[Par]])),(-(T227-T228)/T227*U227)+IF(TbTradesBinance[[#This Row],[Resultado]]&gt;0,0,TbTradesBinance[[#This Row],[Taxa]]),0),0))</f>
        <v>617586601.27364206</v>
      </c>
      <c r="V228" s="145">
        <f>IF(T228=0,0,U228/T228)</f>
        <v>6.1011926784605572</v>
      </c>
      <c r="W228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Row],[Tipo]]="DROP"),W227+TbTradesBinance[[#This Row],[Qtt]],W227-TbTradesBinance[[#This Row],[Qtt]]),IF(TbTradesBinance[[#This Row],[Tipo]]="BUY",W227-TbTradesBinance[[#This Row],[Qtt]]*TbTradesBinance[[#This Row],[Preço]],W227+TbTradesBinance[[#This Row],[Qtt]]*TbTradesBinance[[#This Row],[Preço]])),W227)-IF(TbTradesBinance[[#This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Row],[Tipo]]="DROP"),W227+TbTradesBinance[[#This Row],[Qtt]],W227-TbTradesBinance[[#This Row],[Qtt]]),IF(TbTradesBinance[[#This Row],[Tipo]]="BUY",W227-TbTradesBinance[[#This Row],[Qtt]]*TbTradesBinance[[#This Row],[Preço]],W227+TbTradesBinance[[#This Row],[Qtt]]*TbTradesBinance[[#This Row],[Preço]])),W227)-IF(TbTradesBinance[[#This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Row],[Tipo]]="DROP"),W227+TbTradesBinance[[#This Row],[Qtt]],W227-TbTradesBinance[[#This Row],[Qtt]]),IF(TbTradesBinance[[#This Row],[Tipo]]="BUY",W227-TbTradesBinance[[#This Row],[Qtt]]*TbTradesBinance[[#This Row],[Preço]],W227+TbTradesBinance[[#This Row],[Qtt]]*TbTradesBinance[[#This Row],[Preço]])),W227)-IF(TbTradesBinance[[#This Row],[Moeda da Taxa]]=MID(W$1,9,5),TbTradesBinance[[#This Row],[Taxa]],0),8)))</f>
        <v>3.0339899999999999E-3</v>
      </c>
      <c r="X228" s="145" cm="1">
        <f t="array" ref="X228">IF(TbTradesBinance[[#This Row],[Tipo]]="EMPTY",0,X227+IF(TbTradesBinance[[#This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Row],[Par]]))),$1:$1,0)),-(W227-W228)/W227*X227),0),0)+IF(TbTradesBinance[[#This Row],[Tipo]]="SELL",IF(ISNUMBER(FIND(MID(X$1,10,5),TbTradesBinance[[#This Row],[Par]])),IF(FIND(MID(X$1,10,5),TbTradesBinance[[#This Row],[Par]])=1, -(W227-W228)/W227*X227,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Row],[Par]])),(-(W227-W228)/W227*X227)+IF(TbTradesBinance[[#This Row],[Resultado]]&gt;0,0,TbTradesBinance[[#This Row],[Taxa]]),0),0))</f>
        <v>803.03646319866061</v>
      </c>
      <c r="Y228" s="145">
        <f>IF(W228=0,0,X228/W228)</f>
        <v>264679.99670356879</v>
      </c>
      <c r="Z228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Row],[Tipo]]="DROP"),Z227+TbTradesBinance[[#This Row],[Qtt]],Z227-TbTradesBinance[[#This Row],[Qtt]]),IF(TbTradesBinance[[#This Row],[Tipo]]="BUY",Z227-TbTradesBinance[[#This Row],[Qtt]]*TbTradesBinance[[#This Row],[Preço]],Z227+TbTradesBinance[[#This Row],[Qtt]]*TbTradesBinance[[#This Row],[Preço]])),Z227)-IF(TbTradesBinance[[#This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Row],[Tipo]]="DROP"),Z227+TbTradesBinance[[#This Row],[Qtt]],Z227-TbTradesBinance[[#This Row],[Qtt]]),IF(TbTradesBinance[[#This Row],[Tipo]]="BUY",Z227-TbTradesBinance[[#This Row],[Qtt]]*TbTradesBinance[[#This Row],[Preço]],Z227+TbTradesBinance[[#This Row],[Qtt]]*TbTradesBinance[[#This Row],[Preço]])),Z227)-IF(TbTradesBinance[[#This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Row],[Tipo]]="DROP"),Z227+TbTradesBinance[[#This Row],[Qtt]],Z227-TbTradesBinance[[#This Row],[Qtt]]),IF(TbTradesBinance[[#This Row],[Tipo]]="BUY",Z227-TbTradesBinance[[#This Row],[Qtt]]*TbTradesBinance[[#This Row],[Preço]],Z227+TbTradesBinance[[#This Row],[Qtt]]*TbTradesBinance[[#This Row],[Preço]])),Z227)-IF(TbTradesBinance[[#This Row],[Moeda da Taxa]]=MID(Z$1,9,5),TbTradesBinance[[#This Row],[Taxa]],0),8)))</f>
        <v>0</v>
      </c>
      <c r="AA228" s="145" cm="1">
        <f t="array" ref="AA228">IF(TbTradesBinance[[#This Row],[Tipo]]="EMPTY",0,AA227+IF(TbTradesBinance[[#This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Row],[Par]]))),$1:$1,0)),-(Z227-Z228)/Z227*AA227),0),0)+IF(TbTradesBinance[[#This Row],[Tipo]]="SELL",IF(ISNUMBER(FIND(MID(AA$1,10,5),TbTradesBinance[[#This Row],[Par]])),IF(FIND(MID(AA$1,10,5),TbTradesBinance[[#This Row],[Par]])=1, -(Z227-Z228)/Z227*AA227,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Row],[Par]])),(-(Z227-Z228)/Z227*AA227)+IF(TbTradesBinance[[#This Row],[Resultado]]&gt;0,0,TbTradesBinance[[#This Row],[Taxa]]),0),0))</f>
        <v>0</v>
      </c>
      <c r="AB228" s="145">
        <f>IF(Z228=0,0,AA228/Z228)</f>
        <v>0</v>
      </c>
      <c r="AC228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Row],[Tipo]]="DROP"),AC227+TbTradesBinance[[#This Row],[Qtt]],AC227-TbTradesBinance[[#This Row],[Qtt]]),IF(TbTradesBinance[[#This Row],[Tipo]]="BUY",AC227-TbTradesBinance[[#This Row],[Qtt]]*TbTradesBinance[[#This Row],[Preço]],AC227+TbTradesBinance[[#This Row],[Qtt]]*TbTradesBinance[[#This Row],[Preço]])),AC227)-IF(TbTradesBinance[[#This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Row],[Tipo]]="DROP"),AC227+TbTradesBinance[[#This Row],[Qtt]],AC227-TbTradesBinance[[#This Row],[Qtt]]),IF(TbTradesBinance[[#This Row],[Tipo]]="BUY",AC227-TbTradesBinance[[#This Row],[Qtt]]*TbTradesBinance[[#This Row],[Preço]],AC227+TbTradesBinance[[#This Row],[Qtt]]*TbTradesBinance[[#This Row],[Preço]])),AC227)-IF(TbTradesBinance[[#This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Row],[Tipo]]="DROP"),AC227+TbTradesBinance[[#This Row],[Qtt]],AC227-TbTradesBinance[[#This Row],[Qtt]]),IF(TbTradesBinance[[#This Row],[Tipo]]="BUY",AC227-TbTradesBinance[[#This Row],[Qtt]]*TbTradesBinance[[#This Row],[Preço]],AC227+TbTradesBinance[[#This Row],[Qtt]]*TbTradesBinance[[#This Row],[Preço]])),AC227)-IF(TbTradesBinance[[#This Row],[Moeda da Taxa]]=MID(AC$1,9,5),TbTradesBinance[[#This Row],[Taxa]],0),8)))</f>
        <v>0</v>
      </c>
      <c r="AD228" s="145" cm="1">
        <f t="array" ref="AD228">IF(TbTradesBinance[[#This Row],[Tipo]]="EMPTY",0,AD227+IF(TbTradesBinance[[#This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Row],[Par]]))),$1:$1,0)),-(AC227-AC228)/AC227*AD227),0),0)+IF(TbTradesBinance[[#This Row],[Tipo]]="SELL",IF(ISNUMBER(FIND(MID(AD$1,10,5),TbTradesBinance[[#This Row],[Par]])),IF(FIND(MID(AD$1,10,5),TbTradesBinance[[#This Row],[Par]])=1, -(AC227-AC228)/AC227*AD227,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Row],[Par]])),(-(AC227-AC228)/AC227*AD227)+IF(TbTradesBinance[[#This Row],[Resultado]]&gt;0,0,TbTradesBinance[[#This Row],[Taxa]]),0),0))</f>
        <v>0</v>
      </c>
      <c r="AE228" s="145">
        <f>IF(AC228=0,0,AD228/AC228)</f>
        <v>0</v>
      </c>
      <c r="AF228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Row],[Tipo]]="DROP"),AF227+TbTradesBinance[[#This Row],[Qtt]],AF227-TbTradesBinance[[#This Row],[Qtt]]),IF(TbTradesBinance[[#This Row],[Tipo]]="BUY",AF227-TbTradesBinance[[#This Row],[Qtt]]*TbTradesBinance[[#This Row],[Preço]],AF227+TbTradesBinance[[#This Row],[Qtt]]*TbTradesBinance[[#This Row],[Preço]])),AF227)-IF(TbTradesBinance[[#This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Row],[Tipo]]="DROP"),AF227+TbTradesBinance[[#This Row],[Qtt]],AF227-TbTradesBinance[[#This Row],[Qtt]]),IF(TbTradesBinance[[#This Row],[Tipo]]="BUY",AF227-TbTradesBinance[[#This Row],[Qtt]]*TbTradesBinance[[#This Row],[Preço]],AF227+TbTradesBinance[[#This Row],[Qtt]]*TbTradesBinance[[#This Row],[Preço]])),AF227)-IF(TbTradesBinance[[#This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Row],[Tipo]]="DROP"),AF227+TbTradesBinance[[#This Row],[Qtt]],AF227-TbTradesBinance[[#This Row],[Qtt]]),IF(TbTradesBinance[[#This Row],[Tipo]]="BUY",AF227-TbTradesBinance[[#This Row],[Qtt]]*TbTradesBinance[[#This Row],[Preço]],AF227+TbTradesBinance[[#This Row],[Qtt]]*TbTradesBinance[[#This Row],[Preço]])),AF227)-IF(TbTradesBinance[[#This Row],[Moeda da Taxa]]=MID(AF$1,9,5),TbTradesBinance[[#This Row],[Taxa]],0),8)))</f>
        <v>0</v>
      </c>
      <c r="AG228" s="145" cm="1">
        <f t="array" ref="AG228">IF(TbTradesBinance[[#This Row],[Tipo]]="EMPTY",0,AG227+IF(TbTradesBinance[[#This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Row],[Par]]))),$1:$1,0)),-(AF227-AF228)/AF227*AG227),0),0)+IF(TbTradesBinance[[#This Row],[Tipo]]="SELL",IF(ISNUMBER(FIND(MID(AG$1,10,5),TbTradesBinance[[#This Row],[Par]])),IF(FIND(MID(AG$1,10,5),TbTradesBinance[[#This Row],[Par]])=1, -(AF227-AF228)/AF227*AG227,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Row],[Par]])),(-(AF227-AF228)/AF227*AG227)+IF(TbTradesBinance[[#This Row],[Resultado]]&gt;0,0,TbTradesBinance[[#This Row],[Taxa]]),0),0))</f>
        <v>0</v>
      </c>
      <c r="AH228" s="145">
        <f>IF(AF228=0,0,AG228/AF228)</f>
        <v>0</v>
      </c>
      <c r="AI228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Row],[Tipo]]="DROP"),AI227+TbTradesBinance[[#This Row],[Qtt]],AI227-TbTradesBinance[[#This Row],[Qtt]]),IF(TbTradesBinance[[#This Row],[Tipo]]="BUY",AI227-TbTradesBinance[[#This Row],[Qtt]]*TbTradesBinance[[#This Row],[Preço]],AI227+TbTradesBinance[[#This Row],[Qtt]]*TbTradesBinance[[#This Row],[Preço]])),AI227)-IF(TbTradesBinance[[#This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Row],[Tipo]]="DROP"),AI227+TbTradesBinance[[#This Row],[Qtt]],AI227-TbTradesBinance[[#This Row],[Qtt]]),IF(TbTradesBinance[[#This Row],[Tipo]]="BUY",AI227-TbTradesBinance[[#This Row],[Qtt]]*TbTradesBinance[[#This Row],[Preço]],AI227+TbTradesBinance[[#This Row],[Qtt]]*TbTradesBinance[[#This Row],[Preço]])),AI227)-IF(TbTradesBinance[[#This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Row],[Tipo]]="DROP"),AI227+TbTradesBinance[[#This Row],[Qtt]],AI227-TbTradesBinance[[#This Row],[Qtt]]),IF(TbTradesBinance[[#This Row],[Tipo]]="BUY",AI227-TbTradesBinance[[#This Row],[Qtt]]*TbTradesBinance[[#This Row],[Preço]],AI227+TbTradesBinance[[#This Row],[Qtt]]*TbTradesBinance[[#This Row],[Preço]])),AI227)-IF(TbTradesBinance[[#This Row],[Moeda da Taxa]]=MID(AI$1,9,5),TbTradesBinance[[#This Row],[Taxa]],0),8)))</f>
        <v>0</v>
      </c>
      <c r="AJ228" s="145" cm="1">
        <f t="array" ref="AJ228">IF(TbTradesBinance[[#This Row],[Tipo]]="EMPTY",0,AJ227+IF(TbTradesBinance[[#This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Row],[Par]]))),$1:$1,0)),-(AI227-AI228)/AI227*AJ227),0),0)+IF(TbTradesBinance[[#This Row],[Tipo]]="SELL",IF(ISNUMBER(FIND(MID(AJ$1,10,5),TbTradesBinance[[#This Row],[Par]])),IF(FIND(MID(AJ$1,10,5),TbTradesBinance[[#This Row],[Par]])=1, -(AI227-AI228)/AI227*AJ227,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Row],[Par]])),(-(AI227-AI228)/AI227*AJ227)+IF(TbTradesBinance[[#This Row],[Resultado]]&gt;0,0,TbTradesBinance[[#This Row],[Taxa]]),0),0))</f>
        <v>0</v>
      </c>
      <c r="AK228" s="145">
        <f>IF(AI228=0,0,AJ228/AI228)</f>
        <v>0</v>
      </c>
      <c r="AL228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Row],[Tipo]]="DROP"),AL227+TbTradesBinance[[#This Row],[Qtt]],AL227-TbTradesBinance[[#This Row],[Qtt]]),IF(TbTradesBinance[[#This Row],[Tipo]]="BUY",AL227-TbTradesBinance[[#This Row],[Qtt]]*TbTradesBinance[[#This Row],[Preço]],AL227+TbTradesBinance[[#This Row],[Qtt]]*TbTradesBinance[[#This Row],[Preço]])),AL227)-IF(TbTradesBinance[[#This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Row],[Tipo]]="DROP"),AL227+TbTradesBinance[[#This Row],[Qtt]],AL227-TbTradesBinance[[#This Row],[Qtt]]),IF(TbTradesBinance[[#This Row],[Tipo]]="BUY",AL227-TbTradesBinance[[#This Row],[Qtt]]*TbTradesBinance[[#This Row],[Preço]],AL227+TbTradesBinance[[#This Row],[Qtt]]*TbTradesBinance[[#This Row],[Preço]])),AL227)-IF(TbTradesBinance[[#This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Row],[Tipo]]="DROP"),AL227+TbTradesBinance[[#This Row],[Qtt]],AL227-TbTradesBinance[[#This Row],[Qtt]]),IF(TbTradesBinance[[#This Row],[Tipo]]="BUY",AL227-TbTradesBinance[[#This Row],[Qtt]]*TbTradesBinance[[#This Row],[Preço]],AL227+TbTradesBinance[[#This Row],[Qtt]]*TbTradesBinance[[#This Row],[Preço]])),AL227)-IF(TbTradesBinance[[#This Row],[Moeda da Taxa]]=MID(AL$1,9,5),TbTradesBinance[[#This Row],[Taxa]],0),8)))</f>
        <v>0</v>
      </c>
      <c r="AM228" s="145" cm="1">
        <f t="array" ref="AM228">IF(TbTradesBinance[[#This Row],[Tipo]]="EMPTY",0,AM227+IF(TbTradesBinance[[#This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Row],[Par]]))),$1:$1,0)),-(AL227-AL228)/AL227*AM227),0),0)+IF(TbTradesBinance[[#This Row],[Tipo]]="SELL",IF(ISNUMBER(FIND(MID(AM$1,10,5),TbTradesBinance[[#This Row],[Par]])),IF(FIND(MID(AM$1,10,5),TbTradesBinance[[#This Row],[Par]])=1, -(AL227-AL228)/AL227*AM227,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Row],[Par]])),(-(AL227-AL228)/AL227*AM227)+IF(TbTradesBinance[[#This Row],[Resultado]]&gt;0,0,TbTradesBinance[[#This Row],[Taxa]]),0),0))</f>
        <v>0</v>
      </c>
      <c r="AN228" s="145">
        <f>IF(AL228=0,0,AM228/AL228)</f>
        <v>0</v>
      </c>
      <c r="AO228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Row],[Tipo]]="DROP"),AO227+TbTradesBinance[[#This Row],[Qtt]],AO227-TbTradesBinance[[#This Row],[Qtt]]),IF(TbTradesBinance[[#This Row],[Tipo]]="BUY",AO227-TbTradesBinance[[#This Row],[Qtt]]*TbTradesBinance[[#This Row],[Preço]],AO227+TbTradesBinance[[#This Row],[Qtt]]*TbTradesBinance[[#This Row],[Preço]])),AO227)-IF(TbTradesBinance[[#This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Row],[Tipo]]="DROP"),AO227+TbTradesBinance[[#This Row],[Qtt]],AO227-TbTradesBinance[[#This Row],[Qtt]]),IF(TbTradesBinance[[#This Row],[Tipo]]="BUY",AO227-TbTradesBinance[[#This Row],[Qtt]]*TbTradesBinance[[#This Row],[Preço]],AO227+TbTradesBinance[[#This Row],[Qtt]]*TbTradesBinance[[#This Row],[Preço]])),AO227)-IF(TbTradesBinance[[#This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Row],[Tipo]]="DROP"),AO227+TbTradesBinance[[#This Row],[Qtt]],AO227-TbTradesBinance[[#This Row],[Qtt]]),IF(TbTradesBinance[[#This Row],[Tipo]]="BUY",AO227-TbTradesBinance[[#This Row],[Qtt]]*TbTradesBinance[[#This Row],[Preço]],AO227+TbTradesBinance[[#This Row],[Qtt]]*TbTradesBinance[[#This Row],[Preço]])),AO227)-IF(TbTradesBinance[[#This Row],[Moeda da Taxa]]=MID(AO$1,9,5),TbTradesBinance[[#This Row],[Taxa]],0),8)))</f>
        <v>6.6400959999999995E-2</v>
      </c>
      <c r="AP228" s="145" cm="1">
        <f t="array" ref="AP228">IF(TbTradesBinance[[#This Row],[Tipo]]="EMPTY",0,AP227+IF(TbTradesBinance[[#This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Row],[Par]]))),$1:$1,0)),-(AO227-AO228)/AO227*AP227),0),0)+IF(TbTradesBinance[[#This Row],[Tipo]]="SELL",IF(ISNUMBER(FIND(MID(AP$1,10,5),TbTradesBinance[[#This Row],[Par]])),IF(FIND(MID(AP$1,10,5),TbTradesBinance[[#This Row],[Par]])=1, -(AO227-AO228)/AO227*AP227,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Row],[Par]])),(-(AO227-AO228)/AO227*AP227)+IF(TbTradesBinance[[#This Row],[Resultado]]&gt;0,0,TbTradesBinance[[#This Row],[Taxa]]),0),0))</f>
        <v>102.0944711963762</v>
      </c>
      <c r="AQ228" s="145">
        <f>IF(AO228=0,0,AP228/AO228)</f>
        <v>1537.545107727</v>
      </c>
      <c r="AR228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Row],[Tipo]]="DROP"),AR227+TbTradesBinance[[#This Row],[Qtt]],AR227-TbTradesBinance[[#This Row],[Qtt]]),IF(TbTradesBinance[[#This Row],[Tipo]]="BUY",AR227-TbTradesBinance[[#This Row],[Qtt]]*TbTradesBinance[[#This Row],[Preço]],AR227+TbTradesBinance[[#This Row],[Qtt]]*TbTradesBinance[[#This Row],[Preço]])),AR227)-IF(TbTradesBinance[[#This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Row],[Tipo]]="DROP"),AR227+TbTradesBinance[[#This Row],[Qtt]],AR227-TbTradesBinance[[#This Row],[Qtt]]),IF(TbTradesBinance[[#This Row],[Tipo]]="BUY",AR227-TbTradesBinance[[#This Row],[Qtt]]*TbTradesBinance[[#This Row],[Preço]],AR227+TbTradesBinance[[#This Row],[Qtt]]*TbTradesBinance[[#This Row],[Preço]])),AR227)-IF(TbTradesBinance[[#This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Row],[Tipo]]="DROP"),AR227+TbTradesBinance[[#This Row],[Qtt]],AR227-TbTradesBinance[[#This Row],[Qtt]]),IF(TbTradesBinance[[#This Row],[Tipo]]="BUY",AR227-TbTradesBinance[[#This Row],[Qtt]]*TbTradesBinance[[#This Row],[Preço]],AR227+TbTradesBinance[[#This Row],[Qtt]]*TbTradesBinance[[#This Row],[Preço]])),AR227)-IF(TbTradesBinance[[#This Row],[Moeda da Taxa]]=MID(AR$1,9,5),TbTradesBinance[[#This Row],[Taxa]],0),8)))</f>
        <v>0</v>
      </c>
      <c r="AS228" s="145" cm="1">
        <f t="array" ref="AS228">IF(TbTradesBinance[[#This Row],[Tipo]]="EMPTY",0,AS227+IF(TbTradesBinance[[#This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Row],[Par]]))),$1:$1,0)),-(AR227-AR228)/AR227*AS227),0),0)+IF(TbTradesBinance[[#This Row],[Tipo]]="SELL",IF(ISNUMBER(FIND(MID(AS$1,10,5),TbTradesBinance[[#This Row],[Par]])),IF(FIND(MID(AS$1,10,5),TbTradesBinance[[#This Row],[Par]])=1, -(AR227-AR228)/AR227*AS227,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Row],[Par]])),(-(AR227-AR228)/AR227*AS227)+IF(TbTradesBinance[[#This Row],[Resultado]]&gt;0,0,TbTradesBinance[[#This Row],[Taxa]]),0),0))</f>
        <v>0</v>
      </c>
      <c r="AT228" s="145">
        <f>IF(AR228=0,0,AS228/AR228)</f>
        <v>0</v>
      </c>
      <c r="AU228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Row],[Tipo]]="DROP"),AU227+TbTradesBinance[[#This Row],[Qtt]],AU227-TbTradesBinance[[#This Row],[Qtt]]),IF(TbTradesBinance[[#This Row],[Tipo]]="BUY",AU227-TbTradesBinance[[#This Row],[Qtt]]*TbTradesBinance[[#This Row],[Preço]],AU227+TbTradesBinance[[#This Row],[Qtt]]*TbTradesBinance[[#This Row],[Preço]])),AU227)-IF(TbTradesBinance[[#This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Row],[Tipo]]="DROP"),AU227+TbTradesBinance[[#This Row],[Qtt]],AU227-TbTradesBinance[[#This Row],[Qtt]]),IF(TbTradesBinance[[#This Row],[Tipo]]="BUY",AU227-TbTradesBinance[[#This Row],[Qtt]]*TbTradesBinance[[#This Row],[Preço]],AU227+TbTradesBinance[[#This Row],[Qtt]]*TbTradesBinance[[#This Row],[Preço]])),AU227)-IF(TbTradesBinance[[#This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Row],[Tipo]]="DROP"),AU227+TbTradesBinance[[#This Row],[Qtt]],AU227-TbTradesBinance[[#This Row],[Qtt]]),IF(TbTradesBinance[[#This Row],[Tipo]]="BUY",AU227-TbTradesBinance[[#This Row],[Qtt]]*TbTradesBinance[[#This Row],[Preço]],AU227+TbTradesBinance[[#This Row],[Qtt]]*TbTradesBinance[[#This Row],[Preço]])),AU227)-IF(TbTradesBinance[[#This Row],[Moeda da Taxa]]=MID(AU$1,9,5),TbTradesBinance[[#This Row],[Taxa]],0),8)))</f>
        <v>0.51</v>
      </c>
      <c r="AV228" s="145" cm="1">
        <f t="array" ref="AV228">IF(TbTradesBinance[[#This Row],[Tipo]]="EMPTY",0,AV227+IF(TbTradesBinance[[#This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Row],[Par]]))),$1:$1,0)),-(AU227-AU228)/AU227*AV227),0),0)+IF(TbTradesBinance[[#This Row],[Tipo]]="SELL",IF(ISNUMBER(FIND(MID(AV$1,10,5),TbTradesBinance[[#This Row],[Par]])),IF(FIND(MID(AV$1,10,5),TbTradesBinance[[#This Row],[Par]])=1, -(AU227-AU228)/AU227*AV227,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Row],[Par]])),(-(AU227-AU228)/AU227*AV227)+IF(TbTradesBinance[[#This Row],[Resultado]]&gt;0,0,TbTradesBinance[[#This Row],[Taxa]]),0),0))</f>
        <v>95.466693037374753</v>
      </c>
      <c r="AW228" s="145">
        <f>IF(AU228=0,0,AV228/AU228)</f>
        <v>187.18959419093088</v>
      </c>
      <c r="AX228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Row],[Tipo]]="DROP"),AX227+TbTradesBinance[[#This Row],[Qtt]],AX227-TbTradesBinance[[#This Row],[Qtt]]),IF(TbTradesBinance[[#This Row],[Tipo]]="BUY",AX227-TbTradesBinance[[#This Row],[Qtt]]*TbTradesBinance[[#This Row],[Preço]],AX227+TbTradesBinance[[#This Row],[Qtt]]*TbTradesBinance[[#This Row],[Preço]])),AX227)-IF(TbTradesBinance[[#This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Row],[Tipo]]="DROP"),AX227+TbTradesBinance[[#This Row],[Qtt]],AX227-TbTradesBinance[[#This Row],[Qtt]]),IF(TbTradesBinance[[#This Row],[Tipo]]="BUY",AX227-TbTradesBinance[[#This Row],[Qtt]]*TbTradesBinance[[#This Row],[Preço]],AX227+TbTradesBinance[[#This Row],[Qtt]]*TbTradesBinance[[#This Row],[Preço]])),AX227)-IF(TbTradesBinance[[#This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Row],[Tipo]]="DROP"),AX227+TbTradesBinance[[#This Row],[Qtt]],AX227-TbTradesBinance[[#This Row],[Qtt]]),IF(TbTradesBinance[[#This Row],[Tipo]]="BUY",AX227-TbTradesBinance[[#This Row],[Qtt]]*TbTradesBinance[[#This Row],[Preço]],AX227+TbTradesBinance[[#This Row],[Qtt]]*TbTradesBinance[[#This Row],[Preço]])),AX227)-IF(TbTradesBinance[[#This Row],[Moeda da Taxa]]=MID(AX$1,9,5),TbTradesBinance[[#This Row],[Taxa]],0),8)))</f>
        <v>0.32838000000000001</v>
      </c>
      <c r="AY228" s="145" cm="1">
        <f t="array" ref="AY228">IF(TbTradesBinance[[#This Row],[Tipo]]="EMPTY",0,AY227+IF(TbTradesBinance[[#This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Row],[Par]]))),$1:$1,0)),-(AX227-AX228)/AX227*AY227),0),0)+IF(TbTradesBinance[[#This Row],[Tipo]]="SELL",IF(ISNUMBER(FIND(MID(AY$1,10,5),TbTradesBinance[[#This Row],[Par]])),IF(FIND(MID(AY$1,10,5),TbTradesBinance[[#This Row],[Par]])=1, -(AX227-AX228)/AX227*AY227,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Row],[Par]])),(-(AX227-AX228)/AX227*AY227)+IF(TbTradesBinance[[#This Row],[Resultado]]&gt;0,0,TbTradesBinance[[#This Row],[Taxa]]),0),0))</f>
        <v>61.364116058805678</v>
      </c>
      <c r="AZ228" s="145">
        <f>IF(AX228=0,0,AY228/AX228)</f>
        <v>186.869224857804</v>
      </c>
      <c r="BA228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Row],[Tipo]]="DROP"),BA227+TbTradesBinance[[#This Row],[Qtt]],BA227-TbTradesBinance[[#This Row],[Qtt]]),IF(TbTradesBinance[[#This Row],[Tipo]]="BUY",BA227-TbTradesBinance[[#This Row],[Qtt]]*TbTradesBinance[[#This Row],[Preço]],BA227+TbTradesBinance[[#This Row],[Qtt]]*TbTradesBinance[[#This Row],[Preço]])),BA227)-IF(TbTradesBinance[[#This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Row],[Tipo]]="DROP"),BA227+TbTradesBinance[[#This Row],[Qtt]],BA227-TbTradesBinance[[#This Row],[Qtt]]),IF(TbTradesBinance[[#This Row],[Tipo]]="BUY",BA227-TbTradesBinance[[#This Row],[Qtt]]*TbTradesBinance[[#This Row],[Preço]],BA227+TbTradesBinance[[#This Row],[Qtt]]*TbTradesBinance[[#This Row],[Preço]])),BA227)-IF(TbTradesBinance[[#This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Row],[Tipo]]="DROP"),BA227+TbTradesBinance[[#This Row],[Qtt]],BA227-TbTradesBinance[[#This Row],[Qtt]]),IF(TbTradesBinance[[#This Row],[Tipo]]="BUY",BA227-TbTradesBinance[[#This Row],[Qtt]]*TbTradesBinance[[#This Row],[Preço]],BA227+TbTradesBinance[[#This Row],[Qtt]]*TbTradesBinance[[#This Row],[Preço]])),BA227)-IF(TbTradesBinance[[#This Row],[Moeda da Taxa]]=MID(BA$1,9,5),TbTradesBinance[[#This Row],[Taxa]],0),8)))</f>
        <v>0</v>
      </c>
      <c r="BB228" s="145" cm="1">
        <f t="array" ref="BB228">IF(TbTradesBinance[[#This Row],[Tipo]]="EMPTY",0,BB227+IF(TbTradesBinance[[#This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Row],[Par]]))),$1:$1,0)),-(BA227-BA228)/BA227*BB227),0),0)+IF(TbTradesBinance[[#This Row],[Tipo]]="SELL",IF(ISNUMBER(FIND(MID(BB$1,10,5),TbTradesBinance[[#This Row],[Par]])),IF(FIND(MID(BB$1,10,5),TbTradesBinance[[#This Row],[Par]])=1, -(BA227-BA228)/BA227*BB227,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Row],[Par]])),(-(BA227-BA228)/BA227*BB227)+IF(TbTradesBinance[[#This Row],[Resultado]]&gt;0,0,TbTradesBinance[[#This Row],[Taxa]]),0),0))</f>
        <v>0</v>
      </c>
      <c r="BC228" s="145">
        <f>IF(BA228=0,0,BB228/BA228)</f>
        <v>0</v>
      </c>
      <c r="BD228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Row],[Tipo]]="DROP"),BD227+TbTradesBinance[[#This Row],[Qtt]],BD227-TbTradesBinance[[#This Row],[Qtt]]),IF(TbTradesBinance[[#This Row],[Tipo]]="BUY",BD227-TbTradesBinance[[#This Row],[Qtt]]*TbTradesBinance[[#This Row],[Preço]],BD227+TbTradesBinance[[#This Row],[Qtt]]*TbTradesBinance[[#This Row],[Preço]])),BD227)-IF(TbTradesBinance[[#This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Row],[Tipo]]="DROP"),BD227+TbTradesBinance[[#This Row],[Qtt]],BD227-TbTradesBinance[[#This Row],[Qtt]]),IF(TbTradesBinance[[#This Row],[Tipo]]="BUY",BD227-TbTradesBinance[[#This Row],[Qtt]]*TbTradesBinance[[#This Row],[Preço]],BD227+TbTradesBinance[[#This Row],[Qtt]]*TbTradesBinance[[#This Row],[Preço]])),BD227)-IF(TbTradesBinance[[#This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Row],[Tipo]]="DROP"),BD227+TbTradesBinance[[#This Row],[Qtt]],BD227-TbTradesBinance[[#This Row],[Qtt]]),IF(TbTradesBinance[[#This Row],[Tipo]]="BUY",BD227-TbTradesBinance[[#This Row],[Qtt]]*TbTradesBinance[[#This Row],[Preço]],BD227+TbTradesBinance[[#This Row],[Qtt]]*TbTradesBinance[[#This Row],[Preço]])),BD227)-IF(TbTradesBinance[[#This Row],[Moeda da Taxa]]=MID(BD$1,9,5),TbTradesBinance[[#This Row],[Taxa]],0),8)))</f>
        <v>0</v>
      </c>
      <c r="BE228" s="145" cm="1">
        <f t="array" ref="BE228">IF(TbTradesBinance[[#This Row],[Tipo]]="EMPTY",0,BE227+IF(TbTradesBinance[[#This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Row],[Par]]))),$1:$1,0)),-(BD227-BD228)/BD227*BE227),0),0)+IF(TbTradesBinance[[#This Row],[Tipo]]="SELL",IF(ISNUMBER(FIND(MID(BE$1,10,5),TbTradesBinance[[#This Row],[Par]])),IF(FIND(MID(BE$1,10,5),TbTradesBinance[[#This Row],[Par]])=1, -(BD227-BD228)/BD227*BE227,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Row],[Par]])),(-(BD227-BD228)/BD227*BE227)+IF(TbTradesBinance[[#This Row],[Resultado]]&gt;0,0,TbTradesBinance[[#This Row],[Taxa]]),0),0))</f>
        <v>0</v>
      </c>
      <c r="BF228" s="145">
        <f>IF(BD228=0,0,BE228/BD228)</f>
        <v>0</v>
      </c>
      <c r="BG228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Row],[Tipo]]="DROP"),BG227+TbTradesBinance[[#This Row],[Qtt]],BG227-TbTradesBinance[[#This Row],[Qtt]]),IF(TbTradesBinance[[#This Row],[Tipo]]="BUY",BG227-TbTradesBinance[[#This Row],[Qtt]]*TbTradesBinance[[#This Row],[Preço]],BG227+TbTradesBinance[[#This Row],[Qtt]]*TbTradesBinance[[#This Row],[Preço]])),BG227)-IF(TbTradesBinance[[#This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Row],[Tipo]]="DROP"),BG227+TbTradesBinance[[#This Row],[Qtt]],BG227-TbTradesBinance[[#This Row],[Qtt]]),IF(TbTradesBinance[[#This Row],[Tipo]]="BUY",BG227-TbTradesBinance[[#This Row],[Qtt]]*TbTradesBinance[[#This Row],[Preço]],BG227+TbTradesBinance[[#This Row],[Qtt]]*TbTradesBinance[[#This Row],[Preço]])),BG227)-IF(TbTradesBinance[[#This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Row],[Tipo]]="DROP"),BG227+TbTradesBinance[[#This Row],[Qtt]],BG227-TbTradesBinance[[#This Row],[Qtt]]),IF(TbTradesBinance[[#This Row],[Tipo]]="BUY",BG227-TbTradesBinance[[#This Row],[Qtt]]*TbTradesBinance[[#This Row],[Preço]],BG227+TbTradesBinance[[#This Row],[Qtt]]*TbTradesBinance[[#This Row],[Preço]])),BG227)-IF(TbTradesBinance[[#This Row],[Moeda da Taxa]]=MID(BG$1,9,5),TbTradesBinance[[#This Row],[Taxa]],0),8)))</f>
        <v>0</v>
      </c>
      <c r="BH228" s="145" cm="1">
        <f t="array" ref="BH228">IF(TbTradesBinance[[#This Row],[Tipo]]="EMPTY",0,BH227+IF(TbTradesBinance[[#This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Row],[Par]]))),$1:$1,0)),-(BG227-BG228)/BG227*BH227),0),0)+IF(TbTradesBinance[[#This Row],[Tipo]]="SELL",IF(ISNUMBER(FIND(MID(BH$1,10,5),TbTradesBinance[[#This Row],[Par]])),IF(FIND(MID(BH$1,10,5),TbTradesBinance[[#This Row],[Par]])=1, -(BG227-BG228)/BG227*BH227,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Row],[Par]])),(-(BG227-BG228)/BG227*BH227)+IF(TbTradesBinance[[#This Row],[Resultado]]&gt;0,0,TbTradesBinance[[#This Row],[Taxa]]),0),0))</f>
        <v>0</v>
      </c>
      <c r="BI228" s="145">
        <f>IF(BG228=0,0,BH228/BG228)</f>
        <v>0</v>
      </c>
      <c r="BJ228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Row],[Tipo]]="DROP"),BJ227+TbTradesBinance[[#This Row],[Qtt]],BJ227-TbTradesBinance[[#This Row],[Qtt]]),IF(TbTradesBinance[[#This Row],[Tipo]]="BUY",BJ227-TbTradesBinance[[#This Row],[Qtt]]*TbTradesBinance[[#This Row],[Preço]],BJ227+TbTradesBinance[[#This Row],[Qtt]]*TbTradesBinance[[#This Row],[Preço]])),BJ227)-IF(TbTradesBinance[[#This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Row],[Tipo]]="DROP"),BJ227+TbTradesBinance[[#This Row],[Qtt]],BJ227-TbTradesBinance[[#This Row],[Qtt]]),IF(TbTradesBinance[[#This Row],[Tipo]]="BUY",BJ227-TbTradesBinance[[#This Row],[Qtt]]*TbTradesBinance[[#This Row],[Preço]],BJ227+TbTradesBinance[[#This Row],[Qtt]]*TbTradesBinance[[#This Row],[Preço]])),BJ227)-IF(TbTradesBinance[[#This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Row],[Tipo]]="DROP"),BJ227+TbTradesBinance[[#This Row],[Qtt]],BJ227-TbTradesBinance[[#This Row],[Qtt]]),IF(TbTradesBinance[[#This Row],[Tipo]]="BUY",BJ227-TbTradesBinance[[#This Row],[Qtt]]*TbTradesBinance[[#This Row],[Preço]],BJ227+TbTradesBinance[[#This Row],[Qtt]]*TbTradesBinance[[#This Row],[Preço]])),BJ227)-IF(TbTradesBinance[[#This Row],[Moeda da Taxa]]=MID(BJ$1,9,5),TbTradesBinance[[#This Row],[Taxa]],0),8)))</f>
        <v>0</v>
      </c>
      <c r="BK228" s="145" cm="1">
        <f t="array" ref="BK228">IF(TbTradesBinance[[#This Row],[Tipo]]="EMPTY",0,BK227+IF(TbTradesBinance[[#This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Row],[Par]]))),$1:$1,0)),-(BJ227-BJ228)/BJ227*BK227),0),0)+IF(TbTradesBinance[[#This Row],[Tipo]]="SELL",IF(ISNUMBER(FIND(MID(BK$1,10,5),TbTradesBinance[[#This Row],[Par]])),IF(FIND(MID(BK$1,10,5),TbTradesBinance[[#This Row],[Par]])=1, -(BJ227-BJ228)/BJ227*BK227,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Row],[Par]])),(-(BJ227-BJ228)/BJ227*BK227)+IF(TbTradesBinance[[#This Row],[Resultado]]&gt;0,0,TbTradesBinance[[#This Row],[Taxa]]),0),0))</f>
        <v>0</v>
      </c>
      <c r="BL228" s="145">
        <f>IF(BJ228=0,0,BK228/BJ228)</f>
        <v>0</v>
      </c>
      <c r="BM228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Row],[Tipo]]="DROP"),BM227+TbTradesBinance[[#This Row],[Qtt]],BM227-TbTradesBinance[[#This Row],[Qtt]]),IF(TbTradesBinance[[#This Row],[Tipo]]="BUY",BM227-TbTradesBinance[[#This Row],[Qtt]]*TbTradesBinance[[#This Row],[Preço]],BM227+TbTradesBinance[[#This Row],[Qtt]]*TbTradesBinance[[#This Row],[Preço]])),BM227)-IF(TbTradesBinance[[#This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Row],[Tipo]]="DROP"),BM227+TbTradesBinance[[#This Row],[Qtt]],BM227-TbTradesBinance[[#This Row],[Qtt]]),IF(TbTradesBinance[[#This Row],[Tipo]]="BUY",BM227-TbTradesBinance[[#This Row],[Qtt]]*TbTradesBinance[[#This Row],[Preço]],BM227+TbTradesBinance[[#This Row],[Qtt]]*TbTradesBinance[[#This Row],[Preço]])),BM227)-IF(TbTradesBinance[[#This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Row],[Tipo]]="DROP"),BM227+TbTradesBinance[[#This Row],[Qtt]],BM227-TbTradesBinance[[#This Row],[Qtt]]),IF(TbTradesBinance[[#This Row],[Tipo]]="BUY",BM227-TbTradesBinance[[#This Row],[Qtt]]*TbTradesBinance[[#This Row],[Preço]],BM227+TbTradesBinance[[#This Row],[Qtt]]*TbTradesBinance[[#This Row],[Preço]])),BM227)-IF(TbTradesBinance[[#This Row],[Moeda da Taxa]]=MID(BM$1,9,5),TbTradesBinance[[#This Row],[Taxa]],0),8)))</f>
        <v>0</v>
      </c>
      <c r="BN228" s="145" cm="1">
        <f t="array" ref="BN228">IF(TbTradesBinance[[#This Row],[Tipo]]="EMPTY",0,BN227+IF(TbTradesBinance[[#This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Row],[Par]]))),$1:$1,0)),-(BM227-BM228)/BM227*BN227),0),0)+IF(TbTradesBinance[[#This Row],[Tipo]]="SELL",IF(ISNUMBER(FIND(MID(BN$1,10,5),TbTradesBinance[[#This Row],[Par]])),IF(FIND(MID(BN$1,10,5),TbTradesBinance[[#This Row],[Par]])=1, -(BM227-BM228)/BM227*BN227,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Row],[Par]])),(-(BM227-BM228)/BM227*BN227)+IF(TbTradesBinance[[#This Row],[Resultado]]&gt;0,0,TbTradesBinance[[#This Row],[Taxa]]),0),0))</f>
        <v>0</v>
      </c>
      <c r="BO228" s="145">
        <f>IF(BM228=0,0,BN228/BM228)</f>
        <v>0</v>
      </c>
    </row>
    <row r="229" spans="2:67" x14ac:dyDescent="0.3">
      <c r="B229" s="51"/>
      <c r="C229" s="40">
        <f>TRUNC(IF(AND(TbTradesBinance[[#This Row],[Tipo]]="SEND",TbTradesBinance[[#This Row],[Par]]="BRL"),TbTradesBinance[[#This Row],[Qtt]]*(1-P227)-IF(TbTradesBinance[[#This Row],[Moeda da Taxa]]="BRL",TbTradesBinance[[#This Row],[Taxa]],0),0)+IF(AND(TbTradesBinance[[#This Row],[Tipo]]="BURN",TbTradesBinance[[#This Row],[Par]]="BRL"),-TbTradesBinance[[#This Row],[Qtt]]*P227,0),2)</f>
        <v>0</v>
      </c>
      <c r="D229" s="53">
        <v>44439.019282407404</v>
      </c>
      <c r="E229" s="37" t="s">
        <v>249</v>
      </c>
      <c r="F229" s="47" t="s">
        <v>139</v>
      </c>
      <c r="G229" s="38">
        <v>46764.37</v>
      </c>
      <c r="H229" s="38">
        <v>1.2700000000000001E-3</v>
      </c>
      <c r="I229" s="38">
        <v>9.7720000000000006E-5</v>
      </c>
      <c r="J229" s="37" t="s">
        <v>45</v>
      </c>
      <c r="K229" s="52">
        <v>5.2439999999999998</v>
      </c>
      <c r="L229" s="40">
        <f>TRUNC(K229*G229,2)</f>
        <v>245232.35</v>
      </c>
      <c r="M229" s="40">
        <f>IF(OR(TbTradesBinance[[#This Row],[Tipo]]="BUY",TbTradesBinance[[#This Row],[Tipo]]="RECEIVE",TbTradesBinance[[#This Row],[Tipo]]="DROP"),L229*H229,-L229*H229)</f>
        <v>311.44508450000001</v>
      </c>
      <c r="N229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Row],[Tipo]]="DROP"),N228+TbTradesBinance[[#This Row],[Qtt]],N228-TbTradesBinance[[#This Row],[Qtt]]),IF(TbTradesBinance[[#This Row],[Tipo]]="BUY",N228-TbTradesBinance[[#This Row],[Qtt]]*TbTradesBinance[[#This Row],[Preço]],N228+TbTradesBinance[[#This Row],[Qtt]]*TbTradesBinance[[#This Row],[Preço]])),N228)-IF(TbTradesBinance[[#This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Row],[Tipo]]="DROP"),N228+TbTradesBinance[[#This Row],[Qtt]],N228-TbTradesBinance[[#This Row],[Qtt]]),IF(TbTradesBinance[[#This Row],[Tipo]]="BUY",N228-TbTradesBinance[[#This Row],[Qtt]]*TbTradesBinance[[#This Row],[Preço]],N228+TbTradesBinance[[#This Row],[Qtt]]*TbTradesBinance[[#This Row],[Preço]])),N228)-IF(TbTradesBinance[[#This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Row],[Tipo]]="DROP"),N228+TbTradesBinance[[#This Row],[Qtt]],N228-TbTradesBinance[[#This Row],[Qtt]]),IF(TbTradesBinance[[#This Row],[Tipo]]="BUY",N228-TbTradesBinance[[#This Row],[Qtt]]*TbTradesBinance[[#This Row],[Preço]],N228+TbTradesBinance[[#This Row],[Qtt]]*TbTradesBinance[[#This Row],[Preço]])),N228)-IF(TbTradesBinance[[#This Row],[Moeda da Taxa]]=MID(N$1,9,5),TbTradesBinance[[#This Row],[Taxa]],0),8)))</f>
        <v>119747.60595781</v>
      </c>
      <c r="O229" s="145" cm="1">
        <f t="array" ref="O229">IF(TbTradesBinance[[#This Row],[Tipo]]="EMPTY",0,O228+IF(TbTradesBinance[[#This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Row],[Par]]))),$1:$1,0)),-(N228-N229)/N228*O228),0),0)+IF(TbTradesBinance[[#This Row],[Tipo]]="SELL",IF(ISNUMBER(FIND(MID(O$1,10,5),TbTradesBinance[[#This Row],[Par]])),IF(FIND(MID(O$1,10,5),TbTradesBinance[[#This Row],[Par]])=1, -(N228-N229)/N228*O228,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Row],[Par]])),(-(N228-N229)/N228*O228)+IF(TbTradesBinance[[#This Row],[Resultado]]&gt;0,0,TbTradesBinance[[#This Row],[Taxa]]),0),0))</f>
        <v>120459.8330017094</v>
      </c>
      <c r="P229" s="145">
        <f t="shared" si="130"/>
        <v>1.0059477351401107</v>
      </c>
      <c r="Q229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Row],[Tipo]]="DROP"),Q228+TbTradesBinance[[#This Row],[Qtt]],Q228-TbTradesBinance[[#This Row],[Qtt]]),IF(TbTradesBinance[[#This Row],[Tipo]]="BUY",Q228-TbTradesBinance[[#This Row],[Qtt]]*TbTradesBinance[[#This Row],[Preço]],Q228+TbTradesBinance[[#This Row],[Qtt]]*TbTradesBinance[[#This Row],[Preço]])),Q228)-IF(TbTradesBinance[[#This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Row],[Tipo]]="DROP"),Q228+TbTradesBinance[[#This Row],[Qtt]],Q228-TbTradesBinance[[#This Row],[Qtt]]),IF(TbTradesBinance[[#This Row],[Tipo]]="BUY",Q228-TbTradesBinance[[#This Row],[Qtt]]*TbTradesBinance[[#This Row],[Preço]],Q228+TbTradesBinance[[#This Row],[Qtt]]*TbTradesBinance[[#This Row],[Preço]])),Q228)-IF(TbTradesBinance[[#This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Row],[Tipo]]="DROP"),Q228+TbTradesBinance[[#This Row],[Qtt]],Q228-TbTradesBinance[[#This Row],[Qtt]]),IF(TbTradesBinance[[#This Row],[Tipo]]="BUY",Q228-TbTradesBinance[[#This Row],[Qtt]]*TbTradesBinance[[#This Row],[Preço]],Q228+TbTradesBinance[[#This Row],[Qtt]]*TbTradesBinance[[#This Row],[Preço]])),Q228)-IF(TbTradesBinance[[#This Row],[Moeda da Taxa]]=MID(Q$1,9,5),TbTradesBinance[[#This Row],[Taxa]],0),8)))</f>
        <v>59.734566340000001</v>
      </c>
      <c r="R229" s="145" cm="1">
        <f t="array" ref="R229">IF(TbTradesBinance[[#This Row],[Tipo]]="EMPTY",0,R228+IF(TbTradesBinance[[#This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Row],[Par]]))),$1:$1,0)),-(Q228-Q229)/Q228*R228),0),0)+IF(TbTradesBinance[[#This Row],[Tipo]]="SELL",IF(ISNUMBER(FIND(MID(R$1,10,5),TbTradesBinance[[#This Row],[Par]])),IF(FIND(MID(R$1,10,5),TbTradesBinance[[#This Row],[Par]])=1, -(Q228-Q229)/Q228*R228,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Row],[Par]])),(-(Q228-Q229)/Q228*R228)+IF(TbTradesBinance[[#This Row],[Resultado]]&gt;0,0,TbTradesBinance[[#This Row],[Taxa]]),0),0))</f>
        <v>328.40989387739114</v>
      </c>
      <c r="S229" s="145">
        <f t="shared" si="131"/>
        <v>5.4978200060603495</v>
      </c>
      <c r="T229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Row],[Tipo]]="DROP"),T228+TbTradesBinance[[#This Row],[Qtt]],T228-TbTradesBinance[[#This Row],[Qtt]]),IF(TbTradesBinance[[#This Row],[Tipo]]="BUY",T228-TbTradesBinance[[#This Row],[Qtt]]*TbTradesBinance[[#This Row],[Preço]],T228+TbTradesBinance[[#This Row],[Qtt]]*TbTradesBinance[[#This Row],[Preço]])),T228)-IF(TbTradesBinance[[#This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Row],[Tipo]]="DROP"),T228+TbTradesBinance[[#This Row],[Qtt]],T228-TbTradesBinance[[#This Row],[Qtt]]),IF(TbTradesBinance[[#This Row],[Tipo]]="BUY",T228-TbTradesBinance[[#This Row],[Qtt]]*TbTradesBinance[[#This Row],[Preço]],T228+TbTradesBinance[[#This Row],[Qtt]]*TbTradesBinance[[#This Row],[Preço]])),T228)-IF(TbTradesBinance[[#This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Row],[Tipo]]="DROP"),T228+TbTradesBinance[[#This Row],[Qtt]],T228-TbTradesBinance[[#This Row],[Qtt]]),IF(TbTradesBinance[[#This Row],[Tipo]]="BUY",T228-TbTradesBinance[[#This Row],[Qtt]]*TbTradesBinance[[#This Row],[Preço]],T228+TbTradesBinance[[#This Row],[Qtt]]*TbTradesBinance[[#This Row],[Preço]])),T228)-IF(TbTradesBinance[[#This Row],[Moeda da Taxa]]=MID(T$1,9,5),TbTradesBinance[[#This Row],[Taxa]],0),8)))</f>
        <v>101223913.720009</v>
      </c>
      <c r="U229" s="145" cm="1">
        <f t="array" ref="U229">IF(TbTradesBinance[[#This Row],[Tipo]]="EMPTY",0,U228+IF(TbTradesBinance[[#This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Row],[Par]]))),$1:$1,0)),-(T228-T229)/T228*U228),0),0)+IF(TbTradesBinance[[#This Row],[Tipo]]="SELL",IF(ISNUMBER(FIND(MID(U$1,10,5),TbTradesBinance[[#This Row],[Par]])),IF(FIND(MID(U$1,10,5),TbTradesBinance[[#This Row],[Par]])=1, -(T228-T229)/T228*U228,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Row],[Par]])),(-(T228-T229)/T228*U228)+IF(TbTradesBinance[[#This Row],[Resultado]]&gt;0,0,TbTradesBinance[[#This Row],[Taxa]]),0),0))</f>
        <v>617586601.27364206</v>
      </c>
      <c r="V229" s="145">
        <f>IF(T229=0,0,U229/T229)</f>
        <v>6.1011926784605572</v>
      </c>
      <c r="W229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Row],[Tipo]]="DROP"),W228+TbTradesBinance[[#This Row],[Qtt]],W228-TbTradesBinance[[#This Row],[Qtt]]),IF(TbTradesBinance[[#This Row],[Tipo]]="BUY",W228-TbTradesBinance[[#This Row],[Qtt]]*TbTradesBinance[[#This Row],[Preço]],W228+TbTradesBinance[[#This Row],[Qtt]]*TbTradesBinance[[#This Row],[Preço]])),W228)-IF(TbTradesBinance[[#This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Row],[Tipo]]="DROP"),W228+TbTradesBinance[[#This Row],[Qtt]],W228-TbTradesBinance[[#This Row],[Qtt]]),IF(TbTradesBinance[[#This Row],[Tipo]]="BUY",W228-TbTradesBinance[[#This Row],[Qtt]]*TbTradesBinance[[#This Row],[Preço]],W228+TbTradesBinance[[#This Row],[Qtt]]*TbTradesBinance[[#This Row],[Preço]])),W228)-IF(TbTradesBinance[[#This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Row],[Tipo]]="DROP"),W228+TbTradesBinance[[#This Row],[Qtt]],W228-TbTradesBinance[[#This Row],[Qtt]]),IF(TbTradesBinance[[#This Row],[Tipo]]="BUY",W228-TbTradesBinance[[#This Row],[Qtt]]*TbTradesBinance[[#This Row],[Preço]],W228+TbTradesBinance[[#This Row],[Qtt]]*TbTradesBinance[[#This Row],[Preço]])),W228)-IF(TbTradesBinance[[#This Row],[Moeda da Taxa]]=MID(W$1,9,5),TbTradesBinance[[#This Row],[Taxa]],0),8)))</f>
        <v>4.3039899999999997E-3</v>
      </c>
      <c r="X229" s="145" cm="1">
        <f t="array" ref="X229">IF(TbTradesBinance[[#This Row],[Tipo]]="EMPTY",0,X228+IF(TbTradesBinance[[#This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Row],[Par]]))),$1:$1,0)),-(W228-W229)/W228*X228),0),0)+IF(TbTradesBinance[[#This Row],[Tipo]]="SELL",IF(ISNUMBER(FIND(MID(X$1,10,5),TbTradesBinance[[#This Row],[Par]])),IF(FIND(MID(X$1,10,5),TbTradesBinance[[#This Row],[Par]])=1, -(W228-W229)/W228*X228,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Row],[Par]])),(-(W228-W229)/W228*X228)+IF(TbTradesBinance[[#This Row],[Resultado]]&gt;0,0,TbTradesBinance[[#This Row],[Taxa]]),0),0))</f>
        <v>1129.5561161738074</v>
      </c>
      <c r="Y229" s="145">
        <f>IF(W229=0,0,X229/W229)</f>
        <v>262443.94530977245</v>
      </c>
      <c r="Z229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Row],[Tipo]]="DROP"),Z228+TbTradesBinance[[#This Row],[Qtt]],Z228-TbTradesBinance[[#This Row],[Qtt]]),IF(TbTradesBinance[[#This Row],[Tipo]]="BUY",Z228-TbTradesBinance[[#This Row],[Qtt]]*TbTradesBinance[[#This Row],[Preço]],Z228+TbTradesBinance[[#This Row],[Qtt]]*TbTradesBinance[[#This Row],[Preço]])),Z228)-IF(TbTradesBinance[[#This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Row],[Tipo]]="DROP"),Z228+TbTradesBinance[[#This Row],[Qtt]],Z228-TbTradesBinance[[#This Row],[Qtt]]),IF(TbTradesBinance[[#This Row],[Tipo]]="BUY",Z228-TbTradesBinance[[#This Row],[Qtt]]*TbTradesBinance[[#This Row],[Preço]],Z228+TbTradesBinance[[#This Row],[Qtt]]*TbTradesBinance[[#This Row],[Preço]])),Z228)-IF(TbTradesBinance[[#This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Row],[Tipo]]="DROP"),Z228+TbTradesBinance[[#This Row],[Qtt]],Z228-TbTradesBinance[[#This Row],[Qtt]]),IF(TbTradesBinance[[#This Row],[Tipo]]="BUY",Z228-TbTradesBinance[[#This Row],[Qtt]]*TbTradesBinance[[#This Row],[Preço]],Z228+TbTradesBinance[[#This Row],[Qtt]]*TbTradesBinance[[#This Row],[Preço]])),Z228)-IF(TbTradesBinance[[#This Row],[Moeda da Taxa]]=MID(Z$1,9,5),TbTradesBinance[[#This Row],[Taxa]],0),8)))</f>
        <v>0</v>
      </c>
      <c r="AA229" s="145" cm="1">
        <f t="array" ref="AA229">IF(TbTradesBinance[[#This Row],[Tipo]]="EMPTY",0,AA228+IF(TbTradesBinance[[#This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Row],[Par]]))),$1:$1,0)),-(Z228-Z229)/Z228*AA228),0),0)+IF(TbTradesBinance[[#This Row],[Tipo]]="SELL",IF(ISNUMBER(FIND(MID(AA$1,10,5),TbTradesBinance[[#This Row],[Par]])),IF(FIND(MID(AA$1,10,5),TbTradesBinance[[#This Row],[Par]])=1, -(Z228-Z229)/Z228*AA228,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Row],[Par]])),(-(Z228-Z229)/Z228*AA228)+IF(TbTradesBinance[[#This Row],[Resultado]]&gt;0,0,TbTradesBinance[[#This Row],[Taxa]]),0),0))</f>
        <v>0</v>
      </c>
      <c r="AB229" s="145">
        <f>IF(Z229=0,0,AA229/Z229)</f>
        <v>0</v>
      </c>
      <c r="AC229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Row],[Tipo]]="DROP"),AC228+TbTradesBinance[[#This Row],[Qtt]],AC228-TbTradesBinance[[#This Row],[Qtt]]),IF(TbTradesBinance[[#This Row],[Tipo]]="BUY",AC228-TbTradesBinance[[#This Row],[Qtt]]*TbTradesBinance[[#This Row],[Preço]],AC228+TbTradesBinance[[#This Row],[Qtt]]*TbTradesBinance[[#This Row],[Preço]])),AC228)-IF(TbTradesBinance[[#This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Row],[Tipo]]="DROP"),AC228+TbTradesBinance[[#This Row],[Qtt]],AC228-TbTradesBinance[[#This Row],[Qtt]]),IF(TbTradesBinance[[#This Row],[Tipo]]="BUY",AC228-TbTradesBinance[[#This Row],[Qtt]]*TbTradesBinance[[#This Row],[Preço]],AC228+TbTradesBinance[[#This Row],[Qtt]]*TbTradesBinance[[#This Row],[Preço]])),AC228)-IF(TbTradesBinance[[#This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Row],[Tipo]]="DROP"),AC228+TbTradesBinance[[#This Row],[Qtt]],AC228-TbTradesBinance[[#This Row],[Qtt]]),IF(TbTradesBinance[[#This Row],[Tipo]]="BUY",AC228-TbTradesBinance[[#This Row],[Qtt]]*TbTradesBinance[[#This Row],[Preço]],AC228+TbTradesBinance[[#This Row],[Qtt]]*TbTradesBinance[[#This Row],[Preço]])),AC228)-IF(TbTradesBinance[[#This Row],[Moeda da Taxa]]=MID(AC$1,9,5),TbTradesBinance[[#This Row],[Taxa]],0),8)))</f>
        <v>0</v>
      </c>
      <c r="AD229" s="145" cm="1">
        <f t="array" ref="AD229">IF(TbTradesBinance[[#This Row],[Tipo]]="EMPTY",0,AD228+IF(TbTradesBinance[[#This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Row],[Par]]))),$1:$1,0)),-(AC228-AC229)/AC228*AD228),0),0)+IF(TbTradesBinance[[#This Row],[Tipo]]="SELL",IF(ISNUMBER(FIND(MID(AD$1,10,5),TbTradesBinance[[#This Row],[Par]])),IF(FIND(MID(AD$1,10,5),TbTradesBinance[[#This Row],[Par]])=1, -(AC228-AC229)/AC228*AD228,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Row],[Par]])),(-(AC228-AC229)/AC228*AD228)+IF(TbTradesBinance[[#This Row],[Resultado]]&gt;0,0,TbTradesBinance[[#This Row],[Taxa]]),0),0))</f>
        <v>0</v>
      </c>
      <c r="AE229" s="145">
        <f>IF(AC229=0,0,AD229/AC229)</f>
        <v>0</v>
      </c>
      <c r="AF229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Row],[Tipo]]="DROP"),AF228+TbTradesBinance[[#This Row],[Qtt]],AF228-TbTradesBinance[[#This Row],[Qtt]]),IF(TbTradesBinance[[#This Row],[Tipo]]="BUY",AF228-TbTradesBinance[[#This Row],[Qtt]]*TbTradesBinance[[#This Row],[Preço]],AF228+TbTradesBinance[[#This Row],[Qtt]]*TbTradesBinance[[#This Row],[Preço]])),AF228)-IF(TbTradesBinance[[#This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Row],[Tipo]]="DROP"),AF228+TbTradesBinance[[#This Row],[Qtt]],AF228-TbTradesBinance[[#This Row],[Qtt]]),IF(TbTradesBinance[[#This Row],[Tipo]]="BUY",AF228-TbTradesBinance[[#This Row],[Qtt]]*TbTradesBinance[[#This Row],[Preço]],AF228+TbTradesBinance[[#This Row],[Qtt]]*TbTradesBinance[[#This Row],[Preço]])),AF228)-IF(TbTradesBinance[[#This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Row],[Tipo]]="DROP"),AF228+TbTradesBinance[[#This Row],[Qtt]],AF228-TbTradesBinance[[#This Row],[Qtt]]),IF(TbTradesBinance[[#This Row],[Tipo]]="BUY",AF228-TbTradesBinance[[#This Row],[Qtt]]*TbTradesBinance[[#This Row],[Preço]],AF228+TbTradesBinance[[#This Row],[Qtt]]*TbTradesBinance[[#This Row],[Preço]])),AF228)-IF(TbTradesBinance[[#This Row],[Moeda da Taxa]]=MID(AF$1,9,5),TbTradesBinance[[#This Row],[Taxa]],0),8)))</f>
        <v>0</v>
      </c>
      <c r="AG229" s="145" cm="1">
        <f t="array" ref="AG229">IF(TbTradesBinance[[#This Row],[Tipo]]="EMPTY",0,AG228+IF(TbTradesBinance[[#This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Row],[Par]]))),$1:$1,0)),-(AF228-AF229)/AF228*AG228),0),0)+IF(TbTradesBinance[[#This Row],[Tipo]]="SELL",IF(ISNUMBER(FIND(MID(AG$1,10,5),TbTradesBinance[[#This Row],[Par]])),IF(FIND(MID(AG$1,10,5),TbTradesBinance[[#This Row],[Par]])=1, -(AF228-AF229)/AF228*AG228,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Row],[Par]])),(-(AF228-AF229)/AF228*AG228)+IF(TbTradesBinance[[#This Row],[Resultado]]&gt;0,0,TbTradesBinance[[#This Row],[Taxa]]),0),0))</f>
        <v>0</v>
      </c>
      <c r="AH229" s="145">
        <f>IF(AF229=0,0,AG229/AF229)</f>
        <v>0</v>
      </c>
      <c r="AI229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Row],[Tipo]]="DROP"),AI228+TbTradesBinance[[#This Row],[Qtt]],AI228-TbTradesBinance[[#This Row],[Qtt]]),IF(TbTradesBinance[[#This Row],[Tipo]]="BUY",AI228-TbTradesBinance[[#This Row],[Qtt]]*TbTradesBinance[[#This Row],[Preço]],AI228+TbTradesBinance[[#This Row],[Qtt]]*TbTradesBinance[[#This Row],[Preço]])),AI228)-IF(TbTradesBinance[[#This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Row],[Tipo]]="DROP"),AI228+TbTradesBinance[[#This Row],[Qtt]],AI228-TbTradesBinance[[#This Row],[Qtt]]),IF(TbTradesBinance[[#This Row],[Tipo]]="BUY",AI228-TbTradesBinance[[#This Row],[Qtt]]*TbTradesBinance[[#This Row],[Preço]],AI228+TbTradesBinance[[#This Row],[Qtt]]*TbTradesBinance[[#This Row],[Preço]])),AI228)-IF(TbTradesBinance[[#This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Row],[Tipo]]="DROP"),AI228+TbTradesBinance[[#This Row],[Qtt]],AI228-TbTradesBinance[[#This Row],[Qtt]]),IF(TbTradesBinance[[#This Row],[Tipo]]="BUY",AI228-TbTradesBinance[[#This Row],[Qtt]]*TbTradesBinance[[#This Row],[Preço]],AI228+TbTradesBinance[[#This Row],[Qtt]]*TbTradesBinance[[#This Row],[Preço]])),AI228)-IF(TbTradesBinance[[#This Row],[Moeda da Taxa]]=MID(AI$1,9,5),TbTradesBinance[[#This Row],[Taxa]],0),8)))</f>
        <v>0</v>
      </c>
      <c r="AJ229" s="145" cm="1">
        <f t="array" ref="AJ229">IF(TbTradesBinance[[#This Row],[Tipo]]="EMPTY",0,AJ228+IF(TbTradesBinance[[#This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Row],[Par]]))),$1:$1,0)),-(AI228-AI229)/AI228*AJ228),0),0)+IF(TbTradesBinance[[#This Row],[Tipo]]="SELL",IF(ISNUMBER(FIND(MID(AJ$1,10,5),TbTradesBinance[[#This Row],[Par]])),IF(FIND(MID(AJ$1,10,5),TbTradesBinance[[#This Row],[Par]])=1, -(AI228-AI229)/AI228*AJ228,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Row],[Par]])),(-(AI228-AI229)/AI228*AJ228)+IF(TbTradesBinance[[#This Row],[Resultado]]&gt;0,0,TbTradesBinance[[#This Row],[Taxa]]),0),0))</f>
        <v>0</v>
      </c>
      <c r="AK229" s="145">
        <f>IF(AI229=0,0,AJ229/AI229)</f>
        <v>0</v>
      </c>
      <c r="AL229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Row],[Tipo]]="DROP"),AL228+TbTradesBinance[[#This Row],[Qtt]],AL228-TbTradesBinance[[#This Row],[Qtt]]),IF(TbTradesBinance[[#This Row],[Tipo]]="BUY",AL228-TbTradesBinance[[#This Row],[Qtt]]*TbTradesBinance[[#This Row],[Preço]],AL228+TbTradesBinance[[#This Row],[Qtt]]*TbTradesBinance[[#This Row],[Preço]])),AL228)-IF(TbTradesBinance[[#This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Row],[Tipo]]="DROP"),AL228+TbTradesBinance[[#This Row],[Qtt]],AL228-TbTradesBinance[[#This Row],[Qtt]]),IF(TbTradesBinance[[#This Row],[Tipo]]="BUY",AL228-TbTradesBinance[[#This Row],[Qtt]]*TbTradesBinance[[#This Row],[Preço]],AL228+TbTradesBinance[[#This Row],[Qtt]]*TbTradesBinance[[#This Row],[Preço]])),AL228)-IF(TbTradesBinance[[#This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Row],[Tipo]]="DROP"),AL228+TbTradesBinance[[#This Row],[Qtt]],AL228-TbTradesBinance[[#This Row],[Qtt]]),IF(TbTradesBinance[[#This Row],[Tipo]]="BUY",AL228-TbTradesBinance[[#This Row],[Qtt]]*TbTradesBinance[[#This Row],[Preço]],AL228+TbTradesBinance[[#This Row],[Qtt]]*TbTradesBinance[[#This Row],[Preço]])),AL228)-IF(TbTradesBinance[[#This Row],[Moeda da Taxa]]=MID(AL$1,9,5),TbTradesBinance[[#This Row],[Taxa]],0),8)))</f>
        <v>0</v>
      </c>
      <c r="AM229" s="145" cm="1">
        <f t="array" ref="AM229">IF(TbTradesBinance[[#This Row],[Tipo]]="EMPTY",0,AM228+IF(TbTradesBinance[[#This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Row],[Par]]))),$1:$1,0)),-(AL228-AL229)/AL228*AM228),0),0)+IF(TbTradesBinance[[#This Row],[Tipo]]="SELL",IF(ISNUMBER(FIND(MID(AM$1,10,5),TbTradesBinance[[#This Row],[Par]])),IF(FIND(MID(AM$1,10,5),TbTradesBinance[[#This Row],[Par]])=1, -(AL228-AL229)/AL228*AM228,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Row],[Par]])),(-(AL228-AL229)/AL228*AM228)+IF(TbTradesBinance[[#This Row],[Resultado]]&gt;0,0,TbTradesBinance[[#This Row],[Taxa]]),0),0))</f>
        <v>0</v>
      </c>
      <c r="AN229" s="145">
        <f>IF(AL229=0,0,AM229/AL229)</f>
        <v>0</v>
      </c>
      <c r="AO229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Row],[Tipo]]="DROP"),AO228+TbTradesBinance[[#This Row],[Qtt]],AO228-TbTradesBinance[[#This Row],[Qtt]]),IF(TbTradesBinance[[#This Row],[Tipo]]="BUY",AO228-TbTradesBinance[[#This Row],[Qtt]]*TbTradesBinance[[#This Row],[Preço]],AO228+TbTradesBinance[[#This Row],[Qtt]]*TbTradesBinance[[#This Row],[Preço]])),AO228)-IF(TbTradesBinance[[#This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Row],[Tipo]]="DROP"),AO228+TbTradesBinance[[#This Row],[Qtt]],AO228-TbTradesBinance[[#This Row],[Qtt]]),IF(TbTradesBinance[[#This Row],[Tipo]]="BUY",AO228-TbTradesBinance[[#This Row],[Qtt]]*TbTradesBinance[[#This Row],[Preço]],AO228+TbTradesBinance[[#This Row],[Qtt]]*TbTradesBinance[[#This Row],[Preço]])),AO228)-IF(TbTradesBinance[[#This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Row],[Tipo]]="DROP"),AO228+TbTradesBinance[[#This Row],[Qtt]],AO228-TbTradesBinance[[#This Row],[Qtt]]),IF(TbTradesBinance[[#This Row],[Tipo]]="BUY",AO228-TbTradesBinance[[#This Row],[Qtt]]*TbTradesBinance[[#This Row],[Preço]],AO228+TbTradesBinance[[#This Row],[Qtt]]*TbTradesBinance[[#This Row],[Preço]])),AO228)-IF(TbTradesBinance[[#This Row],[Moeda da Taxa]]=MID(AO$1,9,5),TbTradesBinance[[#This Row],[Taxa]],0),8)))</f>
        <v>6.6303239999999999E-2</v>
      </c>
      <c r="AP229" s="145" cm="1">
        <f t="array" ref="AP229">IF(TbTradesBinance[[#This Row],[Tipo]]="EMPTY",0,AP228+IF(TbTradesBinance[[#This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Row],[Par]]))),$1:$1,0)),-(AO228-AO229)/AO228*AP228),0),0)+IF(TbTradesBinance[[#This Row],[Tipo]]="SELL",IF(ISNUMBER(FIND(MID(AP$1,10,5),TbTradesBinance[[#This Row],[Par]])),IF(FIND(MID(AP$1,10,5),TbTradesBinance[[#This Row],[Par]])=1, -(AO228-AO229)/AO228*AP228,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Row],[Par]])),(-(AO228-AO229)/AO228*AP228)+IF(TbTradesBinance[[#This Row],[Resultado]]&gt;0,0,TbTradesBinance[[#This Row],[Taxa]]),0),0))</f>
        <v>102.0944711963762</v>
      </c>
      <c r="AQ229" s="145">
        <f>IF(AO229=0,0,AP229/AO229)</f>
        <v>1539.8111946923891</v>
      </c>
      <c r="AR229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Row],[Tipo]]="DROP"),AR228+TbTradesBinance[[#This Row],[Qtt]],AR228-TbTradesBinance[[#This Row],[Qtt]]),IF(TbTradesBinance[[#This Row],[Tipo]]="BUY",AR228-TbTradesBinance[[#This Row],[Qtt]]*TbTradesBinance[[#This Row],[Preço]],AR228+TbTradesBinance[[#This Row],[Qtt]]*TbTradesBinance[[#This Row],[Preço]])),AR228)-IF(TbTradesBinance[[#This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Row],[Tipo]]="DROP"),AR228+TbTradesBinance[[#This Row],[Qtt]],AR228-TbTradesBinance[[#This Row],[Qtt]]),IF(TbTradesBinance[[#This Row],[Tipo]]="BUY",AR228-TbTradesBinance[[#This Row],[Qtt]]*TbTradesBinance[[#This Row],[Preço]],AR228+TbTradesBinance[[#This Row],[Qtt]]*TbTradesBinance[[#This Row],[Preço]])),AR228)-IF(TbTradesBinance[[#This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Row],[Tipo]]="DROP"),AR228+TbTradesBinance[[#This Row],[Qtt]],AR228-TbTradesBinance[[#This Row],[Qtt]]),IF(TbTradesBinance[[#This Row],[Tipo]]="BUY",AR228-TbTradesBinance[[#This Row],[Qtt]]*TbTradesBinance[[#This Row],[Preço]],AR228+TbTradesBinance[[#This Row],[Qtt]]*TbTradesBinance[[#This Row],[Preço]])),AR228)-IF(TbTradesBinance[[#This Row],[Moeda da Taxa]]=MID(AR$1,9,5),TbTradesBinance[[#This Row],[Taxa]],0),8)))</f>
        <v>0</v>
      </c>
      <c r="AS229" s="145" cm="1">
        <f t="array" ref="AS229">IF(TbTradesBinance[[#This Row],[Tipo]]="EMPTY",0,AS228+IF(TbTradesBinance[[#This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Row],[Par]]))),$1:$1,0)),-(AR228-AR229)/AR228*AS228),0),0)+IF(TbTradesBinance[[#This Row],[Tipo]]="SELL",IF(ISNUMBER(FIND(MID(AS$1,10,5),TbTradesBinance[[#This Row],[Par]])),IF(FIND(MID(AS$1,10,5),TbTradesBinance[[#This Row],[Par]])=1, -(AR228-AR229)/AR228*AS228,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Row],[Par]])),(-(AR228-AR229)/AR228*AS228)+IF(TbTradesBinance[[#This Row],[Resultado]]&gt;0,0,TbTradesBinance[[#This Row],[Taxa]]),0),0))</f>
        <v>0</v>
      </c>
      <c r="AT229" s="145">
        <f>IF(AR229=0,0,AS229/AR229)</f>
        <v>0</v>
      </c>
      <c r="AU229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Row],[Tipo]]="DROP"),AU228+TbTradesBinance[[#This Row],[Qtt]],AU228-TbTradesBinance[[#This Row],[Qtt]]),IF(TbTradesBinance[[#This Row],[Tipo]]="BUY",AU228-TbTradesBinance[[#This Row],[Qtt]]*TbTradesBinance[[#This Row],[Preço]],AU228+TbTradesBinance[[#This Row],[Qtt]]*TbTradesBinance[[#This Row],[Preço]])),AU228)-IF(TbTradesBinance[[#This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Row],[Tipo]]="DROP"),AU228+TbTradesBinance[[#This Row],[Qtt]],AU228-TbTradesBinance[[#This Row],[Qtt]]),IF(TbTradesBinance[[#This Row],[Tipo]]="BUY",AU228-TbTradesBinance[[#This Row],[Qtt]]*TbTradesBinance[[#This Row],[Preço]],AU228+TbTradesBinance[[#This Row],[Qtt]]*TbTradesBinance[[#This Row],[Preço]])),AU228)-IF(TbTradesBinance[[#This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Row],[Tipo]]="DROP"),AU228+TbTradesBinance[[#This Row],[Qtt]],AU228-TbTradesBinance[[#This Row],[Qtt]]),IF(TbTradesBinance[[#This Row],[Tipo]]="BUY",AU228-TbTradesBinance[[#This Row],[Qtt]]*TbTradesBinance[[#This Row],[Preço]],AU228+TbTradesBinance[[#This Row],[Qtt]]*TbTradesBinance[[#This Row],[Preço]])),AU228)-IF(TbTradesBinance[[#This Row],[Moeda da Taxa]]=MID(AU$1,9,5),TbTradesBinance[[#This Row],[Taxa]],0),8)))</f>
        <v>0.51</v>
      </c>
      <c r="AV229" s="145" cm="1">
        <f t="array" ref="AV229">IF(TbTradesBinance[[#This Row],[Tipo]]="EMPTY",0,AV228+IF(TbTradesBinance[[#This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Row],[Par]]))),$1:$1,0)),-(AU228-AU229)/AU228*AV228),0),0)+IF(TbTradesBinance[[#This Row],[Tipo]]="SELL",IF(ISNUMBER(FIND(MID(AV$1,10,5),TbTradesBinance[[#This Row],[Par]])),IF(FIND(MID(AV$1,10,5),TbTradesBinance[[#This Row],[Par]])=1, -(AU228-AU229)/AU228*AV228,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Row],[Par]])),(-(AU228-AU229)/AU228*AV228)+IF(TbTradesBinance[[#This Row],[Resultado]]&gt;0,0,TbTradesBinance[[#This Row],[Taxa]]),0),0))</f>
        <v>95.466693037374753</v>
      </c>
      <c r="AW229" s="145">
        <f>IF(AU229=0,0,AV229/AU229)</f>
        <v>187.18959419093088</v>
      </c>
      <c r="AX229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Row],[Tipo]]="DROP"),AX228+TbTradesBinance[[#This Row],[Qtt]],AX228-TbTradesBinance[[#This Row],[Qtt]]),IF(TbTradesBinance[[#This Row],[Tipo]]="BUY",AX228-TbTradesBinance[[#This Row],[Qtt]]*TbTradesBinance[[#This Row],[Preço]],AX228+TbTradesBinance[[#This Row],[Qtt]]*TbTradesBinance[[#This Row],[Preço]])),AX228)-IF(TbTradesBinance[[#This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Row],[Tipo]]="DROP"),AX228+TbTradesBinance[[#This Row],[Qtt]],AX228-TbTradesBinance[[#This Row],[Qtt]]),IF(TbTradesBinance[[#This Row],[Tipo]]="BUY",AX228-TbTradesBinance[[#This Row],[Qtt]]*TbTradesBinance[[#This Row],[Preço]],AX228+TbTradesBinance[[#This Row],[Qtt]]*TbTradesBinance[[#This Row],[Preço]])),AX228)-IF(TbTradesBinance[[#This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Row],[Tipo]]="DROP"),AX228+TbTradesBinance[[#This Row],[Qtt]],AX228-TbTradesBinance[[#This Row],[Qtt]]),IF(TbTradesBinance[[#This Row],[Tipo]]="BUY",AX228-TbTradesBinance[[#This Row],[Qtt]]*TbTradesBinance[[#This Row],[Preço]],AX228+TbTradesBinance[[#This Row],[Qtt]]*TbTradesBinance[[#This Row],[Preço]])),AX228)-IF(TbTradesBinance[[#This Row],[Moeda da Taxa]]=MID(AX$1,9,5),TbTradesBinance[[#This Row],[Taxa]],0),8)))</f>
        <v>0.32838000000000001</v>
      </c>
      <c r="AY229" s="145" cm="1">
        <f t="array" ref="AY229">IF(TbTradesBinance[[#This Row],[Tipo]]="EMPTY",0,AY228+IF(TbTradesBinance[[#This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Row],[Par]]))),$1:$1,0)),-(AX228-AX229)/AX228*AY228),0),0)+IF(TbTradesBinance[[#This Row],[Tipo]]="SELL",IF(ISNUMBER(FIND(MID(AY$1,10,5),TbTradesBinance[[#This Row],[Par]])),IF(FIND(MID(AY$1,10,5),TbTradesBinance[[#This Row],[Par]])=1, -(AX228-AX229)/AX228*AY228,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Row],[Par]])),(-(AX228-AX229)/AX228*AY228)+IF(TbTradesBinance[[#This Row],[Resultado]]&gt;0,0,TbTradesBinance[[#This Row],[Taxa]]),0),0))</f>
        <v>61.364116058805678</v>
      </c>
      <c r="AZ229" s="145">
        <f>IF(AX229=0,0,AY229/AX229)</f>
        <v>186.869224857804</v>
      </c>
      <c r="BA229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Row],[Tipo]]="DROP"),BA228+TbTradesBinance[[#This Row],[Qtt]],BA228-TbTradesBinance[[#This Row],[Qtt]]),IF(TbTradesBinance[[#This Row],[Tipo]]="BUY",BA228-TbTradesBinance[[#This Row],[Qtt]]*TbTradesBinance[[#This Row],[Preço]],BA228+TbTradesBinance[[#This Row],[Qtt]]*TbTradesBinance[[#This Row],[Preço]])),BA228)-IF(TbTradesBinance[[#This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Row],[Tipo]]="DROP"),BA228+TbTradesBinance[[#This Row],[Qtt]],BA228-TbTradesBinance[[#This Row],[Qtt]]),IF(TbTradesBinance[[#This Row],[Tipo]]="BUY",BA228-TbTradesBinance[[#This Row],[Qtt]]*TbTradesBinance[[#This Row],[Preço]],BA228+TbTradesBinance[[#This Row],[Qtt]]*TbTradesBinance[[#This Row],[Preço]])),BA228)-IF(TbTradesBinance[[#This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Row],[Tipo]]="DROP"),BA228+TbTradesBinance[[#This Row],[Qtt]],BA228-TbTradesBinance[[#This Row],[Qtt]]),IF(TbTradesBinance[[#This Row],[Tipo]]="BUY",BA228-TbTradesBinance[[#This Row],[Qtt]]*TbTradesBinance[[#This Row],[Preço]],BA228+TbTradesBinance[[#This Row],[Qtt]]*TbTradesBinance[[#This Row],[Preço]])),BA228)-IF(TbTradesBinance[[#This Row],[Moeda da Taxa]]=MID(BA$1,9,5),TbTradesBinance[[#This Row],[Taxa]],0),8)))</f>
        <v>0</v>
      </c>
      <c r="BB229" s="145" cm="1">
        <f t="array" ref="BB229">IF(TbTradesBinance[[#This Row],[Tipo]]="EMPTY",0,BB228+IF(TbTradesBinance[[#This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Row],[Par]]))),$1:$1,0)),-(BA228-BA229)/BA228*BB228),0),0)+IF(TbTradesBinance[[#This Row],[Tipo]]="SELL",IF(ISNUMBER(FIND(MID(BB$1,10,5),TbTradesBinance[[#This Row],[Par]])),IF(FIND(MID(BB$1,10,5),TbTradesBinance[[#This Row],[Par]])=1, -(BA228-BA229)/BA228*BB228,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Row],[Par]])),(-(BA228-BA229)/BA228*BB228)+IF(TbTradesBinance[[#This Row],[Resultado]]&gt;0,0,TbTradesBinance[[#This Row],[Taxa]]),0),0))</f>
        <v>0</v>
      </c>
      <c r="BC229" s="145">
        <f>IF(BA229=0,0,BB229/BA229)</f>
        <v>0</v>
      </c>
      <c r="BD229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Row],[Tipo]]="DROP"),BD228+TbTradesBinance[[#This Row],[Qtt]],BD228-TbTradesBinance[[#This Row],[Qtt]]),IF(TbTradesBinance[[#This Row],[Tipo]]="BUY",BD228-TbTradesBinance[[#This Row],[Qtt]]*TbTradesBinance[[#This Row],[Preço]],BD228+TbTradesBinance[[#This Row],[Qtt]]*TbTradesBinance[[#This Row],[Preço]])),BD228)-IF(TbTradesBinance[[#This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Row],[Tipo]]="DROP"),BD228+TbTradesBinance[[#This Row],[Qtt]],BD228-TbTradesBinance[[#This Row],[Qtt]]),IF(TbTradesBinance[[#This Row],[Tipo]]="BUY",BD228-TbTradesBinance[[#This Row],[Qtt]]*TbTradesBinance[[#This Row],[Preço]],BD228+TbTradesBinance[[#This Row],[Qtt]]*TbTradesBinance[[#This Row],[Preço]])),BD228)-IF(TbTradesBinance[[#This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Row],[Tipo]]="DROP"),BD228+TbTradesBinance[[#This Row],[Qtt]],BD228-TbTradesBinance[[#This Row],[Qtt]]),IF(TbTradesBinance[[#This Row],[Tipo]]="BUY",BD228-TbTradesBinance[[#This Row],[Qtt]]*TbTradesBinance[[#This Row],[Preço]],BD228+TbTradesBinance[[#This Row],[Qtt]]*TbTradesBinance[[#This Row],[Preço]])),BD228)-IF(TbTradesBinance[[#This Row],[Moeda da Taxa]]=MID(BD$1,9,5),TbTradesBinance[[#This Row],[Taxa]],0),8)))</f>
        <v>0</v>
      </c>
      <c r="BE229" s="145" cm="1">
        <f t="array" ref="BE229">IF(TbTradesBinance[[#This Row],[Tipo]]="EMPTY",0,BE228+IF(TbTradesBinance[[#This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Row],[Par]]))),$1:$1,0)),-(BD228-BD229)/BD228*BE228),0),0)+IF(TbTradesBinance[[#This Row],[Tipo]]="SELL",IF(ISNUMBER(FIND(MID(BE$1,10,5),TbTradesBinance[[#This Row],[Par]])),IF(FIND(MID(BE$1,10,5),TbTradesBinance[[#This Row],[Par]])=1, -(BD228-BD229)/BD228*BE228,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Row],[Par]])),(-(BD228-BD229)/BD228*BE228)+IF(TbTradesBinance[[#This Row],[Resultado]]&gt;0,0,TbTradesBinance[[#This Row],[Taxa]]),0),0))</f>
        <v>0</v>
      </c>
      <c r="BF229" s="145">
        <f>IF(BD229=0,0,BE229/BD229)</f>
        <v>0</v>
      </c>
      <c r="BG229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Row],[Tipo]]="DROP"),BG228+TbTradesBinance[[#This Row],[Qtt]],BG228-TbTradesBinance[[#This Row],[Qtt]]),IF(TbTradesBinance[[#This Row],[Tipo]]="BUY",BG228-TbTradesBinance[[#This Row],[Qtt]]*TbTradesBinance[[#This Row],[Preço]],BG228+TbTradesBinance[[#This Row],[Qtt]]*TbTradesBinance[[#This Row],[Preço]])),BG228)-IF(TbTradesBinance[[#This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Row],[Tipo]]="DROP"),BG228+TbTradesBinance[[#This Row],[Qtt]],BG228-TbTradesBinance[[#This Row],[Qtt]]),IF(TbTradesBinance[[#This Row],[Tipo]]="BUY",BG228-TbTradesBinance[[#This Row],[Qtt]]*TbTradesBinance[[#This Row],[Preço]],BG228+TbTradesBinance[[#This Row],[Qtt]]*TbTradesBinance[[#This Row],[Preço]])),BG228)-IF(TbTradesBinance[[#This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Row],[Tipo]]="DROP"),BG228+TbTradesBinance[[#This Row],[Qtt]],BG228-TbTradesBinance[[#This Row],[Qtt]]),IF(TbTradesBinance[[#This Row],[Tipo]]="BUY",BG228-TbTradesBinance[[#This Row],[Qtt]]*TbTradesBinance[[#This Row],[Preço]],BG228+TbTradesBinance[[#This Row],[Qtt]]*TbTradesBinance[[#This Row],[Preço]])),BG228)-IF(TbTradesBinance[[#This Row],[Moeda da Taxa]]=MID(BG$1,9,5),TbTradesBinance[[#This Row],[Taxa]],0),8)))</f>
        <v>0</v>
      </c>
      <c r="BH229" s="145" cm="1">
        <f t="array" ref="BH229">IF(TbTradesBinance[[#This Row],[Tipo]]="EMPTY",0,BH228+IF(TbTradesBinance[[#This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Row],[Par]]))),$1:$1,0)),-(BG228-BG229)/BG228*BH228),0),0)+IF(TbTradesBinance[[#This Row],[Tipo]]="SELL",IF(ISNUMBER(FIND(MID(BH$1,10,5),TbTradesBinance[[#This Row],[Par]])),IF(FIND(MID(BH$1,10,5),TbTradesBinance[[#This Row],[Par]])=1, -(BG228-BG229)/BG228*BH228,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Row],[Par]])),(-(BG228-BG229)/BG228*BH228)+IF(TbTradesBinance[[#This Row],[Resultado]]&gt;0,0,TbTradesBinance[[#This Row],[Taxa]]),0),0))</f>
        <v>0</v>
      </c>
      <c r="BI229" s="145">
        <f>IF(BG229=0,0,BH229/BG229)</f>
        <v>0</v>
      </c>
      <c r="BJ229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Row],[Tipo]]="DROP"),BJ228+TbTradesBinance[[#This Row],[Qtt]],BJ228-TbTradesBinance[[#This Row],[Qtt]]),IF(TbTradesBinance[[#This Row],[Tipo]]="BUY",BJ228-TbTradesBinance[[#This Row],[Qtt]]*TbTradesBinance[[#This Row],[Preço]],BJ228+TbTradesBinance[[#This Row],[Qtt]]*TbTradesBinance[[#This Row],[Preço]])),BJ228)-IF(TbTradesBinance[[#This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Row],[Tipo]]="DROP"),BJ228+TbTradesBinance[[#This Row],[Qtt]],BJ228-TbTradesBinance[[#This Row],[Qtt]]),IF(TbTradesBinance[[#This Row],[Tipo]]="BUY",BJ228-TbTradesBinance[[#This Row],[Qtt]]*TbTradesBinance[[#This Row],[Preço]],BJ228+TbTradesBinance[[#This Row],[Qtt]]*TbTradesBinance[[#This Row],[Preço]])),BJ228)-IF(TbTradesBinance[[#This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Row],[Tipo]]="DROP"),BJ228+TbTradesBinance[[#This Row],[Qtt]],BJ228-TbTradesBinance[[#This Row],[Qtt]]),IF(TbTradesBinance[[#This Row],[Tipo]]="BUY",BJ228-TbTradesBinance[[#This Row],[Qtt]]*TbTradesBinance[[#This Row],[Preço]],BJ228+TbTradesBinance[[#This Row],[Qtt]]*TbTradesBinance[[#This Row],[Preço]])),BJ228)-IF(TbTradesBinance[[#This Row],[Moeda da Taxa]]=MID(BJ$1,9,5),TbTradesBinance[[#This Row],[Taxa]],0),8)))</f>
        <v>0</v>
      </c>
      <c r="BK229" s="145" cm="1">
        <f t="array" ref="BK229">IF(TbTradesBinance[[#This Row],[Tipo]]="EMPTY",0,BK228+IF(TbTradesBinance[[#This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Row],[Par]]))),$1:$1,0)),-(BJ228-BJ229)/BJ228*BK228),0),0)+IF(TbTradesBinance[[#This Row],[Tipo]]="SELL",IF(ISNUMBER(FIND(MID(BK$1,10,5),TbTradesBinance[[#This Row],[Par]])),IF(FIND(MID(BK$1,10,5),TbTradesBinance[[#This Row],[Par]])=1, -(BJ228-BJ229)/BJ228*BK228,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Row],[Par]])),(-(BJ228-BJ229)/BJ228*BK228)+IF(TbTradesBinance[[#This Row],[Resultado]]&gt;0,0,TbTradesBinance[[#This Row],[Taxa]]),0),0))</f>
        <v>0</v>
      </c>
      <c r="BL229" s="145">
        <f>IF(BJ229=0,0,BK229/BJ229)</f>
        <v>0</v>
      </c>
      <c r="BM229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Row],[Tipo]]="DROP"),BM228+TbTradesBinance[[#This Row],[Qtt]],BM228-TbTradesBinance[[#This Row],[Qtt]]),IF(TbTradesBinance[[#This Row],[Tipo]]="BUY",BM228-TbTradesBinance[[#This Row],[Qtt]]*TbTradesBinance[[#This Row],[Preço]],BM228+TbTradesBinance[[#This Row],[Qtt]]*TbTradesBinance[[#This Row],[Preço]])),BM228)-IF(TbTradesBinance[[#This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Row],[Tipo]]="DROP"),BM228+TbTradesBinance[[#This Row],[Qtt]],BM228-TbTradesBinance[[#This Row],[Qtt]]),IF(TbTradesBinance[[#This Row],[Tipo]]="BUY",BM228-TbTradesBinance[[#This Row],[Qtt]]*TbTradesBinance[[#This Row],[Preço]],BM228+TbTradesBinance[[#This Row],[Qtt]]*TbTradesBinance[[#This Row],[Preço]])),BM228)-IF(TbTradesBinance[[#This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Row],[Tipo]]="DROP"),BM228+TbTradesBinance[[#This Row],[Qtt]],BM228-TbTradesBinance[[#This Row],[Qtt]]),IF(TbTradesBinance[[#This Row],[Tipo]]="BUY",BM228-TbTradesBinance[[#This Row],[Qtt]]*TbTradesBinance[[#This Row],[Preço]],BM228+TbTradesBinance[[#This Row],[Qtt]]*TbTradesBinance[[#This Row],[Preço]])),BM228)-IF(TbTradesBinance[[#This Row],[Moeda da Taxa]]=MID(BM$1,9,5),TbTradesBinance[[#This Row],[Taxa]],0),8)))</f>
        <v>0</v>
      </c>
      <c r="BN229" s="145" cm="1">
        <f t="array" ref="BN229">IF(TbTradesBinance[[#This Row],[Tipo]]="EMPTY",0,BN228+IF(TbTradesBinance[[#This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Row],[Par]]))),$1:$1,0)),-(BM228-BM229)/BM228*BN228),0),0)+IF(TbTradesBinance[[#This Row],[Tipo]]="SELL",IF(ISNUMBER(FIND(MID(BN$1,10,5),TbTradesBinance[[#This Row],[Par]])),IF(FIND(MID(BN$1,10,5),TbTradesBinance[[#This Row],[Par]])=1, -(BM228-BM229)/BM228*BN228,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Row],[Par]])),(-(BM228-BM229)/BM228*BN228)+IF(TbTradesBinance[[#This Row],[Resultado]]&gt;0,0,TbTradesBinance[[#This Row],[Taxa]]),0),0))</f>
        <v>0</v>
      </c>
      <c r="BO229" s="145">
        <f>IF(BM229=0,0,BN229/BM229)</f>
        <v>0</v>
      </c>
    </row>
    <row r="230" spans="2:67" x14ac:dyDescent="0.3">
      <c r="B230" s="51"/>
      <c r="C230" s="40">
        <f>TRUNC(IF(AND(TbTradesBinance[[#This Row],[Tipo]]="SEND",TbTradesBinance[[#This Row],[Par]]="BRL"),TbTradesBinance[[#This Row],[Qtt]]*(1-P228)-IF(TbTradesBinance[[#This Row],[Moeda da Taxa]]="BRL",TbTradesBinance[[#This Row],[Taxa]],0),0)+IF(AND(TbTradesBinance[[#This Row],[Tipo]]="BURN",TbTradesBinance[[#This Row],[Par]]="BRL"),-TbTradesBinance[[#This Row],[Qtt]]*P228,0),2)</f>
        <v>0</v>
      </c>
      <c r="D230" s="53">
        <v>44441.292858796296</v>
      </c>
      <c r="E230" s="37" t="s">
        <v>249</v>
      </c>
      <c r="F230" s="47" t="s">
        <v>140</v>
      </c>
      <c r="G230" s="38">
        <v>50000</v>
      </c>
      <c r="H230" s="38">
        <v>2.0600000000000002E-3</v>
      </c>
      <c r="I230" s="38">
        <v>1.638E-4</v>
      </c>
      <c r="J230" s="37" t="s">
        <v>45</v>
      </c>
      <c r="K230" s="52">
        <v>5.24</v>
      </c>
      <c r="L230" s="40">
        <f>TRUNC(K230*G230,2)</f>
        <v>262000</v>
      </c>
      <c r="M230" s="40">
        <f>IF(OR(TbTradesBinance[[#This Row],[Tipo]]="BUY",TbTradesBinance[[#This Row],[Tipo]]="RECEIVE",TbTradesBinance[[#This Row],[Tipo]]="DROP"),L230*H230,-L230*H230)</f>
        <v>-539.72</v>
      </c>
      <c r="N230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Row],[Tipo]]="DROP"),N229+TbTradesBinance[[#This Row],[Qtt]],N229-TbTradesBinance[[#This Row],[Qtt]]),IF(TbTradesBinance[[#This Row],[Tipo]]="BUY",N229-TbTradesBinance[[#This Row],[Qtt]]*TbTradesBinance[[#This Row],[Preço]],N229+TbTradesBinance[[#This Row],[Qtt]]*TbTradesBinance[[#This Row],[Preço]])),N229)-IF(TbTradesBinance[[#This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Row],[Tipo]]="DROP"),N229+TbTradesBinance[[#This Row],[Qtt]],N229-TbTradesBinance[[#This Row],[Qtt]]),IF(TbTradesBinance[[#This Row],[Tipo]]="BUY",N229-TbTradesBinance[[#This Row],[Qtt]]*TbTradesBinance[[#This Row],[Preço]],N229+TbTradesBinance[[#This Row],[Qtt]]*TbTradesBinance[[#This Row],[Preço]])),N229)-IF(TbTradesBinance[[#This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Row],[Tipo]]="DROP"),N229+TbTradesBinance[[#This Row],[Qtt]],N229-TbTradesBinance[[#This Row],[Qtt]]),IF(TbTradesBinance[[#This Row],[Tipo]]="BUY",N229-TbTradesBinance[[#This Row],[Qtt]]*TbTradesBinance[[#This Row],[Preço]],N229+TbTradesBinance[[#This Row],[Qtt]]*TbTradesBinance[[#This Row],[Preço]])),N229)-IF(TbTradesBinance[[#This Row],[Moeda da Taxa]]=MID(N$1,9,5),TbTradesBinance[[#This Row],[Taxa]],0),8)))</f>
        <v>119747.60595781</v>
      </c>
      <c r="O230" s="145" cm="1">
        <f t="array" ref="O230">IF(TbTradesBinance[[#This Row],[Tipo]]="EMPTY",0,O229+IF(TbTradesBinance[[#This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Row],[Par]]))),$1:$1,0)),-(N229-N230)/N229*O229),0),0)+IF(TbTradesBinance[[#This Row],[Tipo]]="SELL",IF(ISNUMBER(FIND(MID(O$1,10,5),TbTradesBinance[[#This Row],[Par]])),IF(FIND(MID(O$1,10,5),TbTradesBinance[[#This Row],[Par]])=1, -(N229-N230)/N229*O229,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Row],[Par]])),(-(N229-N230)/N229*O229)+IF(TbTradesBinance[[#This Row],[Resultado]]&gt;0,0,TbTradesBinance[[#This Row],[Taxa]]),0),0))</f>
        <v>120459.8330017094</v>
      </c>
      <c r="P230" s="145">
        <f>IF(N230=0,0,O230/N230)</f>
        <v>1.0059477351401107</v>
      </c>
      <c r="Q230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Row],[Tipo]]="DROP"),Q229+TbTradesBinance[[#This Row],[Qtt]],Q229-TbTradesBinance[[#This Row],[Qtt]]),IF(TbTradesBinance[[#This Row],[Tipo]]="BUY",Q229-TbTradesBinance[[#This Row],[Qtt]]*TbTradesBinance[[#This Row],[Preço]],Q229+TbTradesBinance[[#This Row],[Qtt]]*TbTradesBinance[[#This Row],[Preço]])),Q229)-IF(TbTradesBinance[[#This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Row],[Tipo]]="DROP"),Q229+TbTradesBinance[[#This Row],[Qtt]],Q229-TbTradesBinance[[#This Row],[Qtt]]),IF(TbTradesBinance[[#This Row],[Tipo]]="BUY",Q229-TbTradesBinance[[#This Row],[Qtt]]*TbTradesBinance[[#This Row],[Preço]],Q229+TbTradesBinance[[#This Row],[Qtt]]*TbTradesBinance[[#This Row],[Preço]])),Q229)-IF(TbTradesBinance[[#This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Row],[Tipo]]="DROP"),Q229+TbTradesBinance[[#This Row],[Qtt]],Q229-TbTradesBinance[[#This Row],[Qtt]]),IF(TbTradesBinance[[#This Row],[Tipo]]="BUY",Q229-TbTradesBinance[[#This Row],[Qtt]]*TbTradesBinance[[#This Row],[Preço]],Q229+TbTradesBinance[[#This Row],[Qtt]]*TbTradesBinance[[#This Row],[Preço]])),Q229)-IF(TbTradesBinance[[#This Row],[Moeda da Taxa]]=MID(Q$1,9,5),TbTradesBinance[[#This Row],[Taxa]],0),8)))</f>
        <v>162.73456633999999</v>
      </c>
      <c r="R230" s="145" cm="1">
        <f t="array" ref="R230">IF(TbTradesBinance[[#This Row],[Tipo]]="EMPTY",0,R229+IF(TbTradesBinance[[#This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Row],[Par]]))),$1:$1,0)),-(Q229-Q230)/Q229*R229),0),0)+IF(TbTradesBinance[[#This Row],[Tipo]]="SELL",IF(ISNUMBER(FIND(MID(R$1,10,5),TbTradesBinance[[#This Row],[Par]])),IF(FIND(MID(R$1,10,5),TbTradesBinance[[#This Row],[Par]])=1, -(Q229-Q230)/Q229*R229,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Row],[Par]])),(-(Q229-Q230)/Q229*R229)+IF(TbTradesBinance[[#This Row],[Resultado]]&gt;0,0,TbTradesBinance[[#This Row],[Taxa]]),0),0))</f>
        <v>869.04442121552233</v>
      </c>
      <c r="S230" s="145">
        <f>IF(Q230=0,0,R230/Q230)</f>
        <v>5.3402570871134714</v>
      </c>
      <c r="T230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Row],[Tipo]]="DROP"),T229+TbTradesBinance[[#This Row],[Qtt]],T229-TbTradesBinance[[#This Row],[Qtt]]),IF(TbTradesBinance[[#This Row],[Tipo]]="BUY",T229-TbTradesBinance[[#This Row],[Qtt]]*TbTradesBinance[[#This Row],[Preço]],T229+TbTradesBinance[[#This Row],[Qtt]]*TbTradesBinance[[#This Row],[Preço]])),T229)-IF(TbTradesBinance[[#This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Row],[Tipo]]="DROP"),T229+TbTradesBinance[[#This Row],[Qtt]],T229-TbTradesBinance[[#This Row],[Qtt]]),IF(TbTradesBinance[[#This Row],[Tipo]]="BUY",T229-TbTradesBinance[[#This Row],[Qtt]]*TbTradesBinance[[#This Row],[Preço]],T229+TbTradesBinance[[#This Row],[Qtt]]*TbTradesBinance[[#This Row],[Preço]])),T229)-IF(TbTradesBinance[[#This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Row],[Tipo]]="DROP"),T229+TbTradesBinance[[#This Row],[Qtt]],T229-TbTradesBinance[[#This Row],[Qtt]]),IF(TbTradesBinance[[#This Row],[Tipo]]="BUY",T229-TbTradesBinance[[#This Row],[Qtt]]*TbTradesBinance[[#This Row],[Preço]],T229+TbTradesBinance[[#This Row],[Qtt]]*TbTradesBinance[[#This Row],[Preço]])),T229)-IF(TbTradesBinance[[#This Row],[Moeda da Taxa]]=MID(T$1,9,5),TbTradesBinance[[#This Row],[Taxa]],0),8)))</f>
        <v>101223913.720009</v>
      </c>
      <c r="U230" s="145" cm="1">
        <f t="array" ref="U230">IF(TbTradesBinance[[#This Row],[Tipo]]="EMPTY",0,U229+IF(TbTradesBinance[[#This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Row],[Par]]))),$1:$1,0)),-(T229-T230)/T229*U229),0),0)+IF(TbTradesBinance[[#This Row],[Tipo]]="SELL",IF(ISNUMBER(FIND(MID(U$1,10,5),TbTradesBinance[[#This Row],[Par]])),IF(FIND(MID(U$1,10,5),TbTradesBinance[[#This Row],[Par]])=1, -(T229-T230)/T229*U229,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Row],[Par]])),(-(T229-T230)/T229*U229)+IF(TbTradesBinance[[#This Row],[Resultado]]&gt;0,0,TbTradesBinance[[#This Row],[Taxa]]),0),0))</f>
        <v>617586601.27364206</v>
      </c>
      <c r="V230" s="145">
        <f>IF(T230=0,0,U230/T230)</f>
        <v>6.1011926784605572</v>
      </c>
      <c r="W230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Row],[Tipo]]="DROP"),W229+TbTradesBinance[[#This Row],[Qtt]],W229-TbTradesBinance[[#This Row],[Qtt]]),IF(TbTradesBinance[[#This Row],[Tipo]]="BUY",W229-TbTradesBinance[[#This Row],[Qtt]]*TbTradesBinance[[#This Row],[Preço]],W229+TbTradesBinance[[#This Row],[Qtt]]*TbTradesBinance[[#This Row],[Preço]])),W229)-IF(TbTradesBinance[[#This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Row],[Tipo]]="DROP"),W229+TbTradesBinance[[#This Row],[Qtt]],W229-TbTradesBinance[[#This Row],[Qtt]]),IF(TbTradesBinance[[#This Row],[Tipo]]="BUY",W229-TbTradesBinance[[#This Row],[Qtt]]*TbTradesBinance[[#This Row],[Preço]],W229+TbTradesBinance[[#This Row],[Qtt]]*TbTradesBinance[[#This Row],[Preço]])),W229)-IF(TbTradesBinance[[#This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Row],[Tipo]]="DROP"),W229+TbTradesBinance[[#This Row],[Qtt]],W229-TbTradesBinance[[#This Row],[Qtt]]),IF(TbTradesBinance[[#This Row],[Tipo]]="BUY",W229-TbTradesBinance[[#This Row],[Qtt]]*TbTradesBinance[[#This Row],[Preço]],W229+TbTradesBinance[[#This Row],[Qtt]]*TbTradesBinance[[#This Row],[Preço]])),W229)-IF(TbTradesBinance[[#This Row],[Moeda da Taxa]]=MID(W$1,9,5),TbTradesBinance[[#This Row],[Taxa]],0),8)))</f>
        <v>2.24399E-3</v>
      </c>
      <c r="X230" s="145" cm="1">
        <f t="array" ref="X230">IF(TbTradesBinance[[#This Row],[Tipo]]="EMPTY",0,X229+IF(TbTradesBinance[[#This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Row],[Par]]))),$1:$1,0)),-(W229-W230)/W229*X229),0),0)+IF(TbTradesBinance[[#This Row],[Tipo]]="SELL",IF(ISNUMBER(FIND(MID(X$1,10,5),TbTradesBinance[[#This Row],[Par]])),IF(FIND(MID(X$1,10,5),TbTradesBinance[[#This Row],[Par]])=1, -(W229-W230)/W229*X229,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Row],[Par]])),(-(W229-W230)/W229*X229)+IF(TbTradesBinance[[#This Row],[Resultado]]&gt;0,0,TbTradesBinance[[#This Row],[Taxa]]),0),0))</f>
        <v>588.92158883567618</v>
      </c>
      <c r="Y230" s="145">
        <f>IF(W230=0,0,X230/W230)</f>
        <v>262443.94530977239</v>
      </c>
      <c r="Z230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Row],[Tipo]]="DROP"),Z229+TbTradesBinance[[#This Row],[Qtt]],Z229-TbTradesBinance[[#This Row],[Qtt]]),IF(TbTradesBinance[[#This Row],[Tipo]]="BUY",Z229-TbTradesBinance[[#This Row],[Qtt]]*TbTradesBinance[[#This Row],[Preço]],Z229+TbTradesBinance[[#This Row],[Qtt]]*TbTradesBinance[[#This Row],[Preço]])),Z229)-IF(TbTradesBinance[[#This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Row],[Tipo]]="DROP"),Z229+TbTradesBinance[[#This Row],[Qtt]],Z229-TbTradesBinance[[#This Row],[Qtt]]),IF(TbTradesBinance[[#This Row],[Tipo]]="BUY",Z229-TbTradesBinance[[#This Row],[Qtt]]*TbTradesBinance[[#This Row],[Preço]],Z229+TbTradesBinance[[#This Row],[Qtt]]*TbTradesBinance[[#This Row],[Preço]])),Z229)-IF(TbTradesBinance[[#This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Row],[Tipo]]="DROP"),Z229+TbTradesBinance[[#This Row],[Qtt]],Z229-TbTradesBinance[[#This Row],[Qtt]]),IF(TbTradesBinance[[#This Row],[Tipo]]="BUY",Z229-TbTradesBinance[[#This Row],[Qtt]]*TbTradesBinance[[#This Row],[Preço]],Z229+TbTradesBinance[[#This Row],[Qtt]]*TbTradesBinance[[#This Row],[Preço]])),Z229)-IF(TbTradesBinance[[#This Row],[Moeda da Taxa]]=MID(Z$1,9,5),TbTradesBinance[[#This Row],[Taxa]],0),8)))</f>
        <v>0</v>
      </c>
      <c r="AA230" s="145" cm="1">
        <f t="array" ref="AA230">IF(TbTradesBinance[[#This Row],[Tipo]]="EMPTY",0,AA229+IF(TbTradesBinance[[#This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Row],[Par]]))),$1:$1,0)),-(Z229-Z230)/Z229*AA229),0),0)+IF(TbTradesBinance[[#This Row],[Tipo]]="SELL",IF(ISNUMBER(FIND(MID(AA$1,10,5),TbTradesBinance[[#This Row],[Par]])),IF(FIND(MID(AA$1,10,5),TbTradesBinance[[#This Row],[Par]])=1, -(Z229-Z230)/Z229*AA229,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Row],[Par]])),(-(Z229-Z230)/Z229*AA229)+IF(TbTradesBinance[[#This Row],[Resultado]]&gt;0,0,TbTradesBinance[[#This Row],[Taxa]]),0),0))</f>
        <v>0</v>
      </c>
      <c r="AB230" s="145">
        <f>IF(Z230=0,0,AA230/Z230)</f>
        <v>0</v>
      </c>
      <c r="AC230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Row],[Tipo]]="DROP"),AC229+TbTradesBinance[[#This Row],[Qtt]],AC229-TbTradesBinance[[#This Row],[Qtt]]),IF(TbTradesBinance[[#This Row],[Tipo]]="BUY",AC229-TbTradesBinance[[#This Row],[Qtt]]*TbTradesBinance[[#This Row],[Preço]],AC229+TbTradesBinance[[#This Row],[Qtt]]*TbTradesBinance[[#This Row],[Preço]])),AC229)-IF(TbTradesBinance[[#This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Row],[Tipo]]="DROP"),AC229+TbTradesBinance[[#This Row],[Qtt]],AC229-TbTradesBinance[[#This Row],[Qtt]]),IF(TbTradesBinance[[#This Row],[Tipo]]="BUY",AC229-TbTradesBinance[[#This Row],[Qtt]]*TbTradesBinance[[#This Row],[Preço]],AC229+TbTradesBinance[[#This Row],[Qtt]]*TbTradesBinance[[#This Row],[Preço]])),AC229)-IF(TbTradesBinance[[#This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Row],[Tipo]]="DROP"),AC229+TbTradesBinance[[#This Row],[Qtt]],AC229-TbTradesBinance[[#This Row],[Qtt]]),IF(TbTradesBinance[[#This Row],[Tipo]]="BUY",AC229-TbTradesBinance[[#This Row],[Qtt]]*TbTradesBinance[[#This Row],[Preço]],AC229+TbTradesBinance[[#This Row],[Qtt]]*TbTradesBinance[[#This Row],[Preço]])),AC229)-IF(TbTradesBinance[[#This Row],[Moeda da Taxa]]=MID(AC$1,9,5),TbTradesBinance[[#This Row],[Taxa]],0),8)))</f>
        <v>0</v>
      </c>
      <c r="AD230" s="145" cm="1">
        <f t="array" ref="AD230">IF(TbTradesBinance[[#This Row],[Tipo]]="EMPTY",0,AD229+IF(TbTradesBinance[[#This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Row],[Par]]))),$1:$1,0)),-(AC229-AC230)/AC229*AD229),0),0)+IF(TbTradesBinance[[#This Row],[Tipo]]="SELL",IF(ISNUMBER(FIND(MID(AD$1,10,5),TbTradesBinance[[#This Row],[Par]])),IF(FIND(MID(AD$1,10,5),TbTradesBinance[[#This Row],[Par]])=1, -(AC229-AC230)/AC229*AD229,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Row],[Par]])),(-(AC229-AC230)/AC229*AD229)+IF(TbTradesBinance[[#This Row],[Resultado]]&gt;0,0,TbTradesBinance[[#This Row],[Taxa]]),0),0))</f>
        <v>0</v>
      </c>
      <c r="AE230" s="145">
        <f>IF(AC230=0,0,AD230/AC230)</f>
        <v>0</v>
      </c>
      <c r="AF230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Row],[Tipo]]="DROP"),AF229+TbTradesBinance[[#This Row],[Qtt]],AF229-TbTradesBinance[[#This Row],[Qtt]]),IF(TbTradesBinance[[#This Row],[Tipo]]="BUY",AF229-TbTradesBinance[[#This Row],[Qtt]]*TbTradesBinance[[#This Row],[Preço]],AF229+TbTradesBinance[[#This Row],[Qtt]]*TbTradesBinance[[#This Row],[Preço]])),AF229)-IF(TbTradesBinance[[#This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Row],[Tipo]]="DROP"),AF229+TbTradesBinance[[#This Row],[Qtt]],AF229-TbTradesBinance[[#This Row],[Qtt]]),IF(TbTradesBinance[[#This Row],[Tipo]]="BUY",AF229-TbTradesBinance[[#This Row],[Qtt]]*TbTradesBinance[[#This Row],[Preço]],AF229+TbTradesBinance[[#This Row],[Qtt]]*TbTradesBinance[[#This Row],[Preço]])),AF229)-IF(TbTradesBinance[[#This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Row],[Tipo]]="DROP"),AF229+TbTradesBinance[[#This Row],[Qtt]],AF229-TbTradesBinance[[#This Row],[Qtt]]),IF(TbTradesBinance[[#This Row],[Tipo]]="BUY",AF229-TbTradesBinance[[#This Row],[Qtt]]*TbTradesBinance[[#This Row],[Preço]],AF229+TbTradesBinance[[#This Row],[Qtt]]*TbTradesBinance[[#This Row],[Preço]])),AF229)-IF(TbTradesBinance[[#This Row],[Moeda da Taxa]]=MID(AF$1,9,5),TbTradesBinance[[#This Row],[Taxa]],0),8)))</f>
        <v>0</v>
      </c>
      <c r="AG230" s="145" cm="1">
        <f t="array" ref="AG230">IF(TbTradesBinance[[#This Row],[Tipo]]="EMPTY",0,AG229+IF(TbTradesBinance[[#This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Row],[Par]]))),$1:$1,0)),-(AF229-AF230)/AF229*AG229),0),0)+IF(TbTradesBinance[[#This Row],[Tipo]]="SELL",IF(ISNUMBER(FIND(MID(AG$1,10,5),TbTradesBinance[[#This Row],[Par]])),IF(FIND(MID(AG$1,10,5),TbTradesBinance[[#This Row],[Par]])=1, -(AF229-AF230)/AF229*AG229,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Row],[Par]])),(-(AF229-AF230)/AF229*AG229)+IF(TbTradesBinance[[#This Row],[Resultado]]&gt;0,0,TbTradesBinance[[#This Row],[Taxa]]),0),0))</f>
        <v>0</v>
      </c>
      <c r="AH230" s="145">
        <f>IF(AF230=0,0,AG230/AF230)</f>
        <v>0</v>
      </c>
      <c r="AI230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Row],[Tipo]]="DROP"),AI229+TbTradesBinance[[#This Row],[Qtt]],AI229-TbTradesBinance[[#This Row],[Qtt]]),IF(TbTradesBinance[[#This Row],[Tipo]]="BUY",AI229-TbTradesBinance[[#This Row],[Qtt]]*TbTradesBinance[[#This Row],[Preço]],AI229+TbTradesBinance[[#This Row],[Qtt]]*TbTradesBinance[[#This Row],[Preço]])),AI229)-IF(TbTradesBinance[[#This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Row],[Tipo]]="DROP"),AI229+TbTradesBinance[[#This Row],[Qtt]],AI229-TbTradesBinance[[#This Row],[Qtt]]),IF(TbTradesBinance[[#This Row],[Tipo]]="BUY",AI229-TbTradesBinance[[#This Row],[Qtt]]*TbTradesBinance[[#This Row],[Preço]],AI229+TbTradesBinance[[#This Row],[Qtt]]*TbTradesBinance[[#This Row],[Preço]])),AI229)-IF(TbTradesBinance[[#This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Row],[Tipo]]="DROP"),AI229+TbTradesBinance[[#This Row],[Qtt]],AI229-TbTradesBinance[[#This Row],[Qtt]]),IF(TbTradesBinance[[#This Row],[Tipo]]="BUY",AI229-TbTradesBinance[[#This Row],[Qtt]]*TbTradesBinance[[#This Row],[Preço]],AI229+TbTradesBinance[[#This Row],[Qtt]]*TbTradesBinance[[#This Row],[Preço]])),AI229)-IF(TbTradesBinance[[#This Row],[Moeda da Taxa]]=MID(AI$1,9,5),TbTradesBinance[[#This Row],[Taxa]],0),8)))</f>
        <v>0</v>
      </c>
      <c r="AJ230" s="145" cm="1">
        <f t="array" ref="AJ230">IF(TbTradesBinance[[#This Row],[Tipo]]="EMPTY",0,AJ229+IF(TbTradesBinance[[#This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Row],[Par]]))),$1:$1,0)),-(AI229-AI230)/AI229*AJ229),0),0)+IF(TbTradesBinance[[#This Row],[Tipo]]="SELL",IF(ISNUMBER(FIND(MID(AJ$1,10,5),TbTradesBinance[[#This Row],[Par]])),IF(FIND(MID(AJ$1,10,5),TbTradesBinance[[#This Row],[Par]])=1, -(AI229-AI230)/AI229*AJ229,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Row],[Par]])),(-(AI229-AI230)/AI229*AJ229)+IF(TbTradesBinance[[#This Row],[Resultado]]&gt;0,0,TbTradesBinance[[#This Row],[Taxa]]),0),0))</f>
        <v>0</v>
      </c>
      <c r="AK230" s="145">
        <f>IF(AI230=0,0,AJ230/AI230)</f>
        <v>0</v>
      </c>
      <c r="AL230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Row],[Tipo]]="DROP"),AL229+TbTradesBinance[[#This Row],[Qtt]],AL229-TbTradesBinance[[#This Row],[Qtt]]),IF(TbTradesBinance[[#This Row],[Tipo]]="BUY",AL229-TbTradesBinance[[#This Row],[Qtt]]*TbTradesBinance[[#This Row],[Preço]],AL229+TbTradesBinance[[#This Row],[Qtt]]*TbTradesBinance[[#This Row],[Preço]])),AL229)-IF(TbTradesBinance[[#This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Row],[Tipo]]="DROP"),AL229+TbTradesBinance[[#This Row],[Qtt]],AL229-TbTradesBinance[[#This Row],[Qtt]]),IF(TbTradesBinance[[#This Row],[Tipo]]="BUY",AL229-TbTradesBinance[[#This Row],[Qtt]]*TbTradesBinance[[#This Row],[Preço]],AL229+TbTradesBinance[[#This Row],[Qtt]]*TbTradesBinance[[#This Row],[Preço]])),AL229)-IF(TbTradesBinance[[#This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Row],[Tipo]]="DROP"),AL229+TbTradesBinance[[#This Row],[Qtt]],AL229-TbTradesBinance[[#This Row],[Qtt]]),IF(TbTradesBinance[[#This Row],[Tipo]]="BUY",AL229-TbTradesBinance[[#This Row],[Qtt]]*TbTradesBinance[[#This Row],[Preço]],AL229+TbTradesBinance[[#This Row],[Qtt]]*TbTradesBinance[[#This Row],[Preço]])),AL229)-IF(TbTradesBinance[[#This Row],[Moeda da Taxa]]=MID(AL$1,9,5),TbTradesBinance[[#This Row],[Taxa]],0),8)))</f>
        <v>0</v>
      </c>
      <c r="AM230" s="145" cm="1">
        <f t="array" ref="AM230">IF(TbTradesBinance[[#This Row],[Tipo]]="EMPTY",0,AM229+IF(TbTradesBinance[[#This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Row],[Par]]))),$1:$1,0)),-(AL229-AL230)/AL229*AM229),0),0)+IF(TbTradesBinance[[#This Row],[Tipo]]="SELL",IF(ISNUMBER(FIND(MID(AM$1,10,5),TbTradesBinance[[#This Row],[Par]])),IF(FIND(MID(AM$1,10,5),TbTradesBinance[[#This Row],[Par]])=1, -(AL229-AL230)/AL229*AM229,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Row],[Par]])),(-(AL229-AL230)/AL229*AM229)+IF(TbTradesBinance[[#This Row],[Resultado]]&gt;0,0,TbTradesBinance[[#This Row],[Taxa]]),0),0))</f>
        <v>0</v>
      </c>
      <c r="AN230" s="145">
        <f>IF(AL230=0,0,AM230/AL230)</f>
        <v>0</v>
      </c>
      <c r="AO230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Row],[Tipo]]="DROP"),AO229+TbTradesBinance[[#This Row],[Qtt]],AO229-TbTradesBinance[[#This Row],[Qtt]]),IF(TbTradesBinance[[#This Row],[Tipo]]="BUY",AO229-TbTradesBinance[[#This Row],[Qtt]]*TbTradesBinance[[#This Row],[Preço]],AO229+TbTradesBinance[[#This Row],[Qtt]]*TbTradesBinance[[#This Row],[Preço]])),AO229)-IF(TbTradesBinance[[#This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Row],[Tipo]]="DROP"),AO229+TbTradesBinance[[#This Row],[Qtt]],AO229-TbTradesBinance[[#This Row],[Qtt]]),IF(TbTradesBinance[[#This Row],[Tipo]]="BUY",AO229-TbTradesBinance[[#This Row],[Qtt]]*TbTradesBinance[[#This Row],[Preço]],AO229+TbTradesBinance[[#This Row],[Qtt]]*TbTradesBinance[[#This Row],[Preço]])),AO229)-IF(TbTradesBinance[[#This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Row],[Tipo]]="DROP"),AO229+TbTradesBinance[[#This Row],[Qtt]],AO229-TbTradesBinance[[#This Row],[Qtt]]),IF(TbTradesBinance[[#This Row],[Tipo]]="BUY",AO229-TbTradesBinance[[#This Row],[Qtt]]*TbTradesBinance[[#This Row],[Preço]],AO229+TbTradesBinance[[#This Row],[Qtt]]*TbTradesBinance[[#This Row],[Preço]])),AO229)-IF(TbTradesBinance[[#This Row],[Moeda da Taxa]]=MID(AO$1,9,5),TbTradesBinance[[#This Row],[Taxa]],0),8)))</f>
        <v>6.6139439999999994E-2</v>
      </c>
      <c r="AP230" s="145" cm="1">
        <f t="array" ref="AP230">IF(TbTradesBinance[[#This Row],[Tipo]]="EMPTY",0,AP229+IF(TbTradesBinance[[#This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Row],[Par]]))),$1:$1,0)),-(AO229-AO230)/AO229*AP229),0),0)+IF(TbTradesBinance[[#This Row],[Tipo]]="SELL",IF(ISNUMBER(FIND(MID(AP$1,10,5),TbTradesBinance[[#This Row],[Par]])),IF(FIND(MID(AP$1,10,5),TbTradesBinance[[#This Row],[Par]])=1, -(AO229-AO230)/AO229*AP229,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Row],[Par]])),(-(AO229-AO230)/AO229*AP229)+IF(TbTradesBinance[[#This Row],[Resultado]]&gt;0,0,TbTradesBinance[[#This Row],[Taxa]]),0),0))</f>
        <v>102.0944711963762</v>
      </c>
      <c r="AQ230" s="145">
        <f>IF(AO230=0,0,AP230/AO230)</f>
        <v>1543.6246692801785</v>
      </c>
      <c r="AR230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Row],[Tipo]]="DROP"),AR229+TbTradesBinance[[#This Row],[Qtt]],AR229-TbTradesBinance[[#This Row],[Qtt]]),IF(TbTradesBinance[[#This Row],[Tipo]]="BUY",AR229-TbTradesBinance[[#This Row],[Qtt]]*TbTradesBinance[[#This Row],[Preço]],AR229+TbTradesBinance[[#This Row],[Qtt]]*TbTradesBinance[[#This Row],[Preço]])),AR229)-IF(TbTradesBinance[[#This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Row],[Tipo]]="DROP"),AR229+TbTradesBinance[[#This Row],[Qtt]],AR229-TbTradesBinance[[#This Row],[Qtt]]),IF(TbTradesBinance[[#This Row],[Tipo]]="BUY",AR229-TbTradesBinance[[#This Row],[Qtt]]*TbTradesBinance[[#This Row],[Preço]],AR229+TbTradesBinance[[#This Row],[Qtt]]*TbTradesBinance[[#This Row],[Preço]])),AR229)-IF(TbTradesBinance[[#This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Row],[Tipo]]="DROP"),AR229+TbTradesBinance[[#This Row],[Qtt]],AR229-TbTradesBinance[[#This Row],[Qtt]]),IF(TbTradesBinance[[#This Row],[Tipo]]="BUY",AR229-TbTradesBinance[[#This Row],[Qtt]]*TbTradesBinance[[#This Row],[Preço]],AR229+TbTradesBinance[[#This Row],[Qtt]]*TbTradesBinance[[#This Row],[Preço]])),AR229)-IF(TbTradesBinance[[#This Row],[Moeda da Taxa]]=MID(AR$1,9,5),TbTradesBinance[[#This Row],[Taxa]],0),8)))</f>
        <v>0</v>
      </c>
      <c r="AS230" s="145" cm="1">
        <f t="array" ref="AS230">IF(TbTradesBinance[[#This Row],[Tipo]]="EMPTY",0,AS229+IF(TbTradesBinance[[#This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Row],[Par]]))),$1:$1,0)),-(AR229-AR230)/AR229*AS229),0),0)+IF(TbTradesBinance[[#This Row],[Tipo]]="SELL",IF(ISNUMBER(FIND(MID(AS$1,10,5),TbTradesBinance[[#This Row],[Par]])),IF(FIND(MID(AS$1,10,5),TbTradesBinance[[#This Row],[Par]])=1, -(AR229-AR230)/AR229*AS229,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Row],[Par]])),(-(AR229-AR230)/AR229*AS229)+IF(TbTradesBinance[[#This Row],[Resultado]]&gt;0,0,TbTradesBinance[[#This Row],[Taxa]]),0),0))</f>
        <v>0</v>
      </c>
      <c r="AT230" s="145">
        <f>IF(AR230=0,0,AS230/AR230)</f>
        <v>0</v>
      </c>
      <c r="AU230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Row],[Tipo]]="DROP"),AU229+TbTradesBinance[[#This Row],[Qtt]],AU229-TbTradesBinance[[#This Row],[Qtt]]),IF(TbTradesBinance[[#This Row],[Tipo]]="BUY",AU229-TbTradesBinance[[#This Row],[Qtt]]*TbTradesBinance[[#This Row],[Preço]],AU229+TbTradesBinance[[#This Row],[Qtt]]*TbTradesBinance[[#This Row],[Preço]])),AU229)-IF(TbTradesBinance[[#This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Row],[Tipo]]="DROP"),AU229+TbTradesBinance[[#This Row],[Qtt]],AU229-TbTradesBinance[[#This Row],[Qtt]]),IF(TbTradesBinance[[#This Row],[Tipo]]="BUY",AU229-TbTradesBinance[[#This Row],[Qtt]]*TbTradesBinance[[#This Row],[Preço]],AU229+TbTradesBinance[[#This Row],[Qtt]]*TbTradesBinance[[#This Row],[Preço]])),AU229)-IF(TbTradesBinance[[#This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Row],[Tipo]]="DROP"),AU229+TbTradesBinance[[#This Row],[Qtt]],AU229-TbTradesBinance[[#This Row],[Qtt]]),IF(TbTradesBinance[[#This Row],[Tipo]]="BUY",AU229-TbTradesBinance[[#This Row],[Qtt]]*TbTradesBinance[[#This Row],[Preço]],AU229+TbTradesBinance[[#This Row],[Qtt]]*TbTradesBinance[[#This Row],[Preço]])),AU229)-IF(TbTradesBinance[[#This Row],[Moeda da Taxa]]=MID(AU$1,9,5),TbTradesBinance[[#This Row],[Taxa]],0),8)))</f>
        <v>0.51</v>
      </c>
      <c r="AV230" s="145" cm="1">
        <f t="array" ref="AV230">IF(TbTradesBinance[[#This Row],[Tipo]]="EMPTY",0,AV229+IF(TbTradesBinance[[#This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Row],[Par]]))),$1:$1,0)),-(AU229-AU230)/AU229*AV229),0),0)+IF(TbTradesBinance[[#This Row],[Tipo]]="SELL",IF(ISNUMBER(FIND(MID(AV$1,10,5),TbTradesBinance[[#This Row],[Par]])),IF(FIND(MID(AV$1,10,5),TbTradesBinance[[#This Row],[Par]])=1, -(AU229-AU230)/AU229*AV229,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Row],[Par]])),(-(AU229-AU230)/AU229*AV229)+IF(TbTradesBinance[[#This Row],[Resultado]]&gt;0,0,TbTradesBinance[[#This Row],[Taxa]]),0),0))</f>
        <v>95.466693037374753</v>
      </c>
      <c r="AW230" s="145">
        <f>IF(AU230=0,0,AV230/AU230)</f>
        <v>187.18959419093088</v>
      </c>
      <c r="AX230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Row],[Tipo]]="DROP"),AX229+TbTradesBinance[[#This Row],[Qtt]],AX229-TbTradesBinance[[#This Row],[Qtt]]),IF(TbTradesBinance[[#This Row],[Tipo]]="BUY",AX229-TbTradesBinance[[#This Row],[Qtt]]*TbTradesBinance[[#This Row],[Preço]],AX229+TbTradesBinance[[#This Row],[Qtt]]*TbTradesBinance[[#This Row],[Preço]])),AX229)-IF(TbTradesBinance[[#This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Row],[Tipo]]="DROP"),AX229+TbTradesBinance[[#This Row],[Qtt]],AX229-TbTradesBinance[[#This Row],[Qtt]]),IF(TbTradesBinance[[#This Row],[Tipo]]="BUY",AX229-TbTradesBinance[[#This Row],[Qtt]]*TbTradesBinance[[#This Row],[Preço]],AX229+TbTradesBinance[[#This Row],[Qtt]]*TbTradesBinance[[#This Row],[Preço]])),AX229)-IF(TbTradesBinance[[#This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Row],[Tipo]]="DROP"),AX229+TbTradesBinance[[#This Row],[Qtt]],AX229-TbTradesBinance[[#This Row],[Qtt]]),IF(TbTradesBinance[[#This Row],[Tipo]]="BUY",AX229-TbTradesBinance[[#This Row],[Qtt]]*TbTradesBinance[[#This Row],[Preço]],AX229+TbTradesBinance[[#This Row],[Qtt]]*TbTradesBinance[[#This Row],[Preço]])),AX229)-IF(TbTradesBinance[[#This Row],[Moeda da Taxa]]=MID(AX$1,9,5),TbTradesBinance[[#This Row],[Taxa]],0),8)))</f>
        <v>0.32838000000000001</v>
      </c>
      <c r="AY230" s="145" cm="1">
        <f t="array" ref="AY230">IF(TbTradesBinance[[#This Row],[Tipo]]="EMPTY",0,AY229+IF(TbTradesBinance[[#This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Row],[Par]]))),$1:$1,0)),-(AX229-AX230)/AX229*AY229),0),0)+IF(TbTradesBinance[[#This Row],[Tipo]]="SELL",IF(ISNUMBER(FIND(MID(AY$1,10,5),TbTradesBinance[[#This Row],[Par]])),IF(FIND(MID(AY$1,10,5),TbTradesBinance[[#This Row],[Par]])=1, -(AX229-AX230)/AX229*AY229,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Row],[Par]])),(-(AX229-AX230)/AX229*AY229)+IF(TbTradesBinance[[#This Row],[Resultado]]&gt;0,0,TbTradesBinance[[#This Row],[Taxa]]),0),0))</f>
        <v>61.364116058805678</v>
      </c>
      <c r="AZ230" s="145">
        <f>IF(AX230=0,0,AY230/AX230)</f>
        <v>186.869224857804</v>
      </c>
      <c r="BA230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Row],[Tipo]]="DROP"),BA229+TbTradesBinance[[#This Row],[Qtt]],BA229-TbTradesBinance[[#This Row],[Qtt]]),IF(TbTradesBinance[[#This Row],[Tipo]]="BUY",BA229-TbTradesBinance[[#This Row],[Qtt]]*TbTradesBinance[[#This Row],[Preço]],BA229+TbTradesBinance[[#This Row],[Qtt]]*TbTradesBinance[[#This Row],[Preço]])),BA229)-IF(TbTradesBinance[[#This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Row],[Tipo]]="DROP"),BA229+TbTradesBinance[[#This Row],[Qtt]],BA229-TbTradesBinance[[#This Row],[Qtt]]),IF(TbTradesBinance[[#This Row],[Tipo]]="BUY",BA229-TbTradesBinance[[#This Row],[Qtt]]*TbTradesBinance[[#This Row],[Preço]],BA229+TbTradesBinance[[#This Row],[Qtt]]*TbTradesBinance[[#This Row],[Preço]])),BA229)-IF(TbTradesBinance[[#This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Row],[Tipo]]="DROP"),BA229+TbTradesBinance[[#This Row],[Qtt]],BA229-TbTradesBinance[[#This Row],[Qtt]]),IF(TbTradesBinance[[#This Row],[Tipo]]="BUY",BA229-TbTradesBinance[[#This Row],[Qtt]]*TbTradesBinance[[#This Row],[Preço]],BA229+TbTradesBinance[[#This Row],[Qtt]]*TbTradesBinance[[#This Row],[Preço]])),BA229)-IF(TbTradesBinance[[#This Row],[Moeda da Taxa]]=MID(BA$1,9,5),TbTradesBinance[[#This Row],[Taxa]],0),8)))</f>
        <v>0</v>
      </c>
      <c r="BB230" s="145" cm="1">
        <f t="array" ref="BB230">IF(TbTradesBinance[[#This Row],[Tipo]]="EMPTY",0,BB229+IF(TbTradesBinance[[#This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Row],[Par]]))),$1:$1,0)),-(BA229-BA230)/BA229*BB229),0),0)+IF(TbTradesBinance[[#This Row],[Tipo]]="SELL",IF(ISNUMBER(FIND(MID(BB$1,10,5),TbTradesBinance[[#This Row],[Par]])),IF(FIND(MID(BB$1,10,5),TbTradesBinance[[#This Row],[Par]])=1, -(BA229-BA230)/BA229*BB229,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Row],[Par]])),(-(BA229-BA230)/BA229*BB229)+IF(TbTradesBinance[[#This Row],[Resultado]]&gt;0,0,TbTradesBinance[[#This Row],[Taxa]]),0),0))</f>
        <v>0</v>
      </c>
      <c r="BC230" s="145">
        <f>IF(BA230=0,0,BB230/BA230)</f>
        <v>0</v>
      </c>
      <c r="BD230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Row],[Tipo]]="DROP"),BD229+TbTradesBinance[[#This Row],[Qtt]],BD229-TbTradesBinance[[#This Row],[Qtt]]),IF(TbTradesBinance[[#This Row],[Tipo]]="BUY",BD229-TbTradesBinance[[#This Row],[Qtt]]*TbTradesBinance[[#This Row],[Preço]],BD229+TbTradesBinance[[#This Row],[Qtt]]*TbTradesBinance[[#This Row],[Preço]])),BD229)-IF(TbTradesBinance[[#This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Row],[Tipo]]="DROP"),BD229+TbTradesBinance[[#This Row],[Qtt]],BD229-TbTradesBinance[[#This Row],[Qtt]]),IF(TbTradesBinance[[#This Row],[Tipo]]="BUY",BD229-TbTradesBinance[[#This Row],[Qtt]]*TbTradesBinance[[#This Row],[Preço]],BD229+TbTradesBinance[[#This Row],[Qtt]]*TbTradesBinance[[#This Row],[Preço]])),BD229)-IF(TbTradesBinance[[#This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Row],[Tipo]]="DROP"),BD229+TbTradesBinance[[#This Row],[Qtt]],BD229-TbTradesBinance[[#This Row],[Qtt]]),IF(TbTradesBinance[[#This Row],[Tipo]]="BUY",BD229-TbTradesBinance[[#This Row],[Qtt]]*TbTradesBinance[[#This Row],[Preço]],BD229+TbTradesBinance[[#This Row],[Qtt]]*TbTradesBinance[[#This Row],[Preço]])),BD229)-IF(TbTradesBinance[[#This Row],[Moeda da Taxa]]=MID(BD$1,9,5),TbTradesBinance[[#This Row],[Taxa]],0),8)))</f>
        <v>0</v>
      </c>
      <c r="BE230" s="145" cm="1">
        <f t="array" ref="BE230">IF(TbTradesBinance[[#This Row],[Tipo]]="EMPTY",0,BE229+IF(TbTradesBinance[[#This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Row],[Par]]))),$1:$1,0)),-(BD229-BD230)/BD229*BE229),0),0)+IF(TbTradesBinance[[#This Row],[Tipo]]="SELL",IF(ISNUMBER(FIND(MID(BE$1,10,5),TbTradesBinance[[#This Row],[Par]])),IF(FIND(MID(BE$1,10,5),TbTradesBinance[[#This Row],[Par]])=1, -(BD229-BD230)/BD229*BE229,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Row],[Par]])),(-(BD229-BD230)/BD229*BE229)+IF(TbTradesBinance[[#This Row],[Resultado]]&gt;0,0,TbTradesBinance[[#This Row],[Taxa]]),0),0))</f>
        <v>0</v>
      </c>
      <c r="BF230" s="145">
        <f>IF(BD230=0,0,BE230/BD230)</f>
        <v>0</v>
      </c>
      <c r="BG230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Row],[Tipo]]="DROP"),BG229+TbTradesBinance[[#This Row],[Qtt]],BG229-TbTradesBinance[[#This Row],[Qtt]]),IF(TbTradesBinance[[#This Row],[Tipo]]="BUY",BG229-TbTradesBinance[[#This Row],[Qtt]]*TbTradesBinance[[#This Row],[Preço]],BG229+TbTradesBinance[[#This Row],[Qtt]]*TbTradesBinance[[#This Row],[Preço]])),BG229)-IF(TbTradesBinance[[#This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Row],[Tipo]]="DROP"),BG229+TbTradesBinance[[#This Row],[Qtt]],BG229-TbTradesBinance[[#This Row],[Qtt]]),IF(TbTradesBinance[[#This Row],[Tipo]]="BUY",BG229-TbTradesBinance[[#This Row],[Qtt]]*TbTradesBinance[[#This Row],[Preço]],BG229+TbTradesBinance[[#This Row],[Qtt]]*TbTradesBinance[[#This Row],[Preço]])),BG229)-IF(TbTradesBinance[[#This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Row],[Tipo]]="DROP"),BG229+TbTradesBinance[[#This Row],[Qtt]],BG229-TbTradesBinance[[#This Row],[Qtt]]),IF(TbTradesBinance[[#This Row],[Tipo]]="BUY",BG229-TbTradesBinance[[#This Row],[Qtt]]*TbTradesBinance[[#This Row],[Preço]],BG229+TbTradesBinance[[#This Row],[Qtt]]*TbTradesBinance[[#This Row],[Preço]])),BG229)-IF(TbTradesBinance[[#This Row],[Moeda da Taxa]]=MID(BG$1,9,5),TbTradesBinance[[#This Row],[Taxa]],0),8)))</f>
        <v>0</v>
      </c>
      <c r="BH230" s="145" cm="1">
        <f t="array" ref="BH230">IF(TbTradesBinance[[#This Row],[Tipo]]="EMPTY",0,BH229+IF(TbTradesBinance[[#This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Row],[Par]]))),$1:$1,0)),-(BG229-BG230)/BG229*BH229),0),0)+IF(TbTradesBinance[[#This Row],[Tipo]]="SELL",IF(ISNUMBER(FIND(MID(BH$1,10,5),TbTradesBinance[[#This Row],[Par]])),IF(FIND(MID(BH$1,10,5),TbTradesBinance[[#This Row],[Par]])=1, -(BG229-BG230)/BG229*BH229,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Row],[Par]])),(-(BG229-BG230)/BG229*BH229)+IF(TbTradesBinance[[#This Row],[Resultado]]&gt;0,0,TbTradesBinance[[#This Row],[Taxa]]),0),0))</f>
        <v>0</v>
      </c>
      <c r="BI230" s="145">
        <f>IF(BG230=0,0,BH230/BG230)</f>
        <v>0</v>
      </c>
      <c r="BJ230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Row],[Tipo]]="DROP"),BJ229+TbTradesBinance[[#This Row],[Qtt]],BJ229-TbTradesBinance[[#This Row],[Qtt]]),IF(TbTradesBinance[[#This Row],[Tipo]]="BUY",BJ229-TbTradesBinance[[#This Row],[Qtt]]*TbTradesBinance[[#This Row],[Preço]],BJ229+TbTradesBinance[[#This Row],[Qtt]]*TbTradesBinance[[#This Row],[Preço]])),BJ229)-IF(TbTradesBinance[[#This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Row],[Tipo]]="DROP"),BJ229+TbTradesBinance[[#This Row],[Qtt]],BJ229-TbTradesBinance[[#This Row],[Qtt]]),IF(TbTradesBinance[[#This Row],[Tipo]]="BUY",BJ229-TbTradesBinance[[#This Row],[Qtt]]*TbTradesBinance[[#This Row],[Preço]],BJ229+TbTradesBinance[[#This Row],[Qtt]]*TbTradesBinance[[#This Row],[Preço]])),BJ229)-IF(TbTradesBinance[[#This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Row],[Tipo]]="DROP"),BJ229+TbTradesBinance[[#This Row],[Qtt]],BJ229-TbTradesBinance[[#This Row],[Qtt]]),IF(TbTradesBinance[[#This Row],[Tipo]]="BUY",BJ229-TbTradesBinance[[#This Row],[Qtt]]*TbTradesBinance[[#This Row],[Preço]],BJ229+TbTradesBinance[[#This Row],[Qtt]]*TbTradesBinance[[#This Row],[Preço]])),BJ229)-IF(TbTradesBinance[[#This Row],[Moeda da Taxa]]=MID(BJ$1,9,5),TbTradesBinance[[#This Row],[Taxa]],0),8)))</f>
        <v>0</v>
      </c>
      <c r="BK230" s="145" cm="1">
        <f t="array" ref="BK230">IF(TbTradesBinance[[#This Row],[Tipo]]="EMPTY",0,BK229+IF(TbTradesBinance[[#This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Row],[Par]]))),$1:$1,0)),-(BJ229-BJ230)/BJ229*BK229),0),0)+IF(TbTradesBinance[[#This Row],[Tipo]]="SELL",IF(ISNUMBER(FIND(MID(BK$1,10,5),TbTradesBinance[[#This Row],[Par]])),IF(FIND(MID(BK$1,10,5),TbTradesBinance[[#This Row],[Par]])=1, -(BJ229-BJ230)/BJ229*BK229,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Row],[Par]])),(-(BJ229-BJ230)/BJ229*BK229)+IF(TbTradesBinance[[#This Row],[Resultado]]&gt;0,0,TbTradesBinance[[#This Row],[Taxa]]),0),0))</f>
        <v>0</v>
      </c>
      <c r="BL230" s="145">
        <f>IF(BJ230=0,0,BK230/BJ230)</f>
        <v>0</v>
      </c>
      <c r="BM230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Row],[Tipo]]="DROP"),BM229+TbTradesBinance[[#This Row],[Qtt]],BM229-TbTradesBinance[[#This Row],[Qtt]]),IF(TbTradesBinance[[#This Row],[Tipo]]="BUY",BM229-TbTradesBinance[[#This Row],[Qtt]]*TbTradesBinance[[#This Row],[Preço]],BM229+TbTradesBinance[[#This Row],[Qtt]]*TbTradesBinance[[#This Row],[Preço]])),BM229)-IF(TbTradesBinance[[#This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Row],[Tipo]]="DROP"),BM229+TbTradesBinance[[#This Row],[Qtt]],BM229-TbTradesBinance[[#This Row],[Qtt]]),IF(TbTradesBinance[[#This Row],[Tipo]]="BUY",BM229-TbTradesBinance[[#This Row],[Qtt]]*TbTradesBinance[[#This Row],[Preço]],BM229+TbTradesBinance[[#This Row],[Qtt]]*TbTradesBinance[[#This Row],[Preço]])),BM229)-IF(TbTradesBinance[[#This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Row],[Tipo]]="DROP"),BM229+TbTradesBinance[[#This Row],[Qtt]],BM229-TbTradesBinance[[#This Row],[Qtt]]),IF(TbTradesBinance[[#This Row],[Tipo]]="BUY",BM229-TbTradesBinance[[#This Row],[Qtt]]*TbTradesBinance[[#This Row],[Preço]],BM229+TbTradesBinance[[#This Row],[Qtt]]*TbTradesBinance[[#This Row],[Preço]])),BM229)-IF(TbTradesBinance[[#This Row],[Moeda da Taxa]]=MID(BM$1,9,5),TbTradesBinance[[#This Row],[Taxa]],0),8)))</f>
        <v>0</v>
      </c>
      <c r="BN230" s="145" cm="1">
        <f t="array" ref="BN230">IF(TbTradesBinance[[#This Row],[Tipo]]="EMPTY",0,BN229+IF(TbTradesBinance[[#This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Row],[Par]]))),$1:$1,0)),-(BM229-BM230)/BM229*BN229),0),0)+IF(TbTradesBinance[[#This Row],[Tipo]]="SELL",IF(ISNUMBER(FIND(MID(BN$1,10,5),TbTradesBinance[[#This Row],[Par]])),IF(FIND(MID(BN$1,10,5),TbTradesBinance[[#This Row],[Par]])=1, -(BM229-BM230)/BM229*BN229,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Row],[Par]])),(-(BM229-BM230)/BM229*BN229)+IF(TbTradesBinance[[#This Row],[Resultado]]&gt;0,0,TbTradesBinance[[#This Row],[Taxa]]),0),0))</f>
        <v>0</v>
      </c>
      <c r="BO230" s="145">
        <f>IF(BM230=0,0,BN230/BM230)</f>
        <v>0</v>
      </c>
    </row>
    <row r="231" spans="2:67" x14ac:dyDescent="0.3">
      <c r="B231" s="51"/>
      <c r="C231" s="40">
        <f>TRUNC(IF(AND(TbTradesBinance[[#This Row],[Tipo]]="SEND",TbTradesBinance[[#This Row],[Par]]="BRL"),TbTradesBinance[[#This Row],[Qtt]]*(1-P229)-IF(TbTradesBinance[[#This Row],[Moeda da Taxa]]="BRL",TbTradesBinance[[#This Row],[Taxa]],0),0)+IF(AND(TbTradesBinance[[#This Row],[Tipo]]="BURN",TbTradesBinance[[#This Row],[Par]]="BRL"),-TbTradesBinance[[#This Row],[Qtt]]*P229,0),2)</f>
        <v>0</v>
      </c>
      <c r="D231" s="53">
        <v>44442.07130787037</v>
      </c>
      <c r="E231" s="37" t="s">
        <v>249</v>
      </c>
      <c r="F231" s="47" t="s">
        <v>139</v>
      </c>
      <c r="G231" s="38">
        <v>48700</v>
      </c>
      <c r="H231" s="38">
        <v>2.0600000000000002E-3</v>
      </c>
      <c r="I231" s="38">
        <v>1.5839000000000001E-4</v>
      </c>
      <c r="J231" s="37" t="s">
        <v>45</v>
      </c>
      <c r="K231" s="52">
        <v>5.24</v>
      </c>
      <c r="L231" s="40">
        <f>TRUNC(K231*G231,2)</f>
        <v>255188</v>
      </c>
      <c r="M231" s="40">
        <f>IF(OR(TbTradesBinance[[#This Row],[Tipo]]="BUY",TbTradesBinance[[#This Row],[Tipo]]="RECEIVE",TbTradesBinance[[#This Row],[Tipo]]="DROP"),L231*H231,-L231*H231)</f>
        <v>525.6872800000001</v>
      </c>
      <c r="N231" s="145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Row],[Tipo]]="DROP"),N230+TbTradesBinance[[#This Row],[Qtt]],N230-TbTradesBinance[[#This Row],[Qtt]]),IF(TbTradesBinance[[#This Row],[Tipo]]="BUY",N230-TbTradesBinance[[#This Row],[Qtt]]*TbTradesBinance[[#This Row],[Preço]],N230+TbTradesBinance[[#This Row],[Qtt]]*TbTradesBinance[[#This Row],[Preço]])),N230)-IF(TbTradesBinance[[#This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Row],[Tipo]]="DROP"),N230+TbTradesBinance[[#This Row],[Qtt]],N230-TbTradesBinance[[#This Row],[Qtt]]),IF(TbTradesBinance[[#This Row],[Tipo]]="BUY",N230-TbTradesBinance[[#This Row],[Qtt]]*TbTradesBinance[[#This Row],[Preço]],N230+TbTradesBinance[[#This Row],[Qtt]]*TbTradesBinance[[#This Row],[Preço]])),N230)-IF(TbTradesBinance[[#This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Row],[Tipo]]="DROP"),N230+TbTradesBinance[[#This Row],[Qtt]],N230-TbTradesBinance[[#This Row],[Qtt]]),IF(TbTradesBinance[[#This Row],[Tipo]]="BUY",N230-TbTradesBinance[[#This Row],[Qtt]]*TbTradesBinance[[#This Row],[Preço]],N230+TbTradesBinance[[#This Row],[Qtt]]*TbTradesBinance[[#This Row],[Preço]])),N230)-IF(TbTradesBinance[[#This Row],[Moeda da Taxa]]=MID(N$1,9,5),TbTradesBinance[[#This Row],[Taxa]],0),8)))</f>
        <v>119747.60595781</v>
      </c>
      <c r="O231" s="145" cm="1">
        <f t="array" ref="O231">IF(TbTradesBinance[[#This Row],[Tipo]]="EMPTY",0,O230+IF(TbTradesBinance[[#This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Row],[Par]]))),$1:$1,0)),-(N230-N231)/N230*O230),0),0)+IF(TbTradesBinance[[#This Row],[Tipo]]="SELL",IF(ISNUMBER(FIND(MID(O$1,10,5),TbTradesBinance[[#This Row],[Par]])),IF(FIND(MID(O$1,10,5),TbTradesBinance[[#This Row],[Par]])=1, -(N230-N231)/N230*O230,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Row],[Par]])),(-(N230-N231)/N230*O230)+IF(TbTradesBinance[[#This Row],[Resultado]]&gt;0,0,TbTradesBinance[[#This Row],[Taxa]]),0),0))</f>
        <v>120459.8330017094</v>
      </c>
      <c r="P231" s="145">
        <f>IF(N231=0,0,O231/N231)</f>
        <v>1.0059477351401107</v>
      </c>
      <c r="Q231" s="146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Row],[Tipo]]="DROP"),Q230+TbTradesBinance[[#This Row],[Qtt]],Q230-TbTradesBinance[[#This Row],[Qtt]]),IF(TbTradesBinance[[#This Row],[Tipo]]="BUY",Q230-TbTradesBinance[[#This Row],[Qtt]]*TbTradesBinance[[#This Row],[Preço]],Q230+TbTradesBinance[[#This Row],[Qtt]]*TbTradesBinance[[#This Row],[Preço]])),Q230)-IF(TbTradesBinance[[#This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Row],[Tipo]]="DROP"),Q230+TbTradesBinance[[#This Row],[Qtt]],Q230-TbTradesBinance[[#This Row],[Qtt]]),IF(TbTradesBinance[[#This Row],[Tipo]]="BUY",Q230-TbTradesBinance[[#This Row],[Qtt]]*TbTradesBinance[[#This Row],[Preço]],Q230+TbTradesBinance[[#This Row],[Qtt]]*TbTradesBinance[[#This Row],[Preço]])),Q230)-IF(TbTradesBinance[[#This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Row],[Tipo]]="DROP"),Q230+TbTradesBinance[[#This Row],[Qtt]],Q230-TbTradesBinance[[#This Row],[Qtt]]),IF(TbTradesBinance[[#This Row],[Tipo]]="BUY",Q230-TbTradesBinance[[#This Row],[Qtt]]*TbTradesBinance[[#This Row],[Preço]],Q230+TbTradesBinance[[#This Row],[Qtt]]*TbTradesBinance[[#This Row],[Preço]])),Q230)-IF(TbTradesBinance[[#This Row],[Moeda da Taxa]]=MID(Q$1,9,5),TbTradesBinance[[#This Row],[Taxa]],0),8)))</f>
        <v>62.412566339999998</v>
      </c>
      <c r="R231" s="145" cm="1">
        <f t="array" ref="R231">IF(TbTradesBinance[[#This Row],[Tipo]]="EMPTY",0,R230+IF(TbTradesBinance[[#This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Row],[Par]]))),$1:$1,0)),-(Q230-Q231)/Q230*R230),0),0)+IF(TbTradesBinance[[#This Row],[Tipo]]="SELL",IF(ISNUMBER(FIND(MID(R$1,10,5),TbTradesBinance[[#This Row],[Par]])),IF(FIND(MID(R$1,10,5),TbTradesBinance[[#This Row],[Par]])=1, -(Q230-Q231)/Q230*R230,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Row],[Par]])),(-(Q230-Q231)/Q230*R230)+IF(TbTradesBinance[[#This Row],[Resultado]]&gt;0,0,TbTradesBinance[[#This Row],[Taxa]]),0),0))</f>
        <v>333.29914972212475</v>
      </c>
      <c r="S231" s="145">
        <f>IF(Q231=0,0,R231/Q231)</f>
        <v>5.3402570871134722</v>
      </c>
      <c r="T231" s="147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Row],[Tipo]]="DROP"),T230+TbTradesBinance[[#This Row],[Qtt]],T230-TbTradesBinance[[#This Row],[Qtt]]),IF(TbTradesBinance[[#This Row],[Tipo]]="BUY",T230-TbTradesBinance[[#This Row],[Qtt]]*TbTradesBinance[[#This Row],[Preço]],T230+TbTradesBinance[[#This Row],[Qtt]]*TbTradesBinance[[#This Row],[Preço]])),T230)-IF(TbTradesBinance[[#This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Row],[Tipo]]="DROP"),T230+TbTradesBinance[[#This Row],[Qtt]],T230-TbTradesBinance[[#This Row],[Qtt]]),IF(TbTradesBinance[[#This Row],[Tipo]]="BUY",T230-TbTradesBinance[[#This Row],[Qtt]]*TbTradesBinance[[#This Row],[Preço]],T230+TbTradesBinance[[#This Row],[Qtt]]*TbTradesBinance[[#This Row],[Preço]])),T230)-IF(TbTradesBinance[[#This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Row],[Tipo]]="DROP"),T230+TbTradesBinance[[#This Row],[Qtt]],T230-TbTradesBinance[[#This Row],[Qtt]]),IF(TbTradesBinance[[#This Row],[Tipo]]="BUY",T230-TbTradesBinance[[#This Row],[Qtt]]*TbTradesBinance[[#This Row],[Preço]],T230+TbTradesBinance[[#This Row],[Qtt]]*TbTradesBinance[[#This Row],[Preço]])),T230)-IF(TbTradesBinance[[#This Row],[Moeda da Taxa]]=MID(T$1,9,5),TbTradesBinance[[#This Row],[Taxa]],0),8)))</f>
        <v>101223913.720009</v>
      </c>
      <c r="U231" s="145" cm="1">
        <f t="array" ref="U231">IF(TbTradesBinance[[#This Row],[Tipo]]="EMPTY",0,U230+IF(TbTradesBinance[[#This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Row],[Par]]))),$1:$1,0)),-(T230-T231)/T230*U230),0),0)+IF(TbTradesBinance[[#This Row],[Tipo]]="SELL",IF(ISNUMBER(FIND(MID(U$1,10,5),TbTradesBinance[[#This Row],[Par]])),IF(FIND(MID(U$1,10,5),TbTradesBinance[[#This Row],[Par]])=1, -(T230-T231)/T230*U230,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Row],[Par]])),(-(T230-T231)/T230*U230)+IF(TbTradesBinance[[#This Row],[Resultado]]&gt;0,0,TbTradesBinance[[#This Row],[Taxa]]),0),0))</f>
        <v>617586601.27364206</v>
      </c>
      <c r="V231" s="145">
        <f>IF(T231=0,0,U231/T231)</f>
        <v>6.1011926784605572</v>
      </c>
      <c r="W231" s="148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Row],[Tipo]]="DROP"),W230+TbTradesBinance[[#This Row],[Qtt]],W230-TbTradesBinance[[#This Row],[Qtt]]),IF(TbTradesBinance[[#This Row],[Tipo]]="BUY",W230-TbTradesBinance[[#This Row],[Qtt]]*TbTradesBinance[[#This Row],[Preço]],W230+TbTradesBinance[[#This Row],[Qtt]]*TbTradesBinance[[#This Row],[Preço]])),W230)-IF(TbTradesBinance[[#This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Row],[Tipo]]="DROP"),W230+TbTradesBinance[[#This Row],[Qtt]],W230-TbTradesBinance[[#This Row],[Qtt]]),IF(TbTradesBinance[[#This Row],[Tipo]]="BUY",W230-TbTradesBinance[[#This Row],[Qtt]]*TbTradesBinance[[#This Row],[Preço]],W230+TbTradesBinance[[#This Row],[Qtt]]*TbTradesBinance[[#This Row],[Preço]])),W230)-IF(TbTradesBinance[[#This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Row],[Tipo]]="DROP"),W230+TbTradesBinance[[#This Row],[Qtt]],W230-TbTradesBinance[[#This Row],[Qtt]]),IF(TbTradesBinance[[#This Row],[Tipo]]="BUY",W230-TbTradesBinance[[#This Row],[Qtt]]*TbTradesBinance[[#This Row],[Preço]],W230+TbTradesBinance[[#This Row],[Qtt]]*TbTradesBinance[[#This Row],[Preço]])),W230)-IF(TbTradesBinance[[#This Row],[Moeda da Taxa]]=MID(W$1,9,5),TbTradesBinance[[#This Row],[Taxa]],0),8)))</f>
        <v>4.3039899999999997E-3</v>
      </c>
      <c r="X231" s="145" cm="1">
        <f t="array" ref="X231">IF(TbTradesBinance[[#This Row],[Tipo]]="EMPTY",0,X230+IF(TbTradesBinance[[#This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Row],[Par]]))),$1:$1,0)),-(W230-W231)/W230*X230),0),0)+IF(TbTradesBinance[[#This Row],[Tipo]]="SELL",IF(ISNUMBER(FIND(MID(X$1,10,5),TbTradesBinance[[#This Row],[Par]])),IF(FIND(MID(X$1,10,5),TbTradesBinance[[#This Row],[Par]])=1, -(W230-W231)/W230*X230,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Row],[Par]])),(-(W230-W231)/W230*X230)+IF(TbTradesBinance[[#This Row],[Resultado]]&gt;0,0,TbTradesBinance[[#This Row],[Taxa]]),0),0))</f>
        <v>1124.6668603290736</v>
      </c>
      <c r="Y231" s="145">
        <f>IF(W231=0,0,X231/W231)</f>
        <v>261307.96315258023</v>
      </c>
      <c r="Z231" s="148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Row],[Tipo]]="DROP"),Z230+TbTradesBinance[[#This Row],[Qtt]],Z230-TbTradesBinance[[#This Row],[Qtt]]),IF(TbTradesBinance[[#This Row],[Tipo]]="BUY",Z230-TbTradesBinance[[#This Row],[Qtt]]*TbTradesBinance[[#This Row],[Preço]],Z230+TbTradesBinance[[#This Row],[Qtt]]*TbTradesBinance[[#This Row],[Preço]])),Z230)-IF(TbTradesBinance[[#This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Row],[Tipo]]="DROP"),Z230+TbTradesBinance[[#This Row],[Qtt]],Z230-TbTradesBinance[[#This Row],[Qtt]]),IF(TbTradesBinance[[#This Row],[Tipo]]="BUY",Z230-TbTradesBinance[[#This Row],[Qtt]]*TbTradesBinance[[#This Row],[Preço]],Z230+TbTradesBinance[[#This Row],[Qtt]]*TbTradesBinance[[#This Row],[Preço]])),Z230)-IF(TbTradesBinance[[#This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Row],[Tipo]]="DROP"),Z230+TbTradesBinance[[#This Row],[Qtt]],Z230-TbTradesBinance[[#This Row],[Qtt]]),IF(TbTradesBinance[[#This Row],[Tipo]]="BUY",Z230-TbTradesBinance[[#This Row],[Qtt]]*TbTradesBinance[[#This Row],[Preço]],Z230+TbTradesBinance[[#This Row],[Qtt]]*TbTradesBinance[[#This Row],[Preço]])),Z230)-IF(TbTradesBinance[[#This Row],[Moeda da Taxa]]=MID(Z$1,9,5),TbTradesBinance[[#This Row],[Taxa]],0),8)))</f>
        <v>0</v>
      </c>
      <c r="AA231" s="145" cm="1">
        <f t="array" ref="AA231">IF(TbTradesBinance[[#This Row],[Tipo]]="EMPTY",0,AA230+IF(TbTradesBinance[[#This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Row],[Par]]))),$1:$1,0)),-(Z230-Z231)/Z230*AA230),0),0)+IF(TbTradesBinance[[#This Row],[Tipo]]="SELL",IF(ISNUMBER(FIND(MID(AA$1,10,5),TbTradesBinance[[#This Row],[Par]])),IF(FIND(MID(AA$1,10,5),TbTradesBinance[[#This Row],[Par]])=1, -(Z230-Z231)/Z230*AA230,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Row],[Par]])),(-(Z230-Z231)/Z230*AA230)+IF(TbTradesBinance[[#This Row],[Resultado]]&gt;0,0,TbTradesBinance[[#This Row],[Taxa]]),0),0))</f>
        <v>0</v>
      </c>
      <c r="AB231" s="145">
        <f>IF(Z231=0,0,AA231/Z231)</f>
        <v>0</v>
      </c>
      <c r="AC231" s="148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Row],[Tipo]]="DROP"),AC230+TbTradesBinance[[#This Row],[Qtt]],AC230-TbTradesBinance[[#This Row],[Qtt]]),IF(TbTradesBinance[[#This Row],[Tipo]]="BUY",AC230-TbTradesBinance[[#This Row],[Qtt]]*TbTradesBinance[[#This Row],[Preço]],AC230+TbTradesBinance[[#This Row],[Qtt]]*TbTradesBinance[[#This Row],[Preço]])),AC230)-IF(TbTradesBinance[[#This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Row],[Tipo]]="DROP"),AC230+TbTradesBinance[[#This Row],[Qtt]],AC230-TbTradesBinance[[#This Row],[Qtt]]),IF(TbTradesBinance[[#This Row],[Tipo]]="BUY",AC230-TbTradesBinance[[#This Row],[Qtt]]*TbTradesBinance[[#This Row],[Preço]],AC230+TbTradesBinance[[#This Row],[Qtt]]*TbTradesBinance[[#This Row],[Preço]])),AC230)-IF(TbTradesBinance[[#This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Row],[Tipo]]="DROP"),AC230+TbTradesBinance[[#This Row],[Qtt]],AC230-TbTradesBinance[[#This Row],[Qtt]]),IF(TbTradesBinance[[#This Row],[Tipo]]="BUY",AC230-TbTradesBinance[[#This Row],[Qtt]]*TbTradesBinance[[#This Row],[Preço]],AC230+TbTradesBinance[[#This Row],[Qtt]]*TbTradesBinance[[#This Row],[Preço]])),AC230)-IF(TbTradesBinance[[#This Row],[Moeda da Taxa]]=MID(AC$1,9,5),TbTradesBinance[[#This Row],[Taxa]],0),8)))</f>
        <v>0</v>
      </c>
      <c r="AD231" s="145" cm="1">
        <f t="array" ref="AD231">IF(TbTradesBinance[[#This Row],[Tipo]]="EMPTY",0,AD230+IF(TbTradesBinance[[#This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Row],[Par]]))),$1:$1,0)),-(AC230-AC231)/AC230*AD230),0),0)+IF(TbTradesBinance[[#This Row],[Tipo]]="SELL",IF(ISNUMBER(FIND(MID(AD$1,10,5),TbTradesBinance[[#This Row],[Par]])),IF(FIND(MID(AD$1,10,5),TbTradesBinance[[#This Row],[Par]])=1, -(AC230-AC231)/AC230*AD230,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Row],[Par]])),(-(AC230-AC231)/AC230*AD230)+IF(TbTradesBinance[[#This Row],[Resultado]]&gt;0,0,TbTradesBinance[[#This Row],[Taxa]]),0),0))</f>
        <v>0</v>
      </c>
      <c r="AE231" s="145">
        <f>IF(AC231=0,0,AD231/AC231)</f>
        <v>0</v>
      </c>
      <c r="AF231" s="148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Row],[Tipo]]="DROP"),AF230+TbTradesBinance[[#This Row],[Qtt]],AF230-TbTradesBinance[[#This Row],[Qtt]]),IF(TbTradesBinance[[#This Row],[Tipo]]="BUY",AF230-TbTradesBinance[[#This Row],[Qtt]]*TbTradesBinance[[#This Row],[Preço]],AF230+TbTradesBinance[[#This Row],[Qtt]]*TbTradesBinance[[#This Row],[Preço]])),AF230)-IF(TbTradesBinance[[#This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Row],[Tipo]]="DROP"),AF230+TbTradesBinance[[#This Row],[Qtt]],AF230-TbTradesBinance[[#This Row],[Qtt]]),IF(TbTradesBinance[[#This Row],[Tipo]]="BUY",AF230-TbTradesBinance[[#This Row],[Qtt]]*TbTradesBinance[[#This Row],[Preço]],AF230+TbTradesBinance[[#This Row],[Qtt]]*TbTradesBinance[[#This Row],[Preço]])),AF230)-IF(TbTradesBinance[[#This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Row],[Tipo]]="DROP"),AF230+TbTradesBinance[[#This Row],[Qtt]],AF230-TbTradesBinance[[#This Row],[Qtt]]),IF(TbTradesBinance[[#This Row],[Tipo]]="BUY",AF230-TbTradesBinance[[#This Row],[Qtt]]*TbTradesBinance[[#This Row],[Preço]],AF230+TbTradesBinance[[#This Row],[Qtt]]*TbTradesBinance[[#This Row],[Preço]])),AF230)-IF(TbTradesBinance[[#This Row],[Moeda da Taxa]]=MID(AF$1,9,5),TbTradesBinance[[#This Row],[Taxa]],0),8)))</f>
        <v>0</v>
      </c>
      <c r="AG231" s="145" cm="1">
        <f t="array" ref="AG231">IF(TbTradesBinance[[#This Row],[Tipo]]="EMPTY",0,AG230+IF(TbTradesBinance[[#This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Row],[Par]]))),$1:$1,0)),-(AF230-AF231)/AF230*AG230),0),0)+IF(TbTradesBinance[[#This Row],[Tipo]]="SELL",IF(ISNUMBER(FIND(MID(AG$1,10,5),TbTradesBinance[[#This Row],[Par]])),IF(FIND(MID(AG$1,10,5),TbTradesBinance[[#This Row],[Par]])=1, -(AF230-AF231)/AF230*AG230,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Row],[Par]])),(-(AF230-AF231)/AF230*AG230)+IF(TbTradesBinance[[#This Row],[Resultado]]&gt;0,0,TbTradesBinance[[#This Row],[Taxa]]),0),0))</f>
        <v>0</v>
      </c>
      <c r="AH231" s="145">
        <f>IF(AF231=0,0,AG231/AF231)</f>
        <v>0</v>
      </c>
      <c r="AI231" s="148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Row],[Tipo]]="DROP"),AI230+TbTradesBinance[[#This Row],[Qtt]],AI230-TbTradesBinance[[#This Row],[Qtt]]),IF(TbTradesBinance[[#This Row],[Tipo]]="BUY",AI230-TbTradesBinance[[#This Row],[Qtt]]*TbTradesBinance[[#This Row],[Preço]],AI230+TbTradesBinance[[#This Row],[Qtt]]*TbTradesBinance[[#This Row],[Preço]])),AI230)-IF(TbTradesBinance[[#This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Row],[Tipo]]="DROP"),AI230+TbTradesBinance[[#This Row],[Qtt]],AI230-TbTradesBinance[[#This Row],[Qtt]]),IF(TbTradesBinance[[#This Row],[Tipo]]="BUY",AI230-TbTradesBinance[[#This Row],[Qtt]]*TbTradesBinance[[#This Row],[Preço]],AI230+TbTradesBinance[[#This Row],[Qtt]]*TbTradesBinance[[#This Row],[Preço]])),AI230)-IF(TbTradesBinance[[#This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Row],[Tipo]]="DROP"),AI230+TbTradesBinance[[#This Row],[Qtt]],AI230-TbTradesBinance[[#This Row],[Qtt]]),IF(TbTradesBinance[[#This Row],[Tipo]]="BUY",AI230-TbTradesBinance[[#This Row],[Qtt]]*TbTradesBinance[[#This Row],[Preço]],AI230+TbTradesBinance[[#This Row],[Qtt]]*TbTradesBinance[[#This Row],[Preço]])),AI230)-IF(TbTradesBinance[[#This Row],[Moeda da Taxa]]=MID(AI$1,9,5),TbTradesBinance[[#This Row],[Taxa]],0),8)))</f>
        <v>0</v>
      </c>
      <c r="AJ231" s="145" cm="1">
        <f t="array" ref="AJ231">IF(TbTradesBinance[[#This Row],[Tipo]]="EMPTY",0,AJ230+IF(TbTradesBinance[[#This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Row],[Par]]))),$1:$1,0)),-(AI230-AI231)/AI230*AJ230),0),0)+IF(TbTradesBinance[[#This Row],[Tipo]]="SELL",IF(ISNUMBER(FIND(MID(AJ$1,10,5),TbTradesBinance[[#This Row],[Par]])),IF(FIND(MID(AJ$1,10,5),TbTradesBinance[[#This Row],[Par]])=1, -(AI230-AI231)/AI230*AJ230,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Row],[Par]])),(-(AI230-AI231)/AI230*AJ230)+IF(TbTradesBinance[[#This Row],[Resultado]]&gt;0,0,TbTradesBinance[[#This Row],[Taxa]]),0),0))</f>
        <v>0</v>
      </c>
      <c r="AK231" s="145">
        <f>IF(AI231=0,0,AJ231/AI231)</f>
        <v>0</v>
      </c>
      <c r="AL231" s="148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Row],[Tipo]]="DROP"),AL230+TbTradesBinance[[#This Row],[Qtt]],AL230-TbTradesBinance[[#This Row],[Qtt]]),IF(TbTradesBinance[[#This Row],[Tipo]]="BUY",AL230-TbTradesBinance[[#This Row],[Qtt]]*TbTradesBinance[[#This Row],[Preço]],AL230+TbTradesBinance[[#This Row],[Qtt]]*TbTradesBinance[[#This Row],[Preço]])),AL230)-IF(TbTradesBinance[[#This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Row],[Tipo]]="DROP"),AL230+TbTradesBinance[[#This Row],[Qtt]],AL230-TbTradesBinance[[#This Row],[Qtt]]),IF(TbTradesBinance[[#This Row],[Tipo]]="BUY",AL230-TbTradesBinance[[#This Row],[Qtt]]*TbTradesBinance[[#This Row],[Preço]],AL230+TbTradesBinance[[#This Row],[Qtt]]*TbTradesBinance[[#This Row],[Preço]])),AL230)-IF(TbTradesBinance[[#This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Row],[Tipo]]="DROP"),AL230+TbTradesBinance[[#This Row],[Qtt]],AL230-TbTradesBinance[[#This Row],[Qtt]]),IF(TbTradesBinance[[#This Row],[Tipo]]="BUY",AL230-TbTradesBinance[[#This Row],[Qtt]]*TbTradesBinance[[#This Row],[Preço]],AL230+TbTradesBinance[[#This Row],[Qtt]]*TbTradesBinance[[#This Row],[Preço]])),AL230)-IF(TbTradesBinance[[#This Row],[Moeda da Taxa]]=MID(AL$1,9,5),TbTradesBinance[[#This Row],[Taxa]],0),8)))</f>
        <v>0</v>
      </c>
      <c r="AM231" s="145" cm="1">
        <f t="array" ref="AM231">IF(TbTradesBinance[[#This Row],[Tipo]]="EMPTY",0,AM230+IF(TbTradesBinance[[#This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Row],[Par]]))),$1:$1,0)),-(AL230-AL231)/AL230*AM230),0),0)+IF(TbTradesBinance[[#This Row],[Tipo]]="SELL",IF(ISNUMBER(FIND(MID(AM$1,10,5),TbTradesBinance[[#This Row],[Par]])),IF(FIND(MID(AM$1,10,5),TbTradesBinance[[#This Row],[Par]])=1, -(AL230-AL231)/AL230*AM230,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Row],[Par]])),(-(AL230-AL231)/AL230*AM230)+IF(TbTradesBinance[[#This Row],[Resultado]]&gt;0,0,TbTradesBinance[[#This Row],[Taxa]]),0),0))</f>
        <v>0</v>
      </c>
      <c r="AN231" s="145">
        <f>IF(AL231=0,0,AM231/AL231)</f>
        <v>0</v>
      </c>
      <c r="AO231" s="148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Row],[Tipo]]="DROP"),AO230+TbTradesBinance[[#This Row],[Qtt]],AO230-TbTradesBinance[[#This Row],[Qtt]]),IF(TbTradesBinance[[#This Row],[Tipo]]="BUY",AO230-TbTradesBinance[[#This Row],[Qtt]]*TbTradesBinance[[#This Row],[Preço]],AO230+TbTradesBinance[[#This Row],[Qtt]]*TbTradesBinance[[#This Row],[Preço]])),AO230)-IF(TbTradesBinance[[#This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Row],[Tipo]]="DROP"),AO230+TbTradesBinance[[#This Row],[Qtt]],AO230-TbTradesBinance[[#This Row],[Qtt]]),IF(TbTradesBinance[[#This Row],[Tipo]]="BUY",AO230-TbTradesBinance[[#This Row],[Qtt]]*TbTradesBinance[[#This Row],[Preço]],AO230+TbTradesBinance[[#This Row],[Qtt]]*TbTradesBinance[[#This Row],[Preço]])),AO230)-IF(TbTradesBinance[[#This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Row],[Tipo]]="DROP"),AO230+TbTradesBinance[[#This Row],[Qtt]],AO230-TbTradesBinance[[#This Row],[Qtt]]),IF(TbTradesBinance[[#This Row],[Tipo]]="BUY",AO230-TbTradesBinance[[#This Row],[Qtt]]*TbTradesBinance[[#This Row],[Preço]],AO230+TbTradesBinance[[#This Row],[Qtt]]*TbTradesBinance[[#This Row],[Preço]])),AO230)-IF(TbTradesBinance[[#This Row],[Moeda da Taxa]]=MID(AO$1,9,5),TbTradesBinance[[#This Row],[Taxa]],0),8)))</f>
        <v>6.5981049999999999E-2</v>
      </c>
      <c r="AP231" s="145" cm="1">
        <f t="array" ref="AP231">IF(TbTradesBinance[[#This Row],[Tipo]]="EMPTY",0,AP230+IF(TbTradesBinance[[#This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Row],[Par]]))),$1:$1,0)),-(AO230-AO231)/AO230*AP230),0),0)+IF(TbTradesBinance[[#This Row],[Tipo]]="SELL",IF(ISNUMBER(FIND(MID(AP$1,10,5),TbTradesBinance[[#This Row],[Par]])),IF(FIND(MID(AP$1,10,5),TbTradesBinance[[#This Row],[Par]])=1, -(AO230-AO231)/AO230*AP230,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Row],[Par]])),(-(AO230-AO231)/AO230*AP230)+IF(TbTradesBinance[[#This Row],[Resultado]]&gt;0,0,TbTradesBinance[[#This Row],[Taxa]]),0),0))</f>
        <v>102.0944711963762</v>
      </c>
      <c r="AQ231" s="145">
        <f>IF(AO231=0,0,AP231/AO231)</f>
        <v>1547.3301985399778</v>
      </c>
      <c r="AR231" s="148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Row],[Tipo]]="DROP"),AR230+TbTradesBinance[[#This Row],[Qtt]],AR230-TbTradesBinance[[#This Row],[Qtt]]),IF(TbTradesBinance[[#This Row],[Tipo]]="BUY",AR230-TbTradesBinance[[#This Row],[Qtt]]*TbTradesBinance[[#This Row],[Preço]],AR230+TbTradesBinance[[#This Row],[Qtt]]*TbTradesBinance[[#This Row],[Preço]])),AR230)-IF(TbTradesBinance[[#This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Row],[Tipo]]="DROP"),AR230+TbTradesBinance[[#This Row],[Qtt]],AR230-TbTradesBinance[[#This Row],[Qtt]]),IF(TbTradesBinance[[#This Row],[Tipo]]="BUY",AR230-TbTradesBinance[[#This Row],[Qtt]]*TbTradesBinance[[#This Row],[Preço]],AR230+TbTradesBinance[[#This Row],[Qtt]]*TbTradesBinance[[#This Row],[Preço]])),AR230)-IF(TbTradesBinance[[#This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Row],[Tipo]]="DROP"),AR230+TbTradesBinance[[#This Row],[Qtt]],AR230-TbTradesBinance[[#This Row],[Qtt]]),IF(TbTradesBinance[[#This Row],[Tipo]]="BUY",AR230-TbTradesBinance[[#This Row],[Qtt]]*TbTradesBinance[[#This Row],[Preço]],AR230+TbTradesBinance[[#This Row],[Qtt]]*TbTradesBinance[[#This Row],[Preço]])),AR230)-IF(TbTradesBinance[[#This Row],[Moeda da Taxa]]=MID(AR$1,9,5),TbTradesBinance[[#This Row],[Taxa]],0),8)))</f>
        <v>0</v>
      </c>
      <c r="AS231" s="145" cm="1">
        <f t="array" ref="AS231">IF(TbTradesBinance[[#This Row],[Tipo]]="EMPTY",0,AS230+IF(TbTradesBinance[[#This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Row],[Par]]))),$1:$1,0)),-(AR230-AR231)/AR230*AS230),0),0)+IF(TbTradesBinance[[#This Row],[Tipo]]="SELL",IF(ISNUMBER(FIND(MID(AS$1,10,5),TbTradesBinance[[#This Row],[Par]])),IF(FIND(MID(AS$1,10,5),TbTradesBinance[[#This Row],[Par]])=1, -(AR230-AR231)/AR230*AS230,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Row],[Par]])),(-(AR230-AR231)/AR230*AS230)+IF(TbTradesBinance[[#This Row],[Resultado]]&gt;0,0,TbTradesBinance[[#This Row],[Taxa]]),0),0))</f>
        <v>0</v>
      </c>
      <c r="AT231" s="145">
        <f>IF(AR231=0,0,AS231/AR231)</f>
        <v>0</v>
      </c>
      <c r="AU231" s="148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Row],[Tipo]]="DROP"),AU230+TbTradesBinance[[#This Row],[Qtt]],AU230-TbTradesBinance[[#This Row],[Qtt]]),IF(TbTradesBinance[[#This Row],[Tipo]]="BUY",AU230-TbTradesBinance[[#This Row],[Qtt]]*TbTradesBinance[[#This Row],[Preço]],AU230+TbTradesBinance[[#This Row],[Qtt]]*TbTradesBinance[[#This Row],[Preço]])),AU230)-IF(TbTradesBinance[[#This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Row],[Tipo]]="DROP"),AU230+TbTradesBinance[[#This Row],[Qtt]],AU230-TbTradesBinance[[#This Row],[Qtt]]),IF(TbTradesBinance[[#This Row],[Tipo]]="BUY",AU230-TbTradesBinance[[#This Row],[Qtt]]*TbTradesBinance[[#This Row],[Preço]],AU230+TbTradesBinance[[#This Row],[Qtt]]*TbTradesBinance[[#This Row],[Preço]])),AU230)-IF(TbTradesBinance[[#This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Row],[Tipo]]="DROP"),AU230+TbTradesBinance[[#This Row],[Qtt]],AU230-TbTradesBinance[[#This Row],[Qtt]]),IF(TbTradesBinance[[#This Row],[Tipo]]="BUY",AU230-TbTradesBinance[[#This Row],[Qtt]]*TbTradesBinance[[#This Row],[Preço]],AU230+TbTradesBinance[[#This Row],[Qtt]]*TbTradesBinance[[#This Row],[Preço]])),AU230)-IF(TbTradesBinance[[#This Row],[Moeda da Taxa]]=MID(AU$1,9,5),TbTradesBinance[[#This Row],[Taxa]],0),8)))</f>
        <v>0.51</v>
      </c>
      <c r="AV231" s="145" cm="1">
        <f t="array" ref="AV231">IF(TbTradesBinance[[#This Row],[Tipo]]="EMPTY",0,AV230+IF(TbTradesBinance[[#This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Row],[Par]]))),$1:$1,0)),-(AU230-AU231)/AU230*AV230),0),0)+IF(TbTradesBinance[[#This Row],[Tipo]]="SELL",IF(ISNUMBER(FIND(MID(AV$1,10,5),TbTradesBinance[[#This Row],[Par]])),IF(FIND(MID(AV$1,10,5),TbTradesBinance[[#This Row],[Par]])=1, -(AU230-AU231)/AU230*AV230,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Row],[Par]])),(-(AU230-AU231)/AU230*AV230)+IF(TbTradesBinance[[#This Row],[Resultado]]&gt;0,0,TbTradesBinance[[#This Row],[Taxa]]),0),0))</f>
        <v>95.466693037374753</v>
      </c>
      <c r="AW231" s="145">
        <f>IF(AU231=0,0,AV231/AU231)</f>
        <v>187.18959419093088</v>
      </c>
      <c r="AX231" s="148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Row],[Tipo]]="DROP"),AX230+TbTradesBinance[[#This Row],[Qtt]],AX230-TbTradesBinance[[#This Row],[Qtt]]),IF(TbTradesBinance[[#This Row],[Tipo]]="BUY",AX230-TbTradesBinance[[#This Row],[Qtt]]*TbTradesBinance[[#This Row],[Preço]],AX230+TbTradesBinance[[#This Row],[Qtt]]*TbTradesBinance[[#This Row],[Preço]])),AX230)-IF(TbTradesBinance[[#This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Row],[Tipo]]="DROP"),AX230+TbTradesBinance[[#This Row],[Qtt]],AX230-TbTradesBinance[[#This Row],[Qtt]]),IF(TbTradesBinance[[#This Row],[Tipo]]="BUY",AX230-TbTradesBinance[[#This Row],[Qtt]]*TbTradesBinance[[#This Row],[Preço]],AX230+TbTradesBinance[[#This Row],[Qtt]]*TbTradesBinance[[#This Row],[Preço]])),AX230)-IF(TbTradesBinance[[#This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Row],[Tipo]]="DROP"),AX230+TbTradesBinance[[#This Row],[Qtt]],AX230-TbTradesBinance[[#This Row],[Qtt]]),IF(TbTradesBinance[[#This Row],[Tipo]]="BUY",AX230-TbTradesBinance[[#This Row],[Qtt]]*TbTradesBinance[[#This Row],[Preço]],AX230+TbTradesBinance[[#This Row],[Qtt]]*TbTradesBinance[[#This Row],[Preço]])),AX230)-IF(TbTradesBinance[[#This Row],[Moeda da Taxa]]=MID(AX$1,9,5),TbTradesBinance[[#This Row],[Taxa]],0),8)))</f>
        <v>0.32838000000000001</v>
      </c>
      <c r="AY231" s="145" cm="1">
        <f t="array" ref="AY231">IF(TbTradesBinance[[#This Row],[Tipo]]="EMPTY",0,AY230+IF(TbTradesBinance[[#This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Row],[Par]]))),$1:$1,0)),-(AX230-AX231)/AX230*AY230),0),0)+IF(TbTradesBinance[[#This Row],[Tipo]]="SELL",IF(ISNUMBER(FIND(MID(AY$1,10,5),TbTradesBinance[[#This Row],[Par]])),IF(FIND(MID(AY$1,10,5),TbTradesBinance[[#This Row],[Par]])=1, -(AX230-AX231)/AX230*AY230,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Row],[Par]])),(-(AX230-AX231)/AX230*AY230)+IF(TbTradesBinance[[#This Row],[Resultado]]&gt;0,0,TbTradesBinance[[#This Row],[Taxa]]),0),0))</f>
        <v>61.364116058805678</v>
      </c>
      <c r="AZ231" s="145">
        <f>IF(AX231=0,0,AY231/AX231)</f>
        <v>186.869224857804</v>
      </c>
      <c r="BA231" s="148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Row],[Tipo]]="DROP"),BA230+TbTradesBinance[[#This Row],[Qtt]],BA230-TbTradesBinance[[#This Row],[Qtt]]),IF(TbTradesBinance[[#This Row],[Tipo]]="BUY",BA230-TbTradesBinance[[#This Row],[Qtt]]*TbTradesBinance[[#This Row],[Preço]],BA230+TbTradesBinance[[#This Row],[Qtt]]*TbTradesBinance[[#This Row],[Preço]])),BA230)-IF(TbTradesBinance[[#This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Row],[Tipo]]="DROP"),BA230+TbTradesBinance[[#This Row],[Qtt]],BA230-TbTradesBinance[[#This Row],[Qtt]]),IF(TbTradesBinance[[#This Row],[Tipo]]="BUY",BA230-TbTradesBinance[[#This Row],[Qtt]]*TbTradesBinance[[#This Row],[Preço]],BA230+TbTradesBinance[[#This Row],[Qtt]]*TbTradesBinance[[#This Row],[Preço]])),BA230)-IF(TbTradesBinance[[#This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Row],[Tipo]]="DROP"),BA230+TbTradesBinance[[#This Row],[Qtt]],BA230-TbTradesBinance[[#This Row],[Qtt]]),IF(TbTradesBinance[[#This Row],[Tipo]]="BUY",BA230-TbTradesBinance[[#This Row],[Qtt]]*TbTradesBinance[[#This Row],[Preço]],BA230+TbTradesBinance[[#This Row],[Qtt]]*TbTradesBinance[[#This Row],[Preço]])),BA230)-IF(TbTradesBinance[[#This Row],[Moeda da Taxa]]=MID(BA$1,9,5),TbTradesBinance[[#This Row],[Taxa]],0),8)))</f>
        <v>0</v>
      </c>
      <c r="BB231" s="145" cm="1">
        <f t="array" ref="BB231">IF(TbTradesBinance[[#This Row],[Tipo]]="EMPTY",0,BB230+IF(TbTradesBinance[[#This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Row],[Par]]))),$1:$1,0)),-(BA230-BA231)/BA230*BB230),0),0)+IF(TbTradesBinance[[#This Row],[Tipo]]="SELL",IF(ISNUMBER(FIND(MID(BB$1,10,5),TbTradesBinance[[#This Row],[Par]])),IF(FIND(MID(BB$1,10,5),TbTradesBinance[[#This Row],[Par]])=1, -(BA230-BA231)/BA230*BB230,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Row],[Par]])),(-(BA230-BA231)/BA230*BB230)+IF(TbTradesBinance[[#This Row],[Resultado]]&gt;0,0,TbTradesBinance[[#This Row],[Taxa]]),0),0))</f>
        <v>0</v>
      </c>
      <c r="BC231" s="145">
        <f>IF(BA231=0,0,BB231/BA231)</f>
        <v>0</v>
      </c>
      <c r="BD231" s="148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Row],[Tipo]]="DROP"),BD230+TbTradesBinance[[#This Row],[Qtt]],BD230-TbTradesBinance[[#This Row],[Qtt]]),IF(TbTradesBinance[[#This Row],[Tipo]]="BUY",BD230-TbTradesBinance[[#This Row],[Qtt]]*TbTradesBinance[[#This Row],[Preço]],BD230+TbTradesBinance[[#This Row],[Qtt]]*TbTradesBinance[[#This Row],[Preço]])),BD230)-IF(TbTradesBinance[[#This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Row],[Tipo]]="DROP"),BD230+TbTradesBinance[[#This Row],[Qtt]],BD230-TbTradesBinance[[#This Row],[Qtt]]),IF(TbTradesBinance[[#This Row],[Tipo]]="BUY",BD230-TbTradesBinance[[#This Row],[Qtt]]*TbTradesBinance[[#This Row],[Preço]],BD230+TbTradesBinance[[#This Row],[Qtt]]*TbTradesBinance[[#This Row],[Preço]])),BD230)-IF(TbTradesBinance[[#This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Row],[Tipo]]="DROP"),BD230+TbTradesBinance[[#This Row],[Qtt]],BD230-TbTradesBinance[[#This Row],[Qtt]]),IF(TbTradesBinance[[#This Row],[Tipo]]="BUY",BD230-TbTradesBinance[[#This Row],[Qtt]]*TbTradesBinance[[#This Row],[Preço]],BD230+TbTradesBinance[[#This Row],[Qtt]]*TbTradesBinance[[#This Row],[Preço]])),BD230)-IF(TbTradesBinance[[#This Row],[Moeda da Taxa]]=MID(BD$1,9,5),TbTradesBinance[[#This Row],[Taxa]],0),8)))</f>
        <v>0</v>
      </c>
      <c r="BE231" s="145" cm="1">
        <f t="array" ref="BE231">IF(TbTradesBinance[[#This Row],[Tipo]]="EMPTY",0,BE230+IF(TbTradesBinance[[#This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Row],[Par]]))),$1:$1,0)),-(BD230-BD231)/BD230*BE230),0),0)+IF(TbTradesBinance[[#This Row],[Tipo]]="SELL",IF(ISNUMBER(FIND(MID(BE$1,10,5),TbTradesBinance[[#This Row],[Par]])),IF(FIND(MID(BE$1,10,5),TbTradesBinance[[#This Row],[Par]])=1, -(BD230-BD231)/BD230*BE230,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Row],[Par]])),(-(BD230-BD231)/BD230*BE230)+IF(TbTradesBinance[[#This Row],[Resultado]]&gt;0,0,TbTradesBinance[[#This Row],[Taxa]]),0),0))</f>
        <v>0</v>
      </c>
      <c r="BF231" s="145">
        <f>IF(BD231=0,0,BE231/BD231)</f>
        <v>0</v>
      </c>
      <c r="BG231" s="148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Row],[Tipo]]="DROP"),BG230+TbTradesBinance[[#This Row],[Qtt]],BG230-TbTradesBinance[[#This Row],[Qtt]]),IF(TbTradesBinance[[#This Row],[Tipo]]="BUY",BG230-TbTradesBinance[[#This Row],[Qtt]]*TbTradesBinance[[#This Row],[Preço]],BG230+TbTradesBinance[[#This Row],[Qtt]]*TbTradesBinance[[#This Row],[Preço]])),BG230)-IF(TbTradesBinance[[#This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Row],[Tipo]]="DROP"),BG230+TbTradesBinance[[#This Row],[Qtt]],BG230-TbTradesBinance[[#This Row],[Qtt]]),IF(TbTradesBinance[[#This Row],[Tipo]]="BUY",BG230-TbTradesBinance[[#This Row],[Qtt]]*TbTradesBinance[[#This Row],[Preço]],BG230+TbTradesBinance[[#This Row],[Qtt]]*TbTradesBinance[[#This Row],[Preço]])),BG230)-IF(TbTradesBinance[[#This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Row],[Tipo]]="DROP"),BG230+TbTradesBinance[[#This Row],[Qtt]],BG230-TbTradesBinance[[#This Row],[Qtt]]),IF(TbTradesBinance[[#This Row],[Tipo]]="BUY",BG230-TbTradesBinance[[#This Row],[Qtt]]*TbTradesBinance[[#This Row],[Preço]],BG230+TbTradesBinance[[#This Row],[Qtt]]*TbTradesBinance[[#This Row],[Preço]])),BG230)-IF(TbTradesBinance[[#This Row],[Moeda da Taxa]]=MID(BG$1,9,5),TbTradesBinance[[#This Row],[Taxa]],0),8)))</f>
        <v>0</v>
      </c>
      <c r="BH231" s="145" cm="1">
        <f t="array" ref="BH231">IF(TbTradesBinance[[#This Row],[Tipo]]="EMPTY",0,BH230+IF(TbTradesBinance[[#This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Row],[Par]]))),$1:$1,0)),-(BG230-BG231)/BG230*BH230),0),0)+IF(TbTradesBinance[[#This Row],[Tipo]]="SELL",IF(ISNUMBER(FIND(MID(BH$1,10,5),TbTradesBinance[[#This Row],[Par]])),IF(FIND(MID(BH$1,10,5),TbTradesBinance[[#This Row],[Par]])=1, -(BG230-BG231)/BG230*BH230,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Row],[Par]])),(-(BG230-BG231)/BG230*BH230)+IF(TbTradesBinance[[#This Row],[Resultado]]&gt;0,0,TbTradesBinance[[#This Row],[Taxa]]),0),0))</f>
        <v>0</v>
      </c>
      <c r="BI231" s="145">
        <f>IF(BG231=0,0,BH231/BG231)</f>
        <v>0</v>
      </c>
      <c r="BJ231" s="148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Row],[Tipo]]="DROP"),BJ230+TbTradesBinance[[#This Row],[Qtt]],BJ230-TbTradesBinance[[#This Row],[Qtt]]),IF(TbTradesBinance[[#This Row],[Tipo]]="BUY",BJ230-TbTradesBinance[[#This Row],[Qtt]]*TbTradesBinance[[#This Row],[Preço]],BJ230+TbTradesBinance[[#This Row],[Qtt]]*TbTradesBinance[[#This Row],[Preço]])),BJ230)-IF(TbTradesBinance[[#This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Row],[Tipo]]="DROP"),BJ230+TbTradesBinance[[#This Row],[Qtt]],BJ230-TbTradesBinance[[#This Row],[Qtt]]),IF(TbTradesBinance[[#This Row],[Tipo]]="BUY",BJ230-TbTradesBinance[[#This Row],[Qtt]]*TbTradesBinance[[#This Row],[Preço]],BJ230+TbTradesBinance[[#This Row],[Qtt]]*TbTradesBinance[[#This Row],[Preço]])),BJ230)-IF(TbTradesBinance[[#This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Row],[Tipo]]="DROP"),BJ230+TbTradesBinance[[#This Row],[Qtt]],BJ230-TbTradesBinance[[#This Row],[Qtt]]),IF(TbTradesBinance[[#This Row],[Tipo]]="BUY",BJ230-TbTradesBinance[[#This Row],[Qtt]]*TbTradesBinance[[#This Row],[Preço]],BJ230+TbTradesBinance[[#This Row],[Qtt]]*TbTradesBinance[[#This Row],[Preço]])),BJ230)-IF(TbTradesBinance[[#This Row],[Moeda da Taxa]]=MID(BJ$1,9,5),TbTradesBinance[[#This Row],[Taxa]],0),8)))</f>
        <v>0</v>
      </c>
      <c r="BK231" s="145" cm="1">
        <f t="array" ref="BK231">IF(TbTradesBinance[[#This Row],[Tipo]]="EMPTY",0,BK230+IF(TbTradesBinance[[#This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Row],[Par]]))),$1:$1,0)),-(BJ230-BJ231)/BJ230*BK230),0),0)+IF(TbTradesBinance[[#This Row],[Tipo]]="SELL",IF(ISNUMBER(FIND(MID(BK$1,10,5),TbTradesBinance[[#This Row],[Par]])),IF(FIND(MID(BK$1,10,5),TbTradesBinance[[#This Row],[Par]])=1, -(BJ230-BJ231)/BJ230*BK230,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Row],[Par]])),(-(BJ230-BJ231)/BJ230*BK230)+IF(TbTradesBinance[[#This Row],[Resultado]]&gt;0,0,TbTradesBinance[[#This Row],[Taxa]]),0),0))</f>
        <v>0</v>
      </c>
      <c r="BL231" s="145">
        <f>IF(BJ231=0,0,BK231/BJ231)</f>
        <v>0</v>
      </c>
      <c r="BM231" s="148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Row],[Tipo]]="DROP"),BM230+TbTradesBinance[[#This Row],[Qtt]],BM230-TbTradesBinance[[#This Row],[Qtt]]),IF(TbTradesBinance[[#This Row],[Tipo]]="BUY",BM230-TbTradesBinance[[#This Row],[Qtt]]*TbTradesBinance[[#This Row],[Preço]],BM230+TbTradesBinance[[#This Row],[Qtt]]*TbTradesBinance[[#This Row],[Preço]])),BM230)-IF(TbTradesBinance[[#This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Row],[Tipo]]="DROP"),BM230+TbTradesBinance[[#This Row],[Qtt]],BM230-TbTradesBinance[[#This Row],[Qtt]]),IF(TbTradesBinance[[#This Row],[Tipo]]="BUY",BM230-TbTradesBinance[[#This Row],[Qtt]]*TbTradesBinance[[#This Row],[Preço]],BM230+TbTradesBinance[[#This Row],[Qtt]]*TbTradesBinance[[#This Row],[Preço]])),BM230)-IF(TbTradesBinance[[#This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Row],[Tipo]]="DROP"),BM230+TbTradesBinance[[#This Row],[Qtt]],BM230-TbTradesBinance[[#This Row],[Qtt]]),IF(TbTradesBinance[[#This Row],[Tipo]]="BUY",BM230-TbTradesBinance[[#This Row],[Qtt]]*TbTradesBinance[[#This Row],[Preço]],BM230+TbTradesBinance[[#This Row],[Qtt]]*TbTradesBinance[[#This Row],[Preço]])),BM230)-IF(TbTradesBinance[[#This Row],[Moeda da Taxa]]=MID(BM$1,9,5),TbTradesBinance[[#This Row],[Taxa]],0),8)))</f>
        <v>0</v>
      </c>
      <c r="BN231" s="145" cm="1">
        <f t="array" ref="BN231">IF(TbTradesBinance[[#This Row],[Tipo]]="EMPTY",0,BN230+IF(TbTradesBinance[[#This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Row],[Par]]))),$1:$1,0)),-(BM230-BM231)/BM230*BN230),0),0)+IF(TbTradesBinance[[#This Row],[Tipo]]="SELL",IF(ISNUMBER(FIND(MID(BN$1,10,5),TbTradesBinance[[#This Row],[Par]])),IF(FIND(MID(BN$1,10,5),TbTradesBinance[[#This Row],[Par]])=1, -(BM230-BM231)/BM230*BN230,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Row],[Par]])),(-(BM230-BM231)/BM230*BN230)+IF(TbTradesBinance[[#This Row],[Resultado]]&gt;0,0,TbTradesBinance[[#This Row],[Taxa]]),0),0))</f>
        <v>0</v>
      </c>
      <c r="BO231" s="145">
        <f>IF(BM231=0,0,BN231/BM231)</f>
        <v>0</v>
      </c>
    </row>
    <row r="232" spans="2:67" x14ac:dyDescent="0.3">
      <c r="B232" s="143" t="s">
        <v>149</v>
      </c>
      <c r="C232" s="154">
        <f>SUBTOTAL(109,TbTradesBinance[Resultado])</f>
        <v>-16.739999999999998</v>
      </c>
      <c r="M232" s="154">
        <f>SUBTOTAL(107,TbTradesBinance[Volume])</f>
        <v>40221397.666358761</v>
      </c>
    </row>
    <row r="233" spans="2:67" x14ac:dyDescent="0.3">
      <c r="B233" s="140" t="s">
        <v>74</v>
      </c>
    </row>
    <row r="234" spans="2:67" x14ac:dyDescent="0.3">
      <c r="B234" s="142" t="s">
        <v>90</v>
      </c>
    </row>
  </sheetData>
  <conditionalFormatting sqref="C2:C231">
    <cfRule type="cellIs" dxfId="1831" priority="34" operator="greaterThan">
      <formula>0</formula>
    </cfRule>
    <cfRule type="cellIs" dxfId="1830" priority="35" operator="lessThan">
      <formula>0</formula>
    </cfRule>
  </conditionalFormatting>
  <conditionalFormatting sqref="F1:F231">
    <cfRule type="containsText" dxfId="1829" priority="1" operator="containsText" text="BURN">
      <formula>NOT(ISERROR(SEARCH("BURN",F1)))</formula>
    </cfRule>
    <cfRule type="containsText" dxfId="1828" priority="2" operator="containsText" text="DROP">
      <formula>NOT(ISERROR(SEARCH("DROP",F1)))</formula>
    </cfRule>
    <cfRule type="containsText" dxfId="1827" priority="5" operator="containsText" text="SELL">
      <formula>NOT(ISERROR(SEARCH("SELL",F1)))</formula>
    </cfRule>
    <cfRule type="containsText" dxfId="1826" priority="6" operator="containsText" text="BUY">
      <formula>NOT(ISERROR(SEARCH("BUY",F1)))</formula>
    </cfRule>
  </conditionalFormatting>
  <conditionalFormatting sqref="F2:F231">
    <cfRule type="containsText" dxfId="1825" priority="3" operator="containsText" text="RECEIVE">
      <formula>NOT(ISERROR(SEARCH("RECEIVE",F2)))</formula>
    </cfRule>
    <cfRule type="containsText" dxfId="1824" priority="4" operator="containsText" text="SEND">
      <formula>NOT(ISERROR(SEARCH("SEND",F2)))</formula>
    </cfRule>
  </conditionalFormatting>
  <conditionalFormatting sqref="I1:I211">
    <cfRule type="expression" dxfId="1823" priority="108">
      <formula>AND(F1="RECEIVE",I1&gt;0)</formula>
    </cfRule>
  </conditionalFormatting>
  <conditionalFormatting sqref="M2:M231">
    <cfRule type="cellIs" dxfId="1822" priority="12" operator="greaterThan">
      <formula>0</formula>
    </cfRule>
    <cfRule type="cellIs" dxfId="1821" priority="13" operator="lessThan">
      <formula>0</formula>
    </cfRule>
  </conditionalFormatting>
  <conditionalFormatting sqref="N2:N231 Q2:Q231 T2:T231 W2:W231 Z2:Z231 AC2:AC231 AF2:AF231 AI2:AI231 AL2:AL231 AO2:AO231 AR2:AR231 AU2:AU231 AX2:AX231 BA2:BA231 BD2:BD231 BG2:BG231 BJ2:BJ231 BM2:BM231">
    <cfRule type="cellIs" dxfId="1820" priority="7" operator="lessThan">
      <formula>0</formula>
    </cfRule>
  </conditionalFormatting>
  <conditionalFormatting sqref="P2:P231 S2:S231 V2:V231 Y2:Y231">
    <cfRule type="expression" dxfId="1819" priority="8">
      <formula>$P1&gt;$P2</formula>
    </cfRule>
    <cfRule type="expression" dxfId="1818" priority="9">
      <formula>$P1&lt;$P2</formula>
    </cfRule>
  </conditionalFormatting>
  <conditionalFormatting sqref="S223:S231 V223:V231 Y223:Y231 P226:P231">
    <cfRule type="expression" dxfId="1817" priority="10">
      <formula>$P221&gt;$P223</formula>
    </cfRule>
    <cfRule type="expression" dxfId="1816" priority="11">
      <formula>$P221&lt;$P223</formula>
    </cfRule>
  </conditionalFormatting>
  <hyperlinks>
    <hyperlink ref="A1" location="Sumário!A1" display="SUMÁRIO" xr:uid="{6E61CFD1-72F8-4F21-B1C9-1C03920163D2}"/>
    <hyperlink ref="A2" location="'ARCA Binance'!A1" display="ARCA" xr:uid="{E6DC24E6-8F1D-4EDC-9375-DB2C4389E9D0}"/>
    <hyperlink ref="B233" location="Sumário!A1" display="SUMÁRIO" xr:uid="{6D97DD30-1F88-422F-A982-8EFE58716BFB}"/>
    <hyperlink ref="B234" location="'ARCA Binance'!A1" display="ARCA" xr:uid="{A8096E6D-7B84-4332-B429-8FEB844CC765}"/>
    <hyperlink ref="B61" location="'Trades BSC'!D3" display="Transf pra BSC" xr:uid="{53B2F17E-209D-4AB3-B2D6-5F05D4BE307E}"/>
    <hyperlink ref="B50" location="'Trades Exodus'!D3" display="Transf pra Exodus" xr:uid="{F236ACD2-88BA-4D76-8EB0-B37C5E184E2C}"/>
    <hyperlink ref="B51" location="'Trades Exodus'!D4" display="Transf pra Exodus" xr:uid="{54EC3E1A-82A1-4119-A360-B1622CF56163}"/>
  </hyperlink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CC8C1-6948-4003-9E28-C1B872FD9784}">
  <dimension ref="A1:S1048563"/>
  <sheetViews>
    <sheetView zoomScale="115" zoomScaleNormal="115" workbookViewId="0">
      <selection activeCell="M2" sqref="M2"/>
    </sheetView>
  </sheetViews>
  <sheetFormatPr defaultColWidth="16.44140625" defaultRowHeight="15" x14ac:dyDescent="0.3"/>
  <cols>
    <col min="1" max="1" width="10.88671875" style="44" bestFit="1" customWidth="1"/>
    <col min="2" max="2" width="18.109375" style="46" bestFit="1" customWidth="1"/>
    <col min="3" max="3" width="14" style="40" bestFit="1" customWidth="1"/>
    <col min="4" max="4" width="15.44140625" style="53" bestFit="1" customWidth="1"/>
    <col min="5" max="5" width="8.109375" style="37" bestFit="1" customWidth="1"/>
    <col min="6" max="6" width="8.6640625" style="37" bestFit="1" customWidth="1"/>
    <col min="7" max="7" width="13.109375" style="38" bestFit="1" customWidth="1"/>
    <col min="8" max="8" width="8.33203125" style="38" bestFit="1" customWidth="1"/>
    <col min="9" max="9" width="9.33203125" style="38" bestFit="1" customWidth="1"/>
    <col min="10" max="10" width="16.44140625" style="37" bestFit="1" customWidth="1"/>
    <col min="11" max="11" width="15" style="52" bestFit="1" customWidth="1"/>
    <col min="12" max="12" width="16" style="40" bestFit="1" customWidth="1"/>
    <col min="13" max="13" width="12.44140625" style="40" bestFit="1" customWidth="1"/>
    <col min="14" max="14" width="15.5546875" style="41" bestFit="1" customWidth="1"/>
    <col min="15" max="15" width="16.44140625" style="41" bestFit="1" customWidth="1"/>
    <col min="16" max="16" width="19.33203125" style="41" bestFit="1" customWidth="1"/>
    <col min="17" max="17" width="16.88671875" style="43" bestFit="1" customWidth="1"/>
    <col min="18" max="18" width="17.88671875" style="41" bestFit="1" customWidth="1"/>
    <col min="19" max="19" width="20.5546875" style="41" bestFit="1" customWidth="1"/>
    <col min="20" max="16384" width="16.44140625" style="44"/>
  </cols>
  <sheetData>
    <row r="1" spans="1:19" x14ac:dyDescent="0.3">
      <c r="A1" s="61" t="s">
        <v>74</v>
      </c>
      <c r="B1" s="62" t="s">
        <v>98</v>
      </c>
      <c r="C1" s="149" t="s">
        <v>99</v>
      </c>
      <c r="D1" s="53" t="s">
        <v>100</v>
      </c>
      <c r="E1" s="37" t="s">
        <v>101</v>
      </c>
      <c r="F1" s="37" t="s">
        <v>102</v>
      </c>
      <c r="G1" s="37" t="s">
        <v>103</v>
      </c>
      <c r="H1" s="38" t="s">
        <v>104</v>
      </c>
      <c r="I1" s="38" t="s">
        <v>105</v>
      </c>
      <c r="J1" s="37" t="s">
        <v>106</v>
      </c>
      <c r="K1" s="39" t="s">
        <v>107</v>
      </c>
      <c r="L1" s="40" t="s">
        <v>108</v>
      </c>
      <c r="M1" s="40" t="s">
        <v>109</v>
      </c>
      <c r="N1" s="41" t="s">
        <v>110</v>
      </c>
      <c r="O1" s="40" t="s">
        <v>111</v>
      </c>
      <c r="P1" s="40" t="s">
        <v>112</v>
      </c>
      <c r="Q1" s="43" t="s">
        <v>116</v>
      </c>
      <c r="R1" s="40" t="s">
        <v>117</v>
      </c>
      <c r="S1" s="40" t="s">
        <v>118</v>
      </c>
    </row>
    <row r="2" spans="1:19" x14ac:dyDescent="0.3">
      <c r="A2" s="119" t="s">
        <v>90</v>
      </c>
      <c r="B2" s="45" t="s">
        <v>134</v>
      </c>
      <c r="C2" s="40">
        <f>TRUNC(IF(AND(TbTradesBSC[[#This Row],[Tipo]]="SEND",TbTradesBSC[[#This Row],[Par]]="BRL"),TbTradesBSC[[#This Row],[Qtt]]*(1-P1)-IF(TbTradesBSC[[#This Row],[Moeda da Taxa]]="BRL",TbTradesBSC[[#This Row],[Taxa]],0),0)+IF(AND(TbTradesBSC[[#This Row],[Tipo]]="BURN",TbTradesBSC[[#This Row],[Par]]="BRL"),-TbTradesBSC[[#This Row],[Qtt]]*P1,0),2)</f>
        <v>0</v>
      </c>
      <c r="E2" s="47"/>
      <c r="F2" s="47" t="s">
        <v>135</v>
      </c>
      <c r="G2" s="48"/>
      <c r="H2" s="48"/>
      <c r="I2" s="48"/>
      <c r="J2" s="47"/>
      <c r="K2" s="49">
        <v>0</v>
      </c>
      <c r="L2" s="40">
        <f>TRUNC(K2*G2,2)</f>
        <v>0</v>
      </c>
      <c r="M2" s="40">
        <f>IF(OR(TbTradesBSC[[#This Row],[Tipo]]="BUY",TbTradesBSC[[#This Row],[Tipo]]="RECEIVE",TbTradesBSC[[#This Row],[Tipo]]="DROP"),L2*H2,-L2*H2)</f>
        <v>0</v>
      </c>
      <c r="N2" s="41">
        <f>IF(AND(IF(TbTradesBSC[[#This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Row],[Tipo]]="DROP"),N1+TbTradesBSC[[#This Row],[Qtt]],N1-TbTradesBSC[[#This Row],[Qtt]]),IF(TbTradesBSC[[#This Row],[Tipo]]="BUY",N1-TbTradesBSC[[#This Row],[Qtt]]*TbTradesBSC[[#This Row],[Preço]],N1+TbTradesBSC[[#This Row],[Qtt]]*TbTradesBSC[[#This Row],[Preço]])),N1)-IF(TbTradesBSC[[#This Row],[Moeda da Taxa]]=MID(N$1,9,5),TbTradesBSC[[#This Row],[Taxa]],0),8))&lt;0.0000001,IF(TbTradesBSC[[#This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Row],[Tipo]]="DROP"),N1+TbTradesBSC[[#This Row],[Qtt]],N1-TbTradesBSC[[#This Row],[Qtt]]),IF(TbTradesBSC[[#This Row],[Tipo]]="BUY",N1-TbTradesBSC[[#This Row],[Qtt]]*TbTradesBSC[[#This Row],[Preço]],N1+TbTradesBSC[[#This Row],[Qtt]]*TbTradesBSC[[#This Row],[Preço]])),N1)-IF(TbTradesBSC[[#This Row],[Moeda da Taxa]]=MID(N$1,9,5),TbTradesBSC[[#This Row],[Taxa]],0),8))&gt;-0.0000001),0,IF(TbTradesBSC[[#This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Row],[Tipo]]="DROP"),N1+TbTradesBSC[[#This Row],[Qtt]],N1-TbTradesBSC[[#This Row],[Qtt]]),IF(TbTradesBSC[[#This Row],[Tipo]]="BUY",N1-TbTradesBSC[[#This Row],[Qtt]]*TbTradesBSC[[#This Row],[Preço]],N1+TbTradesBSC[[#This Row],[Qtt]]*TbTradesBSC[[#This Row],[Preço]])),N1)-IF(TbTradesBSC[[#This Row],[Moeda da Taxa]]=MID(N$1,9,5),TbTradesBSC[[#This Row],[Taxa]],0),8)))</f>
        <v>0</v>
      </c>
      <c r="O2" s="50" cm="1">
        <f t="array" ref="O2">IF(TbTradesBSC[[#This Row],[Tipo]]="EMPTY",0,O1+IF(TbTradesBSC[[#This Row],[Tipo]]="DROP",0,0)+IF(TbTradesBSC[[#This Row],[Tipo]]="BURN",0,0)+IF(TbTradesBSC[[#This Row],[Tipo]]="BUY",IF(ISNUMBER(FIND(MID(O$1,10,5),TbTradesBSC[[#This Row],[Par]])),IF(FIND(MID(O$1,10,5),TbTradesBSC[[#This Row],[Par]])=1, (INDEX($1:$1048576,ROW(TbTradesBSC[[#This Row],[Par]])-1,MATCH(CONCATENATE("Estoque ",MID(TbTradesBSC[[#This Row],[Par]],LEN(MID(N$1,9,5))+1,LEN(TbTradesBSC[[#This Row],[Par]]))),$1:$1,0))-INDEX($1:$1048576,ROW(TbTradesBSC[[#This Row],[Par]]),MATCH(CONCATENATE("Estoque ",MID(TbTradesBSC[[#This Row],[Par]],LEN(MID(N$1,9,5))+1,LEN(TbTradesBSC[[#This Row],[Par]]))),$1:$1,0)))/ INDEX($1:$1048576,ROW(TbTradesBSC[[#This Row],[Par]])-1,MATCH(CONCATENATE("Estoque ",MID(TbTradesBSC[[#This Row],[Par]],LEN(MID(N$1,9,5))+1,LEN(TbTradesBSC[[#This Row],[Par]]))),$1:$1,0))*INDEX($1:$1048576,ROW(TbTradesBSC[[#This Row],[Par]])-1,MATCH(CONCATENATE("Custo de ",MID(TbTradesBSC[[#This Row],[Par]],LEN(MID(N$1,9,5))+1,LEN(TbTradesBSC[[#This Row],[Par]]))),$1:$1,0)),-(N1-N2)/N1*O1),0),0)+IF(TbTradesBSC[[#This Row],[Tipo]]="SELL",IF(ISNUMBER(FIND(MID(O$1,10,5),TbTradesBSC[[#This Row],[Par]])),IF(FIND(MID(O$1,10,5),TbTradesBSC[[#This Row],[Par]])=1, -(N1-N2)/N1*O1, (INDEX($1:$1048576,ROW(TbTradesBSC[[#This Row],[Par]])-1,MATCH(CONCATENATE("Estoque ",MID(TbTradesBSC[[#This Row],[Par]],1,FIND(MID(N$1,9,5),TbTradesBSC[[#This Row],[Par]])-1)),$1:$1,0))-INDEX($1:$1048576,ROW(TbTradesBSC[[#This Row],[Par]]),MATCH(CONCATENATE("Estoque ",MID(TbTradesBSC[[#This Row],[Par]],1,FIND(MID(N$1,9,5),TbTradesBSC[[#This Row],[Par]])-1)),$1:$1,0)))/ INDEX($1:$1048576,ROW(TbTradesBSC[[#This Row],[Par]])-1,MATCH(CONCATENATE("Estoque ",MID(TbTradesBSC[[#This Row],[Par]],1,FIND(MID(N$1,9,5),TbTradesBSC[[#This Row],[Par]])-1)),$1:$1,0))*INDEX($1:$1048576,ROW(TbTradesBSC[[#This Row],[Par]])-1,MATCH(CONCATENATE("Custo de ",MID(TbTradesBSC[[#This Row],[Par]],1,FIND(MID(N$1,9,5),TbTradesBSC[[#This Row],[Par]])-1)),$1:$1,0))),0),0)+IF(TbTradesBSC[[#This Row],[Tipo]]="RECEIVE",IF(ISNUMBER(FIND(MID(O$1,10,5),TbTradesBSC[[#This Row],[Par]])), TbTradesBSC[[#This Row],[Qtt]]*TbTradesBSC[[#This Row],[Cotação BRL]],0),0)+IF(TbTradesBSC[[#This Row],[Tipo]]="SEND",IF(ISNUMBER(FIND(MID(O$1,10,5),TbTradesBSC[[#This Row],[Par]])),(-(N1-N2)/N1*O1)+IF(TbTradesBSC[[#This Row],[Resultado]]&gt;0,0,TbTradesBSC[[#This Row],[Taxa]]),0),0))</f>
        <v>0</v>
      </c>
      <c r="P2" s="41">
        <f t="shared" ref="P2:P3" si="0">IF(N2=0,0,O2/N2)</f>
        <v>0</v>
      </c>
      <c r="Q2" s="43">
        <f>IF(AND(IF(TbTradesBSC[[#This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Row],[Tipo]]="DROP"),Q1+TbTradesBSC[[#This Row],[Qtt]],Q1-TbTradesBSC[[#This Row],[Qtt]]),IF(TbTradesBSC[[#This Row],[Tipo]]="BUY",Q1-TbTradesBSC[[#This Row],[Qtt]]*TbTradesBSC[[#This Row],[Preço]],Q1+TbTradesBSC[[#This Row],[Qtt]]*TbTradesBSC[[#This Row],[Preço]])),Q1)-IF(TbTradesBSC[[#This Row],[Moeda da Taxa]]=MID(Q$1,9,5),TbTradesBSC[[#This Row],[Taxa]],0),8))&lt;0.0000001,IF(TbTradesBSC[[#This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Row],[Tipo]]="DROP"),Q1+TbTradesBSC[[#This Row],[Qtt]],Q1-TbTradesBSC[[#This Row],[Qtt]]),IF(TbTradesBSC[[#This Row],[Tipo]]="BUY",Q1-TbTradesBSC[[#This Row],[Qtt]]*TbTradesBSC[[#This Row],[Preço]],Q1+TbTradesBSC[[#This Row],[Qtt]]*TbTradesBSC[[#This Row],[Preço]])),Q1)-IF(TbTradesBSC[[#This Row],[Moeda da Taxa]]=MID(Q$1,9,5),TbTradesBSC[[#This Row],[Taxa]],0),8))&gt;-0.0000001),0,IF(TbTradesBSC[[#This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Row],[Tipo]]="DROP"),Q1+TbTradesBSC[[#This Row],[Qtt]],Q1-TbTradesBSC[[#This Row],[Qtt]]),IF(TbTradesBSC[[#This Row],[Tipo]]="BUY",Q1-TbTradesBSC[[#This Row],[Qtt]]*TbTradesBSC[[#This Row],[Preço]],Q1+TbTradesBSC[[#This Row],[Qtt]]*TbTradesBSC[[#This Row],[Preço]])),Q1)-IF(TbTradesBSC[[#This Row],[Moeda da Taxa]]=MID(Q$1,9,5),TbTradesBSC[[#This Row],[Taxa]],0),8)))</f>
        <v>0</v>
      </c>
      <c r="R2" s="50" cm="1">
        <f t="array" ref="R2">IF(TbTradesBSC[[#This Row],[Tipo]]="EMPTY",0,R1+IF(TbTradesBSC[[#This Row],[Tipo]]="DROP",0,0)+IF(TbTradesBSC[[#This Row],[Tipo]]="BURN",0,0)+IF(TbTradesBSC[[#This Row],[Tipo]]="BUY",IF(ISNUMBER(FIND(MID(R$1,10,5),TbTradesBSC[[#This Row],[Par]])),IF(FIND(MID(R$1,10,5),TbTradesBSC[[#This Row],[Par]])=1, (INDEX($1:$1048576,ROW(TbTradesBSC[[#This Row],[Par]])-1,MATCH(CONCATENATE("Estoque ",MID(TbTradesBSC[[#This Row],[Par]],LEN(MID(Q$1,9,5))+1,LEN(TbTradesBSC[[#This Row],[Par]]))),$1:$1,0))-INDEX($1:$1048576,ROW(TbTradesBSC[[#This Row],[Par]]),MATCH(CONCATENATE("Estoque ",MID(TbTradesBSC[[#This Row],[Par]],LEN(MID(Q$1,9,5))+1,LEN(TbTradesBSC[[#This Row],[Par]]))),$1:$1,0)))/ INDEX($1:$1048576,ROW(TbTradesBSC[[#This Row],[Par]])-1,MATCH(CONCATENATE("Estoque ",MID(TbTradesBSC[[#This Row],[Par]],LEN(MID(Q$1,9,5))+1,LEN(TbTradesBSC[[#This Row],[Par]]))),$1:$1,0))*INDEX($1:$1048576,ROW(TbTradesBSC[[#This Row],[Par]])-1,MATCH(CONCATENATE("Custo de ",MID(TbTradesBSC[[#This Row],[Par]],LEN(MID(Q$1,9,5))+1,LEN(TbTradesBSC[[#This Row],[Par]]))),$1:$1,0)),-(Q1-Q2)/Q1*R1),0),0)+IF(TbTradesBSC[[#This Row],[Tipo]]="SELL",IF(ISNUMBER(FIND(MID(R$1,10,5),TbTradesBSC[[#This Row],[Par]])),IF(FIND(MID(R$1,10,5),TbTradesBSC[[#This Row],[Par]])=1, -(Q1-Q2)/Q1*R1, (INDEX($1:$1048576,ROW(TbTradesBSC[[#This Row],[Par]])-1,MATCH(CONCATENATE("Estoque ",MID(TbTradesBSC[[#This Row],[Par]],1,FIND(MID(Q$1,9,5),TbTradesBSC[[#This Row],[Par]])-1)),$1:$1,0))-INDEX($1:$1048576,ROW(TbTradesBSC[[#This Row],[Par]]),MATCH(CONCATENATE("Estoque ",MID(TbTradesBSC[[#This Row],[Par]],1,FIND(MID(Q$1,9,5),TbTradesBSC[[#This Row],[Par]])-1)),$1:$1,0)))/ INDEX($1:$1048576,ROW(TbTradesBSC[[#This Row],[Par]])-1,MATCH(CONCATENATE("Estoque ",MID(TbTradesBSC[[#This Row],[Par]],1,FIND(MID(Q$1,9,5),TbTradesBSC[[#This Row],[Par]])-1)),$1:$1,0))*INDEX($1:$1048576,ROW(TbTradesBSC[[#This Row],[Par]])-1,MATCH(CONCATENATE("Custo de ",MID(TbTradesBSC[[#This Row],[Par]],1,FIND(MID(Q$1,9,5),TbTradesBSC[[#This Row],[Par]])-1)),$1:$1,0))),0),0)+IF(TbTradesBSC[[#This Row],[Tipo]]="RECEIVE",IF(ISNUMBER(FIND(MID(R$1,10,5),TbTradesBSC[[#This Row],[Par]])), TbTradesBSC[[#This Row],[Qtt]]*TbTradesBSC[[#This Row],[Cotação BRL]],0),0)+IF(TbTradesBSC[[#This Row],[Tipo]]="SEND",IF(ISNUMBER(FIND(MID(R$1,10,5),TbTradesBSC[[#This Row],[Par]])),(-(Q1-Q2)/Q1*R1)+IF(TbTradesBSC[[#This Row],[Resultado]]&gt;0,0,TbTradesBSC[[#This Row],[Taxa]]),0),0))</f>
        <v>0</v>
      </c>
      <c r="S2" s="41">
        <f t="shared" ref="S2:S3" si="1">IF(Q2=0,0,R2/Q2)</f>
        <v>0</v>
      </c>
    </row>
    <row r="3" spans="1:19" x14ac:dyDescent="0.3">
      <c r="B3" s="122" t="s">
        <v>162</v>
      </c>
      <c r="C3" s="40">
        <f>TRUNC(IF(AND(TbTradesBSC[[#This Row],[Tipo]]="SEND",TbTradesBSC[[#This Row],[Par]]="BRL"),TbTradesBSC[[#This Row],[Qtt]]*(1-P2)-IF(TbTradesBSC[[#This Row],[Moeda da Taxa]]="BRL",TbTradesBSC[[#This Row],[Taxa]],0),0)+IF(AND(TbTradesBSC[[#This Row],[Tipo]]="BURN",TbTradesBSC[[#This Row],[Par]]="BRL"),-TbTradesBSC[[#This Row],[Qtt]]*P2,0),2)</f>
        <v>0</v>
      </c>
      <c r="D3" s="53">
        <v>44264.633229166669</v>
      </c>
      <c r="E3" s="37" t="s">
        <v>6</v>
      </c>
      <c r="F3" s="37" t="s">
        <v>137</v>
      </c>
      <c r="G3" s="38">
        <v>279301.90327048959</v>
      </c>
      <c r="H3" s="38">
        <v>2.0191E-4</v>
      </c>
      <c r="I3" s="38">
        <v>0</v>
      </c>
      <c r="J3" s="37" t="s">
        <v>45</v>
      </c>
      <c r="K3" s="52">
        <v>1</v>
      </c>
      <c r="L3" s="40">
        <f t="shared" ref="L3" si="2">TRUNC(K3*G3,2)</f>
        <v>279301.90000000002</v>
      </c>
      <c r="M3" s="40">
        <f>IF(OR(TbTradesBSC[[#This Row],[Tipo]]="BUY",TbTradesBSC[[#This Row],[Tipo]]="RECEIVE",TbTradesBSC[[#This Row],[Tipo]]="DROP"),L3*H3,-L3*H3)</f>
        <v>56.393846629000002</v>
      </c>
      <c r="N3" s="41">
        <f>IF(AND(IF(TbTradesBSC[[#This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Row],[Tipo]]="DROP"),N2+TbTradesBSC[[#This Row],[Qtt]],N2-TbTradesBSC[[#This Row],[Qtt]]),IF(TbTradesBSC[[#This Row],[Tipo]]="BUY",N2-TbTradesBSC[[#This Row],[Qtt]]*TbTradesBSC[[#This Row],[Preço]],N2+TbTradesBSC[[#This Row],[Qtt]]*TbTradesBSC[[#This Row],[Preço]])),N2)-IF(TbTradesBSC[[#This Row],[Moeda da Taxa]]=MID(N$1,9,5),TbTradesBSC[[#This Row],[Taxa]],0),8))&lt;0.0000001,IF(TbTradesBSC[[#This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Row],[Tipo]]="DROP"),N2+TbTradesBSC[[#This Row],[Qtt]],N2-TbTradesBSC[[#This Row],[Qtt]]),IF(TbTradesBSC[[#This Row],[Tipo]]="BUY",N2-TbTradesBSC[[#This Row],[Qtt]]*TbTradesBSC[[#This Row],[Preço]],N2+TbTradesBSC[[#This Row],[Qtt]]*TbTradesBSC[[#This Row],[Preço]])),N2)-IF(TbTradesBSC[[#This Row],[Moeda da Taxa]]=MID(N$1,9,5),TbTradesBSC[[#This Row],[Taxa]],0),8))&gt;-0.0000001),0,IF(TbTradesBSC[[#This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Row],[Tipo]]="DROP"),N2+TbTradesBSC[[#This Row],[Qtt]],N2-TbTradesBSC[[#This Row],[Qtt]]),IF(TbTradesBSC[[#This Row],[Tipo]]="BUY",N2-TbTradesBSC[[#This Row],[Qtt]]*TbTradesBSC[[#This Row],[Preço]],N2+TbTradesBSC[[#This Row],[Qtt]]*TbTradesBSC[[#This Row],[Preço]])),N2)-IF(TbTradesBSC[[#This Row],[Moeda da Taxa]]=MID(N$1,9,5),TbTradesBSC[[#This Row],[Taxa]],0),8)))</f>
        <v>0</v>
      </c>
      <c r="O3" s="50" cm="1">
        <f t="array" ref="O3">IF(TbTradesBSC[[#This Row],[Tipo]]="EMPTY",0,O2+IF(TbTradesBSC[[#This Row],[Tipo]]="DROP",0,0)+IF(TbTradesBSC[[#This Row],[Tipo]]="BURN",0,0)+IF(TbTradesBSC[[#This Row],[Tipo]]="BUY",IF(ISNUMBER(FIND(MID(O$1,10,5),TbTradesBSC[[#This Row],[Par]])),IF(FIND(MID(O$1,10,5),TbTradesBSC[[#This Row],[Par]])=1, (INDEX($1:$1048576,ROW(TbTradesBSC[[#This Row],[Par]])-1,MATCH(CONCATENATE("Estoque ",MID(TbTradesBSC[[#This Row],[Par]],LEN(MID(N$1,9,5))+1,LEN(TbTradesBSC[[#This Row],[Par]]))),$1:$1,0))-INDEX($1:$1048576,ROW(TbTradesBSC[[#This Row],[Par]]),MATCH(CONCATENATE("Estoque ",MID(TbTradesBSC[[#This Row],[Par]],LEN(MID(N$1,9,5))+1,LEN(TbTradesBSC[[#This Row],[Par]]))),$1:$1,0)))/ INDEX($1:$1048576,ROW(TbTradesBSC[[#This Row],[Par]])-1,MATCH(CONCATENATE("Estoque ",MID(TbTradesBSC[[#This Row],[Par]],LEN(MID(N$1,9,5))+1,LEN(TbTradesBSC[[#This Row],[Par]]))),$1:$1,0))*INDEX($1:$1048576,ROW(TbTradesBSC[[#This Row],[Par]])-1,MATCH(CONCATENATE("Custo de ",MID(TbTradesBSC[[#This Row],[Par]],LEN(MID(N$1,9,5))+1,LEN(TbTradesBSC[[#This Row],[Par]]))),$1:$1,0)),-(N2-N3)/N2*O2),0),0)+IF(TbTradesBSC[[#This Row],[Tipo]]="SELL",IF(ISNUMBER(FIND(MID(O$1,10,5),TbTradesBSC[[#This Row],[Par]])),IF(FIND(MID(O$1,10,5),TbTradesBSC[[#This Row],[Par]])=1, -(N2-N3)/N2*O2, (INDEX($1:$1048576,ROW(TbTradesBSC[[#This Row],[Par]])-1,MATCH(CONCATENATE("Estoque ",MID(TbTradesBSC[[#This Row],[Par]],1,FIND(MID(N$1,9,5),TbTradesBSC[[#This Row],[Par]])-1)),$1:$1,0))-INDEX($1:$1048576,ROW(TbTradesBSC[[#This Row],[Par]]),MATCH(CONCATENATE("Estoque ",MID(TbTradesBSC[[#This Row],[Par]],1,FIND(MID(N$1,9,5),TbTradesBSC[[#This Row],[Par]])-1)),$1:$1,0)))/ INDEX($1:$1048576,ROW(TbTradesBSC[[#This Row],[Par]])-1,MATCH(CONCATENATE("Estoque ",MID(TbTradesBSC[[#This Row],[Par]],1,FIND(MID(N$1,9,5),TbTradesBSC[[#This Row],[Par]])-1)),$1:$1,0))*INDEX($1:$1048576,ROW(TbTradesBSC[[#This Row],[Par]])-1,MATCH(CONCATENATE("Custo de ",MID(TbTradesBSC[[#This Row],[Par]],1,FIND(MID(N$1,9,5),TbTradesBSC[[#This Row],[Par]])-1)),$1:$1,0))),0),0)+IF(TbTradesBSC[[#This Row],[Tipo]]="RECEIVE",IF(ISNUMBER(FIND(MID(O$1,10,5),TbTradesBSC[[#This Row],[Par]])), TbTradesBSC[[#This Row],[Qtt]]*TbTradesBSC[[#This Row],[Cotação BRL]],0),0)+IF(TbTradesBSC[[#This Row],[Tipo]]="SEND",IF(ISNUMBER(FIND(MID(O$1,10,5),TbTradesBSC[[#This Row],[Par]])),(-(N2-N3)/N2*O2)+IF(TbTradesBSC[[#This Row],[Resultado]]&gt;0,0,TbTradesBSC[[#This Row],[Taxa]]),0),0))</f>
        <v>0</v>
      </c>
      <c r="P3" s="41">
        <f t="shared" si="0"/>
        <v>0</v>
      </c>
      <c r="Q3" s="43">
        <f>IF(AND(IF(TbTradesBSC[[#This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Row],[Tipo]]="DROP"),Q2+TbTradesBSC[[#This Row],[Qtt]],Q2-TbTradesBSC[[#This Row],[Qtt]]),IF(TbTradesBSC[[#This Row],[Tipo]]="BUY",Q2-TbTradesBSC[[#This Row],[Qtt]]*TbTradesBSC[[#This Row],[Preço]],Q2+TbTradesBSC[[#This Row],[Qtt]]*TbTradesBSC[[#This Row],[Preço]])),Q2)-IF(TbTradesBSC[[#This Row],[Moeda da Taxa]]=MID(Q$1,9,5),TbTradesBSC[[#This Row],[Taxa]],0),8))&lt;0.0000001,IF(TbTradesBSC[[#This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Row],[Tipo]]="DROP"),Q2+TbTradesBSC[[#This Row],[Qtt]],Q2-TbTradesBSC[[#This Row],[Qtt]]),IF(TbTradesBSC[[#This Row],[Tipo]]="BUY",Q2-TbTradesBSC[[#This Row],[Qtt]]*TbTradesBSC[[#This Row],[Preço]],Q2+TbTradesBSC[[#This Row],[Qtt]]*TbTradesBSC[[#This Row],[Preço]])),Q2)-IF(TbTradesBSC[[#This Row],[Moeda da Taxa]]=MID(Q$1,9,5),TbTradesBSC[[#This Row],[Taxa]],0),8))&gt;-0.0000001),0,IF(TbTradesBSC[[#This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Row],[Tipo]]="DROP"),Q2+TbTradesBSC[[#This Row],[Qtt]],Q2-TbTradesBSC[[#This Row],[Qtt]]),IF(TbTradesBSC[[#This Row],[Tipo]]="BUY",Q2-TbTradesBSC[[#This Row],[Qtt]]*TbTradesBSC[[#This Row],[Preço]],Q2+TbTradesBSC[[#This Row],[Qtt]]*TbTradesBSC[[#This Row],[Preço]])),Q2)-IF(TbTradesBSC[[#This Row],[Moeda da Taxa]]=MID(Q$1,9,5),TbTradesBSC[[#This Row],[Taxa]],0),8)))</f>
        <v>2.0191E-4</v>
      </c>
      <c r="R3" s="50" cm="1">
        <f t="array" ref="R3">IF(TbTradesBSC[[#This Row],[Tipo]]="EMPTY",0,R2+IF(TbTradesBSC[[#This Row],[Tipo]]="DROP",0,0)+IF(TbTradesBSC[[#This Row],[Tipo]]="BURN",0,0)+IF(TbTradesBSC[[#This Row],[Tipo]]="BUY",IF(ISNUMBER(FIND(MID(R$1,10,5),TbTradesBSC[[#This Row],[Par]])),IF(FIND(MID(R$1,10,5),TbTradesBSC[[#This Row],[Par]])=1, (INDEX($1:$1048576,ROW(TbTradesBSC[[#This Row],[Par]])-1,MATCH(CONCATENATE("Estoque ",MID(TbTradesBSC[[#This Row],[Par]],LEN(MID(Q$1,9,5))+1,LEN(TbTradesBSC[[#This Row],[Par]]))),$1:$1,0))-INDEX($1:$1048576,ROW(TbTradesBSC[[#This Row],[Par]]),MATCH(CONCATENATE("Estoque ",MID(TbTradesBSC[[#This Row],[Par]],LEN(MID(Q$1,9,5))+1,LEN(TbTradesBSC[[#This Row],[Par]]))),$1:$1,0)))/ INDEX($1:$1048576,ROW(TbTradesBSC[[#This Row],[Par]])-1,MATCH(CONCATENATE("Estoque ",MID(TbTradesBSC[[#This Row],[Par]],LEN(MID(Q$1,9,5))+1,LEN(TbTradesBSC[[#This Row],[Par]]))),$1:$1,0))*INDEX($1:$1048576,ROW(TbTradesBSC[[#This Row],[Par]])-1,MATCH(CONCATENATE("Custo de ",MID(TbTradesBSC[[#This Row],[Par]],LEN(MID(Q$1,9,5))+1,LEN(TbTradesBSC[[#This Row],[Par]]))),$1:$1,0)),-(Q2-Q3)/Q2*R2),0),0)+IF(TbTradesBSC[[#This Row],[Tipo]]="SELL",IF(ISNUMBER(FIND(MID(R$1,10,5),TbTradesBSC[[#This Row],[Par]])),IF(FIND(MID(R$1,10,5),TbTradesBSC[[#This Row],[Par]])=1, -(Q2-Q3)/Q2*R2, (INDEX($1:$1048576,ROW(TbTradesBSC[[#This Row],[Par]])-1,MATCH(CONCATENATE("Estoque ",MID(TbTradesBSC[[#This Row],[Par]],1,FIND(MID(Q$1,9,5),TbTradesBSC[[#This Row],[Par]])-1)),$1:$1,0))-INDEX($1:$1048576,ROW(TbTradesBSC[[#This Row],[Par]]),MATCH(CONCATENATE("Estoque ",MID(TbTradesBSC[[#This Row],[Par]],1,FIND(MID(Q$1,9,5),TbTradesBSC[[#This Row],[Par]])-1)),$1:$1,0)))/ INDEX($1:$1048576,ROW(TbTradesBSC[[#This Row],[Par]])-1,MATCH(CONCATENATE("Estoque ",MID(TbTradesBSC[[#This Row],[Par]],1,FIND(MID(Q$1,9,5),TbTradesBSC[[#This Row],[Par]])-1)),$1:$1,0))*INDEX($1:$1048576,ROW(TbTradesBSC[[#This Row],[Par]])-1,MATCH(CONCATENATE("Custo de ",MID(TbTradesBSC[[#This Row],[Par]],1,FIND(MID(Q$1,9,5),TbTradesBSC[[#This Row],[Par]])-1)),$1:$1,0))),0),0)+IF(TbTradesBSC[[#This Row],[Tipo]]="RECEIVE",IF(ISNUMBER(FIND(MID(R$1,10,5),TbTradesBSC[[#This Row],[Par]])), TbTradesBSC[[#This Row],[Qtt]]*TbTradesBSC[[#This Row],[Cotação BRL]],0),0)+IF(TbTradesBSC[[#This Row],[Tipo]]="SEND",IF(ISNUMBER(FIND(MID(R$1,10,5),TbTradesBSC[[#This Row],[Par]])),(-(Q2-Q3)/Q2*R2)+IF(TbTradesBSC[[#This Row],[Resultado]]&gt;0,0,TbTradesBSC[[#This Row],[Taxa]]),0),0))</f>
        <v>56.393846629000002</v>
      </c>
      <c r="S3" s="41">
        <f t="shared" si="1"/>
        <v>279301.90000000002</v>
      </c>
    </row>
    <row r="4" spans="1:19" x14ac:dyDescent="0.3">
      <c r="B4" s="54" t="s">
        <v>149</v>
      </c>
      <c r="C4" s="58">
        <f>SUBTOTAL(109,TbTradesBSC[Resultado])</f>
        <v>0</v>
      </c>
      <c r="D4" s="55"/>
      <c r="E4" s="55"/>
      <c r="F4" s="55"/>
      <c r="G4" s="55"/>
      <c r="H4" s="55"/>
      <c r="I4" s="55"/>
      <c r="J4" s="55"/>
      <c r="K4" s="56"/>
      <c r="L4" s="57"/>
      <c r="M4" s="58">
        <f>SUBTOTAL(107,TbTradesBSC[Volume])</f>
        <v>39.876471368560026</v>
      </c>
      <c r="N4" s="59"/>
      <c r="O4" s="59"/>
      <c r="P4" s="59"/>
      <c r="Q4" s="63"/>
      <c r="R4" s="59"/>
      <c r="S4" s="59"/>
    </row>
    <row r="5" spans="1:19" x14ac:dyDescent="0.3">
      <c r="B5" s="61" t="s">
        <v>74</v>
      </c>
    </row>
    <row r="6" spans="1:19" x14ac:dyDescent="0.3">
      <c r="B6" s="119" t="s">
        <v>90</v>
      </c>
    </row>
    <row r="16" spans="1:19" s="40" customFormat="1" x14ac:dyDescent="0.3">
      <c r="B16" s="46"/>
      <c r="D16" s="53"/>
      <c r="E16" s="37"/>
      <c r="F16" s="37"/>
      <c r="G16" s="38"/>
      <c r="H16" s="38"/>
      <c r="I16" s="38"/>
      <c r="J16" s="37"/>
      <c r="K16" s="52"/>
      <c r="N16" s="41"/>
      <c r="O16" s="41"/>
      <c r="P16" s="41"/>
      <c r="Q16" s="43"/>
      <c r="R16" s="41"/>
      <c r="S16" s="41"/>
    </row>
    <row r="17" spans="2:19" s="40" customFormat="1" x14ac:dyDescent="0.3">
      <c r="B17" s="46"/>
      <c r="D17" s="53"/>
      <c r="E17" s="37"/>
      <c r="F17" s="37"/>
      <c r="G17" s="38"/>
      <c r="H17" s="38"/>
      <c r="I17" s="38"/>
      <c r="J17" s="37"/>
      <c r="K17" s="52"/>
      <c r="N17" s="41"/>
      <c r="O17" s="41"/>
      <c r="P17" s="41"/>
      <c r="Q17" s="43"/>
      <c r="R17" s="41"/>
      <c r="S17" s="41"/>
    </row>
    <row r="18" spans="2:19" s="40" customFormat="1" x14ac:dyDescent="0.3">
      <c r="B18" s="46"/>
      <c r="D18" s="53"/>
      <c r="E18" s="37"/>
      <c r="F18" s="37"/>
      <c r="G18" s="38"/>
      <c r="H18" s="38"/>
      <c r="I18" s="38"/>
      <c r="J18" s="37"/>
      <c r="K18" s="52"/>
      <c r="N18" s="41"/>
      <c r="O18" s="41"/>
      <c r="P18" s="41"/>
      <c r="Q18" s="43"/>
      <c r="R18" s="41"/>
      <c r="S18" s="41"/>
    </row>
    <row r="19" spans="2:19" s="40" customFormat="1" x14ac:dyDescent="0.3">
      <c r="B19" s="46"/>
      <c r="D19" s="53"/>
      <c r="E19" s="37"/>
      <c r="F19" s="37"/>
      <c r="G19" s="38"/>
      <c r="H19" s="38"/>
      <c r="I19" s="38"/>
      <c r="J19" s="37"/>
      <c r="K19" s="52"/>
      <c r="N19" s="41"/>
      <c r="O19" s="41"/>
      <c r="P19" s="41"/>
      <c r="Q19" s="43"/>
      <c r="R19" s="41"/>
      <c r="S19" s="41"/>
    </row>
    <row r="20" spans="2:19" s="40" customFormat="1" x14ac:dyDescent="0.3">
      <c r="B20" s="46"/>
      <c r="D20" s="53"/>
      <c r="E20" s="37"/>
      <c r="F20" s="37"/>
      <c r="G20" s="38"/>
      <c r="H20" s="38"/>
      <c r="I20" s="38"/>
      <c r="J20" s="37"/>
      <c r="K20" s="52"/>
      <c r="N20" s="41"/>
      <c r="O20" s="41"/>
      <c r="P20" s="41"/>
      <c r="Q20" s="43"/>
      <c r="R20" s="41"/>
      <c r="S20" s="41"/>
    </row>
    <row r="21" spans="2:19" s="40" customFormat="1" x14ac:dyDescent="0.3">
      <c r="B21" s="46"/>
      <c r="D21" s="53"/>
      <c r="E21" s="37"/>
      <c r="F21" s="37"/>
      <c r="G21" s="38"/>
      <c r="H21" s="38"/>
      <c r="I21" s="38"/>
      <c r="J21" s="37"/>
      <c r="K21" s="52"/>
      <c r="N21" s="41"/>
      <c r="O21" s="41"/>
      <c r="P21" s="41"/>
      <c r="Q21" s="43"/>
      <c r="R21" s="41"/>
      <c r="S21" s="41"/>
    </row>
    <row r="22" spans="2:19" s="40" customFormat="1" x14ac:dyDescent="0.3">
      <c r="B22" s="46"/>
      <c r="D22" s="53"/>
      <c r="E22" s="37"/>
      <c r="F22" s="37"/>
      <c r="G22" s="38"/>
      <c r="H22" s="38"/>
      <c r="I22" s="38"/>
      <c r="J22" s="37"/>
      <c r="K22" s="52"/>
      <c r="N22" s="41"/>
      <c r="O22" s="41"/>
      <c r="P22" s="41"/>
      <c r="Q22" s="43"/>
      <c r="R22" s="41"/>
      <c r="S22" s="41"/>
    </row>
    <row r="23" spans="2:19" s="40" customFormat="1" x14ac:dyDescent="0.3">
      <c r="B23" s="46"/>
      <c r="D23" s="53"/>
      <c r="E23" s="37"/>
      <c r="F23" s="37"/>
      <c r="G23" s="38"/>
      <c r="H23" s="38"/>
      <c r="I23" s="38"/>
      <c r="J23" s="37"/>
      <c r="K23" s="52"/>
      <c r="N23" s="41"/>
      <c r="O23" s="41"/>
      <c r="P23" s="41"/>
      <c r="Q23" s="43"/>
      <c r="R23" s="41"/>
      <c r="S23" s="41"/>
    </row>
    <row r="24" spans="2:19" s="40" customFormat="1" ht="13.95" customHeight="1" x14ac:dyDescent="0.3">
      <c r="B24" s="46"/>
      <c r="D24" s="53"/>
      <c r="E24" s="37"/>
      <c r="F24" s="37"/>
      <c r="G24" s="38"/>
      <c r="H24" s="38"/>
      <c r="I24" s="38"/>
      <c r="J24" s="37"/>
      <c r="K24" s="52"/>
      <c r="N24" s="41"/>
      <c r="O24" s="41"/>
      <c r="P24" s="41"/>
      <c r="Q24" s="43"/>
      <c r="R24" s="41"/>
      <c r="S24" s="41"/>
    </row>
    <row r="25" spans="2:19" s="40" customFormat="1" x14ac:dyDescent="0.3">
      <c r="B25" s="46"/>
      <c r="D25" s="53"/>
      <c r="E25" s="37"/>
      <c r="F25" s="37"/>
      <c r="G25" s="38"/>
      <c r="H25" s="38"/>
      <c r="I25" s="38"/>
      <c r="J25" s="37"/>
      <c r="K25" s="52"/>
      <c r="N25" s="41"/>
      <c r="O25" s="41"/>
      <c r="P25" s="41"/>
      <c r="Q25" s="43"/>
      <c r="R25" s="41"/>
      <c r="S25" s="41"/>
    </row>
    <row r="26" spans="2:19" s="40" customFormat="1" x14ac:dyDescent="0.3">
      <c r="B26" s="46"/>
      <c r="D26" s="53"/>
      <c r="E26" s="37"/>
      <c r="F26" s="37"/>
      <c r="G26" s="38"/>
      <c r="H26" s="38"/>
      <c r="I26" s="38"/>
      <c r="J26" s="37"/>
      <c r="K26" s="52"/>
      <c r="N26" s="41"/>
      <c r="O26" s="41"/>
      <c r="P26" s="41"/>
      <c r="Q26" s="43"/>
      <c r="R26" s="41"/>
      <c r="S26" s="41"/>
    </row>
    <row r="27" spans="2:19" s="40" customFormat="1" x14ac:dyDescent="0.3">
      <c r="B27" s="46"/>
      <c r="D27" s="53"/>
      <c r="E27" s="37"/>
      <c r="F27" s="37"/>
      <c r="G27" s="38"/>
      <c r="H27" s="38"/>
      <c r="I27" s="38"/>
      <c r="J27" s="37"/>
      <c r="K27" s="52"/>
      <c r="N27" s="41"/>
      <c r="O27" s="41"/>
      <c r="P27" s="41"/>
      <c r="Q27" s="43"/>
      <c r="R27" s="41"/>
      <c r="S27" s="41"/>
    </row>
    <row r="28" spans="2:19" s="40" customFormat="1" x14ac:dyDescent="0.3">
      <c r="B28" s="46"/>
      <c r="D28" s="53"/>
      <c r="E28" s="37"/>
      <c r="F28" s="37"/>
      <c r="G28" s="38"/>
      <c r="H28" s="38"/>
      <c r="I28" s="38"/>
      <c r="J28" s="37"/>
      <c r="K28" s="52"/>
      <c r="N28" s="41"/>
      <c r="O28" s="41"/>
      <c r="P28" s="41"/>
      <c r="Q28" s="43"/>
      <c r="R28" s="41"/>
      <c r="S28" s="41"/>
    </row>
    <row r="29" spans="2:19" s="40" customFormat="1" x14ac:dyDescent="0.3">
      <c r="B29" s="46"/>
      <c r="D29" s="53"/>
      <c r="E29" s="37"/>
      <c r="F29" s="37"/>
      <c r="G29" s="38"/>
      <c r="H29" s="38"/>
      <c r="I29" s="38"/>
      <c r="J29" s="37"/>
      <c r="K29" s="52"/>
      <c r="N29" s="41"/>
      <c r="O29" s="41"/>
      <c r="P29" s="41"/>
      <c r="Q29" s="43"/>
      <c r="R29" s="41"/>
      <c r="S29" s="41"/>
    </row>
    <row r="30" spans="2:19" s="40" customFormat="1" x14ac:dyDescent="0.3">
      <c r="B30" s="46"/>
      <c r="D30" s="53"/>
      <c r="E30" s="37"/>
      <c r="F30" s="37"/>
      <c r="G30" s="38"/>
      <c r="H30" s="38"/>
      <c r="I30" s="38"/>
      <c r="J30" s="37"/>
      <c r="K30" s="52"/>
      <c r="N30" s="41"/>
      <c r="O30" s="41"/>
      <c r="P30" s="41"/>
      <c r="Q30" s="43"/>
      <c r="R30" s="41"/>
      <c r="S30" s="41"/>
    </row>
    <row r="31" spans="2:19" s="40" customFormat="1" x14ac:dyDescent="0.3">
      <c r="B31" s="46"/>
      <c r="D31" s="53"/>
      <c r="E31" s="37"/>
      <c r="F31" s="37"/>
      <c r="G31" s="38"/>
      <c r="H31" s="38"/>
      <c r="I31" s="38"/>
      <c r="J31" s="37"/>
      <c r="K31" s="52"/>
      <c r="N31" s="41"/>
      <c r="O31" s="41"/>
      <c r="P31" s="41"/>
      <c r="Q31" s="43"/>
      <c r="R31" s="41"/>
      <c r="S31" s="41"/>
    </row>
    <row r="32" spans="2:19" s="38" customFormat="1" x14ac:dyDescent="0.3">
      <c r="B32" s="46"/>
      <c r="C32" s="40"/>
      <c r="D32" s="53"/>
      <c r="E32" s="37"/>
      <c r="F32" s="37"/>
      <c r="J32" s="37"/>
      <c r="K32" s="52"/>
      <c r="L32" s="40"/>
      <c r="M32" s="40"/>
      <c r="N32" s="41"/>
      <c r="O32" s="41"/>
      <c r="P32" s="41"/>
      <c r="Q32" s="43"/>
      <c r="R32" s="41"/>
      <c r="S32" s="41"/>
    </row>
    <row r="33" spans="2:19" s="38" customFormat="1" x14ac:dyDescent="0.3">
      <c r="B33" s="46"/>
      <c r="C33" s="40"/>
      <c r="D33" s="53"/>
      <c r="E33" s="37"/>
      <c r="F33" s="37"/>
      <c r="J33" s="37"/>
      <c r="K33" s="52"/>
      <c r="L33" s="40"/>
      <c r="M33" s="40"/>
      <c r="N33" s="41"/>
      <c r="O33" s="41"/>
      <c r="P33" s="41"/>
      <c r="Q33" s="43"/>
      <c r="R33" s="41"/>
      <c r="S33" s="41"/>
    </row>
    <row r="34" spans="2:19" s="38" customFormat="1" x14ac:dyDescent="0.3">
      <c r="B34" s="46"/>
      <c r="C34" s="40"/>
      <c r="D34" s="53"/>
      <c r="E34" s="37"/>
      <c r="F34" s="37"/>
      <c r="J34" s="37"/>
      <c r="K34" s="52"/>
      <c r="L34" s="40"/>
      <c r="M34" s="40"/>
      <c r="N34" s="41"/>
      <c r="O34" s="41"/>
      <c r="P34" s="41"/>
      <c r="Q34" s="43"/>
      <c r="R34" s="41"/>
      <c r="S34" s="41"/>
    </row>
    <row r="35" spans="2:19" s="38" customFormat="1" x14ac:dyDescent="0.3">
      <c r="B35" s="46"/>
      <c r="C35" s="40"/>
      <c r="D35" s="53"/>
      <c r="E35" s="37"/>
      <c r="F35" s="37"/>
      <c r="J35" s="37"/>
      <c r="K35" s="52"/>
      <c r="L35" s="40"/>
      <c r="M35" s="40"/>
      <c r="N35" s="41"/>
      <c r="O35" s="41"/>
      <c r="P35" s="41"/>
      <c r="Q35" s="43"/>
      <c r="R35" s="41"/>
      <c r="S35" s="41"/>
    </row>
    <row r="36" spans="2:19" s="38" customFormat="1" x14ac:dyDescent="0.3">
      <c r="B36" s="46"/>
      <c r="C36" s="40"/>
      <c r="D36" s="53"/>
      <c r="E36" s="37"/>
      <c r="F36" s="37"/>
      <c r="J36" s="37"/>
      <c r="K36" s="52"/>
      <c r="L36" s="40"/>
      <c r="M36" s="40"/>
      <c r="N36" s="41"/>
      <c r="O36" s="41"/>
      <c r="P36" s="41"/>
      <c r="Q36" s="43"/>
      <c r="R36" s="41"/>
      <c r="S36" s="41"/>
    </row>
    <row r="37" spans="2:19" s="38" customFormat="1" x14ac:dyDescent="0.3">
      <c r="B37" s="46"/>
      <c r="C37" s="40"/>
      <c r="D37" s="53"/>
      <c r="E37" s="37"/>
      <c r="F37" s="37"/>
      <c r="J37" s="37"/>
      <c r="K37" s="52"/>
      <c r="L37" s="40"/>
      <c r="M37" s="40"/>
      <c r="N37" s="41"/>
      <c r="O37" s="41"/>
      <c r="P37" s="41"/>
      <c r="Q37" s="43"/>
      <c r="R37" s="41"/>
      <c r="S37" s="41"/>
    </row>
    <row r="38" spans="2:19" s="38" customFormat="1" x14ac:dyDescent="0.3">
      <c r="B38" s="46"/>
      <c r="C38" s="40"/>
      <c r="D38" s="53"/>
      <c r="E38" s="37"/>
      <c r="F38" s="37"/>
      <c r="J38" s="37"/>
      <c r="K38" s="52"/>
      <c r="L38" s="40"/>
      <c r="M38" s="40"/>
      <c r="N38" s="41"/>
      <c r="O38" s="41"/>
      <c r="P38" s="41"/>
      <c r="Q38" s="43"/>
      <c r="R38" s="41"/>
      <c r="S38" s="41"/>
    </row>
    <row r="39" spans="2:19" s="38" customFormat="1" x14ac:dyDescent="0.3">
      <c r="B39" s="46"/>
      <c r="C39" s="40"/>
      <c r="D39" s="53"/>
      <c r="E39" s="37"/>
      <c r="F39" s="37"/>
      <c r="J39" s="37"/>
      <c r="K39" s="52"/>
      <c r="L39" s="40"/>
      <c r="M39" s="40"/>
      <c r="N39" s="41"/>
      <c r="O39" s="41"/>
      <c r="P39" s="41"/>
      <c r="Q39" s="43"/>
      <c r="R39" s="41"/>
      <c r="S39" s="41"/>
    </row>
    <row r="40" spans="2:19" s="38" customFormat="1" x14ac:dyDescent="0.3">
      <c r="B40" s="46"/>
      <c r="C40" s="40"/>
      <c r="D40" s="53"/>
      <c r="E40" s="37"/>
      <c r="F40" s="37"/>
      <c r="J40" s="37"/>
      <c r="K40" s="52"/>
      <c r="L40" s="40"/>
      <c r="M40" s="40"/>
      <c r="N40" s="41"/>
      <c r="O40" s="41"/>
      <c r="P40" s="41"/>
      <c r="Q40" s="43"/>
      <c r="R40" s="41"/>
      <c r="S40" s="41"/>
    </row>
    <row r="41" spans="2:19" s="38" customFormat="1" x14ac:dyDescent="0.3">
      <c r="B41" s="46"/>
      <c r="C41" s="40"/>
      <c r="D41" s="53"/>
      <c r="E41" s="37"/>
      <c r="F41" s="37"/>
      <c r="J41" s="37"/>
      <c r="K41" s="52"/>
      <c r="L41" s="40"/>
      <c r="M41" s="40"/>
      <c r="N41" s="41"/>
      <c r="O41" s="41"/>
      <c r="P41" s="41"/>
      <c r="Q41" s="43"/>
      <c r="R41" s="41"/>
      <c r="S41" s="41"/>
    </row>
    <row r="42" spans="2:19" s="38" customFormat="1" x14ac:dyDescent="0.3">
      <c r="B42" s="46"/>
      <c r="C42" s="40"/>
      <c r="D42" s="53"/>
      <c r="E42" s="37"/>
      <c r="F42" s="37"/>
      <c r="J42" s="37"/>
      <c r="K42" s="52"/>
      <c r="L42" s="40"/>
      <c r="M42" s="40"/>
      <c r="N42" s="41"/>
      <c r="O42" s="41"/>
      <c r="P42" s="41"/>
      <c r="Q42" s="43"/>
      <c r="R42" s="41"/>
      <c r="S42" s="41"/>
    </row>
    <row r="43" spans="2:19" s="38" customFormat="1" x14ac:dyDescent="0.3">
      <c r="B43" s="46"/>
      <c r="C43" s="40"/>
      <c r="D43" s="53"/>
      <c r="E43" s="37"/>
      <c r="F43" s="37"/>
      <c r="J43" s="37"/>
      <c r="K43" s="52"/>
      <c r="L43" s="40"/>
      <c r="M43" s="40"/>
      <c r="N43" s="41"/>
      <c r="O43" s="41"/>
      <c r="P43" s="41"/>
      <c r="Q43" s="43"/>
      <c r="R43" s="41"/>
      <c r="S43" s="41"/>
    </row>
    <row r="44" spans="2:19" s="38" customFormat="1" x14ac:dyDescent="0.3">
      <c r="B44" s="46"/>
      <c r="C44" s="40"/>
      <c r="D44" s="53"/>
      <c r="E44" s="37"/>
      <c r="F44" s="37"/>
      <c r="J44" s="37"/>
      <c r="K44" s="52"/>
      <c r="L44" s="40"/>
      <c r="M44" s="40"/>
      <c r="N44" s="41"/>
      <c r="O44" s="41"/>
      <c r="P44" s="41"/>
      <c r="Q44" s="43"/>
      <c r="R44" s="41"/>
      <c r="S44" s="41"/>
    </row>
    <row r="45" spans="2:19" s="38" customFormat="1" x14ac:dyDescent="0.3">
      <c r="B45" s="46"/>
      <c r="C45" s="40"/>
      <c r="D45" s="53"/>
      <c r="E45" s="37"/>
      <c r="F45" s="37"/>
      <c r="J45" s="37"/>
      <c r="K45" s="52"/>
      <c r="L45" s="40"/>
      <c r="M45" s="40"/>
      <c r="N45" s="41"/>
      <c r="O45" s="41"/>
      <c r="P45" s="41"/>
      <c r="Q45" s="43"/>
      <c r="R45" s="41"/>
      <c r="S45" s="41"/>
    </row>
    <row r="46" spans="2:19" s="38" customFormat="1" x14ac:dyDescent="0.3">
      <c r="B46" s="46"/>
      <c r="C46" s="40"/>
      <c r="D46" s="53"/>
      <c r="E46" s="37"/>
      <c r="F46" s="37"/>
      <c r="J46" s="37"/>
      <c r="K46" s="52"/>
      <c r="L46" s="40"/>
      <c r="M46" s="40"/>
      <c r="N46" s="41"/>
      <c r="O46" s="41"/>
      <c r="P46" s="41"/>
      <c r="Q46" s="43"/>
      <c r="R46" s="41"/>
      <c r="S46" s="41"/>
    </row>
    <row r="47" spans="2:19" s="38" customFormat="1" x14ac:dyDescent="0.3">
      <c r="B47" s="46"/>
      <c r="C47" s="40"/>
      <c r="D47" s="53"/>
      <c r="E47" s="37"/>
      <c r="F47" s="37"/>
      <c r="J47" s="37"/>
      <c r="K47" s="52"/>
      <c r="L47" s="40"/>
      <c r="M47" s="40"/>
      <c r="N47" s="41"/>
      <c r="O47" s="41"/>
      <c r="P47" s="41"/>
      <c r="Q47" s="43"/>
      <c r="R47" s="41"/>
      <c r="S47" s="41"/>
    </row>
    <row r="48" spans="2:19" s="38" customFormat="1" x14ac:dyDescent="0.3">
      <c r="B48" s="46"/>
      <c r="C48" s="40"/>
      <c r="D48" s="53"/>
      <c r="E48" s="37"/>
      <c r="F48" s="37"/>
      <c r="J48" s="37"/>
      <c r="K48" s="52"/>
      <c r="L48" s="40"/>
      <c r="M48" s="40"/>
      <c r="N48" s="41"/>
      <c r="O48" s="41"/>
      <c r="P48" s="41"/>
      <c r="Q48" s="43"/>
      <c r="R48" s="41"/>
      <c r="S48" s="41"/>
    </row>
    <row r="49" spans="2:19" s="38" customFormat="1" x14ac:dyDescent="0.3">
      <c r="B49" s="46"/>
      <c r="C49" s="40"/>
      <c r="D49" s="53"/>
      <c r="E49" s="37"/>
      <c r="F49" s="37"/>
      <c r="J49" s="37"/>
      <c r="K49" s="52"/>
      <c r="L49" s="40"/>
      <c r="M49" s="40"/>
      <c r="N49" s="41"/>
      <c r="O49" s="41"/>
      <c r="P49" s="41"/>
      <c r="Q49" s="43"/>
      <c r="R49" s="41"/>
      <c r="S49" s="41"/>
    </row>
    <row r="50" spans="2:19" s="38" customFormat="1" x14ac:dyDescent="0.3">
      <c r="B50" s="46"/>
      <c r="C50" s="40"/>
      <c r="D50" s="53"/>
      <c r="E50" s="37"/>
      <c r="F50" s="37"/>
      <c r="J50" s="37"/>
      <c r="K50" s="52"/>
      <c r="L50" s="40"/>
      <c r="M50" s="40"/>
      <c r="N50" s="41"/>
      <c r="O50" s="41"/>
      <c r="P50" s="41"/>
      <c r="Q50" s="43"/>
      <c r="R50" s="41"/>
      <c r="S50" s="41"/>
    </row>
    <row r="51" spans="2:19" s="38" customFormat="1" x14ac:dyDescent="0.3">
      <c r="B51" s="46"/>
      <c r="C51" s="40"/>
      <c r="D51" s="53"/>
      <c r="E51" s="37"/>
      <c r="F51" s="37"/>
      <c r="J51" s="37"/>
      <c r="K51" s="52"/>
      <c r="L51" s="40"/>
      <c r="M51" s="40"/>
      <c r="N51" s="41"/>
      <c r="O51" s="41"/>
      <c r="P51" s="41"/>
      <c r="Q51" s="43"/>
      <c r="R51" s="41"/>
      <c r="S51" s="41"/>
    </row>
    <row r="52" spans="2:19" s="38" customFormat="1" x14ac:dyDescent="0.3">
      <c r="B52" s="46"/>
      <c r="C52" s="40"/>
      <c r="D52" s="53"/>
      <c r="E52" s="37"/>
      <c r="F52" s="37"/>
      <c r="J52" s="37"/>
      <c r="K52" s="52"/>
      <c r="L52" s="40"/>
      <c r="M52" s="40"/>
      <c r="N52" s="41"/>
      <c r="O52" s="41"/>
      <c r="P52" s="41"/>
      <c r="Q52" s="43"/>
      <c r="R52" s="41"/>
      <c r="S52" s="41"/>
    </row>
    <row r="53" spans="2:19" s="38" customFormat="1" x14ac:dyDescent="0.3">
      <c r="B53" s="46"/>
      <c r="C53" s="40"/>
      <c r="D53" s="53"/>
      <c r="E53" s="37"/>
      <c r="F53" s="37"/>
      <c r="J53" s="37"/>
      <c r="K53" s="52"/>
      <c r="L53" s="40"/>
      <c r="M53" s="40"/>
      <c r="N53" s="41"/>
      <c r="O53" s="41"/>
      <c r="P53" s="41"/>
      <c r="Q53" s="43"/>
      <c r="R53" s="41"/>
      <c r="S53" s="41"/>
    </row>
    <row r="54" spans="2:19" s="38" customFormat="1" x14ac:dyDescent="0.3">
      <c r="B54" s="46"/>
      <c r="C54" s="40"/>
      <c r="D54" s="53"/>
      <c r="E54" s="37"/>
      <c r="F54" s="37"/>
      <c r="J54" s="37"/>
      <c r="K54" s="52"/>
      <c r="L54" s="40"/>
      <c r="M54" s="40"/>
      <c r="N54" s="41"/>
      <c r="O54" s="41"/>
      <c r="P54" s="41"/>
      <c r="Q54" s="43"/>
      <c r="R54" s="41"/>
      <c r="S54" s="41"/>
    </row>
    <row r="55" spans="2:19" s="38" customFormat="1" x14ac:dyDescent="0.3">
      <c r="B55" s="46"/>
      <c r="C55" s="40"/>
      <c r="D55" s="53"/>
      <c r="E55" s="37"/>
      <c r="F55" s="37"/>
      <c r="J55" s="37"/>
      <c r="K55" s="52"/>
      <c r="L55" s="40"/>
      <c r="M55" s="40"/>
      <c r="N55" s="41"/>
      <c r="O55" s="41"/>
      <c r="P55" s="41"/>
      <c r="Q55" s="43"/>
      <c r="R55" s="41"/>
      <c r="S55" s="41"/>
    </row>
    <row r="56" spans="2:19" s="38" customFormat="1" x14ac:dyDescent="0.3">
      <c r="B56" s="46"/>
      <c r="C56" s="40"/>
      <c r="D56" s="53"/>
      <c r="E56" s="37"/>
      <c r="F56" s="37"/>
      <c r="J56" s="37"/>
      <c r="K56" s="52"/>
      <c r="L56" s="40"/>
      <c r="M56" s="40"/>
      <c r="N56" s="41"/>
      <c r="O56" s="41"/>
      <c r="P56" s="41"/>
      <c r="Q56" s="43"/>
      <c r="R56" s="41"/>
      <c r="S56" s="41"/>
    </row>
    <row r="57" spans="2:19" s="38" customFormat="1" x14ac:dyDescent="0.3">
      <c r="B57" s="46"/>
      <c r="C57" s="40"/>
      <c r="D57" s="53"/>
      <c r="E57" s="37"/>
      <c r="F57" s="37"/>
      <c r="J57" s="37"/>
      <c r="K57" s="52"/>
      <c r="L57" s="40"/>
      <c r="M57" s="40"/>
      <c r="N57" s="41"/>
      <c r="O57" s="41"/>
      <c r="P57" s="41"/>
      <c r="Q57" s="43"/>
      <c r="R57" s="41"/>
      <c r="S57" s="41"/>
    </row>
    <row r="58" spans="2:19" s="38" customFormat="1" x14ac:dyDescent="0.3">
      <c r="B58" s="46"/>
      <c r="C58" s="40"/>
      <c r="D58" s="53"/>
      <c r="E58" s="37"/>
      <c r="F58" s="37"/>
      <c r="J58" s="37"/>
      <c r="K58" s="52"/>
      <c r="L58" s="40"/>
      <c r="M58" s="40"/>
      <c r="N58" s="41"/>
      <c r="O58" s="41"/>
      <c r="P58" s="41"/>
      <c r="Q58" s="43"/>
      <c r="R58" s="41"/>
      <c r="S58" s="41"/>
    </row>
    <row r="59" spans="2:19" s="38" customFormat="1" x14ac:dyDescent="0.3">
      <c r="B59" s="46"/>
      <c r="C59" s="40"/>
      <c r="D59" s="53"/>
      <c r="E59" s="37"/>
      <c r="F59" s="37"/>
      <c r="J59" s="37"/>
      <c r="K59" s="52"/>
      <c r="L59" s="40"/>
      <c r="M59" s="40"/>
      <c r="N59" s="41"/>
      <c r="O59" s="41"/>
      <c r="P59" s="41"/>
      <c r="Q59" s="43"/>
      <c r="R59" s="41"/>
      <c r="S59" s="41"/>
    </row>
    <row r="60" spans="2:19" s="38" customFormat="1" x14ac:dyDescent="0.3">
      <c r="B60" s="46"/>
      <c r="C60" s="40"/>
      <c r="D60" s="53"/>
      <c r="E60" s="37"/>
      <c r="F60" s="37"/>
      <c r="J60" s="37"/>
      <c r="K60" s="52"/>
      <c r="L60" s="40"/>
      <c r="M60" s="40"/>
      <c r="N60" s="41"/>
      <c r="O60" s="41"/>
      <c r="P60" s="41"/>
      <c r="Q60" s="43"/>
      <c r="R60" s="41"/>
      <c r="S60" s="41"/>
    </row>
    <row r="61" spans="2:19" s="38" customFormat="1" x14ac:dyDescent="0.3">
      <c r="B61" s="46"/>
      <c r="C61" s="40"/>
      <c r="D61" s="53"/>
      <c r="E61" s="37"/>
      <c r="F61" s="37"/>
      <c r="J61" s="37"/>
      <c r="K61" s="52"/>
      <c r="L61" s="40"/>
      <c r="M61" s="40"/>
      <c r="N61" s="41"/>
      <c r="O61" s="41"/>
      <c r="P61" s="41"/>
      <c r="Q61" s="43"/>
      <c r="R61" s="41"/>
      <c r="S61" s="41"/>
    </row>
    <row r="62" spans="2:19" s="38" customFormat="1" x14ac:dyDescent="0.3">
      <c r="B62" s="46"/>
      <c r="C62" s="40"/>
      <c r="D62" s="53"/>
      <c r="E62" s="37"/>
      <c r="F62" s="37"/>
      <c r="J62" s="37"/>
      <c r="K62" s="52"/>
      <c r="L62" s="40"/>
      <c r="M62" s="40"/>
      <c r="N62" s="41"/>
      <c r="O62" s="41"/>
      <c r="P62" s="41"/>
      <c r="Q62" s="43"/>
      <c r="R62" s="41"/>
      <c r="S62" s="41"/>
    </row>
    <row r="63" spans="2:19" s="38" customFormat="1" x14ac:dyDescent="0.3">
      <c r="B63" s="46"/>
      <c r="C63" s="40"/>
      <c r="D63" s="53"/>
      <c r="E63" s="37"/>
      <c r="F63" s="37"/>
      <c r="J63" s="37"/>
      <c r="K63" s="52"/>
      <c r="L63" s="40"/>
      <c r="M63" s="40"/>
      <c r="N63" s="41"/>
      <c r="O63" s="41"/>
      <c r="P63" s="41"/>
      <c r="Q63" s="43"/>
      <c r="R63" s="41"/>
      <c r="S63" s="41"/>
    </row>
    <row r="64" spans="2:19" s="53" customFormat="1" x14ac:dyDescent="0.3">
      <c r="B64" s="46"/>
      <c r="C64" s="40"/>
      <c r="E64" s="37"/>
      <c r="F64" s="37"/>
      <c r="G64" s="38"/>
      <c r="H64" s="38"/>
      <c r="I64" s="38"/>
      <c r="J64" s="37"/>
      <c r="K64" s="52"/>
      <c r="L64" s="40"/>
      <c r="M64" s="40"/>
      <c r="N64" s="41"/>
      <c r="O64" s="41"/>
      <c r="P64" s="41"/>
      <c r="Q64" s="43"/>
      <c r="R64" s="41"/>
      <c r="S64" s="41"/>
    </row>
    <row r="65" spans="2:19" s="53" customFormat="1" x14ac:dyDescent="0.3">
      <c r="B65" s="46"/>
      <c r="C65" s="40"/>
      <c r="E65" s="37"/>
      <c r="F65" s="37"/>
      <c r="G65" s="38"/>
      <c r="H65" s="38"/>
      <c r="I65" s="38"/>
      <c r="J65" s="37"/>
      <c r="K65" s="52"/>
      <c r="L65" s="40"/>
      <c r="M65" s="40"/>
      <c r="N65" s="41"/>
      <c r="O65" s="41"/>
      <c r="P65" s="41"/>
      <c r="Q65" s="43"/>
      <c r="R65" s="41"/>
      <c r="S65" s="41"/>
    </row>
    <row r="66" spans="2:19" s="53" customFormat="1" x14ac:dyDescent="0.3">
      <c r="B66" s="46"/>
      <c r="C66" s="40"/>
      <c r="E66" s="37"/>
      <c r="F66" s="37"/>
      <c r="G66" s="38"/>
      <c r="H66" s="38"/>
      <c r="I66" s="38"/>
      <c r="J66" s="37"/>
      <c r="K66" s="52"/>
      <c r="L66" s="40"/>
      <c r="M66" s="40"/>
      <c r="N66" s="41"/>
      <c r="O66" s="41"/>
      <c r="P66" s="41"/>
      <c r="Q66" s="43"/>
      <c r="R66" s="41"/>
      <c r="S66" s="41"/>
    </row>
    <row r="67" spans="2:19" s="53" customFormat="1" x14ac:dyDescent="0.3">
      <c r="B67" s="46"/>
      <c r="C67" s="40"/>
      <c r="E67" s="37"/>
      <c r="F67" s="37"/>
      <c r="G67" s="38"/>
      <c r="H67" s="38"/>
      <c r="I67" s="38"/>
      <c r="J67" s="37"/>
      <c r="K67" s="52"/>
      <c r="L67" s="40"/>
      <c r="M67" s="40"/>
      <c r="N67" s="41"/>
      <c r="O67" s="41"/>
      <c r="P67" s="41"/>
      <c r="Q67" s="43"/>
      <c r="R67" s="41"/>
      <c r="S67" s="41"/>
    </row>
    <row r="68" spans="2:19" s="53" customFormat="1" x14ac:dyDescent="0.3">
      <c r="B68" s="46"/>
      <c r="C68" s="40"/>
      <c r="E68" s="37"/>
      <c r="F68" s="37"/>
      <c r="G68" s="38"/>
      <c r="H68" s="38"/>
      <c r="I68" s="38"/>
      <c r="J68" s="37"/>
      <c r="K68" s="52"/>
      <c r="L68" s="40"/>
      <c r="M68" s="40"/>
      <c r="N68" s="41"/>
      <c r="O68" s="41"/>
      <c r="P68" s="41"/>
      <c r="Q68" s="43"/>
      <c r="R68" s="41"/>
      <c r="S68" s="41"/>
    </row>
    <row r="69" spans="2:19" s="53" customFormat="1" x14ac:dyDescent="0.3">
      <c r="B69" s="46"/>
      <c r="C69" s="40"/>
      <c r="E69" s="37"/>
      <c r="F69" s="37"/>
      <c r="G69" s="38"/>
      <c r="H69" s="38"/>
      <c r="I69" s="38"/>
      <c r="J69" s="37"/>
      <c r="K69" s="52"/>
      <c r="L69" s="40"/>
      <c r="M69" s="40"/>
      <c r="N69" s="41"/>
      <c r="O69" s="41"/>
      <c r="P69" s="41"/>
      <c r="Q69" s="43"/>
      <c r="R69" s="41"/>
      <c r="S69" s="41"/>
    </row>
    <row r="70" spans="2:19" s="53" customFormat="1" x14ac:dyDescent="0.3">
      <c r="B70" s="46"/>
      <c r="C70" s="40"/>
      <c r="E70" s="37"/>
      <c r="F70" s="37"/>
      <c r="G70" s="38"/>
      <c r="H70" s="38"/>
      <c r="I70" s="38"/>
      <c r="J70" s="37"/>
      <c r="K70" s="52"/>
      <c r="L70" s="40"/>
      <c r="M70" s="40"/>
      <c r="N70" s="41"/>
      <c r="O70" s="41"/>
      <c r="P70" s="41"/>
      <c r="Q70" s="43"/>
      <c r="R70" s="41"/>
      <c r="S70" s="41"/>
    </row>
    <row r="71" spans="2:19" s="53" customFormat="1" x14ac:dyDescent="0.3">
      <c r="B71" s="46"/>
      <c r="C71" s="40"/>
      <c r="E71" s="37"/>
      <c r="F71" s="37"/>
      <c r="G71" s="38"/>
      <c r="H71" s="38"/>
      <c r="I71" s="38"/>
      <c r="J71" s="37"/>
      <c r="K71" s="52"/>
      <c r="L71" s="40"/>
      <c r="M71" s="40"/>
      <c r="N71" s="41"/>
      <c r="O71" s="41"/>
      <c r="P71" s="41"/>
      <c r="Q71" s="43"/>
      <c r="R71" s="41"/>
      <c r="S71" s="41"/>
    </row>
    <row r="72" spans="2:19" s="53" customFormat="1" x14ac:dyDescent="0.3">
      <c r="B72" s="46"/>
      <c r="C72" s="40"/>
      <c r="E72" s="37"/>
      <c r="F72" s="37"/>
      <c r="G72" s="38"/>
      <c r="H72" s="38"/>
      <c r="I72" s="38"/>
      <c r="J72" s="37"/>
      <c r="K72" s="52"/>
      <c r="L72" s="40"/>
      <c r="M72" s="40"/>
      <c r="N72" s="41"/>
      <c r="O72" s="41"/>
      <c r="P72" s="41"/>
      <c r="Q72" s="43"/>
      <c r="R72" s="41"/>
      <c r="S72" s="41"/>
    </row>
    <row r="73" spans="2:19" s="53" customFormat="1" x14ac:dyDescent="0.3">
      <c r="B73" s="46"/>
      <c r="C73" s="40"/>
      <c r="E73" s="37"/>
      <c r="F73" s="37"/>
      <c r="G73" s="38"/>
      <c r="H73" s="38"/>
      <c r="I73" s="38"/>
      <c r="J73" s="37"/>
      <c r="K73" s="52"/>
      <c r="L73" s="40"/>
      <c r="M73" s="40"/>
      <c r="N73" s="41"/>
      <c r="O73" s="41"/>
      <c r="P73" s="41"/>
      <c r="Q73" s="43"/>
      <c r="R73" s="41"/>
      <c r="S73" s="41"/>
    </row>
    <row r="74" spans="2:19" s="53" customFormat="1" x14ac:dyDescent="0.3">
      <c r="B74" s="46"/>
      <c r="C74" s="40"/>
      <c r="E74" s="37"/>
      <c r="F74" s="37"/>
      <c r="G74" s="38"/>
      <c r="H74" s="38"/>
      <c r="I74" s="38"/>
      <c r="J74" s="37"/>
      <c r="K74" s="52"/>
      <c r="L74" s="40"/>
      <c r="M74" s="40"/>
      <c r="N74" s="41"/>
      <c r="O74" s="41"/>
      <c r="P74" s="41"/>
      <c r="Q74" s="43"/>
      <c r="R74" s="41"/>
      <c r="S74" s="41"/>
    </row>
    <row r="75" spans="2:19" s="53" customFormat="1" x14ac:dyDescent="0.3">
      <c r="B75" s="46"/>
      <c r="C75" s="40"/>
      <c r="E75" s="37"/>
      <c r="F75" s="37"/>
      <c r="G75" s="38"/>
      <c r="H75" s="38"/>
      <c r="I75" s="38"/>
      <c r="J75" s="37"/>
      <c r="K75" s="52"/>
      <c r="L75" s="40"/>
      <c r="M75" s="40"/>
      <c r="N75" s="41"/>
      <c r="O75" s="41"/>
      <c r="P75" s="41"/>
      <c r="Q75" s="43"/>
      <c r="R75" s="41"/>
      <c r="S75" s="41"/>
    </row>
    <row r="76" spans="2:19" s="53" customFormat="1" x14ac:dyDescent="0.3">
      <c r="B76" s="46"/>
      <c r="C76" s="40"/>
      <c r="E76" s="37"/>
      <c r="F76" s="37"/>
      <c r="G76" s="38"/>
      <c r="H76" s="38"/>
      <c r="I76" s="38"/>
      <c r="J76" s="37"/>
      <c r="K76" s="52"/>
      <c r="L76" s="40"/>
      <c r="M76" s="40"/>
      <c r="N76" s="41"/>
      <c r="O76" s="41"/>
      <c r="P76" s="41"/>
      <c r="Q76" s="43"/>
      <c r="R76" s="41"/>
      <c r="S76" s="41"/>
    </row>
    <row r="77" spans="2:19" s="53" customFormat="1" x14ac:dyDescent="0.3">
      <c r="B77" s="46"/>
      <c r="C77" s="40"/>
      <c r="E77" s="37"/>
      <c r="F77" s="37"/>
      <c r="G77" s="38"/>
      <c r="H77" s="38"/>
      <c r="I77" s="38"/>
      <c r="J77" s="37"/>
      <c r="K77" s="52"/>
      <c r="L77" s="40"/>
      <c r="M77" s="40"/>
      <c r="N77" s="41"/>
      <c r="O77" s="41"/>
      <c r="P77" s="41"/>
      <c r="Q77" s="43"/>
      <c r="R77" s="41"/>
      <c r="S77" s="41"/>
    </row>
    <row r="78" spans="2:19" s="53" customFormat="1" x14ac:dyDescent="0.3">
      <c r="B78" s="46"/>
      <c r="C78" s="40"/>
      <c r="E78" s="37"/>
      <c r="F78" s="37"/>
      <c r="G78" s="38"/>
      <c r="H78" s="38"/>
      <c r="I78" s="38"/>
      <c r="J78" s="37"/>
      <c r="K78" s="52"/>
      <c r="L78" s="40"/>
      <c r="M78" s="40"/>
      <c r="N78" s="41"/>
      <c r="O78" s="41"/>
      <c r="P78" s="41"/>
      <c r="Q78" s="43"/>
      <c r="R78" s="41"/>
      <c r="S78" s="41"/>
    </row>
    <row r="79" spans="2:19" s="53" customFormat="1" x14ac:dyDescent="0.3">
      <c r="B79" s="46"/>
      <c r="C79" s="40"/>
      <c r="E79" s="37"/>
      <c r="F79" s="37"/>
      <c r="G79" s="38"/>
      <c r="H79" s="38"/>
      <c r="I79" s="38"/>
      <c r="J79" s="37"/>
      <c r="K79" s="52"/>
      <c r="L79" s="40"/>
      <c r="M79" s="40"/>
      <c r="N79" s="41"/>
      <c r="O79" s="41"/>
      <c r="P79" s="41"/>
      <c r="Q79" s="43"/>
      <c r="R79" s="41"/>
      <c r="S79" s="41"/>
    </row>
    <row r="80" spans="2:19" s="52" customFormat="1" x14ac:dyDescent="0.3">
      <c r="B80" s="46"/>
      <c r="C80" s="40"/>
      <c r="D80" s="53"/>
      <c r="E80" s="37"/>
      <c r="F80" s="37"/>
      <c r="G80" s="38"/>
      <c r="H80" s="38"/>
      <c r="I80" s="38"/>
      <c r="J80" s="37"/>
      <c r="L80" s="40"/>
      <c r="M80" s="40"/>
      <c r="N80" s="41"/>
      <c r="O80" s="41"/>
      <c r="P80" s="41"/>
      <c r="Q80" s="43"/>
      <c r="R80" s="41"/>
      <c r="S80" s="41"/>
    </row>
    <row r="81" spans="2:19" s="52" customFormat="1" x14ac:dyDescent="0.3">
      <c r="B81" s="46"/>
      <c r="C81" s="40"/>
      <c r="D81" s="53"/>
      <c r="E81" s="37"/>
      <c r="F81" s="37"/>
      <c r="G81" s="38"/>
      <c r="H81" s="38"/>
      <c r="I81" s="38"/>
      <c r="J81" s="37"/>
      <c r="L81" s="40"/>
      <c r="M81" s="40"/>
      <c r="N81" s="41"/>
      <c r="O81" s="41"/>
      <c r="P81" s="41"/>
      <c r="Q81" s="43"/>
      <c r="R81" s="41"/>
      <c r="S81" s="41"/>
    </row>
    <row r="82" spans="2:19" s="52" customFormat="1" x14ac:dyDescent="0.3">
      <c r="B82" s="46"/>
      <c r="C82" s="40"/>
      <c r="D82" s="53"/>
      <c r="E82" s="37"/>
      <c r="F82" s="37"/>
      <c r="G82" s="38"/>
      <c r="H82" s="38"/>
      <c r="I82" s="38"/>
      <c r="J82" s="37"/>
      <c r="L82" s="40"/>
      <c r="M82" s="40"/>
      <c r="N82" s="41"/>
      <c r="O82" s="41"/>
      <c r="P82" s="41"/>
      <c r="Q82" s="43"/>
      <c r="R82" s="41"/>
      <c r="S82" s="41"/>
    </row>
    <row r="83" spans="2:19" s="52" customFormat="1" x14ac:dyDescent="0.3">
      <c r="B83" s="46"/>
      <c r="C83" s="40"/>
      <c r="D83" s="53"/>
      <c r="E83" s="37"/>
      <c r="F83" s="37"/>
      <c r="G83" s="38"/>
      <c r="H83" s="38"/>
      <c r="I83" s="38"/>
      <c r="J83" s="37"/>
      <c r="L83" s="40"/>
      <c r="M83" s="40"/>
      <c r="N83" s="41"/>
      <c r="O83" s="41"/>
      <c r="P83" s="41"/>
      <c r="Q83" s="43"/>
      <c r="R83" s="41"/>
      <c r="S83" s="41"/>
    </row>
    <row r="84" spans="2:19" s="52" customFormat="1" x14ac:dyDescent="0.3">
      <c r="B84" s="46"/>
      <c r="C84" s="40"/>
      <c r="D84" s="53"/>
      <c r="E84" s="37"/>
      <c r="F84" s="37"/>
      <c r="G84" s="38"/>
      <c r="H84" s="38"/>
      <c r="I84" s="38"/>
      <c r="J84" s="37"/>
      <c r="L84" s="40"/>
      <c r="M84" s="40"/>
      <c r="N84" s="41"/>
      <c r="O84" s="41"/>
      <c r="P84" s="41"/>
      <c r="Q84" s="43"/>
      <c r="R84" s="41"/>
      <c r="S84" s="41"/>
    </row>
    <row r="85" spans="2:19" s="52" customFormat="1" x14ac:dyDescent="0.3">
      <c r="B85" s="46"/>
      <c r="C85" s="40"/>
      <c r="D85" s="53"/>
      <c r="E85" s="37"/>
      <c r="F85" s="37"/>
      <c r="G85" s="38"/>
      <c r="H85" s="38"/>
      <c r="I85" s="38"/>
      <c r="J85" s="37"/>
      <c r="L85" s="40"/>
      <c r="M85" s="40"/>
      <c r="N85" s="41"/>
      <c r="O85" s="41"/>
      <c r="P85" s="41"/>
      <c r="Q85" s="43"/>
      <c r="R85" s="41"/>
      <c r="S85" s="41"/>
    </row>
    <row r="86" spans="2:19" s="52" customFormat="1" x14ac:dyDescent="0.3">
      <c r="B86" s="46"/>
      <c r="C86" s="40"/>
      <c r="D86" s="53"/>
      <c r="E86" s="37"/>
      <c r="F86" s="37"/>
      <c r="G86" s="38"/>
      <c r="H86" s="38"/>
      <c r="I86" s="38"/>
      <c r="J86" s="37"/>
      <c r="L86" s="40"/>
      <c r="M86" s="40"/>
      <c r="N86" s="41"/>
      <c r="O86" s="41"/>
      <c r="P86" s="41"/>
      <c r="Q86" s="43"/>
      <c r="R86" s="41"/>
      <c r="S86" s="41"/>
    </row>
    <row r="87" spans="2:19" s="52" customFormat="1" x14ac:dyDescent="0.3">
      <c r="B87" s="46"/>
      <c r="C87" s="40"/>
      <c r="D87" s="53"/>
      <c r="E87" s="37"/>
      <c r="F87" s="37"/>
      <c r="G87" s="38"/>
      <c r="H87" s="38"/>
      <c r="I87" s="38"/>
      <c r="J87" s="37"/>
      <c r="L87" s="40"/>
      <c r="M87" s="40"/>
      <c r="N87" s="41"/>
      <c r="O87" s="41"/>
      <c r="P87" s="41"/>
      <c r="Q87" s="43"/>
      <c r="R87" s="41"/>
      <c r="S87" s="41"/>
    </row>
    <row r="88" spans="2:19" s="52" customFormat="1" x14ac:dyDescent="0.3">
      <c r="B88" s="46"/>
      <c r="C88" s="40"/>
      <c r="D88" s="53"/>
      <c r="E88" s="37"/>
      <c r="F88" s="37"/>
      <c r="G88" s="38"/>
      <c r="H88" s="38"/>
      <c r="I88" s="38"/>
      <c r="J88" s="37"/>
      <c r="L88" s="40"/>
      <c r="M88" s="40"/>
      <c r="N88" s="41"/>
      <c r="O88" s="41"/>
      <c r="P88" s="41"/>
      <c r="Q88" s="43"/>
      <c r="R88" s="41"/>
      <c r="S88" s="41"/>
    </row>
    <row r="89" spans="2:19" s="52" customFormat="1" x14ac:dyDescent="0.3">
      <c r="B89" s="46"/>
      <c r="C89" s="40"/>
      <c r="D89" s="53"/>
      <c r="E89" s="37"/>
      <c r="F89" s="37"/>
      <c r="G89" s="38"/>
      <c r="H89" s="38"/>
      <c r="I89" s="38"/>
      <c r="J89" s="37"/>
      <c r="L89" s="40"/>
      <c r="M89" s="40"/>
      <c r="N89" s="41"/>
      <c r="O89" s="41"/>
      <c r="P89" s="41"/>
      <c r="Q89" s="43"/>
      <c r="R89" s="41"/>
      <c r="S89" s="41"/>
    </row>
    <row r="90" spans="2:19" s="52" customFormat="1" x14ac:dyDescent="0.3">
      <c r="B90" s="46"/>
      <c r="C90" s="40"/>
      <c r="D90" s="53"/>
      <c r="E90" s="37"/>
      <c r="F90" s="37"/>
      <c r="G90" s="38"/>
      <c r="H90" s="38"/>
      <c r="I90" s="38"/>
      <c r="J90" s="37"/>
      <c r="L90" s="40"/>
      <c r="M90" s="40"/>
      <c r="N90" s="41"/>
      <c r="O90" s="41"/>
      <c r="P90" s="41"/>
      <c r="Q90" s="43"/>
      <c r="R90" s="41"/>
      <c r="S90" s="41"/>
    </row>
    <row r="91" spans="2:19" s="52" customFormat="1" x14ac:dyDescent="0.3">
      <c r="B91" s="46"/>
      <c r="C91" s="40"/>
      <c r="D91" s="53"/>
      <c r="E91" s="37"/>
      <c r="F91" s="37"/>
      <c r="G91" s="38"/>
      <c r="H91" s="38"/>
      <c r="I91" s="38"/>
      <c r="J91" s="37"/>
      <c r="L91" s="40"/>
      <c r="M91" s="40"/>
      <c r="N91" s="41"/>
      <c r="O91" s="41"/>
      <c r="P91" s="41"/>
      <c r="Q91" s="43"/>
      <c r="R91" s="41"/>
      <c r="S91" s="41"/>
    </row>
    <row r="92" spans="2:19" s="52" customFormat="1" x14ac:dyDescent="0.3">
      <c r="B92" s="46"/>
      <c r="C92" s="40"/>
      <c r="D92" s="53"/>
      <c r="E92" s="37"/>
      <c r="F92" s="37"/>
      <c r="G92" s="38"/>
      <c r="H92" s="38"/>
      <c r="I92" s="38"/>
      <c r="J92" s="37"/>
      <c r="L92" s="40"/>
      <c r="M92" s="40"/>
      <c r="N92" s="41"/>
      <c r="O92" s="41"/>
      <c r="P92" s="41"/>
      <c r="Q92" s="43"/>
      <c r="R92" s="41"/>
      <c r="S92" s="41"/>
    </row>
    <row r="93" spans="2:19" s="52" customFormat="1" x14ac:dyDescent="0.3">
      <c r="B93" s="46"/>
      <c r="C93" s="40"/>
      <c r="D93" s="53"/>
      <c r="E93" s="37"/>
      <c r="F93" s="37"/>
      <c r="G93" s="38"/>
      <c r="H93" s="38"/>
      <c r="I93" s="38"/>
      <c r="J93" s="37"/>
      <c r="L93" s="40"/>
      <c r="M93" s="40"/>
      <c r="N93" s="41"/>
      <c r="O93" s="41"/>
      <c r="P93" s="41"/>
      <c r="Q93" s="43"/>
      <c r="R93" s="41"/>
      <c r="S93" s="41"/>
    </row>
    <row r="94" spans="2:19" s="52" customFormat="1" x14ac:dyDescent="0.3">
      <c r="B94" s="46"/>
      <c r="C94" s="40"/>
      <c r="D94" s="53"/>
      <c r="E94" s="37"/>
      <c r="F94" s="37"/>
      <c r="G94" s="38"/>
      <c r="H94" s="38"/>
      <c r="I94" s="38"/>
      <c r="J94" s="37"/>
      <c r="L94" s="40"/>
      <c r="M94" s="40"/>
      <c r="N94" s="41"/>
      <c r="O94" s="41"/>
      <c r="P94" s="41"/>
      <c r="Q94" s="43"/>
      <c r="R94" s="41"/>
      <c r="S94" s="41"/>
    </row>
    <row r="95" spans="2:19" s="52" customFormat="1" x14ac:dyDescent="0.3">
      <c r="B95" s="46"/>
      <c r="C95" s="40"/>
      <c r="D95" s="53"/>
      <c r="E95" s="37"/>
      <c r="F95" s="37"/>
      <c r="G95" s="38"/>
      <c r="H95" s="38"/>
      <c r="I95" s="38"/>
      <c r="J95" s="37"/>
      <c r="L95" s="40"/>
      <c r="M95" s="40"/>
      <c r="N95" s="41"/>
      <c r="O95" s="41"/>
      <c r="P95" s="41"/>
      <c r="Q95" s="43"/>
      <c r="R95" s="41"/>
      <c r="S95" s="41"/>
    </row>
    <row r="96" spans="2:19" s="38" customFormat="1" x14ac:dyDescent="0.3">
      <c r="B96" s="46"/>
      <c r="C96" s="40"/>
      <c r="D96" s="53"/>
      <c r="E96" s="37"/>
      <c r="F96" s="37"/>
      <c r="J96" s="37"/>
      <c r="K96" s="52"/>
      <c r="L96" s="40"/>
      <c r="M96" s="40"/>
      <c r="N96" s="41"/>
      <c r="O96" s="41"/>
      <c r="P96" s="41"/>
      <c r="Q96" s="43"/>
      <c r="R96" s="41"/>
      <c r="S96" s="41"/>
    </row>
    <row r="97" spans="2:19" s="38" customFormat="1" x14ac:dyDescent="0.3">
      <c r="B97" s="46"/>
      <c r="C97" s="40"/>
      <c r="D97" s="53"/>
      <c r="E97" s="37"/>
      <c r="F97" s="37"/>
      <c r="J97" s="37"/>
      <c r="K97" s="52"/>
      <c r="L97" s="40"/>
      <c r="M97" s="40"/>
      <c r="N97" s="41"/>
      <c r="O97" s="41"/>
      <c r="P97" s="41"/>
      <c r="Q97" s="43"/>
      <c r="R97" s="41"/>
      <c r="S97" s="41"/>
    </row>
    <row r="98" spans="2:19" s="38" customFormat="1" x14ac:dyDescent="0.3">
      <c r="B98" s="46"/>
      <c r="C98" s="40"/>
      <c r="D98" s="53"/>
      <c r="E98" s="37"/>
      <c r="F98" s="37"/>
      <c r="J98" s="37"/>
      <c r="K98" s="52"/>
      <c r="L98" s="40"/>
      <c r="M98" s="40"/>
      <c r="N98" s="41"/>
      <c r="O98" s="41"/>
      <c r="P98" s="41"/>
      <c r="Q98" s="43"/>
      <c r="R98" s="41"/>
      <c r="S98" s="41"/>
    </row>
    <row r="99" spans="2:19" s="38" customFormat="1" x14ac:dyDescent="0.3">
      <c r="B99" s="46"/>
      <c r="C99" s="40"/>
      <c r="D99" s="53"/>
      <c r="E99" s="37"/>
      <c r="F99" s="37"/>
      <c r="J99" s="37"/>
      <c r="K99" s="52"/>
      <c r="L99" s="40"/>
      <c r="M99" s="40"/>
      <c r="N99" s="41"/>
      <c r="O99" s="41"/>
      <c r="P99" s="41"/>
      <c r="Q99" s="43"/>
      <c r="R99" s="41"/>
      <c r="S99" s="41"/>
    </row>
    <row r="100" spans="2:19" s="38" customFormat="1" x14ac:dyDescent="0.3">
      <c r="B100" s="46"/>
      <c r="C100" s="40"/>
      <c r="D100" s="53"/>
      <c r="E100" s="37"/>
      <c r="F100" s="37"/>
      <c r="J100" s="37"/>
      <c r="K100" s="52"/>
      <c r="L100" s="40"/>
      <c r="M100" s="40"/>
      <c r="N100" s="41"/>
      <c r="O100" s="41"/>
      <c r="P100" s="41"/>
      <c r="Q100" s="43"/>
      <c r="R100" s="41"/>
      <c r="S100" s="41"/>
    </row>
    <row r="101" spans="2:19" s="38" customFormat="1" x14ac:dyDescent="0.3">
      <c r="B101" s="46"/>
      <c r="C101" s="40"/>
      <c r="D101" s="53"/>
      <c r="E101" s="37"/>
      <c r="F101" s="37"/>
      <c r="J101" s="37"/>
      <c r="K101" s="52"/>
      <c r="L101" s="40"/>
      <c r="M101" s="40"/>
      <c r="N101" s="41"/>
      <c r="O101" s="41"/>
      <c r="P101" s="41"/>
      <c r="Q101" s="43"/>
      <c r="R101" s="41"/>
      <c r="S101" s="41"/>
    </row>
    <row r="102" spans="2:19" s="38" customFormat="1" x14ac:dyDescent="0.3">
      <c r="B102" s="46"/>
      <c r="C102" s="40"/>
      <c r="D102" s="53"/>
      <c r="E102" s="37"/>
      <c r="F102" s="37"/>
      <c r="J102" s="37"/>
      <c r="K102" s="52"/>
      <c r="L102" s="40"/>
      <c r="M102" s="40"/>
      <c r="N102" s="41"/>
      <c r="O102" s="41"/>
      <c r="P102" s="41"/>
      <c r="Q102" s="43"/>
      <c r="R102" s="41"/>
      <c r="S102" s="41"/>
    </row>
    <row r="103" spans="2:19" s="38" customFormat="1" x14ac:dyDescent="0.3">
      <c r="B103" s="46"/>
      <c r="C103" s="40"/>
      <c r="D103" s="53"/>
      <c r="E103" s="37"/>
      <c r="F103" s="37"/>
      <c r="J103" s="37"/>
      <c r="K103" s="52"/>
      <c r="L103" s="40"/>
      <c r="M103" s="40"/>
      <c r="N103" s="41"/>
      <c r="O103" s="41"/>
      <c r="P103" s="41"/>
      <c r="Q103" s="43"/>
      <c r="R103" s="41"/>
      <c r="S103" s="41"/>
    </row>
    <row r="104" spans="2:19" s="38" customFormat="1" x14ac:dyDescent="0.3">
      <c r="B104" s="46"/>
      <c r="C104" s="40"/>
      <c r="D104" s="53"/>
      <c r="E104" s="37"/>
      <c r="F104" s="37"/>
      <c r="J104" s="37"/>
      <c r="K104" s="52"/>
      <c r="L104" s="40"/>
      <c r="M104" s="40"/>
      <c r="N104" s="41"/>
      <c r="O104" s="41"/>
      <c r="P104" s="41"/>
      <c r="Q104" s="43"/>
      <c r="R104" s="41"/>
      <c r="S104" s="41"/>
    </row>
    <row r="105" spans="2:19" s="38" customFormat="1" x14ac:dyDescent="0.3">
      <c r="B105" s="46"/>
      <c r="C105" s="40"/>
      <c r="D105" s="53"/>
      <c r="E105" s="37"/>
      <c r="F105" s="37"/>
      <c r="J105" s="37"/>
      <c r="K105" s="52"/>
      <c r="L105" s="40"/>
      <c r="M105" s="40"/>
      <c r="N105" s="41"/>
      <c r="O105" s="41"/>
      <c r="P105" s="41"/>
      <c r="Q105" s="43"/>
      <c r="R105" s="41"/>
      <c r="S105" s="41"/>
    </row>
    <row r="106" spans="2:19" s="38" customFormat="1" x14ac:dyDescent="0.3">
      <c r="B106" s="46"/>
      <c r="C106" s="40"/>
      <c r="D106" s="53"/>
      <c r="E106" s="37"/>
      <c r="F106" s="37"/>
      <c r="J106" s="37"/>
      <c r="K106" s="52"/>
      <c r="L106" s="40"/>
      <c r="M106" s="40"/>
      <c r="N106" s="41"/>
      <c r="O106" s="41"/>
      <c r="P106" s="41"/>
      <c r="Q106" s="43"/>
      <c r="R106" s="41"/>
      <c r="S106" s="41"/>
    </row>
    <row r="107" spans="2:19" s="38" customFormat="1" x14ac:dyDescent="0.3">
      <c r="B107" s="46"/>
      <c r="C107" s="40"/>
      <c r="D107" s="53"/>
      <c r="E107" s="37"/>
      <c r="F107" s="37"/>
      <c r="J107" s="37"/>
      <c r="K107" s="52"/>
      <c r="L107" s="40"/>
      <c r="M107" s="40"/>
      <c r="N107" s="41"/>
      <c r="O107" s="41"/>
      <c r="P107" s="41"/>
      <c r="Q107" s="43"/>
      <c r="R107" s="41"/>
      <c r="S107" s="41"/>
    </row>
    <row r="108" spans="2:19" s="38" customFormat="1" x14ac:dyDescent="0.3">
      <c r="B108" s="46"/>
      <c r="C108" s="40"/>
      <c r="D108" s="53"/>
      <c r="E108" s="37"/>
      <c r="F108" s="37"/>
      <c r="J108" s="37"/>
      <c r="K108" s="52"/>
      <c r="L108" s="40"/>
      <c r="M108" s="40"/>
      <c r="N108" s="41"/>
      <c r="O108" s="41"/>
      <c r="P108" s="41"/>
      <c r="Q108" s="43"/>
      <c r="R108" s="41"/>
      <c r="S108" s="41"/>
    </row>
    <row r="109" spans="2:19" s="38" customFormat="1" x14ac:dyDescent="0.3">
      <c r="B109" s="46"/>
      <c r="C109" s="40"/>
      <c r="D109" s="53"/>
      <c r="E109" s="37"/>
      <c r="F109" s="37"/>
      <c r="J109" s="37"/>
      <c r="K109" s="52"/>
      <c r="L109" s="40"/>
      <c r="M109" s="40"/>
      <c r="N109" s="41"/>
      <c r="O109" s="41"/>
      <c r="P109" s="41"/>
      <c r="Q109" s="43"/>
      <c r="R109" s="41"/>
      <c r="S109" s="41"/>
    </row>
    <row r="110" spans="2:19" s="38" customFormat="1" x14ac:dyDescent="0.3">
      <c r="B110" s="46"/>
      <c r="C110" s="40"/>
      <c r="D110" s="53"/>
      <c r="E110" s="37"/>
      <c r="F110" s="37"/>
      <c r="J110" s="37"/>
      <c r="K110" s="52"/>
      <c r="L110" s="40"/>
      <c r="M110" s="40"/>
      <c r="N110" s="41"/>
      <c r="O110" s="41"/>
      <c r="P110" s="41"/>
      <c r="Q110" s="43"/>
      <c r="R110" s="41"/>
      <c r="S110" s="41"/>
    </row>
    <row r="111" spans="2:19" s="38" customFormat="1" x14ac:dyDescent="0.3">
      <c r="B111" s="46"/>
      <c r="C111" s="40"/>
      <c r="D111" s="53"/>
      <c r="E111" s="37"/>
      <c r="F111" s="37"/>
      <c r="J111" s="37"/>
      <c r="K111" s="52"/>
      <c r="L111" s="40"/>
      <c r="M111" s="40"/>
      <c r="N111" s="41"/>
      <c r="O111" s="41"/>
      <c r="P111" s="41"/>
      <c r="Q111" s="43"/>
      <c r="R111" s="41"/>
      <c r="S111" s="41"/>
    </row>
    <row r="115" spans="2:19" s="38" customFormat="1" x14ac:dyDescent="0.3">
      <c r="B115" s="46"/>
      <c r="C115" s="40"/>
      <c r="D115" s="53"/>
      <c r="E115" s="37"/>
      <c r="F115" s="37"/>
      <c r="J115" s="37"/>
      <c r="K115" s="52"/>
      <c r="L115" s="40"/>
      <c r="M115" s="40"/>
      <c r="N115" s="41"/>
      <c r="O115" s="41"/>
      <c r="P115" s="41"/>
      <c r="Q115" s="43"/>
      <c r="R115" s="41"/>
      <c r="S115" s="41"/>
    </row>
    <row r="120" spans="2:19" s="38" customFormat="1" x14ac:dyDescent="0.3">
      <c r="B120" s="46"/>
      <c r="C120" s="40"/>
      <c r="D120" s="53"/>
      <c r="E120" s="37"/>
      <c r="F120" s="37"/>
      <c r="J120" s="37"/>
      <c r="K120" s="52"/>
      <c r="L120" s="40"/>
      <c r="M120" s="40"/>
      <c r="N120" s="41"/>
      <c r="O120" s="41"/>
      <c r="P120" s="41"/>
      <c r="Q120" s="43"/>
      <c r="R120" s="41"/>
      <c r="S120" s="41"/>
    </row>
    <row r="121" spans="2:19" s="38" customFormat="1" x14ac:dyDescent="0.3">
      <c r="B121" s="46"/>
      <c r="C121" s="40"/>
      <c r="D121" s="53"/>
      <c r="E121" s="37"/>
      <c r="F121" s="37"/>
      <c r="J121" s="37"/>
      <c r="K121" s="52"/>
      <c r="L121" s="40"/>
      <c r="M121" s="40"/>
      <c r="N121" s="41"/>
      <c r="O121" s="41"/>
      <c r="P121" s="41"/>
      <c r="Q121" s="43"/>
      <c r="R121" s="41"/>
      <c r="S121" s="41"/>
    </row>
    <row r="127" spans="2:19" s="38" customFormat="1" x14ac:dyDescent="0.3">
      <c r="B127" s="46"/>
      <c r="C127" s="40"/>
      <c r="D127" s="53"/>
      <c r="E127" s="37"/>
      <c r="F127" s="37"/>
      <c r="J127" s="37"/>
      <c r="K127" s="52"/>
      <c r="L127" s="40"/>
      <c r="M127" s="40"/>
      <c r="N127" s="41"/>
      <c r="O127" s="41"/>
      <c r="P127" s="41"/>
      <c r="Q127" s="43"/>
      <c r="R127" s="41"/>
      <c r="S127" s="41"/>
    </row>
    <row r="128" spans="2:19" s="37" customFormat="1" x14ac:dyDescent="0.3">
      <c r="B128" s="46"/>
      <c r="C128" s="40"/>
      <c r="D128" s="53"/>
      <c r="G128" s="38"/>
      <c r="H128" s="38"/>
      <c r="I128" s="38"/>
      <c r="K128" s="52"/>
      <c r="L128" s="40"/>
      <c r="M128" s="40"/>
      <c r="N128" s="41"/>
      <c r="O128" s="41"/>
      <c r="P128" s="41"/>
      <c r="Q128" s="43"/>
      <c r="R128" s="41"/>
      <c r="S128" s="41"/>
    </row>
    <row r="129" spans="2:19" s="37" customFormat="1" x14ac:dyDescent="0.3">
      <c r="B129" s="46"/>
      <c r="C129" s="40"/>
      <c r="D129" s="53"/>
      <c r="G129" s="38"/>
      <c r="H129" s="38"/>
      <c r="I129" s="38"/>
      <c r="K129" s="52"/>
      <c r="L129" s="40"/>
      <c r="M129" s="40"/>
      <c r="N129" s="41"/>
      <c r="O129" s="41"/>
      <c r="P129" s="41"/>
      <c r="Q129" s="43"/>
      <c r="R129" s="41"/>
      <c r="S129" s="41"/>
    </row>
    <row r="135" spans="2:19" s="37" customFormat="1" x14ac:dyDescent="0.3">
      <c r="B135" s="46"/>
      <c r="C135" s="40"/>
      <c r="D135" s="53"/>
      <c r="G135" s="38"/>
      <c r="H135" s="38"/>
      <c r="I135" s="38"/>
      <c r="K135" s="52"/>
      <c r="L135" s="40"/>
      <c r="M135" s="40"/>
      <c r="N135" s="41"/>
      <c r="O135" s="41"/>
      <c r="P135" s="41"/>
      <c r="Q135" s="43"/>
      <c r="R135" s="41"/>
      <c r="S135" s="41"/>
    </row>
    <row r="136" spans="2:19" s="37" customFormat="1" x14ac:dyDescent="0.3">
      <c r="B136" s="46"/>
      <c r="C136" s="40"/>
      <c r="D136" s="53"/>
      <c r="G136" s="38"/>
      <c r="H136" s="38"/>
      <c r="I136" s="38"/>
      <c r="K136" s="52"/>
      <c r="L136" s="40"/>
      <c r="M136" s="40"/>
      <c r="N136" s="41"/>
      <c r="O136" s="41"/>
      <c r="P136" s="41"/>
      <c r="Q136" s="43"/>
      <c r="R136" s="41"/>
      <c r="S136" s="41"/>
    </row>
    <row r="1048562" spans="2:19" s="60" customFormat="1" x14ac:dyDescent="0.3">
      <c r="B1048562" s="46"/>
      <c r="C1048562" s="40"/>
      <c r="D1048562" s="53"/>
      <c r="E1048562" s="37"/>
      <c r="F1048562" s="37"/>
      <c r="G1048562" s="38"/>
      <c r="H1048562" s="38"/>
      <c r="I1048562" s="38"/>
      <c r="J1048562" s="37"/>
      <c r="K1048562" s="52"/>
      <c r="L1048562" s="40"/>
      <c r="M1048562" s="40"/>
      <c r="N1048562" s="41"/>
      <c r="O1048562" s="41"/>
      <c r="P1048562" s="41"/>
      <c r="Q1048562" s="43"/>
      <c r="R1048562" s="41"/>
      <c r="S1048562" s="41"/>
    </row>
    <row r="1048563" spans="2:19" s="60" customFormat="1" x14ac:dyDescent="0.3">
      <c r="B1048563" s="46"/>
      <c r="C1048563" s="40"/>
      <c r="D1048563" s="53"/>
      <c r="E1048563" s="37"/>
      <c r="F1048563" s="37"/>
      <c r="G1048563" s="38"/>
      <c r="H1048563" s="38"/>
      <c r="I1048563" s="38"/>
      <c r="J1048563" s="37"/>
      <c r="K1048563" s="52"/>
      <c r="L1048563" s="40"/>
      <c r="M1048563" s="40"/>
      <c r="N1048563" s="41"/>
      <c r="O1048563" s="41"/>
      <c r="P1048563" s="41"/>
      <c r="Q1048563" s="43"/>
      <c r="R1048563" s="41"/>
      <c r="S1048563" s="41"/>
    </row>
  </sheetData>
  <conditionalFormatting sqref="C2:C4">
    <cfRule type="cellIs" dxfId="1815" priority="16" operator="greaterThan">
      <formula>0</formula>
    </cfRule>
    <cfRule type="cellIs" dxfId="1814" priority="17" operator="lessThan">
      <formula>0</formula>
    </cfRule>
  </conditionalFormatting>
  <conditionalFormatting sqref="D5">
    <cfRule type="expression" dxfId="1813" priority="44">
      <formula>AND($D5&lt;#REF!,NOT($D5=0))</formula>
    </cfRule>
  </conditionalFormatting>
  <conditionalFormatting sqref="D5:D1048576">
    <cfRule type="cellIs" dxfId="1812" priority="45" operator="lessThan">
      <formula>$D$2</formula>
    </cfRule>
  </conditionalFormatting>
  <conditionalFormatting sqref="D6:D1048576">
    <cfRule type="expression" dxfId="1811" priority="24">
      <formula>AND($D6&lt;$D5,NOT($D6=0))</formula>
    </cfRule>
  </conditionalFormatting>
  <conditionalFormatting sqref="F1:F3">
    <cfRule type="containsText" dxfId="1810" priority="27" operator="containsText" text="BURN">
      <formula>NOT(ISERROR(SEARCH("BURN",F1)))</formula>
    </cfRule>
    <cfRule type="containsText" dxfId="1809" priority="28" operator="containsText" text="DROP">
      <formula>NOT(ISERROR(SEARCH("DROP",F1)))</formula>
    </cfRule>
    <cfRule type="containsText" dxfId="1808" priority="31" operator="containsText" text="SELL">
      <formula>NOT(ISERROR(SEARCH("SELL",F1)))</formula>
    </cfRule>
    <cfRule type="containsText" dxfId="1807" priority="32" operator="containsText" text="BUY">
      <formula>NOT(ISERROR(SEARCH("BUY",F1)))</formula>
    </cfRule>
  </conditionalFormatting>
  <conditionalFormatting sqref="F2">
    <cfRule type="containsText" dxfId="1806" priority="40" operator="containsText" text="SEND">
      <formula>NOT(ISERROR(SEARCH("SEND",F2)))</formula>
    </cfRule>
  </conditionalFormatting>
  <conditionalFormatting sqref="F2:F3">
    <cfRule type="containsText" dxfId="1805" priority="29" operator="containsText" text="RECEIVE">
      <formula>NOT(ISERROR(SEARCH("RECEIVE",F2)))</formula>
    </cfRule>
  </conditionalFormatting>
  <conditionalFormatting sqref="F3">
    <cfRule type="containsText" dxfId="1804" priority="30" operator="containsText" text="SEND">
      <formula>NOT(ISERROR(SEARCH("SEND",F3)))</formula>
    </cfRule>
  </conditionalFormatting>
  <conditionalFormatting sqref="F5:F1048576">
    <cfRule type="containsText" dxfId="1803" priority="33" operator="containsText" text="BURN">
      <formula>NOT(ISERROR(SEARCH("BURN",F5)))</formula>
    </cfRule>
    <cfRule type="containsText" dxfId="1802" priority="38" operator="containsText" text="SELL">
      <formula>NOT(ISERROR(SEARCH("SELL",F5)))</formula>
    </cfRule>
    <cfRule type="containsText" dxfId="1801" priority="39" operator="containsText" text="BUY">
      <formula>NOT(ISERROR(SEARCH("BUY",F5)))</formula>
    </cfRule>
  </conditionalFormatting>
  <conditionalFormatting sqref="I1:I3 I5:I1048576">
    <cfRule type="expression" dxfId="1800" priority="34">
      <formula>AND(F1="RECEIVE",I1&gt;0)</formula>
    </cfRule>
  </conditionalFormatting>
  <conditionalFormatting sqref="M2:M3 M5:M1048576">
    <cfRule type="cellIs" dxfId="1799" priority="41" operator="greaterThan">
      <formula>0</formula>
    </cfRule>
    <cfRule type="cellIs" dxfId="1798" priority="42" operator="lessThan">
      <formula>0</formula>
    </cfRule>
  </conditionalFormatting>
  <conditionalFormatting sqref="N2:N3">
    <cfRule type="cellIs" dxfId="1797" priority="14" operator="lessThan">
      <formula>0</formula>
    </cfRule>
  </conditionalFormatting>
  <conditionalFormatting sqref="P2:P3">
    <cfRule type="expression" dxfId="1796" priority="3">
      <formula>P2&gt;P1</formula>
    </cfRule>
    <cfRule type="expression" dxfId="1795" priority="4">
      <formula>P2&lt;P1</formula>
    </cfRule>
  </conditionalFormatting>
  <conditionalFormatting sqref="Q2:Q3">
    <cfRule type="cellIs" dxfId="1794" priority="13" operator="lessThan">
      <formula>0</formula>
    </cfRule>
  </conditionalFormatting>
  <conditionalFormatting sqref="S2:S3">
    <cfRule type="expression" dxfId="1793" priority="1">
      <formula>S2&gt;S1</formula>
    </cfRule>
    <cfRule type="expression" dxfId="1792" priority="2">
      <formula>S2&lt;S1</formula>
    </cfRule>
  </conditionalFormatting>
  <hyperlinks>
    <hyperlink ref="A1" location="Sumário!A1" display="SUMÁRIO" xr:uid="{FFD6DF2A-A8C3-4FEA-A128-4E634CF8C85E}"/>
    <hyperlink ref="B5" location="Sumário!A1" display="SUMÁRIO" xr:uid="{B270101C-DA5E-46F3-B673-D9ADBCE96438}"/>
    <hyperlink ref="A2" location="'ARCA BSC'!A1" display="ARCA" xr:uid="{F383A9F1-D389-4667-996D-2CAA4465E931}"/>
    <hyperlink ref="B6" location="'ARCA BSC'!A1" display="ARCA" xr:uid="{D60D3526-7F0C-43A3-B86D-636130979780}"/>
    <hyperlink ref="B3" location="'Trades Binance'!D61" display="Transf da Binance" xr:uid="{781BECFC-86A4-431C-BBFD-796479A999A3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66816-40C5-4AB1-AF4E-E69A93E11D45}">
  <dimension ref="A1:Y37"/>
  <sheetViews>
    <sheetView zoomScale="115" zoomScaleNormal="115" workbookViewId="0">
      <selection activeCell="B22" sqref="B22"/>
    </sheetView>
  </sheetViews>
  <sheetFormatPr defaultColWidth="20.33203125" defaultRowHeight="15" x14ac:dyDescent="0.3"/>
  <cols>
    <col min="1" max="1" width="7.5546875" style="44" bestFit="1" customWidth="1"/>
    <col min="2" max="2" width="15.6640625" style="46" bestFit="1" customWidth="1"/>
    <col min="3" max="3" width="14" style="40" bestFit="1" customWidth="1"/>
    <col min="4" max="4" width="15.44140625" style="53" bestFit="1" customWidth="1"/>
    <col min="5" max="5" width="8.109375" style="37" bestFit="1" customWidth="1"/>
    <col min="6" max="6" width="8.6640625" style="37" bestFit="1" customWidth="1"/>
    <col min="7" max="7" width="13.5546875" style="38" bestFit="1" customWidth="1"/>
    <col min="8" max="8" width="10.44140625" style="38" bestFit="1" customWidth="1"/>
    <col min="9" max="9" width="9.33203125" style="38" bestFit="1" customWidth="1"/>
    <col min="10" max="10" width="16.44140625" style="37" bestFit="1" customWidth="1"/>
    <col min="11" max="11" width="15" style="52" bestFit="1" customWidth="1"/>
    <col min="12" max="12" width="16" style="40" bestFit="1" customWidth="1"/>
    <col min="13" max="13" width="12.44140625" style="40" bestFit="1" customWidth="1"/>
    <col min="14" max="14" width="15.5546875" style="68" bestFit="1" customWidth="1"/>
    <col min="15" max="15" width="16.44140625" style="41" bestFit="1" customWidth="1"/>
    <col min="16" max="16" width="19.33203125" style="41" bestFit="1" customWidth="1"/>
    <col min="17" max="17" width="16.5546875" style="42" bestFit="1" customWidth="1"/>
    <col min="18" max="18" width="17.88671875" style="41" bestFit="1" customWidth="1"/>
    <col min="19" max="19" width="20.5546875" style="41" bestFit="1" customWidth="1"/>
    <col min="20" max="20" width="15.88671875" style="43" bestFit="1" customWidth="1"/>
    <col min="21" max="21" width="16.6640625" style="40" bestFit="1" customWidth="1"/>
    <col min="22" max="22" width="19.5546875" style="40" bestFit="1" customWidth="1"/>
    <col min="23" max="23" width="15.5546875" style="43" bestFit="1" customWidth="1"/>
    <col min="24" max="24" width="16.33203125" style="40" bestFit="1" customWidth="1"/>
    <col min="25" max="25" width="19.109375" style="40" bestFit="1" customWidth="1"/>
    <col min="26" max="16384" width="20.33203125" style="44"/>
  </cols>
  <sheetData>
    <row r="1" spans="1:25" x14ac:dyDescent="0.3">
      <c r="A1" s="140" t="s">
        <v>74</v>
      </c>
      <c r="B1" s="62" t="s">
        <v>98</v>
      </c>
      <c r="C1" s="149" t="s">
        <v>99</v>
      </c>
      <c r="D1" s="53" t="s">
        <v>100</v>
      </c>
      <c r="E1" s="37" t="s">
        <v>101</v>
      </c>
      <c r="F1" s="37" t="s">
        <v>102</v>
      </c>
      <c r="G1" s="37" t="s">
        <v>103</v>
      </c>
      <c r="H1" s="38" t="s">
        <v>104</v>
      </c>
      <c r="I1" s="38" t="s">
        <v>105</v>
      </c>
      <c r="J1" s="37" t="s">
        <v>106</v>
      </c>
      <c r="K1" s="39" t="s">
        <v>107</v>
      </c>
      <c r="L1" s="40" t="s">
        <v>108</v>
      </c>
      <c r="M1" s="40" t="s">
        <v>109</v>
      </c>
      <c r="N1" s="68" t="s">
        <v>110</v>
      </c>
      <c r="O1" s="40" t="s">
        <v>111</v>
      </c>
      <c r="P1" s="40" t="s">
        <v>112</v>
      </c>
      <c r="Q1" s="42" t="s">
        <v>113</v>
      </c>
      <c r="R1" s="40" t="s">
        <v>114</v>
      </c>
      <c r="S1" s="40" t="s">
        <v>115</v>
      </c>
      <c r="T1" s="43" t="s">
        <v>116</v>
      </c>
      <c r="U1" s="40" t="s">
        <v>117</v>
      </c>
      <c r="V1" s="40" t="s">
        <v>118</v>
      </c>
      <c r="W1" s="43" t="s">
        <v>128</v>
      </c>
      <c r="X1" s="149" t="s">
        <v>129</v>
      </c>
      <c r="Y1" s="149" t="s">
        <v>130</v>
      </c>
    </row>
    <row r="2" spans="1:25" x14ac:dyDescent="0.3">
      <c r="A2" s="142" t="s">
        <v>90</v>
      </c>
      <c r="B2" s="45" t="s">
        <v>134</v>
      </c>
      <c r="C2" s="40">
        <f>TRUNC(IF(AND(TbTradesBitPreço[[#This Row],[Tipo]]="SEND",TbTradesBitPreço[[#This Row],[Par]]="BRL"),TbTradesBitPreço[[#This Row],[Qtt]]*(1-P1)-IF(TbTradesBitPreço[[#This Row],[Moeda da Taxa]]="BRL",TbTradesBitPreço[[#This Row],[Taxa]],0),0)+IF(AND(TbTradesBitPreço[[#This Row],[Tipo]]="BURN",TbTradesBitPreço[[#This Row],[Par]]="BRL"),-TbTradesBitPreço[[#This Row],[Qtt]]*P1,0),2)</f>
        <v>0</v>
      </c>
      <c r="D2" s="150"/>
      <c r="E2" s="47"/>
      <c r="F2" s="47" t="s">
        <v>135</v>
      </c>
      <c r="G2" s="48"/>
      <c r="H2" s="48"/>
      <c r="I2" s="48"/>
      <c r="J2" s="47"/>
      <c r="K2" s="49"/>
      <c r="L2" s="40">
        <f>TRUNC(K2*G2,2)</f>
        <v>0</v>
      </c>
      <c r="M2" s="40">
        <f>IF(OR(TbTradesBitPreço[[#This Row],[Tipo]]="BUY",TbTradesBitPreço[[#This Row],[Tipo]]="RECEIVE",TbTradesBitPreço[[#This Row],[Tipo]]="DROP"),L2*H2,-L2*H2)</f>
        <v>0</v>
      </c>
      <c r="N2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Row],[Tipo]]="DROP"),N1+TbTradesBitPreço[[#This Row],[Qtt]],N1-TbTradesBitPreço[[#This Row],[Qtt]]),IF(TbTradesBitPreço[[#This Row],[Tipo]]="BUY",N1-TbTradesBitPreço[[#This Row],[Qtt]]*TbTradesBitPreço[[#This Row],[Preço]],N1+TbTradesBitPreço[[#This Row],[Qtt]]*TbTradesBitPreço[[#This Row],[Preço]])),N1)-IF(TbTradesBitPreço[[#This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Row],[Tipo]]="DROP"),N1+TbTradesBitPreço[[#This Row],[Qtt]],N1-TbTradesBitPreço[[#This Row],[Qtt]]),IF(TbTradesBitPreço[[#This Row],[Tipo]]="BUY",N1-TbTradesBitPreço[[#This Row],[Qtt]]*TbTradesBitPreço[[#This Row],[Preço]],N1+TbTradesBitPreço[[#This Row],[Qtt]]*TbTradesBitPreço[[#This Row],[Preço]])),N1)-IF(TbTradesBitPreço[[#This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Row],[Tipo]]="DROP"),N1+TbTradesBitPreço[[#This Row],[Qtt]],N1-TbTradesBitPreço[[#This Row],[Qtt]]),IF(TbTradesBitPreço[[#This Row],[Tipo]]="BUY",N1-TbTradesBitPreço[[#This Row],[Qtt]]*TbTradesBitPreço[[#This Row],[Preço]],N1+TbTradesBitPreço[[#This Row],[Qtt]]*TbTradesBitPreço[[#This Row],[Preço]])),N1)-IF(TbTradesBitPreço[[#This Row],[Moeda da Taxa]]=MID(N$1,9,5),TbTradesBitPreço[[#This Row],[Taxa]],0),8)))</f>
        <v>0</v>
      </c>
      <c r="O2" s="50" cm="1">
        <f t="array" ref="O2">IF(TbTradesBitPreço[[#This Row],[Tipo]]="EMPTY",0,O1+IF(TbTradesBitPreço[[#This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Row],[Par]]))),$1:$1,0)),-(N1-N2)/N1*O1),0),0)+IF(TbTradesBitPreço[[#This Row],[Tipo]]="SELL",IF(ISNUMBER(FIND(MID(O$1,10,5),TbTradesBitPreço[[#This Row],[Par]])),IF(FIND(MID(O$1,10,5),TbTradesBitPreço[[#This Row],[Par]])=1, -(N1-N2)/N1*O1,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Row],[Par]])),(-(N1-N2)/N1*O1)+IF(TbTradesBitPreço[[#This Row],[Resultado]]&gt;0,0,TbTradesBitPreço[[#This Row],[Taxa]]),0),0))</f>
        <v>0</v>
      </c>
      <c r="P2" s="41">
        <f t="shared" ref="P2:P20" si="0">IF(N2=0,0,O2/N2)</f>
        <v>0</v>
      </c>
      <c r="Q2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Row],[Tipo]]="DROP"),Q1+TbTradesBitPreço[[#This Row],[Qtt]],Q1-TbTradesBitPreço[[#This Row],[Qtt]]),IF(TbTradesBitPreço[[#This Row],[Tipo]]="BUY",Q1-TbTradesBitPreço[[#This Row],[Qtt]]*TbTradesBitPreço[[#This Row],[Preço]],Q1+TbTradesBitPreço[[#This Row],[Qtt]]*TbTradesBitPreço[[#This Row],[Preço]])),Q1)-IF(TbTradesBitPreço[[#This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Row],[Tipo]]="DROP"),Q1+TbTradesBitPreço[[#This Row],[Qtt]],Q1-TbTradesBitPreço[[#This Row],[Qtt]]),IF(TbTradesBitPreço[[#This Row],[Tipo]]="BUY",Q1-TbTradesBitPreço[[#This Row],[Qtt]]*TbTradesBitPreço[[#This Row],[Preço]],Q1+TbTradesBitPreço[[#This Row],[Qtt]]*TbTradesBitPreço[[#This Row],[Preço]])),Q1)-IF(TbTradesBitPreço[[#This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Row],[Tipo]]="DROP"),Q1+TbTradesBitPreço[[#This Row],[Qtt]],Q1-TbTradesBitPreço[[#This Row],[Qtt]]),IF(TbTradesBitPreço[[#This Row],[Tipo]]="BUY",Q1-TbTradesBitPreço[[#This Row],[Qtt]]*TbTradesBitPreço[[#This Row],[Preço]],Q1+TbTradesBitPreço[[#This Row],[Qtt]]*TbTradesBitPreço[[#This Row],[Preço]])),Q1)-IF(TbTradesBitPreço[[#This Row],[Moeda da Taxa]]=MID(Q$1,9,5),TbTradesBitPreço[[#This Row],[Taxa]],0),8)))</f>
        <v>0</v>
      </c>
      <c r="R2" s="50" cm="1">
        <f t="array" ref="R2">IF(TbTradesBitPreço[[#This Row],[Tipo]]="EMPTY",0,R1+IF(TbTradesBitPreço[[#This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Row],[Par]]))),$1:$1,0)),-(Q1-Q2)/Q1*R1),0),0)+IF(TbTradesBitPreço[[#This Row],[Tipo]]="SELL",IF(ISNUMBER(FIND(MID(R$1,10,5),TbTradesBitPreço[[#This Row],[Par]])),IF(FIND(MID(R$1,10,5),TbTradesBitPreço[[#This Row],[Par]])=1, -(Q1-Q2)/Q1*R1,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Row],[Par]])),(-(Q1-Q2)/Q1*R1)+IF(TbTradesBitPreço[[#This Row],[Resultado]]&gt;0,0,TbTradesBitPreço[[#This Row],[Taxa]]),0),0))</f>
        <v>0</v>
      </c>
      <c r="S2" s="41">
        <f t="shared" ref="S2:S20" si="1">IF(Q2=0,0,R2/Q2)</f>
        <v>0</v>
      </c>
      <c r="T2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Row],[Tipo]]="DROP"),T1+TbTradesBitPreço[[#This Row],[Qtt]],T1-TbTradesBitPreço[[#This Row],[Qtt]]),IF(TbTradesBitPreço[[#This Row],[Tipo]]="BUY",T1-TbTradesBitPreço[[#This Row],[Qtt]]*TbTradesBitPreço[[#This Row],[Preço]],T1+TbTradesBitPreço[[#This Row],[Qtt]]*TbTradesBitPreço[[#This Row],[Preço]])),T1)-IF(TbTradesBitPreço[[#This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Row],[Tipo]]="DROP"),T1+TbTradesBitPreço[[#This Row],[Qtt]],T1-TbTradesBitPreço[[#This Row],[Qtt]]),IF(TbTradesBitPreço[[#This Row],[Tipo]]="BUY",T1-TbTradesBitPreço[[#This Row],[Qtt]]*TbTradesBitPreço[[#This Row],[Preço]],T1+TbTradesBitPreço[[#This Row],[Qtt]]*TbTradesBitPreço[[#This Row],[Preço]])),T1)-IF(TbTradesBitPreço[[#This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Row],[Tipo]]="DROP"),T1+TbTradesBitPreço[[#This Row],[Qtt]],T1-TbTradesBitPreço[[#This Row],[Qtt]]),IF(TbTradesBitPreço[[#This Row],[Tipo]]="BUY",T1-TbTradesBitPreço[[#This Row],[Qtt]]*TbTradesBitPreço[[#This Row],[Preço]],T1+TbTradesBitPreço[[#This Row],[Qtt]]*TbTradesBitPreço[[#This Row],[Preço]])),T1)-IF(TbTradesBitPreço[[#This Row],[Moeda da Taxa]]=MID(T$1,9,5),TbTradesBitPreço[[#This Row],[Taxa]],0),8)))</f>
        <v>0</v>
      </c>
      <c r="U2" s="50" cm="1">
        <f t="array" ref="U2">IF(TbTradesBitPreço[[#This Row],[Tipo]]="EMPTY",0,U1+IF(TbTradesBitPreço[[#This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Row],[Par]]))),$1:$1,0)),-(T1-T2)/T1*U1),0),0)+IF(TbTradesBitPreço[[#This Row],[Tipo]]="SELL",IF(ISNUMBER(FIND(MID(U$1,10,5),TbTradesBitPreço[[#This Row],[Par]])),IF(FIND(MID(U$1,10,5),TbTradesBitPreço[[#This Row],[Par]])=1, -(T1-T2)/T1*U1,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Row],[Par]])),(-(T1-T2)/T1*U1)+IF(TbTradesBitPreço[[#This Row],[Resultado]]&gt;0,0,TbTradesBitPreço[[#This Row],[Taxa]]),0),0))</f>
        <v>0</v>
      </c>
      <c r="V2" s="41">
        <f t="shared" ref="V2:V20" si="2">IF(T2=0,0,U2/T2)</f>
        <v>0</v>
      </c>
      <c r="W2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Row],[Tipo]]="DROP"),W1+TbTradesBitPreço[[#This Row],[Qtt]],W1-TbTradesBitPreço[[#This Row],[Qtt]]),IF(TbTradesBitPreço[[#This Row],[Tipo]]="BUY",W1-TbTradesBitPreço[[#This Row],[Qtt]]*TbTradesBitPreço[[#This Row],[Preço]],W1+TbTradesBitPreço[[#This Row],[Qtt]]*TbTradesBitPreço[[#This Row],[Preço]])),W1)-IF(TbTradesBitPreço[[#This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Row],[Tipo]]="DROP"),W1+TbTradesBitPreço[[#This Row],[Qtt]],W1-TbTradesBitPreço[[#This Row],[Qtt]]),IF(TbTradesBitPreço[[#This Row],[Tipo]]="BUY",W1-TbTradesBitPreço[[#This Row],[Qtt]]*TbTradesBitPreço[[#This Row],[Preço]],W1+TbTradesBitPreço[[#This Row],[Qtt]]*TbTradesBitPreço[[#This Row],[Preço]])),W1)-IF(TbTradesBitPreço[[#This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Row],[Tipo]]="DROP"),W1+TbTradesBitPreço[[#This Row],[Qtt]],W1-TbTradesBitPreço[[#This Row],[Qtt]]),IF(TbTradesBitPreço[[#This Row],[Tipo]]="BUY",W1-TbTradesBitPreço[[#This Row],[Qtt]]*TbTradesBitPreço[[#This Row],[Preço]],W1+TbTradesBitPreço[[#This Row],[Qtt]]*TbTradesBitPreço[[#This Row],[Preço]])),W1)-IF(TbTradesBitPreço[[#This Row],[Moeda da Taxa]]=MID(W$1,9,5),TbTradesBitPreço[[#This Row],[Taxa]],0),8)))</f>
        <v>0</v>
      </c>
      <c r="X2" s="50" cm="1">
        <f t="array" ref="X2">IF(TbTradesBitPreço[[#This Row],[Tipo]]="EMPTY",0,X1+IF(TbTradesBitPreço[[#This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Row],[Par]]))),$1:$1,0)),-(W1-W2)/W1*X1),0),0)+IF(TbTradesBitPreço[[#This Row],[Tipo]]="SELL",IF(ISNUMBER(FIND(MID(X$1,10,5),TbTradesBitPreço[[#This Row],[Par]])),IF(FIND(MID(X$1,10,5),TbTradesBitPreço[[#This Row],[Par]])=1, -(W1-W2)/W1*X1,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Row],[Par]])),(-(W1-W2)/W1*X1)+IF(TbTradesBitPreço[[#This Row],[Resultado]]&gt;0,0,TbTradesBitPreço[[#This Row],[Taxa]]),0),0))</f>
        <v>0</v>
      </c>
      <c r="Y2" s="41">
        <f t="shared" ref="Y2:Y20" si="3">IF(W2=0,0,X2/W2)</f>
        <v>0</v>
      </c>
    </row>
    <row r="3" spans="1:25" x14ac:dyDescent="0.3">
      <c r="B3" s="51" t="s">
        <v>136</v>
      </c>
      <c r="C3" s="40">
        <f>TRUNC(IF(AND(TbTradesBitPreço[[#This Row],[Tipo]]="SEND",TbTradesBitPreço[[#This Row],[Par]]="BRL"),TbTradesBitPreço[[#This Row],[Qtt]]*(1-P2)-IF(TbTradesBitPreço[[#This Row],[Moeda da Taxa]]="BRL",TbTradesBitPreço[[#This Row],[Taxa]],0),0)+IF(AND(TbTradesBitPreço[[#This Row],[Tipo]]="BURN",TbTradesBitPreço[[#This Row],[Par]]="BRL"),-TbTradesBitPreço[[#This Row],[Qtt]]*P2,0),2)</f>
        <v>0</v>
      </c>
      <c r="D3" s="53">
        <v>44234.689351851855</v>
      </c>
      <c r="E3" s="37" t="s">
        <v>50</v>
      </c>
      <c r="F3" s="37" t="s">
        <v>137</v>
      </c>
      <c r="G3" s="38">
        <v>1</v>
      </c>
      <c r="H3" s="38">
        <v>100</v>
      </c>
      <c r="I3" s="38">
        <v>0</v>
      </c>
      <c r="J3" s="37" t="s">
        <v>50</v>
      </c>
      <c r="K3" s="52">
        <v>1</v>
      </c>
      <c r="L3" s="40">
        <f>TRUNC(K3*G3,2)</f>
        <v>1</v>
      </c>
      <c r="M3" s="40">
        <f>IF(OR(TbTradesBitPreço[[#This Row],[Tipo]]="BUY",TbTradesBitPreço[[#This Row],[Tipo]]="RECEIVE",TbTradesBitPreço[[#This Row],[Tipo]]="DROP"),L3*H3,-L3*H3)</f>
        <v>100</v>
      </c>
      <c r="N3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Row],[Tipo]]="DROP"),N2+TbTradesBitPreço[[#This Row],[Qtt]],N2-TbTradesBitPreço[[#This Row],[Qtt]]),IF(TbTradesBitPreço[[#This Row],[Tipo]]="BUY",N2-TbTradesBitPreço[[#This Row],[Qtt]]*TbTradesBitPreço[[#This Row],[Preço]],N2+TbTradesBitPreço[[#This Row],[Qtt]]*TbTradesBitPreço[[#This Row],[Preço]])),N2)-IF(TbTradesBitPreço[[#This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Row],[Tipo]]="DROP"),N2+TbTradesBitPreço[[#This Row],[Qtt]],N2-TbTradesBitPreço[[#This Row],[Qtt]]),IF(TbTradesBitPreço[[#This Row],[Tipo]]="BUY",N2-TbTradesBitPreço[[#This Row],[Qtt]]*TbTradesBitPreço[[#This Row],[Preço]],N2+TbTradesBitPreço[[#This Row],[Qtt]]*TbTradesBitPreço[[#This Row],[Preço]])),N2)-IF(TbTradesBitPreço[[#This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Row],[Tipo]]="DROP"),N2+TbTradesBitPreço[[#This Row],[Qtt]],N2-TbTradesBitPreço[[#This Row],[Qtt]]),IF(TbTradesBitPreço[[#This Row],[Tipo]]="BUY",N2-TbTradesBitPreço[[#This Row],[Qtt]]*TbTradesBitPreço[[#This Row],[Preço]],N2+TbTradesBitPreço[[#This Row],[Qtt]]*TbTradesBitPreço[[#This Row],[Preço]])),N2)-IF(TbTradesBitPreço[[#This Row],[Moeda da Taxa]]=MID(N$1,9,5),TbTradesBitPreço[[#This Row],[Taxa]],0),8)))</f>
        <v>100</v>
      </c>
      <c r="O3" s="50" cm="1">
        <f t="array" ref="O3">IF(TbTradesBitPreço[[#This Row],[Tipo]]="EMPTY",0,O2+IF(TbTradesBitPreço[[#This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Row],[Par]]))),$1:$1,0)),-(N2-N3)/N2*O2),0),0)+IF(TbTradesBitPreço[[#This Row],[Tipo]]="SELL",IF(ISNUMBER(FIND(MID(O$1,10,5),TbTradesBitPreço[[#This Row],[Par]])),IF(FIND(MID(O$1,10,5),TbTradesBitPreço[[#This Row],[Par]])=1, -(N2-N3)/N2*O2,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Row],[Par]])),(-(N2-N3)/N2*O2)+IF(TbTradesBitPreço[[#This Row],[Resultado]]&gt;0,0,TbTradesBitPreço[[#This Row],[Taxa]]),0),0))</f>
        <v>100</v>
      </c>
      <c r="P3" s="41">
        <f t="shared" si="0"/>
        <v>1</v>
      </c>
      <c r="Q3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Row],[Tipo]]="DROP"),Q2+TbTradesBitPreço[[#This Row],[Qtt]],Q2-TbTradesBitPreço[[#This Row],[Qtt]]),IF(TbTradesBitPreço[[#This Row],[Tipo]]="BUY",Q2-TbTradesBitPreço[[#This Row],[Qtt]]*TbTradesBitPreço[[#This Row],[Preço]],Q2+TbTradesBitPreço[[#This Row],[Qtt]]*TbTradesBitPreço[[#This Row],[Preço]])),Q2)-IF(TbTradesBitPreço[[#This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Row],[Tipo]]="DROP"),Q2+TbTradesBitPreço[[#This Row],[Qtt]],Q2-TbTradesBitPreço[[#This Row],[Qtt]]),IF(TbTradesBitPreço[[#This Row],[Tipo]]="BUY",Q2-TbTradesBitPreço[[#This Row],[Qtt]]*TbTradesBitPreço[[#This Row],[Preço]],Q2+TbTradesBitPreço[[#This Row],[Qtt]]*TbTradesBitPreço[[#This Row],[Preço]])),Q2)-IF(TbTradesBitPreço[[#This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Row],[Tipo]]="DROP"),Q2+TbTradesBitPreço[[#This Row],[Qtt]],Q2-TbTradesBitPreço[[#This Row],[Qtt]]),IF(TbTradesBitPreço[[#This Row],[Tipo]]="BUY",Q2-TbTradesBitPreço[[#This Row],[Qtt]]*TbTradesBitPreço[[#This Row],[Preço]],Q2+TbTradesBitPreço[[#This Row],[Qtt]]*TbTradesBitPreço[[#This Row],[Preço]])),Q2)-IF(TbTradesBitPreço[[#This Row],[Moeda da Taxa]]=MID(Q$1,9,5),TbTradesBitPreço[[#This Row],[Taxa]],0),8)))</f>
        <v>0</v>
      </c>
      <c r="R3" s="50" cm="1">
        <f t="array" ref="R3">IF(TbTradesBitPreço[[#This Row],[Tipo]]="EMPTY",0,R2+IF(TbTradesBitPreço[[#This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Row],[Par]]))),$1:$1,0)),-(Q2-Q3)/Q2*R2),0),0)+IF(TbTradesBitPreço[[#This Row],[Tipo]]="SELL",IF(ISNUMBER(FIND(MID(R$1,10,5),TbTradesBitPreço[[#This Row],[Par]])),IF(FIND(MID(R$1,10,5),TbTradesBitPreço[[#This Row],[Par]])=1, -(Q2-Q3)/Q2*R2,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Row],[Par]])),(-(Q2-Q3)/Q2*R2)+IF(TbTradesBitPreço[[#This Row],[Resultado]]&gt;0,0,TbTradesBitPreço[[#This Row],[Taxa]]),0),0))</f>
        <v>0</v>
      </c>
      <c r="S3" s="41">
        <f t="shared" si="1"/>
        <v>0</v>
      </c>
      <c r="T3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Row],[Tipo]]="DROP"),T2+TbTradesBitPreço[[#This Row],[Qtt]],T2-TbTradesBitPreço[[#This Row],[Qtt]]),IF(TbTradesBitPreço[[#This Row],[Tipo]]="BUY",T2-TbTradesBitPreço[[#This Row],[Qtt]]*TbTradesBitPreço[[#This Row],[Preço]],T2+TbTradesBitPreço[[#This Row],[Qtt]]*TbTradesBitPreço[[#This Row],[Preço]])),T2)-IF(TbTradesBitPreço[[#This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Row],[Tipo]]="DROP"),T2+TbTradesBitPreço[[#This Row],[Qtt]],T2-TbTradesBitPreço[[#This Row],[Qtt]]),IF(TbTradesBitPreço[[#This Row],[Tipo]]="BUY",T2-TbTradesBitPreço[[#This Row],[Qtt]]*TbTradesBitPreço[[#This Row],[Preço]],T2+TbTradesBitPreço[[#This Row],[Qtt]]*TbTradesBitPreço[[#This Row],[Preço]])),T2)-IF(TbTradesBitPreço[[#This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Row],[Tipo]]="DROP"),T2+TbTradesBitPreço[[#This Row],[Qtt]],T2-TbTradesBitPreço[[#This Row],[Qtt]]),IF(TbTradesBitPreço[[#This Row],[Tipo]]="BUY",T2-TbTradesBitPreço[[#This Row],[Qtt]]*TbTradesBitPreço[[#This Row],[Preço]],T2+TbTradesBitPreço[[#This Row],[Qtt]]*TbTradesBitPreço[[#This Row],[Preço]])),T2)-IF(TbTradesBitPreço[[#This Row],[Moeda da Taxa]]=MID(T$1,9,5),TbTradesBitPreço[[#This Row],[Taxa]],0),8)))</f>
        <v>0</v>
      </c>
      <c r="U3" s="50" cm="1">
        <f t="array" ref="U3">IF(TbTradesBitPreço[[#This Row],[Tipo]]="EMPTY",0,U2+IF(TbTradesBitPreço[[#This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Row],[Par]]))),$1:$1,0)),-(T2-T3)/T2*U2),0),0)+IF(TbTradesBitPreço[[#This Row],[Tipo]]="SELL",IF(ISNUMBER(FIND(MID(U$1,10,5),TbTradesBitPreço[[#This Row],[Par]])),IF(FIND(MID(U$1,10,5),TbTradesBitPreço[[#This Row],[Par]])=1, -(T2-T3)/T2*U2,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Row],[Par]])),(-(T2-T3)/T2*U2)+IF(TbTradesBitPreço[[#This Row],[Resultado]]&gt;0,0,TbTradesBitPreço[[#This Row],[Taxa]]),0),0))</f>
        <v>0</v>
      </c>
      <c r="V3" s="41">
        <f t="shared" si="2"/>
        <v>0</v>
      </c>
      <c r="W3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Row],[Tipo]]="DROP"),W2+TbTradesBitPreço[[#This Row],[Qtt]],W2-TbTradesBitPreço[[#This Row],[Qtt]]),IF(TbTradesBitPreço[[#This Row],[Tipo]]="BUY",W2-TbTradesBitPreço[[#This Row],[Qtt]]*TbTradesBitPreço[[#This Row],[Preço]],W2+TbTradesBitPreço[[#This Row],[Qtt]]*TbTradesBitPreço[[#This Row],[Preço]])),W2)-IF(TbTradesBitPreço[[#This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Row],[Tipo]]="DROP"),W2+TbTradesBitPreço[[#This Row],[Qtt]],W2-TbTradesBitPreço[[#This Row],[Qtt]]),IF(TbTradesBitPreço[[#This Row],[Tipo]]="BUY",W2-TbTradesBitPreço[[#This Row],[Qtt]]*TbTradesBitPreço[[#This Row],[Preço]],W2+TbTradesBitPreço[[#This Row],[Qtt]]*TbTradesBitPreço[[#This Row],[Preço]])),W2)-IF(TbTradesBitPreço[[#This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Row],[Tipo]]="DROP"),W2+TbTradesBitPreço[[#This Row],[Qtt]],W2-TbTradesBitPreço[[#This Row],[Qtt]]),IF(TbTradesBitPreço[[#This Row],[Tipo]]="BUY",W2-TbTradesBitPreço[[#This Row],[Qtt]]*TbTradesBitPreço[[#This Row],[Preço]],W2+TbTradesBitPreço[[#This Row],[Qtt]]*TbTradesBitPreço[[#This Row],[Preço]])),W2)-IF(TbTradesBitPreço[[#This Row],[Moeda da Taxa]]=MID(W$1,9,5),TbTradesBitPreço[[#This Row],[Taxa]],0),8)))</f>
        <v>0</v>
      </c>
      <c r="X3" s="50" cm="1">
        <f t="array" ref="X3">IF(TbTradesBitPreço[[#This Row],[Tipo]]="EMPTY",0,X2+IF(TbTradesBitPreço[[#This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Row],[Par]]))),$1:$1,0)),-(W2-W3)/W2*X2),0),0)+IF(TbTradesBitPreço[[#This Row],[Tipo]]="SELL",IF(ISNUMBER(FIND(MID(X$1,10,5),TbTradesBitPreço[[#This Row],[Par]])),IF(FIND(MID(X$1,10,5),TbTradesBitPreço[[#This Row],[Par]])=1, -(W2-W3)/W2*X2,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Row],[Par]])),(-(W2-W3)/W2*X2)+IF(TbTradesBitPreço[[#This Row],[Resultado]]&gt;0,0,TbTradesBitPreço[[#This Row],[Taxa]]),0),0))</f>
        <v>0</v>
      </c>
      <c r="Y3" s="41">
        <f t="shared" si="3"/>
        <v>0</v>
      </c>
    </row>
    <row r="4" spans="1:25" x14ac:dyDescent="0.3">
      <c r="B4" s="40"/>
      <c r="C4" s="40">
        <f>TRUNC(IF(AND(TbTradesBitPreço[[#This Row],[Tipo]]="SEND",TbTradesBitPreço[[#This Row],[Par]]="BRL"),TbTradesBitPreço[[#This Row],[Qtt]]*(1-P3)-IF(TbTradesBitPreço[[#This Row],[Moeda da Taxa]]="BRL",TbTradesBitPreço[[#This Row],[Taxa]],0),0)+IF(AND(TbTradesBitPreço[[#This Row],[Tipo]]="BURN",TbTradesBitPreço[[#This Row],[Par]]="BRL"),-TbTradesBitPreço[[#This Row],[Qtt]]*P3,0),2)</f>
        <v>0</v>
      </c>
      <c r="D4" s="53">
        <v>44234.689351851855</v>
      </c>
      <c r="E4" s="37" t="s">
        <v>147</v>
      </c>
      <c r="F4" s="37" t="s">
        <v>139</v>
      </c>
      <c r="G4" s="38">
        <v>8690.2631329624164</v>
      </c>
      <c r="H4" s="38">
        <v>1.1504830000000001E-2</v>
      </c>
      <c r="I4" s="38">
        <v>0</v>
      </c>
      <c r="J4" s="37" t="s">
        <v>8</v>
      </c>
      <c r="K4" s="52">
        <v>1</v>
      </c>
      <c r="L4" s="40">
        <f t="shared" ref="L4:L20" si="4">TRUNC(K4*G4,2)</f>
        <v>8690.26</v>
      </c>
      <c r="M4" s="40">
        <f>IF(OR(TbTradesBitPreço[[#This Row],[Tipo]]="BUY",TbTradesBitPreço[[#This Row],[Tipo]]="RECEIVE",TbTradesBitPreço[[#This Row],[Tipo]]="DROP"),L4*H4,-L4*H4)</f>
        <v>99.979963955800002</v>
      </c>
      <c r="N4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Row],[Tipo]]="DROP"),N3+TbTradesBitPreço[[#This Row],[Qtt]],N3-TbTradesBitPreço[[#This Row],[Qtt]]),IF(TbTradesBitPreço[[#This Row],[Tipo]]="BUY",N3-TbTradesBitPreço[[#This Row],[Qtt]]*TbTradesBitPreço[[#This Row],[Preço]],N3+TbTradesBitPreço[[#This Row],[Qtt]]*TbTradesBitPreço[[#This Row],[Preço]])),N3)-IF(TbTradesBitPreço[[#This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Row],[Tipo]]="DROP"),N3+TbTradesBitPreço[[#This Row],[Qtt]],N3-TbTradesBitPreço[[#This Row],[Qtt]]),IF(TbTradesBitPreço[[#This Row],[Tipo]]="BUY",N3-TbTradesBitPreço[[#This Row],[Qtt]]*TbTradesBitPreço[[#This Row],[Preço]],N3+TbTradesBitPreço[[#This Row],[Qtt]]*TbTradesBitPreço[[#This Row],[Preço]])),N3)-IF(TbTradesBitPreço[[#This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Row],[Tipo]]="DROP"),N3+TbTradesBitPreço[[#This Row],[Qtt]],N3-TbTradesBitPreço[[#This Row],[Qtt]]),IF(TbTradesBitPreço[[#This Row],[Tipo]]="BUY",N3-TbTradesBitPreço[[#This Row],[Qtt]]*TbTradesBitPreço[[#This Row],[Preço]],N3+TbTradesBitPreço[[#This Row],[Qtt]]*TbTradesBitPreço[[#This Row],[Preço]])),N3)-IF(TbTradesBitPreço[[#This Row],[Moeda da Taxa]]=MID(N$1,9,5),TbTradesBitPreço[[#This Row],[Taxa]],0),8)))</f>
        <v>1.9999989999999999E-2</v>
      </c>
      <c r="O4" s="50" cm="1">
        <f t="array" ref="O4">IF(TbTradesBitPreço[[#This Row],[Tipo]]="EMPTY",0,O3+IF(TbTradesBitPreço[[#This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Row],[Par]]))),$1:$1,0)),-(N3-N4)/N3*O3),0),0)+IF(TbTradesBitPreço[[#This Row],[Tipo]]="SELL",IF(ISNUMBER(FIND(MID(O$1,10,5),TbTradesBitPreço[[#This Row],[Par]])),IF(FIND(MID(O$1,10,5),TbTradesBitPreço[[#This Row],[Par]])=1, -(N3-N4)/N3*O3,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Row],[Par]])),(-(N3-N4)/N3*O3)+IF(TbTradesBitPreço[[#This Row],[Resultado]]&gt;0,0,TbTradesBitPreço[[#This Row],[Taxa]]),0),0))</f>
        <v>1.9999990000002299E-2</v>
      </c>
      <c r="P4" s="41">
        <f t="shared" si="0"/>
        <v>1.000000000000115</v>
      </c>
      <c r="Q4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Row],[Tipo]]="DROP"),Q3+TbTradesBitPreço[[#This Row],[Qtt]],Q3-TbTradesBitPreço[[#This Row],[Qtt]]),IF(TbTradesBitPreço[[#This Row],[Tipo]]="BUY",Q3-TbTradesBitPreço[[#This Row],[Qtt]]*TbTradesBitPreço[[#This Row],[Preço]],Q3+TbTradesBitPreço[[#This Row],[Qtt]]*TbTradesBitPreço[[#This Row],[Preço]])),Q3)-IF(TbTradesBitPreço[[#This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Row],[Tipo]]="DROP"),Q3+TbTradesBitPreço[[#This Row],[Qtt]],Q3-TbTradesBitPreço[[#This Row],[Qtt]]),IF(TbTradesBitPreço[[#This Row],[Tipo]]="BUY",Q3-TbTradesBitPreço[[#This Row],[Qtt]]*TbTradesBitPreço[[#This Row],[Preço]],Q3+TbTradesBitPreço[[#This Row],[Qtt]]*TbTradesBitPreço[[#This Row],[Preço]])),Q3)-IF(TbTradesBitPreço[[#This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Row],[Tipo]]="DROP"),Q3+TbTradesBitPreço[[#This Row],[Qtt]],Q3-TbTradesBitPreço[[#This Row],[Qtt]]),IF(TbTradesBitPreço[[#This Row],[Tipo]]="BUY",Q3-TbTradesBitPreço[[#This Row],[Qtt]]*TbTradesBitPreço[[#This Row],[Preço]],Q3+TbTradesBitPreço[[#This Row],[Qtt]]*TbTradesBitPreço[[#This Row],[Preço]])),Q3)-IF(TbTradesBitPreço[[#This Row],[Moeda da Taxa]]=MID(Q$1,9,5),TbTradesBitPreço[[#This Row],[Taxa]],0),8)))</f>
        <v>0</v>
      </c>
      <c r="R4" s="50" cm="1">
        <f t="array" ref="R4">IF(TbTradesBitPreço[[#This Row],[Tipo]]="EMPTY",0,R3+IF(TbTradesBitPreço[[#This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Row],[Par]]))),$1:$1,0)),-(Q3-Q4)/Q3*R3),0),0)+IF(TbTradesBitPreço[[#This Row],[Tipo]]="SELL",IF(ISNUMBER(FIND(MID(R$1,10,5),TbTradesBitPreço[[#This Row],[Par]])),IF(FIND(MID(R$1,10,5),TbTradesBitPreço[[#This Row],[Par]])=1, -(Q3-Q4)/Q3*R3,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Row],[Par]])),(-(Q3-Q4)/Q3*R3)+IF(TbTradesBitPreço[[#This Row],[Resultado]]&gt;0,0,TbTradesBitPreço[[#This Row],[Taxa]]),0),0))</f>
        <v>0</v>
      </c>
      <c r="S4" s="41">
        <f t="shared" si="1"/>
        <v>0</v>
      </c>
      <c r="T4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Row],[Tipo]]="DROP"),T3+TbTradesBitPreço[[#This Row],[Qtt]],T3-TbTradesBitPreço[[#This Row],[Qtt]]),IF(TbTradesBitPreço[[#This Row],[Tipo]]="BUY",T3-TbTradesBitPreço[[#This Row],[Qtt]]*TbTradesBitPreço[[#This Row],[Preço]],T3+TbTradesBitPreço[[#This Row],[Qtt]]*TbTradesBitPreço[[#This Row],[Preço]])),T3)-IF(TbTradesBitPreço[[#This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Row],[Tipo]]="DROP"),T3+TbTradesBitPreço[[#This Row],[Qtt]],T3-TbTradesBitPreço[[#This Row],[Qtt]]),IF(TbTradesBitPreço[[#This Row],[Tipo]]="BUY",T3-TbTradesBitPreço[[#This Row],[Qtt]]*TbTradesBitPreço[[#This Row],[Preço]],T3+TbTradesBitPreço[[#This Row],[Qtt]]*TbTradesBitPreço[[#This Row],[Preço]])),T3)-IF(TbTradesBitPreço[[#This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Row],[Tipo]]="DROP"),T3+TbTradesBitPreço[[#This Row],[Qtt]],T3-TbTradesBitPreço[[#This Row],[Qtt]]),IF(TbTradesBitPreço[[#This Row],[Tipo]]="BUY",T3-TbTradesBitPreço[[#This Row],[Qtt]]*TbTradesBitPreço[[#This Row],[Preço]],T3+TbTradesBitPreço[[#This Row],[Qtt]]*TbTradesBitPreço[[#This Row],[Preço]])),T3)-IF(TbTradesBitPreço[[#This Row],[Moeda da Taxa]]=MID(T$1,9,5),TbTradesBitPreço[[#This Row],[Taxa]],0),8)))</f>
        <v>0</v>
      </c>
      <c r="U4" s="50" cm="1">
        <f t="array" ref="U4">IF(TbTradesBitPreço[[#This Row],[Tipo]]="EMPTY",0,U3+IF(TbTradesBitPreço[[#This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Row],[Par]]))),$1:$1,0)),-(T3-T4)/T3*U3),0),0)+IF(TbTradesBitPreço[[#This Row],[Tipo]]="SELL",IF(ISNUMBER(FIND(MID(U$1,10,5),TbTradesBitPreço[[#This Row],[Par]])),IF(FIND(MID(U$1,10,5),TbTradesBitPreço[[#This Row],[Par]])=1, -(T3-T4)/T3*U3,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Row],[Par]])),(-(T3-T4)/T3*U3)+IF(TbTradesBitPreço[[#This Row],[Resultado]]&gt;0,0,TbTradesBitPreço[[#This Row],[Taxa]]),0),0))</f>
        <v>0</v>
      </c>
      <c r="V4" s="41">
        <f t="shared" si="2"/>
        <v>0</v>
      </c>
      <c r="W4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Row],[Tipo]]="DROP"),W3+TbTradesBitPreço[[#This Row],[Qtt]],W3-TbTradesBitPreço[[#This Row],[Qtt]]),IF(TbTradesBitPreço[[#This Row],[Tipo]]="BUY",W3-TbTradesBitPreço[[#This Row],[Qtt]]*TbTradesBitPreço[[#This Row],[Preço]],W3+TbTradesBitPreço[[#This Row],[Qtt]]*TbTradesBitPreço[[#This Row],[Preço]])),W3)-IF(TbTradesBitPreço[[#This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Row],[Tipo]]="DROP"),W3+TbTradesBitPreço[[#This Row],[Qtt]],W3-TbTradesBitPreço[[#This Row],[Qtt]]),IF(TbTradesBitPreço[[#This Row],[Tipo]]="BUY",W3-TbTradesBitPreço[[#This Row],[Qtt]]*TbTradesBitPreço[[#This Row],[Preço]],W3+TbTradesBitPreço[[#This Row],[Qtt]]*TbTradesBitPreço[[#This Row],[Preço]])),W3)-IF(TbTradesBitPreço[[#This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Row],[Tipo]]="DROP"),W3+TbTradesBitPreço[[#This Row],[Qtt]],W3-TbTradesBitPreço[[#This Row],[Qtt]]),IF(TbTradesBitPreço[[#This Row],[Tipo]]="BUY",W3-TbTradesBitPreço[[#This Row],[Qtt]]*TbTradesBitPreço[[#This Row],[Preço]],W3+TbTradesBitPreço[[#This Row],[Qtt]]*TbTradesBitPreço[[#This Row],[Preço]])),W3)-IF(TbTradesBitPreço[[#This Row],[Moeda da Taxa]]=MID(W$1,9,5),TbTradesBitPreço[[#This Row],[Taxa]],0),8)))</f>
        <v>1.1504830000000001E-2</v>
      </c>
      <c r="X4" s="50" cm="1">
        <f t="array" ref="X4">IF(TbTradesBitPreço[[#This Row],[Tipo]]="EMPTY",0,X3+IF(TbTradesBitPreço[[#This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Row],[Par]]))),$1:$1,0)),-(W3-W4)/W3*X3),0),0)+IF(TbTradesBitPreço[[#This Row],[Tipo]]="SELL",IF(ISNUMBER(FIND(MID(X$1,10,5),TbTradesBitPreço[[#This Row],[Par]])),IF(FIND(MID(X$1,10,5),TbTradesBitPreço[[#This Row],[Par]])=1, -(W3-W4)/W3*X3,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Row],[Par]])),(-(W3-W4)/W3*X3)+IF(TbTradesBitPreço[[#This Row],[Resultado]]&gt;0,0,TbTradesBitPreço[[#This Row],[Taxa]]),0),0))</f>
        <v>99.980000009999998</v>
      </c>
      <c r="Y4" s="41">
        <f t="shared" si="3"/>
        <v>8690.2631338316169</v>
      </c>
    </row>
    <row r="5" spans="1:25" x14ac:dyDescent="0.3">
      <c r="B5" s="40"/>
      <c r="C5" s="40">
        <f>TRUNC(IF(AND(TbTradesBitPreço[[#This Row],[Tipo]]="SEND",TbTradesBitPreço[[#This Row],[Par]]="BRL"),TbTradesBitPreço[[#This Row],[Qtt]]*(1-P4)-IF(TbTradesBitPreço[[#This Row],[Moeda da Taxa]]="BRL",TbTradesBitPreço[[#This Row],[Taxa]],0),0)+IF(AND(TbTradesBitPreço[[#This Row],[Tipo]]="BURN",TbTradesBitPreço[[#This Row],[Par]]="BRL"),-TbTradesBitPreço[[#This Row],[Qtt]]*P4,0),2)</f>
        <v>0</v>
      </c>
      <c r="D5" s="53">
        <v>44251.53943287037</v>
      </c>
      <c r="E5" s="37" t="s">
        <v>147</v>
      </c>
      <c r="F5" s="37" t="s">
        <v>140</v>
      </c>
      <c r="G5" s="38">
        <f>52.34/TbTradesBitPreço[[#This Row],[Qtt]]</f>
        <v>9098.779296365703</v>
      </c>
      <c r="H5" s="38">
        <v>5.7524200000000003E-3</v>
      </c>
      <c r="I5" s="38">
        <v>0</v>
      </c>
      <c r="J5" s="37" t="s">
        <v>8</v>
      </c>
      <c r="K5" s="52">
        <v>1</v>
      </c>
      <c r="L5" s="40">
        <f t="shared" si="4"/>
        <v>9098.77</v>
      </c>
      <c r="M5" s="40">
        <f>IF(OR(TbTradesBitPreço[[#This Row],[Tipo]]="BUY",TbTradesBitPreço[[#This Row],[Tipo]]="RECEIVE",TbTradesBitPreço[[#This Row],[Tipo]]="DROP"),L5*H5,-L5*H5)</f>
        <v>-52.339946523400002</v>
      </c>
      <c r="N5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Row],[Tipo]]="DROP"),N4+TbTradesBitPreço[[#This Row],[Qtt]],N4-TbTradesBitPreço[[#This Row],[Qtt]]),IF(TbTradesBitPreço[[#This Row],[Tipo]]="BUY",N4-TbTradesBitPreço[[#This Row],[Qtt]]*TbTradesBitPreço[[#This Row],[Preço]],N4+TbTradesBitPreço[[#This Row],[Qtt]]*TbTradesBitPreço[[#This Row],[Preço]])),N4)-IF(TbTradesBitPreço[[#This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Row],[Tipo]]="DROP"),N4+TbTradesBitPreço[[#This Row],[Qtt]],N4-TbTradesBitPreço[[#This Row],[Qtt]]),IF(TbTradesBitPreço[[#This Row],[Tipo]]="BUY",N4-TbTradesBitPreço[[#This Row],[Qtt]]*TbTradesBitPreço[[#This Row],[Preço]],N4+TbTradesBitPreço[[#This Row],[Qtt]]*TbTradesBitPreço[[#This Row],[Preço]])),N4)-IF(TbTradesBitPreço[[#This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Row],[Tipo]]="DROP"),N4+TbTradesBitPreço[[#This Row],[Qtt]],N4-TbTradesBitPreço[[#This Row],[Qtt]]),IF(TbTradesBitPreço[[#This Row],[Tipo]]="BUY",N4-TbTradesBitPreço[[#This Row],[Qtt]]*TbTradesBitPreço[[#This Row],[Preço]],N4+TbTradesBitPreço[[#This Row],[Qtt]]*TbTradesBitPreço[[#This Row],[Preço]])),N4)-IF(TbTradesBitPreço[[#This Row],[Moeda da Taxa]]=MID(N$1,9,5),TbTradesBitPreço[[#This Row],[Taxa]],0),8)))</f>
        <v>52.359999989999999</v>
      </c>
      <c r="O5" s="50" cm="1">
        <f t="array" ref="O5">IF(TbTradesBitPreço[[#This Row],[Tipo]]="EMPTY",0,O4+IF(TbTradesBitPreço[[#This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Row],[Par]]))),$1:$1,0)),-(N4-N5)/N4*O4),0),0)+IF(TbTradesBitPreço[[#This Row],[Tipo]]="SELL",IF(ISNUMBER(FIND(MID(O$1,10,5),TbTradesBitPreço[[#This Row],[Par]])),IF(FIND(MID(O$1,10,5),TbTradesBitPreço[[#This Row],[Par]])=1, -(N4-N5)/N4*O4,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Row],[Par]])),(-(N4-N5)/N4*O4)+IF(TbTradesBitPreço[[#This Row],[Resultado]]&gt;0,0,TbTradesBitPreço[[#This Row],[Taxa]]),0),0))</f>
        <v>50.010043446315677</v>
      </c>
      <c r="P5" s="41">
        <f t="shared" si="0"/>
        <v>0.95511924094474543</v>
      </c>
      <c r="Q5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Row],[Tipo]]="DROP"),Q4+TbTradesBitPreço[[#This Row],[Qtt]],Q4-TbTradesBitPreço[[#This Row],[Qtt]]),IF(TbTradesBitPreço[[#This Row],[Tipo]]="BUY",Q4-TbTradesBitPreço[[#This Row],[Qtt]]*TbTradesBitPreço[[#This Row],[Preço]],Q4+TbTradesBitPreço[[#This Row],[Qtt]]*TbTradesBitPreço[[#This Row],[Preço]])),Q4)-IF(TbTradesBitPreço[[#This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Row],[Tipo]]="DROP"),Q4+TbTradesBitPreço[[#This Row],[Qtt]],Q4-TbTradesBitPreço[[#This Row],[Qtt]]),IF(TbTradesBitPreço[[#This Row],[Tipo]]="BUY",Q4-TbTradesBitPreço[[#This Row],[Qtt]]*TbTradesBitPreço[[#This Row],[Preço]],Q4+TbTradesBitPreço[[#This Row],[Qtt]]*TbTradesBitPreço[[#This Row],[Preço]])),Q4)-IF(TbTradesBitPreço[[#This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Row],[Tipo]]="DROP"),Q4+TbTradesBitPreço[[#This Row],[Qtt]],Q4-TbTradesBitPreço[[#This Row],[Qtt]]),IF(TbTradesBitPreço[[#This Row],[Tipo]]="BUY",Q4-TbTradesBitPreço[[#This Row],[Qtt]]*TbTradesBitPreço[[#This Row],[Preço]],Q4+TbTradesBitPreço[[#This Row],[Qtt]]*TbTradesBitPreço[[#This Row],[Preço]])),Q4)-IF(TbTradesBitPreço[[#This Row],[Moeda da Taxa]]=MID(Q$1,9,5),TbTradesBitPreço[[#This Row],[Taxa]],0),8)))</f>
        <v>0</v>
      </c>
      <c r="R5" s="50" cm="1">
        <f t="array" ref="R5">IF(TbTradesBitPreço[[#This Row],[Tipo]]="EMPTY",0,R4+IF(TbTradesBitPreço[[#This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Row],[Par]]))),$1:$1,0)),-(Q4-Q5)/Q4*R4),0),0)+IF(TbTradesBitPreço[[#This Row],[Tipo]]="SELL",IF(ISNUMBER(FIND(MID(R$1,10,5),TbTradesBitPreço[[#This Row],[Par]])),IF(FIND(MID(R$1,10,5),TbTradesBitPreço[[#This Row],[Par]])=1, -(Q4-Q5)/Q4*R4,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Row],[Par]])),(-(Q4-Q5)/Q4*R4)+IF(TbTradesBitPreço[[#This Row],[Resultado]]&gt;0,0,TbTradesBitPreço[[#This Row],[Taxa]]),0),0))</f>
        <v>0</v>
      </c>
      <c r="S5" s="41">
        <f t="shared" si="1"/>
        <v>0</v>
      </c>
      <c r="T5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Row],[Tipo]]="DROP"),T4+TbTradesBitPreço[[#This Row],[Qtt]],T4-TbTradesBitPreço[[#This Row],[Qtt]]),IF(TbTradesBitPreço[[#This Row],[Tipo]]="BUY",T4-TbTradesBitPreço[[#This Row],[Qtt]]*TbTradesBitPreço[[#This Row],[Preço]],T4+TbTradesBitPreço[[#This Row],[Qtt]]*TbTradesBitPreço[[#This Row],[Preço]])),T4)-IF(TbTradesBitPreço[[#This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Row],[Tipo]]="DROP"),T4+TbTradesBitPreço[[#This Row],[Qtt]],T4-TbTradesBitPreço[[#This Row],[Qtt]]),IF(TbTradesBitPreço[[#This Row],[Tipo]]="BUY",T4-TbTradesBitPreço[[#This Row],[Qtt]]*TbTradesBitPreço[[#This Row],[Preço]],T4+TbTradesBitPreço[[#This Row],[Qtt]]*TbTradesBitPreço[[#This Row],[Preço]])),T4)-IF(TbTradesBitPreço[[#This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Row],[Tipo]]="DROP"),T4+TbTradesBitPreço[[#This Row],[Qtt]],T4-TbTradesBitPreço[[#This Row],[Qtt]]),IF(TbTradesBitPreço[[#This Row],[Tipo]]="BUY",T4-TbTradesBitPreço[[#This Row],[Qtt]]*TbTradesBitPreço[[#This Row],[Preço]],T4+TbTradesBitPreço[[#This Row],[Qtt]]*TbTradesBitPreço[[#This Row],[Preço]])),T4)-IF(TbTradesBitPreço[[#This Row],[Moeda da Taxa]]=MID(T$1,9,5),TbTradesBitPreço[[#This Row],[Taxa]],0),8)))</f>
        <v>0</v>
      </c>
      <c r="U5" s="50" cm="1">
        <f t="array" ref="U5">IF(TbTradesBitPreço[[#This Row],[Tipo]]="EMPTY",0,U4+IF(TbTradesBitPreço[[#This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Row],[Par]]))),$1:$1,0)),-(T4-T5)/T4*U4),0),0)+IF(TbTradesBitPreço[[#This Row],[Tipo]]="SELL",IF(ISNUMBER(FIND(MID(U$1,10,5),TbTradesBitPreço[[#This Row],[Par]])),IF(FIND(MID(U$1,10,5),TbTradesBitPreço[[#This Row],[Par]])=1, -(T4-T5)/T4*U4,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Row],[Par]])),(-(T4-T5)/T4*U4)+IF(TbTradesBitPreço[[#This Row],[Resultado]]&gt;0,0,TbTradesBitPreço[[#This Row],[Taxa]]),0),0))</f>
        <v>0</v>
      </c>
      <c r="V5" s="41">
        <f t="shared" si="2"/>
        <v>0</v>
      </c>
      <c r="W5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Row],[Tipo]]="DROP"),W4+TbTradesBitPreço[[#This Row],[Qtt]],W4-TbTradesBitPreço[[#This Row],[Qtt]]),IF(TbTradesBitPreço[[#This Row],[Tipo]]="BUY",W4-TbTradesBitPreço[[#This Row],[Qtt]]*TbTradesBitPreço[[#This Row],[Preço]],W4+TbTradesBitPreço[[#This Row],[Qtt]]*TbTradesBitPreço[[#This Row],[Preço]])),W4)-IF(TbTradesBitPreço[[#This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Row],[Tipo]]="DROP"),W4+TbTradesBitPreço[[#This Row],[Qtt]],W4-TbTradesBitPreço[[#This Row],[Qtt]]),IF(TbTradesBitPreço[[#This Row],[Tipo]]="BUY",W4-TbTradesBitPreço[[#This Row],[Qtt]]*TbTradesBitPreço[[#This Row],[Preço]],W4+TbTradesBitPreço[[#This Row],[Qtt]]*TbTradesBitPreço[[#This Row],[Preço]])),W4)-IF(TbTradesBitPreço[[#This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Row],[Tipo]]="DROP"),W4+TbTradesBitPreço[[#This Row],[Qtt]],W4-TbTradesBitPreço[[#This Row],[Qtt]]),IF(TbTradesBitPreço[[#This Row],[Tipo]]="BUY",W4-TbTradesBitPreço[[#This Row],[Qtt]]*TbTradesBitPreço[[#This Row],[Preço]],W4+TbTradesBitPreço[[#This Row],[Qtt]]*TbTradesBitPreço[[#This Row],[Preço]])),W4)-IF(TbTradesBitPreço[[#This Row],[Moeda da Taxa]]=MID(W$1,9,5),TbTradesBitPreço[[#This Row],[Taxa]],0),8)))</f>
        <v>5.7524100000000003E-3</v>
      </c>
      <c r="X5" s="50" cm="1">
        <f t="array" ref="X5">IF(TbTradesBitPreço[[#This Row],[Tipo]]="EMPTY",0,X4+IF(TbTradesBitPreço[[#This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Row],[Par]]))),$1:$1,0)),-(W4-W5)/W4*X4),0),0)+IF(TbTradesBitPreço[[#This Row],[Tipo]]="SELL",IF(ISNUMBER(FIND(MID(X$1,10,5),TbTradesBitPreço[[#This Row],[Par]])),IF(FIND(MID(X$1,10,5),TbTradesBitPreço[[#This Row],[Par]])=1, -(W4-W5)/W4*X4,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Row],[Par]])),(-(W4-W5)/W4*X4)+IF(TbTradesBitPreço[[#This Row],[Resultado]]&gt;0,0,TbTradesBitPreço[[#This Row],[Taxa]]),0),0))</f>
        <v>49.989956553684323</v>
      </c>
      <c r="Y5" s="41">
        <f t="shared" si="3"/>
        <v>8690.2631338316151</v>
      </c>
    </row>
    <row r="6" spans="1:25" x14ac:dyDescent="0.3">
      <c r="B6" s="40"/>
      <c r="C6" s="40">
        <f>TRUNC(IF(AND(TbTradesBitPreço[[#This Row],[Tipo]]="SEND",TbTradesBitPreço[[#This Row],[Par]]="BRL"),TbTradesBitPreço[[#This Row],[Qtt]]*(1-P5)-IF(TbTradesBitPreço[[#This Row],[Moeda da Taxa]]="BRL",TbTradesBitPreço[[#This Row],[Taxa]],0),0)+IF(AND(TbTradesBitPreço[[#This Row],[Tipo]]="BURN",TbTradesBitPreço[[#This Row],[Par]]="BRL"),-TbTradesBitPreço[[#This Row],[Qtt]]*P5,0),2)</f>
        <v>0</v>
      </c>
      <c r="D6" s="53">
        <v>44256.57408564815</v>
      </c>
      <c r="E6" s="37" t="s">
        <v>147</v>
      </c>
      <c r="F6" s="37" t="s">
        <v>139</v>
      </c>
      <c r="G6" s="38">
        <v>8612</v>
      </c>
      <c r="H6" s="38">
        <v>6.05552E-3</v>
      </c>
      <c r="I6" s="38">
        <v>0</v>
      </c>
      <c r="J6" s="37" t="s">
        <v>8</v>
      </c>
      <c r="K6" s="52">
        <v>1</v>
      </c>
      <c r="L6" s="40">
        <f t="shared" si="4"/>
        <v>8612</v>
      </c>
      <c r="M6" s="40">
        <f>IF(OR(TbTradesBitPreço[[#This Row],[Tipo]]="BUY",TbTradesBitPreço[[#This Row],[Tipo]]="RECEIVE",TbTradesBitPreço[[#This Row],[Tipo]]="DROP"),L6*H6,-L6*H6)</f>
        <v>52.150138239999997</v>
      </c>
      <c r="N6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Row],[Tipo]]="DROP"),N5+TbTradesBitPreço[[#This Row],[Qtt]],N5-TbTradesBitPreço[[#This Row],[Qtt]]),IF(TbTradesBitPreço[[#This Row],[Tipo]]="BUY",N5-TbTradesBitPreço[[#This Row],[Qtt]]*TbTradesBitPreço[[#This Row],[Preço]],N5+TbTradesBitPreço[[#This Row],[Qtt]]*TbTradesBitPreço[[#This Row],[Preço]])),N5)-IF(TbTradesBitPreço[[#This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Row],[Tipo]]="DROP"),N5+TbTradesBitPreço[[#This Row],[Qtt]],N5-TbTradesBitPreço[[#This Row],[Qtt]]),IF(TbTradesBitPreço[[#This Row],[Tipo]]="BUY",N5-TbTradesBitPreço[[#This Row],[Qtt]]*TbTradesBitPreço[[#This Row],[Preço]],N5+TbTradesBitPreço[[#This Row],[Qtt]]*TbTradesBitPreço[[#This Row],[Preço]])),N5)-IF(TbTradesBitPreço[[#This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Row],[Tipo]]="DROP"),N5+TbTradesBitPreço[[#This Row],[Qtt]],N5-TbTradesBitPreço[[#This Row],[Qtt]]),IF(TbTradesBitPreço[[#This Row],[Tipo]]="BUY",N5-TbTradesBitPreço[[#This Row],[Qtt]]*TbTradesBitPreço[[#This Row],[Preço]],N5+TbTradesBitPreço[[#This Row],[Qtt]]*TbTradesBitPreço[[#This Row],[Preço]])),N5)-IF(TbTradesBitPreço[[#This Row],[Moeda da Taxa]]=MID(N$1,9,5),TbTradesBitPreço[[#This Row],[Taxa]],0),8)))</f>
        <v>0.20986175000000001</v>
      </c>
      <c r="O6" s="50" cm="1">
        <f t="array" ref="O6">IF(TbTradesBitPreço[[#This Row],[Tipo]]="EMPTY",0,O5+IF(TbTradesBitPreço[[#This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Row],[Par]]))),$1:$1,0)),-(N5-N6)/N5*O5),0),0)+IF(TbTradesBitPreço[[#This Row],[Tipo]]="SELL",IF(ISNUMBER(FIND(MID(O$1,10,5),TbTradesBitPreço[[#This Row],[Par]])),IF(FIND(MID(O$1,10,5),TbTradesBitPreço[[#This Row],[Par]])=1, -(N5-N6)/N5*O5,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Row],[Par]])),(-(N5-N6)/N5*O5)+IF(TbTradesBitPreço[[#This Row],[Resultado]]&gt;0,0,TbTradesBitPreço[[#This Row],[Taxa]]),0),0))</f>
        <v>0.20044299536333909</v>
      </c>
      <c r="P6" s="41">
        <f t="shared" si="0"/>
        <v>0.95511924094476042</v>
      </c>
      <c r="Q6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Row],[Tipo]]="DROP"),Q5+TbTradesBitPreço[[#This Row],[Qtt]],Q5-TbTradesBitPreço[[#This Row],[Qtt]]),IF(TbTradesBitPreço[[#This Row],[Tipo]]="BUY",Q5-TbTradesBitPreço[[#This Row],[Qtt]]*TbTradesBitPreço[[#This Row],[Preço]],Q5+TbTradesBitPreço[[#This Row],[Qtt]]*TbTradesBitPreço[[#This Row],[Preço]])),Q5)-IF(TbTradesBitPreço[[#This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Row],[Tipo]]="DROP"),Q5+TbTradesBitPreço[[#This Row],[Qtt]],Q5-TbTradesBitPreço[[#This Row],[Qtt]]),IF(TbTradesBitPreço[[#This Row],[Tipo]]="BUY",Q5-TbTradesBitPreço[[#This Row],[Qtt]]*TbTradesBitPreço[[#This Row],[Preço]],Q5+TbTradesBitPreço[[#This Row],[Qtt]]*TbTradesBitPreço[[#This Row],[Preço]])),Q5)-IF(TbTradesBitPreço[[#This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Row],[Tipo]]="DROP"),Q5+TbTradesBitPreço[[#This Row],[Qtt]],Q5-TbTradesBitPreço[[#This Row],[Qtt]]),IF(TbTradesBitPreço[[#This Row],[Tipo]]="BUY",Q5-TbTradesBitPreço[[#This Row],[Qtt]]*TbTradesBitPreço[[#This Row],[Preço]],Q5+TbTradesBitPreço[[#This Row],[Qtt]]*TbTradesBitPreço[[#This Row],[Preço]])),Q5)-IF(TbTradesBitPreço[[#This Row],[Moeda da Taxa]]=MID(Q$1,9,5),TbTradesBitPreço[[#This Row],[Taxa]],0),8)))</f>
        <v>0</v>
      </c>
      <c r="R6" s="50" cm="1">
        <f t="array" ref="R6">IF(TbTradesBitPreço[[#This Row],[Tipo]]="EMPTY",0,R5+IF(TbTradesBitPreço[[#This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Row],[Par]]))),$1:$1,0)),-(Q5-Q6)/Q5*R5),0),0)+IF(TbTradesBitPreço[[#This Row],[Tipo]]="SELL",IF(ISNUMBER(FIND(MID(R$1,10,5),TbTradesBitPreço[[#This Row],[Par]])),IF(FIND(MID(R$1,10,5),TbTradesBitPreço[[#This Row],[Par]])=1, -(Q5-Q6)/Q5*R5,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Row],[Par]])),(-(Q5-Q6)/Q5*R5)+IF(TbTradesBitPreço[[#This Row],[Resultado]]&gt;0,0,TbTradesBitPreço[[#This Row],[Taxa]]),0),0))</f>
        <v>0</v>
      </c>
      <c r="S6" s="41">
        <f t="shared" si="1"/>
        <v>0</v>
      </c>
      <c r="T6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Row],[Tipo]]="DROP"),T5+TbTradesBitPreço[[#This Row],[Qtt]],T5-TbTradesBitPreço[[#This Row],[Qtt]]),IF(TbTradesBitPreço[[#This Row],[Tipo]]="BUY",T5-TbTradesBitPreço[[#This Row],[Qtt]]*TbTradesBitPreço[[#This Row],[Preço]],T5+TbTradesBitPreço[[#This Row],[Qtt]]*TbTradesBitPreço[[#This Row],[Preço]])),T5)-IF(TbTradesBitPreço[[#This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Row],[Tipo]]="DROP"),T5+TbTradesBitPreço[[#This Row],[Qtt]],T5-TbTradesBitPreço[[#This Row],[Qtt]]),IF(TbTradesBitPreço[[#This Row],[Tipo]]="BUY",T5-TbTradesBitPreço[[#This Row],[Qtt]]*TbTradesBitPreço[[#This Row],[Preço]],T5+TbTradesBitPreço[[#This Row],[Qtt]]*TbTradesBitPreço[[#This Row],[Preço]])),T5)-IF(TbTradesBitPreço[[#This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Row],[Tipo]]="DROP"),T5+TbTradesBitPreço[[#This Row],[Qtt]],T5-TbTradesBitPreço[[#This Row],[Qtt]]),IF(TbTradesBitPreço[[#This Row],[Tipo]]="BUY",T5-TbTradesBitPreço[[#This Row],[Qtt]]*TbTradesBitPreço[[#This Row],[Preço]],T5+TbTradesBitPreço[[#This Row],[Qtt]]*TbTradesBitPreço[[#This Row],[Preço]])),T5)-IF(TbTradesBitPreço[[#This Row],[Moeda da Taxa]]=MID(T$1,9,5),TbTradesBitPreço[[#This Row],[Taxa]],0),8)))</f>
        <v>0</v>
      </c>
      <c r="U6" s="50" cm="1">
        <f t="array" ref="U6">IF(TbTradesBitPreço[[#This Row],[Tipo]]="EMPTY",0,U5+IF(TbTradesBitPreço[[#This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Row],[Par]]))),$1:$1,0)),-(T5-T6)/T5*U5),0),0)+IF(TbTradesBitPreço[[#This Row],[Tipo]]="SELL",IF(ISNUMBER(FIND(MID(U$1,10,5),TbTradesBitPreço[[#This Row],[Par]])),IF(FIND(MID(U$1,10,5),TbTradesBitPreço[[#This Row],[Par]])=1, -(T5-T6)/T5*U5,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Row],[Par]])),(-(T5-T6)/T5*U5)+IF(TbTradesBitPreço[[#This Row],[Resultado]]&gt;0,0,TbTradesBitPreço[[#This Row],[Taxa]]),0),0))</f>
        <v>0</v>
      </c>
      <c r="V6" s="41">
        <f t="shared" si="2"/>
        <v>0</v>
      </c>
      <c r="W6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Row],[Tipo]]="DROP"),W5+TbTradesBitPreço[[#This Row],[Qtt]],W5-TbTradesBitPreço[[#This Row],[Qtt]]),IF(TbTradesBitPreço[[#This Row],[Tipo]]="BUY",W5-TbTradesBitPreço[[#This Row],[Qtt]]*TbTradesBitPreço[[#This Row],[Preço]],W5+TbTradesBitPreço[[#This Row],[Qtt]]*TbTradesBitPreço[[#This Row],[Preço]])),W5)-IF(TbTradesBitPreço[[#This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Row],[Tipo]]="DROP"),W5+TbTradesBitPreço[[#This Row],[Qtt]],W5-TbTradesBitPreço[[#This Row],[Qtt]]),IF(TbTradesBitPreço[[#This Row],[Tipo]]="BUY",W5-TbTradesBitPreço[[#This Row],[Qtt]]*TbTradesBitPreço[[#This Row],[Preço]],W5+TbTradesBitPreço[[#This Row],[Qtt]]*TbTradesBitPreço[[#This Row],[Preço]])),W5)-IF(TbTradesBitPreço[[#This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Row],[Tipo]]="DROP"),W5+TbTradesBitPreço[[#This Row],[Qtt]],W5-TbTradesBitPreço[[#This Row],[Qtt]]),IF(TbTradesBitPreço[[#This Row],[Tipo]]="BUY",W5-TbTradesBitPreço[[#This Row],[Qtt]]*TbTradesBitPreço[[#This Row],[Preço]],W5+TbTradesBitPreço[[#This Row],[Qtt]]*TbTradesBitPreço[[#This Row],[Preço]])),W5)-IF(TbTradesBitPreço[[#This Row],[Moeda da Taxa]]=MID(W$1,9,5),TbTradesBitPreço[[#This Row],[Taxa]],0),8)))</f>
        <v>1.1807929999999999E-2</v>
      </c>
      <c r="X6" s="50" cm="1">
        <f t="array" ref="X6">IF(TbTradesBitPreço[[#This Row],[Tipo]]="EMPTY",0,X5+IF(TbTradesBitPreço[[#This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Row],[Par]]))),$1:$1,0)),-(W5-W6)/W5*X5),0),0)+IF(TbTradesBitPreço[[#This Row],[Tipo]]="SELL",IF(ISNUMBER(FIND(MID(X$1,10,5),TbTradesBitPreço[[#This Row],[Par]])),IF(FIND(MID(X$1,10,5),TbTradesBitPreço[[#This Row],[Par]])=1, -(W5-W6)/W5*X5,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Row],[Par]])),(-(W5-W6)/W5*X5)+IF(TbTradesBitPreço[[#This Row],[Resultado]]&gt;0,0,TbTradesBitPreço[[#This Row],[Taxa]]),0),0))</f>
        <v>99.799557004636654</v>
      </c>
      <c r="Y6" s="41">
        <f t="shared" si="3"/>
        <v>8451.9096069028747</v>
      </c>
    </row>
    <row r="7" spans="1:25" x14ac:dyDescent="0.3">
      <c r="B7" s="40"/>
      <c r="C7" s="40">
        <f>TRUNC(IF(AND(TbTradesBitPreço[[#This Row],[Tipo]]="SEND",TbTradesBitPreço[[#This Row],[Par]]="BRL"),TbTradesBitPreço[[#This Row],[Qtt]]*(1-P6)-IF(TbTradesBitPreço[[#This Row],[Moeda da Taxa]]="BRL",TbTradesBitPreço[[#This Row],[Taxa]],0),0)+IF(AND(TbTradesBitPreço[[#This Row],[Tipo]]="BURN",TbTradesBitPreço[[#This Row],[Par]]="BRL"),-TbTradesBitPreço[[#This Row],[Qtt]]*P6,0),2)</f>
        <v>0</v>
      </c>
      <c r="D7" s="53">
        <v>44267.456689814811</v>
      </c>
      <c r="E7" s="37" t="s">
        <v>147</v>
      </c>
      <c r="F7" s="37" t="s">
        <v>140</v>
      </c>
      <c r="G7" s="38">
        <f>115.72/TbTradesBitPreço[[#This Row],[Qtt]]</f>
        <v>9800.1935987086654</v>
      </c>
      <c r="H7" s="38">
        <v>1.1807929999999999E-2</v>
      </c>
      <c r="I7" s="38">
        <v>0</v>
      </c>
      <c r="J7" s="37" t="s">
        <v>8</v>
      </c>
      <c r="K7" s="52">
        <v>1</v>
      </c>
      <c r="L7" s="40">
        <f t="shared" si="4"/>
        <v>9800.19</v>
      </c>
      <c r="M7" s="40">
        <f>IF(OR(TbTradesBitPreço[[#This Row],[Tipo]]="BUY",TbTradesBitPreço[[#This Row],[Tipo]]="RECEIVE",TbTradesBitPreço[[#This Row],[Tipo]]="DROP"),L7*H7,-L7*H7)</f>
        <v>-115.7199575067</v>
      </c>
      <c r="N7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Row],[Tipo]]="DROP"),N6+TbTradesBitPreço[[#This Row],[Qtt]],N6-TbTradesBitPreço[[#This Row],[Qtt]]),IF(TbTradesBitPreço[[#This Row],[Tipo]]="BUY",N6-TbTradesBitPreço[[#This Row],[Qtt]]*TbTradesBitPreço[[#This Row],[Preço]],N6+TbTradesBitPreço[[#This Row],[Qtt]]*TbTradesBitPreço[[#This Row],[Preço]])),N6)-IF(TbTradesBitPreço[[#This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Row],[Tipo]]="DROP"),N6+TbTradesBitPreço[[#This Row],[Qtt]],N6-TbTradesBitPreço[[#This Row],[Qtt]]),IF(TbTradesBitPreço[[#This Row],[Tipo]]="BUY",N6-TbTradesBitPreço[[#This Row],[Qtt]]*TbTradesBitPreço[[#This Row],[Preço]],N6+TbTradesBitPreço[[#This Row],[Qtt]]*TbTradesBitPreço[[#This Row],[Preço]])),N6)-IF(TbTradesBitPreço[[#This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Row],[Tipo]]="DROP"),N6+TbTradesBitPreço[[#This Row],[Qtt]],N6-TbTradesBitPreço[[#This Row],[Qtt]]),IF(TbTradesBitPreço[[#This Row],[Tipo]]="BUY",N6-TbTradesBitPreço[[#This Row],[Qtt]]*TbTradesBitPreço[[#This Row],[Preço]],N6+TbTradesBitPreço[[#This Row],[Qtt]]*TbTradesBitPreço[[#This Row],[Preço]])),N6)-IF(TbTradesBitPreço[[#This Row],[Moeda da Taxa]]=MID(N$1,9,5),TbTradesBitPreço[[#This Row],[Taxa]],0),8)))</f>
        <v>115.92986175</v>
      </c>
      <c r="O7" s="50" cm="1">
        <f t="array" ref="O7">IF(TbTradesBitPreço[[#This Row],[Tipo]]="EMPTY",0,O6+IF(TbTradesBitPreço[[#This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Row],[Par]]))),$1:$1,0)),-(N6-N7)/N6*O6),0),0)+IF(TbTradesBitPreço[[#This Row],[Tipo]]="SELL",IF(ISNUMBER(FIND(MID(O$1,10,5),TbTradesBitPreço[[#This Row],[Par]])),IF(FIND(MID(O$1,10,5),TbTradesBitPreço[[#This Row],[Par]])=1, -(N6-N7)/N6*O6,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Row],[Par]])),(-(N6-N7)/N6*O6)+IF(TbTradesBitPreço[[#This Row],[Resultado]]&gt;0,0,TbTradesBitPreço[[#This Row],[Taxa]]),0),0))</f>
        <v>100</v>
      </c>
      <c r="P7" s="41">
        <f t="shared" si="0"/>
        <v>0.8625905223250212</v>
      </c>
      <c r="Q7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Row],[Tipo]]="DROP"),Q6+TbTradesBitPreço[[#This Row],[Qtt]],Q6-TbTradesBitPreço[[#This Row],[Qtt]]),IF(TbTradesBitPreço[[#This Row],[Tipo]]="BUY",Q6-TbTradesBitPreço[[#This Row],[Qtt]]*TbTradesBitPreço[[#This Row],[Preço]],Q6+TbTradesBitPreço[[#This Row],[Qtt]]*TbTradesBitPreço[[#This Row],[Preço]])),Q6)-IF(TbTradesBitPreço[[#This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Row],[Tipo]]="DROP"),Q6+TbTradesBitPreço[[#This Row],[Qtt]],Q6-TbTradesBitPreço[[#This Row],[Qtt]]),IF(TbTradesBitPreço[[#This Row],[Tipo]]="BUY",Q6-TbTradesBitPreço[[#This Row],[Qtt]]*TbTradesBitPreço[[#This Row],[Preço]],Q6+TbTradesBitPreço[[#This Row],[Qtt]]*TbTradesBitPreço[[#This Row],[Preço]])),Q6)-IF(TbTradesBitPreço[[#This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Row],[Tipo]]="DROP"),Q6+TbTradesBitPreço[[#This Row],[Qtt]],Q6-TbTradesBitPreço[[#This Row],[Qtt]]),IF(TbTradesBitPreço[[#This Row],[Tipo]]="BUY",Q6-TbTradesBitPreço[[#This Row],[Qtt]]*TbTradesBitPreço[[#This Row],[Preço]],Q6+TbTradesBitPreço[[#This Row],[Qtt]]*TbTradesBitPreço[[#This Row],[Preço]])),Q6)-IF(TbTradesBitPreço[[#This Row],[Moeda da Taxa]]=MID(Q$1,9,5),TbTradesBitPreço[[#This Row],[Taxa]],0),8)))</f>
        <v>0</v>
      </c>
      <c r="R7" s="50" cm="1">
        <f t="array" ref="R7">IF(TbTradesBitPreço[[#This Row],[Tipo]]="EMPTY",0,R6+IF(TbTradesBitPreço[[#This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Row],[Par]]))),$1:$1,0)),-(Q6-Q7)/Q6*R6),0),0)+IF(TbTradesBitPreço[[#This Row],[Tipo]]="SELL",IF(ISNUMBER(FIND(MID(R$1,10,5),TbTradesBitPreço[[#This Row],[Par]])),IF(FIND(MID(R$1,10,5),TbTradesBitPreço[[#This Row],[Par]])=1, -(Q6-Q7)/Q6*R6,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Row],[Par]])),(-(Q6-Q7)/Q6*R6)+IF(TbTradesBitPreço[[#This Row],[Resultado]]&gt;0,0,TbTradesBitPreço[[#This Row],[Taxa]]),0),0))</f>
        <v>0</v>
      </c>
      <c r="S7" s="41">
        <f t="shared" si="1"/>
        <v>0</v>
      </c>
      <c r="T7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Row],[Tipo]]="DROP"),T6+TbTradesBitPreço[[#This Row],[Qtt]],T6-TbTradesBitPreço[[#This Row],[Qtt]]),IF(TbTradesBitPreço[[#This Row],[Tipo]]="BUY",T6-TbTradesBitPreço[[#This Row],[Qtt]]*TbTradesBitPreço[[#This Row],[Preço]],T6+TbTradesBitPreço[[#This Row],[Qtt]]*TbTradesBitPreço[[#This Row],[Preço]])),T6)-IF(TbTradesBitPreço[[#This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Row],[Tipo]]="DROP"),T6+TbTradesBitPreço[[#This Row],[Qtt]],T6-TbTradesBitPreço[[#This Row],[Qtt]]),IF(TbTradesBitPreço[[#This Row],[Tipo]]="BUY",T6-TbTradesBitPreço[[#This Row],[Qtt]]*TbTradesBitPreço[[#This Row],[Preço]],T6+TbTradesBitPreço[[#This Row],[Qtt]]*TbTradesBitPreço[[#This Row],[Preço]])),T6)-IF(TbTradesBitPreço[[#This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Row],[Tipo]]="DROP"),T6+TbTradesBitPreço[[#This Row],[Qtt]],T6-TbTradesBitPreço[[#This Row],[Qtt]]),IF(TbTradesBitPreço[[#This Row],[Tipo]]="BUY",T6-TbTradesBitPreço[[#This Row],[Qtt]]*TbTradesBitPreço[[#This Row],[Preço]],T6+TbTradesBitPreço[[#This Row],[Qtt]]*TbTradesBitPreço[[#This Row],[Preço]])),T6)-IF(TbTradesBitPreço[[#This Row],[Moeda da Taxa]]=MID(T$1,9,5),TbTradesBitPreço[[#This Row],[Taxa]],0),8)))</f>
        <v>0</v>
      </c>
      <c r="U7" s="50" cm="1">
        <f t="array" ref="U7">IF(TbTradesBitPreço[[#This Row],[Tipo]]="EMPTY",0,U6+IF(TbTradesBitPreço[[#This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Row],[Par]]))),$1:$1,0)),-(T6-T7)/T6*U6),0),0)+IF(TbTradesBitPreço[[#This Row],[Tipo]]="SELL",IF(ISNUMBER(FIND(MID(U$1,10,5),TbTradesBitPreço[[#This Row],[Par]])),IF(FIND(MID(U$1,10,5),TbTradesBitPreço[[#This Row],[Par]])=1, -(T6-T7)/T6*U6,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Row],[Par]])),(-(T6-T7)/T6*U6)+IF(TbTradesBitPreço[[#This Row],[Resultado]]&gt;0,0,TbTradesBitPreço[[#This Row],[Taxa]]),0),0))</f>
        <v>0</v>
      </c>
      <c r="V7" s="41">
        <f t="shared" si="2"/>
        <v>0</v>
      </c>
      <c r="W7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Row],[Tipo]]="DROP"),W6+TbTradesBitPreço[[#This Row],[Qtt]],W6-TbTradesBitPreço[[#This Row],[Qtt]]),IF(TbTradesBitPreço[[#This Row],[Tipo]]="BUY",W6-TbTradesBitPreço[[#This Row],[Qtt]]*TbTradesBitPreço[[#This Row],[Preço]],W6+TbTradesBitPreço[[#This Row],[Qtt]]*TbTradesBitPreço[[#This Row],[Preço]])),W6)-IF(TbTradesBitPreço[[#This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Row],[Tipo]]="DROP"),W6+TbTradesBitPreço[[#This Row],[Qtt]],W6-TbTradesBitPreço[[#This Row],[Qtt]]),IF(TbTradesBitPreço[[#This Row],[Tipo]]="BUY",W6-TbTradesBitPreço[[#This Row],[Qtt]]*TbTradesBitPreço[[#This Row],[Preço]],W6+TbTradesBitPreço[[#This Row],[Qtt]]*TbTradesBitPreço[[#This Row],[Preço]])),W6)-IF(TbTradesBitPreço[[#This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Row],[Tipo]]="DROP"),W6+TbTradesBitPreço[[#This Row],[Qtt]],W6-TbTradesBitPreço[[#This Row],[Qtt]]),IF(TbTradesBitPreço[[#This Row],[Tipo]]="BUY",W6-TbTradesBitPreço[[#This Row],[Qtt]]*TbTradesBitPreço[[#This Row],[Preço]],W6+TbTradesBitPreço[[#This Row],[Qtt]]*TbTradesBitPreço[[#This Row],[Preço]])),W6)-IF(TbTradesBitPreço[[#This Row],[Moeda da Taxa]]=MID(W$1,9,5),TbTradesBitPreço[[#This Row],[Taxa]],0),8)))</f>
        <v>0</v>
      </c>
      <c r="X7" s="50" cm="1">
        <f t="array" ref="X7">IF(TbTradesBitPreço[[#This Row],[Tipo]]="EMPTY",0,X6+IF(TbTradesBitPreço[[#This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Row],[Par]]))),$1:$1,0)),-(W6-W7)/W6*X6),0),0)+IF(TbTradesBitPreço[[#This Row],[Tipo]]="SELL",IF(ISNUMBER(FIND(MID(X$1,10,5),TbTradesBitPreço[[#This Row],[Par]])),IF(FIND(MID(X$1,10,5),TbTradesBitPreço[[#This Row],[Par]])=1, -(W6-W7)/W6*X6,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Row],[Par]])),(-(W6-W7)/W6*X6)+IF(TbTradesBitPreço[[#This Row],[Resultado]]&gt;0,0,TbTradesBitPreço[[#This Row],[Taxa]]),0),0))</f>
        <v>0</v>
      </c>
      <c r="Y7" s="41">
        <f t="shared" si="3"/>
        <v>0</v>
      </c>
    </row>
    <row r="8" spans="1:25" x14ac:dyDescent="0.3">
      <c r="B8" s="40"/>
      <c r="C8" s="40">
        <f>TRUNC(IF(AND(TbTradesBitPreço[[#This Row],[Tipo]]="SEND",TbTradesBitPreço[[#This Row],[Par]]="BRL"),TbTradesBitPreço[[#This Row],[Qtt]]*(1-P7)-IF(TbTradesBitPreço[[#This Row],[Moeda da Taxa]]="BRL",TbTradesBitPreço[[#This Row],[Taxa]],0),0)+IF(AND(TbTradesBitPreço[[#This Row],[Tipo]]="BURN",TbTradesBitPreço[[#This Row],[Par]]="BRL"),-TbTradesBitPreço[[#This Row],[Qtt]]*P7,0),2)</f>
        <v>0</v>
      </c>
      <c r="D8" s="53">
        <v>44275.875891203701</v>
      </c>
      <c r="E8" s="37" t="s">
        <v>147</v>
      </c>
      <c r="F8" s="37" t="s">
        <v>139</v>
      </c>
      <c r="G8" s="38">
        <f>57.96/0.00577023</f>
        <v>10044.660264842129</v>
      </c>
      <c r="H8" s="38">
        <v>5.7702300000000003E-3</v>
      </c>
      <c r="I8" s="38">
        <v>0</v>
      </c>
      <c r="J8" s="37" t="s">
        <v>8</v>
      </c>
      <c r="K8" s="52">
        <v>1</v>
      </c>
      <c r="L8" s="40">
        <f t="shared" si="4"/>
        <v>10044.66</v>
      </c>
      <c r="M8" s="40">
        <f>IF(OR(TbTradesBitPreço[[#This Row],[Tipo]]="BUY",TbTradesBitPreço[[#This Row],[Tipo]]="RECEIVE",TbTradesBitPreço[[#This Row],[Tipo]]="DROP"),L8*H8,-L8*H8)</f>
        <v>57.959998471800006</v>
      </c>
      <c r="N8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Row],[Tipo]]="DROP"),N7+TbTradesBitPreço[[#This Row],[Qtt]],N7-TbTradesBitPreço[[#This Row],[Qtt]]),IF(TbTradesBitPreço[[#This Row],[Tipo]]="BUY",N7-TbTradesBitPreço[[#This Row],[Qtt]]*TbTradesBitPreço[[#This Row],[Preço]],N7+TbTradesBitPreço[[#This Row],[Qtt]]*TbTradesBitPreço[[#This Row],[Preço]])),N7)-IF(TbTradesBitPreço[[#This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Row],[Tipo]]="DROP"),N7+TbTradesBitPreço[[#This Row],[Qtt]],N7-TbTradesBitPreço[[#This Row],[Qtt]]),IF(TbTradesBitPreço[[#This Row],[Tipo]]="BUY",N7-TbTradesBitPreço[[#This Row],[Qtt]]*TbTradesBitPreço[[#This Row],[Preço]],N7+TbTradesBitPreço[[#This Row],[Qtt]]*TbTradesBitPreço[[#This Row],[Preço]])),N7)-IF(TbTradesBitPreço[[#This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Row],[Tipo]]="DROP"),N7+TbTradesBitPreço[[#This Row],[Qtt]],N7-TbTradesBitPreço[[#This Row],[Qtt]]),IF(TbTradesBitPreço[[#This Row],[Tipo]]="BUY",N7-TbTradesBitPreço[[#This Row],[Qtt]]*TbTradesBitPreço[[#This Row],[Preço]],N7+TbTradesBitPreço[[#This Row],[Qtt]]*TbTradesBitPreço[[#This Row],[Preço]])),N7)-IF(TbTradesBitPreço[[#This Row],[Moeda da Taxa]]=MID(N$1,9,5),TbTradesBitPreço[[#This Row],[Taxa]],0),8)))</f>
        <v>57.96986175</v>
      </c>
      <c r="O8" s="50" cm="1">
        <f t="array" ref="O8">IF(TbTradesBitPreço[[#This Row],[Tipo]]="EMPTY",0,O7+IF(TbTradesBitPreço[[#This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Row],[Par]]))),$1:$1,0)),-(N7-N8)/N7*O7),0),0)+IF(TbTradesBitPreço[[#This Row],[Tipo]]="SELL",IF(ISNUMBER(FIND(MID(O$1,10,5),TbTradesBitPreço[[#This Row],[Par]])),IF(FIND(MID(O$1,10,5),TbTradesBitPreço[[#This Row],[Par]])=1, -(N7-N8)/N7*O7,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Row],[Par]])),(-(N7-N8)/N7*O7)+IF(TbTradesBitPreço[[#This Row],[Resultado]]&gt;0,0,TbTradesBitPreço[[#This Row],[Taxa]]),0),0))</f>
        <v>50.00425332604177</v>
      </c>
      <c r="P8" s="41">
        <f t="shared" si="0"/>
        <v>0.8625905223250212</v>
      </c>
      <c r="Q8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Row],[Tipo]]="DROP"),Q7+TbTradesBitPreço[[#This Row],[Qtt]],Q7-TbTradesBitPreço[[#This Row],[Qtt]]),IF(TbTradesBitPreço[[#This Row],[Tipo]]="BUY",Q7-TbTradesBitPreço[[#This Row],[Qtt]]*TbTradesBitPreço[[#This Row],[Preço]],Q7+TbTradesBitPreço[[#This Row],[Qtt]]*TbTradesBitPreço[[#This Row],[Preço]])),Q7)-IF(TbTradesBitPreço[[#This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Row],[Tipo]]="DROP"),Q7+TbTradesBitPreço[[#This Row],[Qtt]],Q7-TbTradesBitPreço[[#This Row],[Qtt]]),IF(TbTradesBitPreço[[#This Row],[Tipo]]="BUY",Q7-TbTradesBitPreço[[#This Row],[Qtt]]*TbTradesBitPreço[[#This Row],[Preço]],Q7+TbTradesBitPreço[[#This Row],[Qtt]]*TbTradesBitPreço[[#This Row],[Preço]])),Q7)-IF(TbTradesBitPreço[[#This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Row],[Tipo]]="DROP"),Q7+TbTradesBitPreço[[#This Row],[Qtt]],Q7-TbTradesBitPreço[[#This Row],[Qtt]]),IF(TbTradesBitPreço[[#This Row],[Tipo]]="BUY",Q7-TbTradesBitPreço[[#This Row],[Qtt]]*TbTradesBitPreço[[#This Row],[Preço]],Q7+TbTradesBitPreço[[#This Row],[Qtt]]*TbTradesBitPreço[[#This Row],[Preço]])),Q7)-IF(TbTradesBitPreço[[#This Row],[Moeda da Taxa]]=MID(Q$1,9,5),TbTradesBitPreço[[#This Row],[Taxa]],0),8)))</f>
        <v>0</v>
      </c>
      <c r="R8" s="50" cm="1">
        <f t="array" ref="R8">IF(TbTradesBitPreço[[#This Row],[Tipo]]="EMPTY",0,R7+IF(TbTradesBitPreço[[#This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Row],[Par]]))),$1:$1,0)),-(Q7-Q8)/Q7*R7),0),0)+IF(TbTradesBitPreço[[#This Row],[Tipo]]="SELL",IF(ISNUMBER(FIND(MID(R$1,10,5),TbTradesBitPreço[[#This Row],[Par]])),IF(FIND(MID(R$1,10,5),TbTradesBitPreço[[#This Row],[Par]])=1, -(Q7-Q8)/Q7*R7,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Row],[Par]])),(-(Q7-Q8)/Q7*R7)+IF(TbTradesBitPreço[[#This Row],[Resultado]]&gt;0,0,TbTradesBitPreço[[#This Row],[Taxa]]),0),0))</f>
        <v>0</v>
      </c>
      <c r="S8" s="41">
        <f t="shared" si="1"/>
        <v>0</v>
      </c>
      <c r="T8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Row],[Tipo]]="DROP"),T7+TbTradesBitPreço[[#This Row],[Qtt]],T7-TbTradesBitPreço[[#This Row],[Qtt]]),IF(TbTradesBitPreço[[#This Row],[Tipo]]="BUY",T7-TbTradesBitPreço[[#This Row],[Qtt]]*TbTradesBitPreço[[#This Row],[Preço]],T7+TbTradesBitPreço[[#This Row],[Qtt]]*TbTradesBitPreço[[#This Row],[Preço]])),T7)-IF(TbTradesBitPreço[[#This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Row],[Tipo]]="DROP"),T7+TbTradesBitPreço[[#This Row],[Qtt]],T7-TbTradesBitPreço[[#This Row],[Qtt]]),IF(TbTradesBitPreço[[#This Row],[Tipo]]="BUY",T7-TbTradesBitPreço[[#This Row],[Qtt]]*TbTradesBitPreço[[#This Row],[Preço]],T7+TbTradesBitPreço[[#This Row],[Qtt]]*TbTradesBitPreço[[#This Row],[Preço]])),T7)-IF(TbTradesBitPreço[[#This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Row],[Tipo]]="DROP"),T7+TbTradesBitPreço[[#This Row],[Qtt]],T7-TbTradesBitPreço[[#This Row],[Qtt]]),IF(TbTradesBitPreço[[#This Row],[Tipo]]="BUY",T7-TbTradesBitPreço[[#This Row],[Qtt]]*TbTradesBitPreço[[#This Row],[Preço]],T7+TbTradesBitPreço[[#This Row],[Qtt]]*TbTradesBitPreço[[#This Row],[Preço]])),T7)-IF(TbTradesBitPreço[[#This Row],[Moeda da Taxa]]=MID(T$1,9,5),TbTradesBitPreço[[#This Row],[Taxa]],0),8)))</f>
        <v>0</v>
      </c>
      <c r="U8" s="50" cm="1">
        <f t="array" ref="U8">IF(TbTradesBitPreço[[#This Row],[Tipo]]="EMPTY",0,U7+IF(TbTradesBitPreço[[#This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Row],[Par]]))),$1:$1,0)),-(T7-T8)/T7*U7),0),0)+IF(TbTradesBitPreço[[#This Row],[Tipo]]="SELL",IF(ISNUMBER(FIND(MID(U$1,10,5),TbTradesBitPreço[[#This Row],[Par]])),IF(FIND(MID(U$1,10,5),TbTradesBitPreço[[#This Row],[Par]])=1, -(T7-T8)/T7*U7,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Row],[Par]])),(-(T7-T8)/T7*U7)+IF(TbTradesBitPreço[[#This Row],[Resultado]]&gt;0,0,TbTradesBitPreço[[#This Row],[Taxa]]),0),0))</f>
        <v>0</v>
      </c>
      <c r="V8" s="41">
        <f t="shared" si="2"/>
        <v>0</v>
      </c>
      <c r="W8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Row],[Tipo]]="DROP"),W7+TbTradesBitPreço[[#This Row],[Qtt]],W7-TbTradesBitPreço[[#This Row],[Qtt]]),IF(TbTradesBitPreço[[#This Row],[Tipo]]="BUY",W7-TbTradesBitPreço[[#This Row],[Qtt]]*TbTradesBitPreço[[#This Row],[Preço]],W7+TbTradesBitPreço[[#This Row],[Qtt]]*TbTradesBitPreço[[#This Row],[Preço]])),W7)-IF(TbTradesBitPreço[[#This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Row],[Tipo]]="DROP"),W7+TbTradesBitPreço[[#This Row],[Qtt]],W7-TbTradesBitPreço[[#This Row],[Qtt]]),IF(TbTradesBitPreço[[#This Row],[Tipo]]="BUY",W7-TbTradesBitPreço[[#This Row],[Qtt]]*TbTradesBitPreço[[#This Row],[Preço]],W7+TbTradesBitPreço[[#This Row],[Qtt]]*TbTradesBitPreço[[#This Row],[Preço]])),W7)-IF(TbTradesBitPreço[[#This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Row],[Tipo]]="DROP"),W7+TbTradesBitPreço[[#This Row],[Qtt]],W7-TbTradesBitPreço[[#This Row],[Qtt]]),IF(TbTradesBitPreço[[#This Row],[Tipo]]="BUY",W7-TbTradesBitPreço[[#This Row],[Qtt]]*TbTradesBitPreço[[#This Row],[Preço]],W7+TbTradesBitPreço[[#This Row],[Qtt]]*TbTradesBitPreço[[#This Row],[Preço]])),W7)-IF(TbTradesBitPreço[[#This Row],[Moeda da Taxa]]=MID(W$1,9,5),TbTradesBitPreço[[#This Row],[Taxa]],0),8)))</f>
        <v>5.7702300000000003E-3</v>
      </c>
      <c r="X8" s="50" cm="1">
        <f t="array" ref="X8">IF(TbTradesBitPreço[[#This Row],[Tipo]]="EMPTY",0,X7+IF(TbTradesBitPreço[[#This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Row],[Par]]))),$1:$1,0)),-(W7-W8)/W7*X7),0),0)+IF(TbTradesBitPreço[[#This Row],[Tipo]]="SELL",IF(ISNUMBER(FIND(MID(X$1,10,5),TbTradesBitPreço[[#This Row],[Par]])),IF(FIND(MID(X$1,10,5),TbTradesBitPreço[[#This Row],[Par]])=1, -(W7-W8)/W7*X7,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Row],[Par]])),(-(W7-W8)/W7*X7)+IF(TbTradesBitPreço[[#This Row],[Resultado]]&gt;0,0,TbTradesBitPreço[[#This Row],[Taxa]]),0),0))</f>
        <v>49.99574667395823</v>
      </c>
      <c r="Y8" s="41">
        <f t="shared" si="3"/>
        <v>8664.4287444275578</v>
      </c>
    </row>
    <row r="9" spans="1:25" x14ac:dyDescent="0.3">
      <c r="B9" s="40"/>
      <c r="C9" s="40">
        <f>TRUNC(IF(AND(TbTradesBitPreço[[#This Row],[Tipo]]="SEND",TbTradesBitPreço[[#This Row],[Par]]="BRL"),TbTradesBitPreço[[#This Row],[Qtt]]*(1-P8)-IF(TbTradesBitPreço[[#This Row],[Moeda da Taxa]]="BRL",TbTradesBitPreço[[#This Row],[Taxa]],0),0)+IF(AND(TbTradesBitPreço[[#This Row],[Tipo]]="BURN",TbTradesBitPreço[[#This Row],[Par]]="BRL"),-TbTradesBitPreço[[#This Row],[Qtt]]*P8,0),2)</f>
        <v>0</v>
      </c>
      <c r="D9" s="53">
        <v>44276.427129629628</v>
      </c>
      <c r="E9" s="37" t="s">
        <v>147</v>
      </c>
      <c r="F9" s="37" t="s">
        <v>139</v>
      </c>
      <c r="G9" s="38">
        <f>(56.05+1.9)/TbTradesBitPreço[[#This Row],[Qtt]]</f>
        <v>9948.3953813351272</v>
      </c>
      <c r="H9" s="38">
        <f>0.005634+0.00019106</f>
        <v>5.82506E-3</v>
      </c>
      <c r="I9" s="38">
        <v>0</v>
      </c>
      <c r="J9" s="37" t="s">
        <v>8</v>
      </c>
      <c r="K9" s="52">
        <v>1</v>
      </c>
      <c r="L9" s="40">
        <f t="shared" si="4"/>
        <v>9948.39</v>
      </c>
      <c r="M9" s="40">
        <f>IF(OR(TbTradesBitPreço[[#This Row],[Tipo]]="BUY",TbTradesBitPreço[[#This Row],[Tipo]]="RECEIVE",TbTradesBitPreço[[#This Row],[Tipo]]="DROP"),L9*H9,-L9*H9)</f>
        <v>57.949968653399999</v>
      </c>
      <c r="N9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Row],[Tipo]]="DROP"),N8+TbTradesBitPreço[[#This Row],[Qtt]],N8-TbTradesBitPreço[[#This Row],[Qtt]]),IF(TbTradesBitPreço[[#This Row],[Tipo]]="BUY",N8-TbTradesBitPreço[[#This Row],[Qtt]]*TbTradesBitPreço[[#This Row],[Preço]],N8+TbTradesBitPreço[[#This Row],[Qtt]]*TbTradesBitPreço[[#This Row],[Preço]])),N8)-IF(TbTradesBitPreço[[#This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Row],[Tipo]]="DROP"),N8+TbTradesBitPreço[[#This Row],[Qtt]],N8-TbTradesBitPreço[[#This Row],[Qtt]]),IF(TbTradesBitPreço[[#This Row],[Tipo]]="BUY",N8-TbTradesBitPreço[[#This Row],[Qtt]]*TbTradesBitPreço[[#This Row],[Preço]],N8+TbTradesBitPreço[[#This Row],[Qtt]]*TbTradesBitPreço[[#This Row],[Preço]])),N8)-IF(TbTradesBitPreço[[#This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Row],[Tipo]]="DROP"),N8+TbTradesBitPreço[[#This Row],[Qtt]],N8-TbTradesBitPreço[[#This Row],[Qtt]]),IF(TbTradesBitPreço[[#This Row],[Tipo]]="BUY",N8-TbTradesBitPreço[[#This Row],[Qtt]]*TbTradesBitPreço[[#This Row],[Preço]],N8+TbTradesBitPreço[[#This Row],[Qtt]]*TbTradesBitPreço[[#This Row],[Preço]])),N8)-IF(TbTradesBitPreço[[#This Row],[Moeda da Taxa]]=MID(N$1,9,5),TbTradesBitPreço[[#This Row],[Taxa]],0),8)))</f>
        <v>1.9861750000000001E-2</v>
      </c>
      <c r="O9" s="50" cm="1">
        <f t="array" ref="O9">IF(TbTradesBitPreço[[#This Row],[Tipo]]="EMPTY",0,O8+IF(TbTradesBitPreço[[#This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Row],[Par]]))),$1:$1,0)),-(N8-N9)/N8*O8),0),0)+IF(TbTradesBitPreço[[#This Row],[Tipo]]="SELL",IF(ISNUMBER(FIND(MID(O$1,10,5),TbTradesBitPreço[[#This Row],[Par]])),IF(FIND(MID(O$1,10,5),TbTradesBitPreço[[#This Row],[Par]])=1, -(N8-N9)/N8*O8,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Row],[Par]])),(-(N8-N9)/N8*O8)+IF(TbTradesBitPreço[[#This Row],[Resultado]]&gt;0,0,TbTradesBitPreço[[#This Row],[Taxa]]),0),0))</f>
        <v>1.7132557306787533E-2</v>
      </c>
      <c r="P9" s="41">
        <f t="shared" si="0"/>
        <v>0.86259052232494782</v>
      </c>
      <c r="Q9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Row],[Tipo]]="DROP"),Q8+TbTradesBitPreço[[#This Row],[Qtt]],Q8-TbTradesBitPreço[[#This Row],[Qtt]]),IF(TbTradesBitPreço[[#This Row],[Tipo]]="BUY",Q8-TbTradesBitPreço[[#This Row],[Qtt]]*TbTradesBitPreço[[#This Row],[Preço]],Q8+TbTradesBitPreço[[#This Row],[Qtt]]*TbTradesBitPreço[[#This Row],[Preço]])),Q8)-IF(TbTradesBitPreço[[#This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Row],[Tipo]]="DROP"),Q8+TbTradesBitPreço[[#This Row],[Qtt]],Q8-TbTradesBitPreço[[#This Row],[Qtt]]),IF(TbTradesBitPreço[[#This Row],[Tipo]]="BUY",Q8-TbTradesBitPreço[[#This Row],[Qtt]]*TbTradesBitPreço[[#This Row],[Preço]],Q8+TbTradesBitPreço[[#This Row],[Qtt]]*TbTradesBitPreço[[#This Row],[Preço]])),Q8)-IF(TbTradesBitPreço[[#This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Row],[Tipo]]="DROP"),Q8+TbTradesBitPreço[[#This Row],[Qtt]],Q8-TbTradesBitPreço[[#This Row],[Qtt]]),IF(TbTradesBitPreço[[#This Row],[Tipo]]="BUY",Q8-TbTradesBitPreço[[#This Row],[Qtt]]*TbTradesBitPreço[[#This Row],[Preço]],Q8+TbTradesBitPreço[[#This Row],[Qtt]]*TbTradesBitPreço[[#This Row],[Preço]])),Q8)-IF(TbTradesBitPreço[[#This Row],[Moeda da Taxa]]=MID(Q$1,9,5),TbTradesBitPreço[[#This Row],[Taxa]],0),8)))</f>
        <v>0</v>
      </c>
      <c r="R9" s="50" cm="1">
        <f t="array" ref="R9">IF(TbTradesBitPreço[[#This Row],[Tipo]]="EMPTY",0,R8+IF(TbTradesBitPreço[[#This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Row],[Par]]))),$1:$1,0)),-(Q8-Q9)/Q8*R8),0),0)+IF(TbTradesBitPreço[[#This Row],[Tipo]]="SELL",IF(ISNUMBER(FIND(MID(R$1,10,5),TbTradesBitPreço[[#This Row],[Par]])),IF(FIND(MID(R$1,10,5),TbTradesBitPreço[[#This Row],[Par]])=1, -(Q8-Q9)/Q8*R8,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Row],[Par]])),(-(Q8-Q9)/Q8*R8)+IF(TbTradesBitPreço[[#This Row],[Resultado]]&gt;0,0,TbTradesBitPreço[[#This Row],[Taxa]]),0),0))</f>
        <v>0</v>
      </c>
      <c r="S9" s="41">
        <f t="shared" si="1"/>
        <v>0</v>
      </c>
      <c r="T9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Row],[Tipo]]="DROP"),T8+TbTradesBitPreço[[#This Row],[Qtt]],T8-TbTradesBitPreço[[#This Row],[Qtt]]),IF(TbTradesBitPreço[[#This Row],[Tipo]]="BUY",T8-TbTradesBitPreço[[#This Row],[Qtt]]*TbTradesBitPreço[[#This Row],[Preço]],T8+TbTradesBitPreço[[#This Row],[Qtt]]*TbTradesBitPreço[[#This Row],[Preço]])),T8)-IF(TbTradesBitPreço[[#This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Row],[Tipo]]="DROP"),T8+TbTradesBitPreço[[#This Row],[Qtt]],T8-TbTradesBitPreço[[#This Row],[Qtt]]),IF(TbTradesBitPreço[[#This Row],[Tipo]]="BUY",T8-TbTradesBitPreço[[#This Row],[Qtt]]*TbTradesBitPreço[[#This Row],[Preço]],T8+TbTradesBitPreço[[#This Row],[Qtt]]*TbTradesBitPreço[[#This Row],[Preço]])),T8)-IF(TbTradesBitPreço[[#This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Row],[Tipo]]="DROP"),T8+TbTradesBitPreço[[#This Row],[Qtt]],T8-TbTradesBitPreço[[#This Row],[Qtt]]),IF(TbTradesBitPreço[[#This Row],[Tipo]]="BUY",T8-TbTradesBitPreço[[#This Row],[Qtt]]*TbTradesBitPreço[[#This Row],[Preço]],T8+TbTradesBitPreço[[#This Row],[Qtt]]*TbTradesBitPreço[[#This Row],[Preço]])),T8)-IF(TbTradesBitPreço[[#This Row],[Moeda da Taxa]]=MID(T$1,9,5),TbTradesBitPreço[[#This Row],[Taxa]],0),8)))</f>
        <v>0</v>
      </c>
      <c r="U9" s="50" cm="1">
        <f t="array" ref="U9">IF(TbTradesBitPreço[[#This Row],[Tipo]]="EMPTY",0,U8+IF(TbTradesBitPreço[[#This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Row],[Par]]))),$1:$1,0)),-(T8-T9)/T8*U8),0),0)+IF(TbTradesBitPreço[[#This Row],[Tipo]]="SELL",IF(ISNUMBER(FIND(MID(U$1,10,5),TbTradesBitPreço[[#This Row],[Par]])),IF(FIND(MID(U$1,10,5),TbTradesBitPreço[[#This Row],[Par]])=1, -(T8-T9)/T8*U8,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Row],[Par]])),(-(T8-T9)/T8*U8)+IF(TbTradesBitPreço[[#This Row],[Resultado]]&gt;0,0,TbTradesBitPreço[[#This Row],[Taxa]]),0),0))</f>
        <v>0</v>
      </c>
      <c r="V9" s="41">
        <f t="shared" si="2"/>
        <v>0</v>
      </c>
      <c r="W9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Row],[Tipo]]="DROP"),W8+TbTradesBitPreço[[#This Row],[Qtt]],W8-TbTradesBitPreço[[#This Row],[Qtt]]),IF(TbTradesBitPreço[[#This Row],[Tipo]]="BUY",W8-TbTradesBitPreço[[#This Row],[Qtt]]*TbTradesBitPreço[[#This Row],[Preço]],W8+TbTradesBitPreço[[#This Row],[Qtt]]*TbTradesBitPreço[[#This Row],[Preço]])),W8)-IF(TbTradesBitPreço[[#This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Row],[Tipo]]="DROP"),W8+TbTradesBitPreço[[#This Row],[Qtt]],W8-TbTradesBitPreço[[#This Row],[Qtt]]),IF(TbTradesBitPreço[[#This Row],[Tipo]]="BUY",W8-TbTradesBitPreço[[#This Row],[Qtt]]*TbTradesBitPreço[[#This Row],[Preço]],W8+TbTradesBitPreço[[#This Row],[Qtt]]*TbTradesBitPreço[[#This Row],[Preço]])),W8)-IF(TbTradesBitPreço[[#This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Row],[Tipo]]="DROP"),W8+TbTradesBitPreço[[#This Row],[Qtt]],W8-TbTradesBitPreço[[#This Row],[Qtt]]),IF(TbTradesBitPreço[[#This Row],[Tipo]]="BUY",W8-TbTradesBitPreço[[#This Row],[Qtt]]*TbTradesBitPreço[[#This Row],[Preço]],W8+TbTradesBitPreço[[#This Row],[Qtt]]*TbTradesBitPreço[[#This Row],[Preço]])),W8)-IF(TbTradesBitPreço[[#This Row],[Moeda da Taxa]]=MID(W$1,9,5),TbTradesBitPreço[[#This Row],[Taxa]],0),8)))</f>
        <v>1.1595289999999999E-2</v>
      </c>
      <c r="X9" s="50" cm="1">
        <f t="array" ref="X9">IF(TbTradesBitPreço[[#This Row],[Tipo]]="EMPTY",0,X8+IF(TbTradesBitPreço[[#This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Row],[Par]]))),$1:$1,0)),-(W8-W9)/W8*X8),0),0)+IF(TbTradesBitPreço[[#This Row],[Tipo]]="SELL",IF(ISNUMBER(FIND(MID(X$1,10,5),TbTradesBitPreço[[#This Row],[Par]])),IF(FIND(MID(X$1,10,5),TbTradesBitPreço[[#This Row],[Par]])=1, -(W8-W9)/W8*X8,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Row],[Par]])),(-(W8-W9)/W8*X8)+IF(TbTradesBitPreço[[#This Row],[Resultado]]&gt;0,0,TbTradesBitPreço[[#This Row],[Taxa]]),0),0))</f>
        <v>99.98286744269322</v>
      </c>
      <c r="Y9" s="41">
        <f t="shared" si="3"/>
        <v>8622.7138297268302</v>
      </c>
    </row>
    <row r="10" spans="1:25" x14ac:dyDescent="0.3">
      <c r="B10" s="40"/>
      <c r="C10" s="40">
        <f>TRUNC(IF(AND(TbTradesBitPreço[[#This Row],[Tipo]]="SEND",TbTradesBitPreço[[#This Row],[Par]]="BRL"),TbTradesBitPreço[[#This Row],[Qtt]]*(1-P9)-IF(TbTradesBitPreço[[#This Row],[Moeda da Taxa]]="BRL",TbTradesBitPreço[[#This Row],[Taxa]],0),0)+IF(AND(TbTradesBitPreço[[#This Row],[Tipo]]="BURN",TbTradesBitPreço[[#This Row],[Par]]="BRL"),-TbTradesBitPreço[[#This Row],[Qtt]]*P9,0),2)</f>
        <v>0</v>
      </c>
      <c r="D10" s="53">
        <v>44301.48064814815</v>
      </c>
      <c r="E10" s="37" t="s">
        <v>147</v>
      </c>
      <c r="F10" s="37" t="s">
        <v>140</v>
      </c>
      <c r="G10" s="38">
        <f>81.74/TbTradesBitPreço[[#This Row],[Qtt]]</f>
        <v>14098.864536025927</v>
      </c>
      <c r="H10" s="38">
        <v>5.7976299999999998E-3</v>
      </c>
      <c r="I10" s="38">
        <v>0</v>
      </c>
      <c r="J10" s="37" t="s">
        <v>8</v>
      </c>
      <c r="K10" s="52">
        <v>1</v>
      </c>
      <c r="L10" s="40">
        <f t="shared" si="4"/>
        <v>14098.86</v>
      </c>
      <c r="M10" s="40">
        <f>IF(OR(TbTradesBitPreço[[#This Row],[Tipo]]="BUY",TbTradesBitPreço[[#This Row],[Tipo]]="RECEIVE",TbTradesBitPreço[[#This Row],[Tipo]]="DROP"),L10*H10,-L10*H10)</f>
        <v>-81.739973701799997</v>
      </c>
      <c r="N10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Row],[Tipo]]="DROP"),N9+TbTradesBitPreço[[#This Row],[Qtt]],N9-TbTradesBitPreço[[#This Row],[Qtt]]),IF(TbTradesBitPreço[[#This Row],[Tipo]]="BUY",N9-TbTradesBitPreço[[#This Row],[Qtt]]*TbTradesBitPreço[[#This Row],[Preço]],N9+TbTradesBitPreço[[#This Row],[Qtt]]*TbTradesBitPreço[[#This Row],[Preço]])),N9)-IF(TbTradesBitPreço[[#This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Row],[Tipo]]="DROP"),N9+TbTradesBitPreço[[#This Row],[Qtt]],N9-TbTradesBitPreço[[#This Row],[Qtt]]),IF(TbTradesBitPreço[[#This Row],[Tipo]]="BUY",N9-TbTradesBitPreço[[#This Row],[Qtt]]*TbTradesBitPreço[[#This Row],[Preço]],N9+TbTradesBitPreço[[#This Row],[Qtt]]*TbTradesBitPreço[[#This Row],[Preço]])),N9)-IF(TbTradesBitPreço[[#This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Row],[Tipo]]="DROP"),N9+TbTradesBitPreço[[#This Row],[Qtt]],N9-TbTradesBitPreço[[#This Row],[Qtt]]),IF(TbTradesBitPreço[[#This Row],[Tipo]]="BUY",N9-TbTradesBitPreço[[#This Row],[Qtt]]*TbTradesBitPreço[[#This Row],[Preço]],N9+TbTradesBitPreço[[#This Row],[Qtt]]*TbTradesBitPreço[[#This Row],[Preço]])),N9)-IF(TbTradesBitPreço[[#This Row],[Moeda da Taxa]]=MID(N$1,9,5),TbTradesBitPreço[[#This Row],[Taxa]],0),8)))</f>
        <v>81.759861749999999</v>
      </c>
      <c r="O10" s="50" cm="1">
        <f t="array" ref="O10">IF(TbTradesBitPreço[[#This Row],[Tipo]]="EMPTY",0,O9+IF(TbTradesBitPreço[[#This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Row],[Par]]))),$1:$1,0)),-(N9-N10)/N9*O9),0),0)+IF(TbTradesBitPreço[[#This Row],[Tipo]]="SELL",IF(ISNUMBER(FIND(MID(O$1,10,5),TbTradesBitPreço[[#This Row],[Par]])),IF(FIND(MID(O$1,10,5),TbTradesBitPreço[[#This Row],[Par]])=1, -(N9-N10)/N9*O9,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Row],[Par]])),(-(N9-N10)/N9*O9)+IF(TbTradesBitPreço[[#This Row],[Resultado]]&gt;0,0,TbTradesBitPreço[[#This Row],[Taxa]]),0),0))</f>
        <v>50.008436937945952</v>
      </c>
      <c r="P10" s="41">
        <f t="shared" si="0"/>
        <v>0.61165021402382636</v>
      </c>
      <c r="Q10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Row],[Tipo]]="DROP"),Q9+TbTradesBitPreço[[#This Row],[Qtt]],Q9-TbTradesBitPreço[[#This Row],[Qtt]]),IF(TbTradesBitPreço[[#This Row],[Tipo]]="BUY",Q9-TbTradesBitPreço[[#This Row],[Qtt]]*TbTradesBitPreço[[#This Row],[Preço]],Q9+TbTradesBitPreço[[#This Row],[Qtt]]*TbTradesBitPreço[[#This Row],[Preço]])),Q9)-IF(TbTradesBitPreço[[#This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Row],[Tipo]]="DROP"),Q9+TbTradesBitPreço[[#This Row],[Qtt]],Q9-TbTradesBitPreço[[#This Row],[Qtt]]),IF(TbTradesBitPreço[[#This Row],[Tipo]]="BUY",Q9-TbTradesBitPreço[[#This Row],[Qtt]]*TbTradesBitPreço[[#This Row],[Preço]],Q9+TbTradesBitPreço[[#This Row],[Qtt]]*TbTradesBitPreço[[#This Row],[Preço]])),Q9)-IF(TbTradesBitPreço[[#This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Row],[Tipo]]="DROP"),Q9+TbTradesBitPreço[[#This Row],[Qtt]],Q9-TbTradesBitPreço[[#This Row],[Qtt]]),IF(TbTradesBitPreço[[#This Row],[Tipo]]="BUY",Q9-TbTradesBitPreço[[#This Row],[Qtt]]*TbTradesBitPreço[[#This Row],[Preço]],Q9+TbTradesBitPreço[[#This Row],[Qtt]]*TbTradesBitPreço[[#This Row],[Preço]])),Q9)-IF(TbTradesBitPreço[[#This Row],[Moeda da Taxa]]=MID(Q$1,9,5),TbTradesBitPreço[[#This Row],[Taxa]],0),8)))</f>
        <v>0</v>
      </c>
      <c r="R10" s="50" cm="1">
        <f t="array" ref="R10">IF(TbTradesBitPreço[[#This Row],[Tipo]]="EMPTY",0,R9+IF(TbTradesBitPreço[[#This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Row],[Par]]))),$1:$1,0)),-(Q9-Q10)/Q9*R9),0),0)+IF(TbTradesBitPreço[[#This Row],[Tipo]]="SELL",IF(ISNUMBER(FIND(MID(R$1,10,5),TbTradesBitPreço[[#This Row],[Par]])),IF(FIND(MID(R$1,10,5),TbTradesBitPreço[[#This Row],[Par]])=1, -(Q9-Q10)/Q9*R9,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Row],[Par]])),(-(Q9-Q10)/Q9*R9)+IF(TbTradesBitPreço[[#This Row],[Resultado]]&gt;0,0,TbTradesBitPreço[[#This Row],[Taxa]]),0),0))</f>
        <v>0</v>
      </c>
      <c r="S10" s="41">
        <f t="shared" si="1"/>
        <v>0</v>
      </c>
      <c r="T10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Row],[Tipo]]="DROP"),T9+TbTradesBitPreço[[#This Row],[Qtt]],T9-TbTradesBitPreço[[#This Row],[Qtt]]),IF(TbTradesBitPreço[[#This Row],[Tipo]]="BUY",T9-TbTradesBitPreço[[#This Row],[Qtt]]*TbTradesBitPreço[[#This Row],[Preço]],T9+TbTradesBitPreço[[#This Row],[Qtt]]*TbTradesBitPreço[[#This Row],[Preço]])),T9)-IF(TbTradesBitPreço[[#This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Row],[Tipo]]="DROP"),T9+TbTradesBitPreço[[#This Row],[Qtt]],T9-TbTradesBitPreço[[#This Row],[Qtt]]),IF(TbTradesBitPreço[[#This Row],[Tipo]]="BUY",T9-TbTradesBitPreço[[#This Row],[Qtt]]*TbTradesBitPreço[[#This Row],[Preço]],T9+TbTradesBitPreço[[#This Row],[Qtt]]*TbTradesBitPreço[[#This Row],[Preço]])),T9)-IF(TbTradesBitPreço[[#This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Row],[Tipo]]="DROP"),T9+TbTradesBitPreço[[#This Row],[Qtt]],T9-TbTradesBitPreço[[#This Row],[Qtt]]),IF(TbTradesBitPreço[[#This Row],[Tipo]]="BUY",T9-TbTradesBitPreço[[#This Row],[Qtt]]*TbTradesBitPreço[[#This Row],[Preço]],T9+TbTradesBitPreço[[#This Row],[Qtt]]*TbTradesBitPreço[[#This Row],[Preço]])),T9)-IF(TbTradesBitPreço[[#This Row],[Moeda da Taxa]]=MID(T$1,9,5),TbTradesBitPreço[[#This Row],[Taxa]],0),8)))</f>
        <v>0</v>
      </c>
      <c r="U10" s="50" cm="1">
        <f t="array" ref="U10">IF(TbTradesBitPreço[[#This Row],[Tipo]]="EMPTY",0,U9+IF(TbTradesBitPreço[[#This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Row],[Par]]))),$1:$1,0)),-(T9-T10)/T9*U9),0),0)+IF(TbTradesBitPreço[[#This Row],[Tipo]]="SELL",IF(ISNUMBER(FIND(MID(U$1,10,5),TbTradesBitPreço[[#This Row],[Par]])),IF(FIND(MID(U$1,10,5),TbTradesBitPreço[[#This Row],[Par]])=1, -(T9-T10)/T9*U9,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Row],[Par]])),(-(T9-T10)/T9*U9)+IF(TbTradesBitPreço[[#This Row],[Resultado]]&gt;0,0,TbTradesBitPreço[[#This Row],[Taxa]]),0),0))</f>
        <v>0</v>
      </c>
      <c r="V10" s="41">
        <f t="shared" si="2"/>
        <v>0</v>
      </c>
      <c r="W10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Row],[Tipo]]="DROP"),W9+TbTradesBitPreço[[#This Row],[Qtt]],W9-TbTradesBitPreço[[#This Row],[Qtt]]),IF(TbTradesBitPreço[[#This Row],[Tipo]]="BUY",W9-TbTradesBitPreço[[#This Row],[Qtt]]*TbTradesBitPreço[[#This Row],[Preço]],W9+TbTradesBitPreço[[#This Row],[Qtt]]*TbTradesBitPreço[[#This Row],[Preço]])),W9)-IF(TbTradesBitPreço[[#This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Row],[Tipo]]="DROP"),W9+TbTradesBitPreço[[#This Row],[Qtt]],W9-TbTradesBitPreço[[#This Row],[Qtt]]),IF(TbTradesBitPreço[[#This Row],[Tipo]]="BUY",W9-TbTradesBitPreço[[#This Row],[Qtt]]*TbTradesBitPreço[[#This Row],[Preço]],W9+TbTradesBitPreço[[#This Row],[Qtt]]*TbTradesBitPreço[[#This Row],[Preço]])),W9)-IF(TbTradesBitPreço[[#This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Row],[Tipo]]="DROP"),W9+TbTradesBitPreço[[#This Row],[Qtt]],W9-TbTradesBitPreço[[#This Row],[Qtt]]),IF(TbTradesBitPreço[[#This Row],[Tipo]]="BUY",W9-TbTradesBitPreço[[#This Row],[Qtt]]*TbTradesBitPreço[[#This Row],[Preço]],W9+TbTradesBitPreço[[#This Row],[Qtt]]*TbTradesBitPreço[[#This Row],[Preço]])),W9)-IF(TbTradesBitPreço[[#This Row],[Moeda da Taxa]]=MID(W$1,9,5),TbTradesBitPreço[[#This Row],[Taxa]],0),8)))</f>
        <v>5.7976599999999996E-3</v>
      </c>
      <c r="X10" s="50" cm="1">
        <f t="array" ref="X10">IF(TbTradesBitPreço[[#This Row],[Tipo]]="EMPTY",0,X9+IF(TbTradesBitPreço[[#This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Row],[Par]]))),$1:$1,0)),-(W9-W10)/W9*X9),0),0)+IF(TbTradesBitPreço[[#This Row],[Tipo]]="SELL",IF(ISNUMBER(FIND(MID(X$1,10,5),TbTradesBitPreço[[#This Row],[Par]])),IF(FIND(MID(X$1,10,5),TbTradesBitPreço[[#This Row],[Par]])=1, -(W9-W10)/W9*X9,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Row],[Par]])),(-(W9-W10)/W9*X9)+IF(TbTradesBitPreço[[#This Row],[Resultado]]&gt;0,0,TbTradesBitPreço[[#This Row],[Taxa]]),0),0))</f>
        <v>49.991563062054055</v>
      </c>
      <c r="Y10" s="41">
        <f t="shared" si="3"/>
        <v>8622.7138297268302</v>
      </c>
    </row>
    <row r="11" spans="1:25" x14ac:dyDescent="0.3">
      <c r="B11" s="40"/>
      <c r="C11" s="40">
        <f>TRUNC(IF(AND(TbTradesBitPreço[[#This Row],[Tipo]]="SEND",TbTradesBitPreço[[#This Row],[Par]]="BRL"),TbTradesBitPreço[[#This Row],[Qtt]]*(1-P10)-IF(TbTradesBitPreço[[#This Row],[Moeda da Taxa]]="BRL",TbTradesBitPreço[[#This Row],[Taxa]],0),0)+IF(AND(TbTradesBitPreço[[#This Row],[Tipo]]="BURN",TbTradesBitPreço[[#This Row],[Par]]="BRL"),-TbTradesBitPreço[[#This Row],[Qtt]]*P10,0),2)</f>
        <v>0</v>
      </c>
      <c r="D11" s="53">
        <v>44302.083194444444</v>
      </c>
      <c r="E11" s="37" t="s">
        <v>138</v>
      </c>
      <c r="F11" s="37" t="s">
        <v>139</v>
      </c>
      <c r="G11" s="38">
        <f>81.74/TbTradesBitPreço[[#This Row],[Qtt]]</f>
        <v>350064.23982869374</v>
      </c>
      <c r="H11" s="38">
        <v>2.3350000000000001E-4</v>
      </c>
      <c r="I11" s="38">
        <v>0</v>
      </c>
      <c r="J11" s="37" t="s">
        <v>6</v>
      </c>
      <c r="K11" s="52">
        <v>1</v>
      </c>
      <c r="L11" s="40">
        <f t="shared" si="4"/>
        <v>350064.23</v>
      </c>
      <c r="M11" s="40">
        <f>IF(OR(TbTradesBitPreço[[#This Row],[Tipo]]="BUY",TbTradesBitPreço[[#This Row],[Tipo]]="RECEIVE",TbTradesBitPreço[[#This Row],[Tipo]]="DROP"),L11*H11,-L11*H11)</f>
        <v>81.739997704999993</v>
      </c>
      <c r="N11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Row],[Tipo]]="DROP"),N10+TbTradesBitPreço[[#This Row],[Qtt]],N10-TbTradesBitPreço[[#This Row],[Qtt]]),IF(TbTradesBitPreço[[#This Row],[Tipo]]="BUY",N10-TbTradesBitPreço[[#This Row],[Qtt]]*TbTradesBitPreço[[#This Row],[Preço]],N10+TbTradesBitPreço[[#This Row],[Qtt]]*TbTradesBitPreço[[#This Row],[Preço]])),N10)-IF(TbTradesBitPreço[[#This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Row],[Tipo]]="DROP"),N10+TbTradesBitPreço[[#This Row],[Qtt]],N10-TbTradesBitPreço[[#This Row],[Qtt]]),IF(TbTradesBitPreço[[#This Row],[Tipo]]="BUY",N10-TbTradesBitPreço[[#This Row],[Qtt]]*TbTradesBitPreço[[#This Row],[Preço]],N10+TbTradesBitPreço[[#This Row],[Qtt]]*TbTradesBitPreço[[#This Row],[Preço]])),N10)-IF(TbTradesBitPreço[[#This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Row],[Tipo]]="DROP"),N10+TbTradesBitPreço[[#This Row],[Qtt]],N10-TbTradesBitPreço[[#This Row],[Qtt]]),IF(TbTradesBitPreço[[#This Row],[Tipo]]="BUY",N10-TbTradesBitPreço[[#This Row],[Qtt]]*TbTradesBitPreço[[#This Row],[Preço]],N10+TbTradesBitPreço[[#This Row],[Qtt]]*TbTradesBitPreço[[#This Row],[Preço]])),N10)-IF(TbTradesBitPreço[[#This Row],[Moeda da Taxa]]=MID(N$1,9,5),TbTradesBitPreço[[#This Row],[Taxa]],0),8)))</f>
        <v>1.9861750000000001E-2</v>
      </c>
      <c r="O11" s="50" cm="1">
        <f t="array" ref="O11">IF(TbTradesBitPreço[[#This Row],[Tipo]]="EMPTY",0,O10+IF(TbTradesBitPreço[[#This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Row],[Par]]))),$1:$1,0)),-(N10-N11)/N10*O10),0),0)+IF(TbTradesBitPreço[[#This Row],[Tipo]]="SELL",IF(ISNUMBER(FIND(MID(O$1,10,5),TbTradesBitPreço[[#This Row],[Par]])),IF(FIND(MID(O$1,10,5),TbTradesBitPreço[[#This Row],[Par]])=1, -(N10-N11)/N10*O10,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Row],[Par]])),(-(N10-N11)/N10*O10)+IF(TbTradesBitPreço[[#This Row],[Resultado]]&gt;0,0,TbTradesBitPreço[[#This Row],[Taxa]]),0),0))</f>
        <v>1.2148443638388073E-2</v>
      </c>
      <c r="P11" s="41">
        <f t="shared" si="0"/>
        <v>0.61165021402384345</v>
      </c>
      <c r="Q11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Row],[Tipo]]="DROP"),Q10+TbTradesBitPreço[[#This Row],[Qtt]],Q10-TbTradesBitPreço[[#This Row],[Qtt]]),IF(TbTradesBitPreço[[#This Row],[Tipo]]="BUY",Q10-TbTradesBitPreço[[#This Row],[Qtt]]*TbTradesBitPreço[[#This Row],[Preço]],Q10+TbTradesBitPreço[[#This Row],[Qtt]]*TbTradesBitPreço[[#This Row],[Preço]])),Q10)-IF(TbTradesBitPreço[[#This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Row],[Tipo]]="DROP"),Q10+TbTradesBitPreço[[#This Row],[Qtt]],Q10-TbTradesBitPreço[[#This Row],[Qtt]]),IF(TbTradesBitPreço[[#This Row],[Tipo]]="BUY",Q10-TbTradesBitPreço[[#This Row],[Qtt]]*TbTradesBitPreço[[#This Row],[Preço]],Q10+TbTradesBitPreço[[#This Row],[Qtt]]*TbTradesBitPreço[[#This Row],[Preço]])),Q10)-IF(TbTradesBitPreço[[#This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Row],[Tipo]]="DROP"),Q10+TbTradesBitPreço[[#This Row],[Qtt]],Q10-TbTradesBitPreço[[#This Row],[Qtt]]),IF(TbTradesBitPreço[[#This Row],[Tipo]]="BUY",Q10-TbTradesBitPreço[[#This Row],[Qtt]]*TbTradesBitPreço[[#This Row],[Preço]],Q10+TbTradesBitPreço[[#This Row],[Qtt]]*TbTradesBitPreço[[#This Row],[Preço]])),Q10)-IF(TbTradesBitPreço[[#This Row],[Moeda da Taxa]]=MID(Q$1,9,5),TbTradesBitPreço[[#This Row],[Taxa]],0),8)))</f>
        <v>0</v>
      </c>
      <c r="R11" s="50" cm="1">
        <f t="array" ref="R11">IF(TbTradesBitPreço[[#This Row],[Tipo]]="EMPTY",0,R10+IF(TbTradesBitPreço[[#This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Row],[Par]]))),$1:$1,0)),-(Q10-Q11)/Q10*R10),0),0)+IF(TbTradesBitPreço[[#This Row],[Tipo]]="SELL",IF(ISNUMBER(FIND(MID(R$1,10,5),TbTradesBitPreço[[#This Row],[Par]])),IF(FIND(MID(R$1,10,5),TbTradesBitPreço[[#This Row],[Par]])=1, -(Q10-Q11)/Q10*R10,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Row],[Par]])),(-(Q10-Q11)/Q10*R10)+IF(TbTradesBitPreço[[#This Row],[Resultado]]&gt;0,0,TbTradesBitPreço[[#This Row],[Taxa]]),0),0))</f>
        <v>0</v>
      </c>
      <c r="S11" s="41">
        <f t="shared" si="1"/>
        <v>0</v>
      </c>
      <c r="T11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Row],[Tipo]]="DROP"),T10+TbTradesBitPreço[[#This Row],[Qtt]],T10-TbTradesBitPreço[[#This Row],[Qtt]]),IF(TbTradesBitPreço[[#This Row],[Tipo]]="BUY",T10-TbTradesBitPreço[[#This Row],[Qtt]]*TbTradesBitPreço[[#This Row],[Preço]],T10+TbTradesBitPreço[[#This Row],[Qtt]]*TbTradesBitPreço[[#This Row],[Preço]])),T10)-IF(TbTradesBitPreço[[#This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Row],[Tipo]]="DROP"),T10+TbTradesBitPreço[[#This Row],[Qtt]],T10-TbTradesBitPreço[[#This Row],[Qtt]]),IF(TbTradesBitPreço[[#This Row],[Tipo]]="BUY",T10-TbTradesBitPreço[[#This Row],[Qtt]]*TbTradesBitPreço[[#This Row],[Preço]],T10+TbTradesBitPreço[[#This Row],[Qtt]]*TbTradesBitPreço[[#This Row],[Preço]])),T10)-IF(TbTradesBitPreço[[#This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Row],[Tipo]]="DROP"),T10+TbTradesBitPreço[[#This Row],[Qtt]],T10-TbTradesBitPreço[[#This Row],[Qtt]]),IF(TbTradesBitPreço[[#This Row],[Tipo]]="BUY",T10-TbTradesBitPreço[[#This Row],[Qtt]]*TbTradesBitPreço[[#This Row],[Preço]],T10+TbTradesBitPreço[[#This Row],[Qtt]]*TbTradesBitPreço[[#This Row],[Preço]])),T10)-IF(TbTradesBitPreço[[#This Row],[Moeda da Taxa]]=MID(T$1,9,5),TbTradesBitPreço[[#This Row],[Taxa]],0),8)))</f>
        <v>2.3350000000000001E-4</v>
      </c>
      <c r="U11" s="50" cm="1">
        <f t="array" ref="U11">IF(TbTradesBitPreço[[#This Row],[Tipo]]="EMPTY",0,U10+IF(TbTradesBitPreço[[#This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Row],[Par]]))),$1:$1,0)),-(T10-T11)/T10*U10),0),0)+IF(TbTradesBitPreço[[#This Row],[Tipo]]="SELL",IF(ISNUMBER(FIND(MID(U$1,10,5),TbTradesBitPreço[[#This Row],[Par]])),IF(FIND(MID(U$1,10,5),TbTradesBitPreço[[#This Row],[Par]])=1, -(T10-T11)/T10*U10,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Row],[Par]])),(-(T10-T11)/T10*U10)+IF(TbTradesBitPreço[[#This Row],[Resultado]]&gt;0,0,TbTradesBitPreço[[#This Row],[Taxa]]),0),0))</f>
        <v>49.996288494307564</v>
      </c>
      <c r="V11" s="41">
        <f t="shared" si="2"/>
        <v>214116.86721330861</v>
      </c>
      <c r="W11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Row],[Tipo]]="DROP"),W10+TbTradesBitPreço[[#This Row],[Qtt]],W10-TbTradesBitPreço[[#This Row],[Qtt]]),IF(TbTradesBitPreço[[#This Row],[Tipo]]="BUY",W10-TbTradesBitPreço[[#This Row],[Qtt]]*TbTradesBitPreço[[#This Row],[Preço]],W10+TbTradesBitPreço[[#This Row],[Qtt]]*TbTradesBitPreço[[#This Row],[Preço]])),W10)-IF(TbTradesBitPreço[[#This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Row],[Tipo]]="DROP"),W10+TbTradesBitPreço[[#This Row],[Qtt]],W10-TbTradesBitPreço[[#This Row],[Qtt]]),IF(TbTradesBitPreço[[#This Row],[Tipo]]="BUY",W10-TbTradesBitPreço[[#This Row],[Qtt]]*TbTradesBitPreço[[#This Row],[Preço]],W10+TbTradesBitPreço[[#This Row],[Qtt]]*TbTradesBitPreço[[#This Row],[Preço]])),W10)-IF(TbTradesBitPreço[[#This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Row],[Tipo]]="DROP"),W10+TbTradesBitPreço[[#This Row],[Qtt]],W10-TbTradesBitPreço[[#This Row],[Qtt]]),IF(TbTradesBitPreço[[#This Row],[Tipo]]="BUY",W10-TbTradesBitPreço[[#This Row],[Qtt]]*TbTradesBitPreço[[#This Row],[Preço]],W10+TbTradesBitPreço[[#This Row],[Qtt]]*TbTradesBitPreço[[#This Row],[Preço]])),W10)-IF(TbTradesBitPreço[[#This Row],[Moeda da Taxa]]=MID(W$1,9,5),TbTradesBitPreço[[#This Row],[Taxa]],0),8)))</f>
        <v>5.7976599999999996E-3</v>
      </c>
      <c r="X11" s="50" cm="1">
        <f t="array" ref="X11">IF(TbTradesBitPreço[[#This Row],[Tipo]]="EMPTY",0,X10+IF(TbTradesBitPreço[[#This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Row],[Par]]))),$1:$1,0)),-(W10-W11)/W10*X10),0),0)+IF(TbTradesBitPreço[[#This Row],[Tipo]]="SELL",IF(ISNUMBER(FIND(MID(X$1,10,5),TbTradesBitPreço[[#This Row],[Par]])),IF(FIND(MID(X$1,10,5),TbTradesBitPreço[[#This Row],[Par]])=1, -(W10-W11)/W10*X10,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Row],[Par]])),(-(W10-W11)/W10*X10)+IF(TbTradesBitPreço[[#This Row],[Resultado]]&gt;0,0,TbTradesBitPreço[[#This Row],[Taxa]]),0),0))</f>
        <v>49.991563062054055</v>
      </c>
      <c r="Y11" s="41">
        <f t="shared" si="3"/>
        <v>8622.7138297268302</v>
      </c>
    </row>
    <row r="12" spans="1:25" x14ac:dyDescent="0.3">
      <c r="B12" s="40"/>
      <c r="C12" s="40">
        <f>TRUNC(IF(AND(TbTradesBitPreço[[#This Row],[Tipo]]="SEND",TbTradesBitPreço[[#This Row],[Par]]="BRL"),TbTradesBitPreço[[#This Row],[Qtt]]*(1-P11)-IF(TbTradesBitPreço[[#This Row],[Moeda da Taxa]]="BRL",TbTradesBitPreço[[#This Row],[Taxa]],0),0)+IF(AND(TbTradesBitPreço[[#This Row],[Tipo]]="BURN",TbTradesBitPreço[[#This Row],[Par]]="BRL"),-TbTradesBitPreço[[#This Row],[Qtt]]*P11,0),2)</f>
        <v>0</v>
      </c>
      <c r="D12" s="53">
        <v>44317.586643518516</v>
      </c>
      <c r="E12" s="37" t="s">
        <v>147</v>
      </c>
      <c r="F12" s="37" t="s">
        <v>140</v>
      </c>
      <c r="G12" s="38">
        <v>16000</v>
      </c>
      <c r="H12" s="38">
        <v>2.8988199999999999E-3</v>
      </c>
      <c r="I12" s="38">
        <v>0</v>
      </c>
      <c r="J12" s="37" t="s">
        <v>8</v>
      </c>
      <c r="K12" s="52">
        <v>1</v>
      </c>
      <c r="L12" s="40">
        <f t="shared" si="4"/>
        <v>16000</v>
      </c>
      <c r="M12" s="40">
        <f>IF(OR(TbTradesBitPreço[[#This Row],[Tipo]]="BUY",TbTradesBitPreço[[#This Row],[Tipo]]="RECEIVE",TbTradesBitPreço[[#This Row],[Tipo]]="DROP"),L12*H12,-L12*H12)</f>
        <v>-46.381119999999996</v>
      </c>
      <c r="N12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Row],[Tipo]]="DROP"),N11+TbTradesBitPreço[[#This Row],[Qtt]],N11-TbTradesBitPreço[[#This Row],[Qtt]]),IF(TbTradesBitPreço[[#This Row],[Tipo]]="BUY",N11-TbTradesBitPreço[[#This Row],[Qtt]]*TbTradesBitPreço[[#This Row],[Preço]],N11+TbTradesBitPreço[[#This Row],[Qtt]]*TbTradesBitPreço[[#This Row],[Preço]])),N11)-IF(TbTradesBitPreço[[#This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Row],[Tipo]]="DROP"),N11+TbTradesBitPreço[[#This Row],[Qtt]],N11-TbTradesBitPreço[[#This Row],[Qtt]]),IF(TbTradesBitPreço[[#This Row],[Tipo]]="BUY",N11-TbTradesBitPreço[[#This Row],[Qtt]]*TbTradesBitPreço[[#This Row],[Preço]],N11+TbTradesBitPreço[[#This Row],[Qtt]]*TbTradesBitPreço[[#This Row],[Preço]])),N11)-IF(TbTradesBitPreço[[#This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Row],[Tipo]]="DROP"),N11+TbTradesBitPreço[[#This Row],[Qtt]],N11-TbTradesBitPreço[[#This Row],[Qtt]]),IF(TbTradesBitPreço[[#This Row],[Tipo]]="BUY",N11-TbTradesBitPreço[[#This Row],[Qtt]]*TbTradesBitPreço[[#This Row],[Preço]],N11+TbTradesBitPreço[[#This Row],[Qtt]]*TbTradesBitPreço[[#This Row],[Preço]])),N11)-IF(TbTradesBitPreço[[#This Row],[Moeda da Taxa]]=MID(N$1,9,5),TbTradesBitPreço[[#This Row],[Taxa]],0),8)))</f>
        <v>46.40098175</v>
      </c>
      <c r="O12" s="50" cm="1">
        <f t="array" ref="O12">IF(TbTradesBitPreço[[#This Row],[Tipo]]="EMPTY",0,O11+IF(TbTradesBitPreço[[#This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Row],[Par]]))),$1:$1,0)),-(N11-N12)/N11*O11),0),0)+IF(TbTradesBitPreço[[#This Row],[Tipo]]="SELL",IF(ISNUMBER(FIND(MID(O$1,10,5),TbTradesBitPreço[[#This Row],[Par]])),IF(FIND(MID(O$1,10,5),TbTradesBitPreço[[#This Row],[Par]])=1, -(N11-N12)/N11*O11,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Row],[Par]])),(-(N11-N12)/N11*O11)+IF(TbTradesBitPreço[[#This Row],[Resultado]]&gt;0,0,TbTradesBitPreço[[#This Row],[Taxa]]),0),0))</f>
        <v>25.007843747527115</v>
      </c>
      <c r="P12" s="41">
        <f t="shared" si="0"/>
        <v>0.53895074639292773</v>
      </c>
      <c r="Q12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Row],[Tipo]]="DROP"),Q11+TbTradesBitPreço[[#This Row],[Qtt]],Q11-TbTradesBitPreço[[#This Row],[Qtt]]),IF(TbTradesBitPreço[[#This Row],[Tipo]]="BUY",Q11-TbTradesBitPreço[[#This Row],[Qtt]]*TbTradesBitPreço[[#This Row],[Preço]],Q11+TbTradesBitPreço[[#This Row],[Qtt]]*TbTradesBitPreço[[#This Row],[Preço]])),Q11)-IF(TbTradesBitPreço[[#This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Row],[Tipo]]="DROP"),Q11+TbTradesBitPreço[[#This Row],[Qtt]],Q11-TbTradesBitPreço[[#This Row],[Qtt]]),IF(TbTradesBitPreço[[#This Row],[Tipo]]="BUY",Q11-TbTradesBitPreço[[#This Row],[Qtt]]*TbTradesBitPreço[[#This Row],[Preço]],Q11+TbTradesBitPreço[[#This Row],[Qtt]]*TbTradesBitPreço[[#This Row],[Preço]])),Q11)-IF(TbTradesBitPreço[[#This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Row],[Tipo]]="DROP"),Q11+TbTradesBitPreço[[#This Row],[Qtt]],Q11-TbTradesBitPreço[[#This Row],[Qtt]]),IF(TbTradesBitPreço[[#This Row],[Tipo]]="BUY",Q11-TbTradesBitPreço[[#This Row],[Qtt]]*TbTradesBitPreço[[#This Row],[Preço]],Q11+TbTradesBitPreço[[#This Row],[Qtt]]*TbTradesBitPreço[[#This Row],[Preço]])),Q11)-IF(TbTradesBitPreço[[#This Row],[Moeda da Taxa]]=MID(Q$1,9,5),TbTradesBitPreço[[#This Row],[Taxa]],0),8)))</f>
        <v>0</v>
      </c>
      <c r="R12" s="50" cm="1">
        <f t="array" ref="R12">IF(TbTradesBitPreço[[#This Row],[Tipo]]="EMPTY",0,R11+IF(TbTradesBitPreço[[#This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Row],[Par]]))),$1:$1,0)),-(Q11-Q12)/Q11*R11),0),0)+IF(TbTradesBitPreço[[#This Row],[Tipo]]="SELL",IF(ISNUMBER(FIND(MID(R$1,10,5),TbTradesBitPreço[[#This Row],[Par]])),IF(FIND(MID(R$1,10,5),TbTradesBitPreço[[#This Row],[Par]])=1, -(Q11-Q12)/Q11*R11,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Row],[Par]])),(-(Q11-Q12)/Q11*R11)+IF(TbTradesBitPreço[[#This Row],[Resultado]]&gt;0,0,TbTradesBitPreço[[#This Row],[Taxa]]),0),0))</f>
        <v>0</v>
      </c>
      <c r="S12" s="41">
        <f t="shared" si="1"/>
        <v>0</v>
      </c>
      <c r="T12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Row],[Tipo]]="DROP"),T11+TbTradesBitPreço[[#This Row],[Qtt]],T11-TbTradesBitPreço[[#This Row],[Qtt]]),IF(TbTradesBitPreço[[#This Row],[Tipo]]="BUY",T11-TbTradesBitPreço[[#This Row],[Qtt]]*TbTradesBitPreço[[#This Row],[Preço]],T11+TbTradesBitPreço[[#This Row],[Qtt]]*TbTradesBitPreço[[#This Row],[Preço]])),T11)-IF(TbTradesBitPreço[[#This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Row],[Tipo]]="DROP"),T11+TbTradesBitPreço[[#This Row],[Qtt]],T11-TbTradesBitPreço[[#This Row],[Qtt]]),IF(TbTradesBitPreço[[#This Row],[Tipo]]="BUY",T11-TbTradesBitPreço[[#This Row],[Qtt]]*TbTradesBitPreço[[#This Row],[Preço]],T11+TbTradesBitPreço[[#This Row],[Qtt]]*TbTradesBitPreço[[#This Row],[Preço]])),T11)-IF(TbTradesBitPreço[[#This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Row],[Tipo]]="DROP"),T11+TbTradesBitPreço[[#This Row],[Qtt]],T11-TbTradesBitPreço[[#This Row],[Qtt]]),IF(TbTradesBitPreço[[#This Row],[Tipo]]="BUY",T11-TbTradesBitPreço[[#This Row],[Qtt]]*TbTradesBitPreço[[#This Row],[Preço]],T11+TbTradesBitPreço[[#This Row],[Qtt]]*TbTradesBitPreço[[#This Row],[Preço]])),T11)-IF(TbTradesBitPreço[[#This Row],[Moeda da Taxa]]=MID(T$1,9,5),TbTradesBitPreço[[#This Row],[Taxa]],0),8)))</f>
        <v>2.3350000000000001E-4</v>
      </c>
      <c r="U12" s="50" cm="1">
        <f t="array" ref="U12">IF(TbTradesBitPreço[[#This Row],[Tipo]]="EMPTY",0,U11+IF(TbTradesBitPreço[[#This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Row],[Par]]))),$1:$1,0)),-(T11-T12)/T11*U11),0),0)+IF(TbTradesBitPreço[[#This Row],[Tipo]]="SELL",IF(ISNUMBER(FIND(MID(U$1,10,5),TbTradesBitPreço[[#This Row],[Par]])),IF(FIND(MID(U$1,10,5),TbTradesBitPreço[[#This Row],[Par]])=1, -(T11-T12)/T11*U11,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Row],[Par]])),(-(T11-T12)/T11*U11)+IF(TbTradesBitPreço[[#This Row],[Resultado]]&gt;0,0,TbTradesBitPreço[[#This Row],[Taxa]]),0),0))</f>
        <v>49.996288494307564</v>
      </c>
      <c r="V12" s="41">
        <f t="shared" si="2"/>
        <v>214116.86721330861</v>
      </c>
      <c r="W12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Row],[Tipo]]="DROP"),W11+TbTradesBitPreço[[#This Row],[Qtt]],W11-TbTradesBitPreço[[#This Row],[Qtt]]),IF(TbTradesBitPreço[[#This Row],[Tipo]]="BUY",W11-TbTradesBitPreço[[#This Row],[Qtt]]*TbTradesBitPreço[[#This Row],[Preço]],W11+TbTradesBitPreço[[#This Row],[Qtt]]*TbTradesBitPreço[[#This Row],[Preço]])),W11)-IF(TbTradesBitPreço[[#This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Row],[Tipo]]="DROP"),W11+TbTradesBitPreço[[#This Row],[Qtt]],W11-TbTradesBitPreço[[#This Row],[Qtt]]),IF(TbTradesBitPreço[[#This Row],[Tipo]]="BUY",W11-TbTradesBitPreço[[#This Row],[Qtt]]*TbTradesBitPreço[[#This Row],[Preço]],W11+TbTradesBitPreço[[#This Row],[Qtt]]*TbTradesBitPreço[[#This Row],[Preço]])),W11)-IF(TbTradesBitPreço[[#This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Row],[Tipo]]="DROP"),W11+TbTradesBitPreço[[#This Row],[Qtt]],W11-TbTradesBitPreço[[#This Row],[Qtt]]),IF(TbTradesBitPreço[[#This Row],[Tipo]]="BUY",W11-TbTradesBitPreço[[#This Row],[Qtt]]*TbTradesBitPreço[[#This Row],[Preço]],W11+TbTradesBitPreço[[#This Row],[Qtt]]*TbTradesBitPreço[[#This Row],[Preço]])),W11)-IF(TbTradesBitPreço[[#This Row],[Moeda da Taxa]]=MID(W$1,9,5),TbTradesBitPreço[[#This Row],[Taxa]],0),8)))</f>
        <v>2.8988400000000002E-3</v>
      </c>
      <c r="X12" s="50" cm="1">
        <f t="array" ref="X12">IF(TbTradesBitPreço[[#This Row],[Tipo]]="EMPTY",0,X11+IF(TbTradesBitPreço[[#This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Row],[Par]]))),$1:$1,0)),-(W11-W12)/W11*X11),0),0)+IF(TbTradesBitPreço[[#This Row],[Tipo]]="SELL",IF(ISNUMBER(FIND(MID(X$1,10,5),TbTradesBitPreço[[#This Row],[Par]])),IF(FIND(MID(X$1,10,5),TbTradesBitPreço[[#This Row],[Par]])=1, -(W11-W12)/W11*X11,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Row],[Par]])),(-(W11-W12)/W11*X11)+IF(TbTradesBitPreço[[#This Row],[Resultado]]&gt;0,0,TbTradesBitPreço[[#This Row],[Taxa]]),0),0))</f>
        <v>24.995867758165328</v>
      </c>
      <c r="Y12" s="41">
        <f t="shared" si="3"/>
        <v>8622.7138297268302</v>
      </c>
    </row>
    <row r="13" spans="1:25" x14ac:dyDescent="0.3">
      <c r="B13" s="40"/>
      <c r="C13" s="40">
        <f>TRUNC(IF(AND(TbTradesBitPreço[[#This Row],[Tipo]]="SEND",TbTradesBitPreço[[#This Row],[Par]]="BRL"),TbTradesBitPreço[[#This Row],[Qtt]]*(1-P12)-IF(TbTradesBitPreço[[#This Row],[Moeda da Taxa]]="BRL",TbTradesBitPreço[[#This Row],[Taxa]],0),0)+IF(AND(TbTradesBitPreço[[#This Row],[Tipo]]="BURN",TbTradesBitPreço[[#This Row],[Par]]="BRL"),-TbTradesBitPreço[[#This Row],[Qtt]]*P12,0),2)</f>
        <v>0</v>
      </c>
      <c r="D13" s="53">
        <v>44328.310439814813</v>
      </c>
      <c r="E13" s="37" t="s">
        <v>147</v>
      </c>
      <c r="F13" s="37" t="s">
        <v>140</v>
      </c>
      <c r="G13" s="38">
        <f>59.42/TbTradesBitPreço[[#This Row],[Qtt]]</f>
        <v>20497.92502492385</v>
      </c>
      <c r="H13" s="38">
        <v>2.8988299999999998E-3</v>
      </c>
      <c r="I13" s="38">
        <v>0</v>
      </c>
      <c r="J13" s="37" t="s">
        <v>8</v>
      </c>
      <c r="K13" s="52">
        <v>1</v>
      </c>
      <c r="L13" s="40">
        <f t="shared" si="4"/>
        <v>20497.919999999998</v>
      </c>
      <c r="M13" s="40">
        <f>IF(OR(TbTradesBitPreço[[#This Row],[Tipo]]="BUY",TbTradesBitPreço[[#This Row],[Tipo]]="RECEIVE",TbTradesBitPreço[[#This Row],[Tipo]]="DROP"),L13*H13,-L13*H13)</f>
        <v>-59.41998543359999</v>
      </c>
      <c r="N13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Row],[Tipo]]="DROP"),N12+TbTradesBitPreço[[#This Row],[Qtt]],N12-TbTradesBitPreço[[#This Row],[Qtt]]),IF(TbTradesBitPreço[[#This Row],[Tipo]]="BUY",N12-TbTradesBitPreço[[#This Row],[Qtt]]*TbTradesBitPreço[[#This Row],[Preço]],N12+TbTradesBitPreço[[#This Row],[Qtt]]*TbTradesBitPreço[[#This Row],[Preço]])),N12)-IF(TbTradesBitPreço[[#This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Row],[Tipo]]="DROP"),N12+TbTradesBitPreço[[#This Row],[Qtt]],N12-TbTradesBitPreço[[#This Row],[Qtt]]),IF(TbTradesBitPreço[[#This Row],[Tipo]]="BUY",N12-TbTradesBitPreço[[#This Row],[Qtt]]*TbTradesBitPreço[[#This Row],[Preço]],N12+TbTradesBitPreço[[#This Row],[Qtt]]*TbTradesBitPreço[[#This Row],[Preço]])),N12)-IF(TbTradesBitPreço[[#This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Row],[Tipo]]="DROP"),N12+TbTradesBitPreço[[#This Row],[Qtt]],N12-TbTradesBitPreço[[#This Row],[Qtt]]),IF(TbTradesBitPreço[[#This Row],[Tipo]]="BUY",N12-TbTradesBitPreço[[#This Row],[Qtt]]*TbTradesBitPreço[[#This Row],[Preço]],N12+TbTradesBitPreço[[#This Row],[Qtt]]*TbTradesBitPreço[[#This Row],[Preço]])),N12)-IF(TbTradesBitPreço[[#This Row],[Moeda da Taxa]]=MID(N$1,9,5),TbTradesBitPreço[[#This Row],[Taxa]],0),8)))</f>
        <v>105.82098175</v>
      </c>
      <c r="O13" s="50" cm="1">
        <f t="array" ref="O13">IF(TbTradesBitPreço[[#This Row],[Tipo]]="EMPTY",0,O12+IF(TbTradesBitPreço[[#This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Row],[Par]]))),$1:$1,0)),-(N12-N13)/N12*O12),0),0)+IF(TbTradesBitPreço[[#This Row],[Tipo]]="SELL",IF(ISNUMBER(FIND(MID(O$1,10,5),TbTradesBitPreço[[#This Row],[Par]])),IF(FIND(MID(O$1,10,5),TbTradesBitPreço[[#This Row],[Par]])=1, -(N12-N13)/N12*O12,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Row],[Par]])),(-(N12-N13)/N12*O12)+IF(TbTradesBitPreço[[#This Row],[Resultado]]&gt;0,0,TbTradesBitPreço[[#This Row],[Taxa]]),0),0))</f>
        <v>50.003711505692443</v>
      </c>
      <c r="P13" s="41">
        <f t="shared" si="0"/>
        <v>0.47253116233437742</v>
      </c>
      <c r="Q13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Row],[Tipo]]="DROP"),Q12+TbTradesBitPreço[[#This Row],[Qtt]],Q12-TbTradesBitPreço[[#This Row],[Qtt]]),IF(TbTradesBitPreço[[#This Row],[Tipo]]="BUY",Q12-TbTradesBitPreço[[#This Row],[Qtt]]*TbTradesBitPreço[[#This Row],[Preço]],Q12+TbTradesBitPreço[[#This Row],[Qtt]]*TbTradesBitPreço[[#This Row],[Preço]])),Q12)-IF(TbTradesBitPreço[[#This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Row],[Tipo]]="DROP"),Q12+TbTradesBitPreço[[#This Row],[Qtt]],Q12-TbTradesBitPreço[[#This Row],[Qtt]]),IF(TbTradesBitPreço[[#This Row],[Tipo]]="BUY",Q12-TbTradesBitPreço[[#This Row],[Qtt]]*TbTradesBitPreço[[#This Row],[Preço]],Q12+TbTradesBitPreço[[#This Row],[Qtt]]*TbTradesBitPreço[[#This Row],[Preço]])),Q12)-IF(TbTradesBitPreço[[#This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Row],[Tipo]]="DROP"),Q12+TbTradesBitPreço[[#This Row],[Qtt]],Q12-TbTradesBitPreço[[#This Row],[Qtt]]),IF(TbTradesBitPreço[[#This Row],[Tipo]]="BUY",Q12-TbTradesBitPreço[[#This Row],[Qtt]]*TbTradesBitPreço[[#This Row],[Preço]],Q12+TbTradesBitPreço[[#This Row],[Qtt]]*TbTradesBitPreço[[#This Row],[Preço]])),Q12)-IF(TbTradesBitPreço[[#This Row],[Moeda da Taxa]]=MID(Q$1,9,5),TbTradesBitPreço[[#This Row],[Taxa]],0),8)))</f>
        <v>0</v>
      </c>
      <c r="R13" s="50" cm="1">
        <f t="array" ref="R13">IF(TbTradesBitPreço[[#This Row],[Tipo]]="EMPTY",0,R12+IF(TbTradesBitPreço[[#This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Row],[Par]]))),$1:$1,0)),-(Q12-Q13)/Q12*R12),0),0)+IF(TbTradesBitPreço[[#This Row],[Tipo]]="SELL",IF(ISNUMBER(FIND(MID(R$1,10,5),TbTradesBitPreço[[#This Row],[Par]])),IF(FIND(MID(R$1,10,5),TbTradesBitPreço[[#This Row],[Par]])=1, -(Q12-Q13)/Q12*R12,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Row],[Par]])),(-(Q12-Q13)/Q12*R12)+IF(TbTradesBitPreço[[#This Row],[Resultado]]&gt;0,0,TbTradesBitPreço[[#This Row],[Taxa]]),0),0))</f>
        <v>0</v>
      </c>
      <c r="S13" s="41">
        <f t="shared" si="1"/>
        <v>0</v>
      </c>
      <c r="T13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Row],[Tipo]]="DROP"),T12+TbTradesBitPreço[[#This Row],[Qtt]],T12-TbTradesBitPreço[[#This Row],[Qtt]]),IF(TbTradesBitPreço[[#This Row],[Tipo]]="BUY",T12-TbTradesBitPreço[[#This Row],[Qtt]]*TbTradesBitPreço[[#This Row],[Preço]],T12+TbTradesBitPreço[[#This Row],[Qtt]]*TbTradesBitPreço[[#This Row],[Preço]])),T12)-IF(TbTradesBitPreço[[#This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Row],[Tipo]]="DROP"),T12+TbTradesBitPreço[[#This Row],[Qtt]],T12-TbTradesBitPreço[[#This Row],[Qtt]]),IF(TbTradesBitPreço[[#This Row],[Tipo]]="BUY",T12-TbTradesBitPreço[[#This Row],[Qtt]]*TbTradesBitPreço[[#This Row],[Preço]],T12+TbTradesBitPreço[[#This Row],[Qtt]]*TbTradesBitPreço[[#This Row],[Preço]])),T12)-IF(TbTradesBitPreço[[#This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Row],[Tipo]]="DROP"),T12+TbTradesBitPreço[[#This Row],[Qtt]],T12-TbTradesBitPreço[[#This Row],[Qtt]]),IF(TbTradesBitPreço[[#This Row],[Tipo]]="BUY",T12-TbTradesBitPreço[[#This Row],[Qtt]]*TbTradesBitPreço[[#This Row],[Preço]],T12+TbTradesBitPreço[[#This Row],[Qtt]]*TbTradesBitPreço[[#This Row],[Preço]])),T12)-IF(TbTradesBitPreço[[#This Row],[Moeda da Taxa]]=MID(T$1,9,5),TbTradesBitPreço[[#This Row],[Taxa]],0),8)))</f>
        <v>2.3350000000000001E-4</v>
      </c>
      <c r="U13" s="50" cm="1">
        <f t="array" ref="U13">IF(TbTradesBitPreço[[#This Row],[Tipo]]="EMPTY",0,U12+IF(TbTradesBitPreço[[#This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Row],[Par]]))),$1:$1,0)),-(T12-T13)/T12*U12),0),0)+IF(TbTradesBitPreço[[#This Row],[Tipo]]="SELL",IF(ISNUMBER(FIND(MID(U$1,10,5),TbTradesBitPreço[[#This Row],[Par]])),IF(FIND(MID(U$1,10,5),TbTradesBitPreço[[#This Row],[Par]])=1, -(T12-T13)/T12*U12,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Row],[Par]])),(-(T12-T13)/T12*U12)+IF(TbTradesBitPreço[[#This Row],[Resultado]]&gt;0,0,TbTradesBitPreço[[#This Row],[Taxa]]),0),0))</f>
        <v>49.996288494307564</v>
      </c>
      <c r="V13" s="41">
        <f t="shared" si="2"/>
        <v>214116.86721330861</v>
      </c>
      <c r="W13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Row],[Tipo]]="DROP"),W12+TbTradesBitPreço[[#This Row],[Qtt]],W12-TbTradesBitPreço[[#This Row],[Qtt]]),IF(TbTradesBitPreço[[#This Row],[Tipo]]="BUY",W12-TbTradesBitPreço[[#This Row],[Qtt]]*TbTradesBitPreço[[#This Row],[Preço]],W12+TbTradesBitPreço[[#This Row],[Qtt]]*TbTradesBitPreço[[#This Row],[Preço]])),W12)-IF(TbTradesBitPreço[[#This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Row],[Tipo]]="DROP"),W12+TbTradesBitPreço[[#This Row],[Qtt]],W12-TbTradesBitPreço[[#This Row],[Qtt]]),IF(TbTradesBitPreço[[#This Row],[Tipo]]="BUY",W12-TbTradesBitPreço[[#This Row],[Qtt]]*TbTradesBitPreço[[#This Row],[Preço]],W12+TbTradesBitPreço[[#This Row],[Qtt]]*TbTradesBitPreço[[#This Row],[Preço]])),W12)-IF(TbTradesBitPreço[[#This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Row],[Tipo]]="DROP"),W12+TbTradesBitPreço[[#This Row],[Qtt]],W12-TbTradesBitPreço[[#This Row],[Qtt]]),IF(TbTradesBitPreço[[#This Row],[Tipo]]="BUY",W12-TbTradesBitPreço[[#This Row],[Qtt]]*TbTradesBitPreço[[#This Row],[Preço]],W12+TbTradesBitPreço[[#This Row],[Qtt]]*TbTradesBitPreço[[#This Row],[Preço]])),W12)-IF(TbTradesBitPreço[[#This Row],[Moeda da Taxa]]=MID(W$1,9,5),TbTradesBitPreço[[#This Row],[Taxa]],0),8)))</f>
        <v>0</v>
      </c>
      <c r="X13" s="50" cm="1">
        <f t="array" ref="X13">IF(TbTradesBitPreço[[#This Row],[Tipo]]="EMPTY",0,X12+IF(TbTradesBitPreço[[#This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Row],[Par]]))),$1:$1,0)),-(W12-W13)/W12*X12),0),0)+IF(TbTradesBitPreço[[#This Row],[Tipo]]="SELL",IF(ISNUMBER(FIND(MID(X$1,10,5),TbTradesBitPreço[[#This Row],[Par]])),IF(FIND(MID(X$1,10,5),TbTradesBitPreço[[#This Row],[Par]])=1, -(W12-W13)/W12*X12,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Row],[Par]])),(-(W12-W13)/W12*X12)+IF(TbTradesBitPreço[[#This Row],[Resultado]]&gt;0,0,TbTradesBitPreço[[#This Row],[Taxa]]),0),0))</f>
        <v>0</v>
      </c>
      <c r="Y13" s="41">
        <f t="shared" si="3"/>
        <v>0</v>
      </c>
    </row>
    <row r="14" spans="1:25" x14ac:dyDescent="0.3">
      <c r="B14" s="40"/>
      <c r="C14" s="40">
        <f>TRUNC(IF(AND(TbTradesBitPreço[[#This Row],[Tipo]]="SEND",TbTradesBitPreço[[#This Row],[Par]]="BRL"),TbTradesBitPreço[[#This Row],[Qtt]]*(1-P13)-IF(TbTradesBitPreço[[#This Row],[Moeda da Taxa]]="BRL",TbTradesBitPreço[[#This Row],[Taxa]],0),0)+IF(AND(TbTradesBitPreço[[#This Row],[Tipo]]="BURN",TbTradesBitPreço[[#This Row],[Par]]="BRL"),-TbTradesBitPreço[[#This Row],[Qtt]]*P13,0),2)</f>
        <v>0</v>
      </c>
      <c r="D14" s="53">
        <v>44328.310439814813</v>
      </c>
      <c r="E14" s="37" t="s">
        <v>138</v>
      </c>
      <c r="F14" s="37" t="s">
        <v>139</v>
      </c>
      <c r="G14" s="38">
        <f>52.02/TbTradesBitPreço[[#This Row],[Qtt]]</f>
        <v>295685.7841186836</v>
      </c>
      <c r="H14" s="38">
        <v>1.7593E-4</v>
      </c>
      <c r="I14" s="38">
        <v>0</v>
      </c>
      <c r="J14" s="37" t="s">
        <v>6</v>
      </c>
      <c r="K14" s="52">
        <v>1</v>
      </c>
      <c r="L14" s="40">
        <f t="shared" si="4"/>
        <v>295685.78000000003</v>
      </c>
      <c r="M14" s="40">
        <f>IF(OR(TbTradesBitPreço[[#This Row],[Tipo]]="BUY",TbTradesBitPreço[[#This Row],[Tipo]]="RECEIVE",TbTradesBitPreço[[#This Row],[Tipo]]="DROP"),L14*H14,-L14*H14)</f>
        <v>52.019999275400004</v>
      </c>
      <c r="N14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Row],[Tipo]]="DROP"),N13+TbTradesBitPreço[[#This Row],[Qtt]],N13-TbTradesBitPreço[[#This Row],[Qtt]]),IF(TbTradesBitPreço[[#This Row],[Tipo]]="BUY",N13-TbTradesBitPreço[[#This Row],[Qtt]]*TbTradesBitPreço[[#This Row],[Preço]],N13+TbTradesBitPreço[[#This Row],[Qtt]]*TbTradesBitPreço[[#This Row],[Preço]])),N13)-IF(TbTradesBitPreço[[#This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Row],[Tipo]]="DROP"),N13+TbTradesBitPreço[[#This Row],[Qtt]],N13-TbTradesBitPreço[[#This Row],[Qtt]]),IF(TbTradesBitPreço[[#This Row],[Tipo]]="BUY",N13-TbTradesBitPreço[[#This Row],[Qtt]]*TbTradesBitPreço[[#This Row],[Preço]],N13+TbTradesBitPreço[[#This Row],[Qtt]]*TbTradesBitPreço[[#This Row],[Preço]])),N13)-IF(TbTradesBitPreço[[#This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Row],[Tipo]]="DROP"),N13+TbTradesBitPreço[[#This Row],[Qtt]],N13-TbTradesBitPreço[[#This Row],[Qtt]]),IF(TbTradesBitPreço[[#This Row],[Tipo]]="BUY",N13-TbTradesBitPreço[[#This Row],[Qtt]]*TbTradesBitPreço[[#This Row],[Preço]],N13+TbTradesBitPreço[[#This Row],[Qtt]]*TbTradesBitPreço[[#This Row],[Preço]])),N13)-IF(TbTradesBitPreço[[#This Row],[Moeda da Taxa]]=MID(N$1,9,5),TbTradesBitPreço[[#This Row],[Taxa]],0),8)))</f>
        <v>53.800981749999998</v>
      </c>
      <c r="O14" s="50" cm="1">
        <f t="array" ref="O14">IF(TbTradesBitPreço[[#This Row],[Tipo]]="EMPTY",0,O13+IF(TbTradesBitPreço[[#This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Row],[Par]]))),$1:$1,0)),-(N13-N14)/N13*O13),0),0)+IF(TbTradesBitPreço[[#This Row],[Tipo]]="SELL",IF(ISNUMBER(FIND(MID(O$1,10,5),TbTradesBitPreço[[#This Row],[Par]])),IF(FIND(MID(O$1,10,5),TbTradesBitPreço[[#This Row],[Par]])=1, -(N13-N14)/N13*O13,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Row],[Par]])),(-(N13-N14)/N13*O13)+IF(TbTradesBitPreço[[#This Row],[Resultado]]&gt;0,0,TbTradesBitPreço[[#This Row],[Taxa]]),0),0))</f>
        <v>25.422640441058128</v>
      </c>
      <c r="P14" s="41">
        <f t="shared" si="0"/>
        <v>0.47253116233437747</v>
      </c>
      <c r="Q14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Row],[Tipo]]="DROP"),Q13+TbTradesBitPreço[[#This Row],[Qtt]],Q13-TbTradesBitPreço[[#This Row],[Qtt]]),IF(TbTradesBitPreço[[#This Row],[Tipo]]="BUY",Q13-TbTradesBitPreço[[#This Row],[Qtt]]*TbTradesBitPreço[[#This Row],[Preço]],Q13+TbTradesBitPreço[[#This Row],[Qtt]]*TbTradesBitPreço[[#This Row],[Preço]])),Q13)-IF(TbTradesBitPreço[[#This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Row],[Tipo]]="DROP"),Q13+TbTradesBitPreço[[#This Row],[Qtt]],Q13-TbTradesBitPreço[[#This Row],[Qtt]]),IF(TbTradesBitPreço[[#This Row],[Tipo]]="BUY",Q13-TbTradesBitPreço[[#This Row],[Qtt]]*TbTradesBitPreço[[#This Row],[Preço]],Q13+TbTradesBitPreço[[#This Row],[Qtt]]*TbTradesBitPreço[[#This Row],[Preço]])),Q13)-IF(TbTradesBitPreço[[#This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Row],[Tipo]]="DROP"),Q13+TbTradesBitPreço[[#This Row],[Qtt]],Q13-TbTradesBitPreço[[#This Row],[Qtt]]),IF(TbTradesBitPreço[[#This Row],[Tipo]]="BUY",Q13-TbTradesBitPreço[[#This Row],[Qtt]]*TbTradesBitPreço[[#This Row],[Preço]],Q13+TbTradesBitPreço[[#This Row],[Qtt]]*TbTradesBitPreço[[#This Row],[Preço]])),Q13)-IF(TbTradesBitPreço[[#This Row],[Moeda da Taxa]]=MID(Q$1,9,5),TbTradesBitPreço[[#This Row],[Taxa]],0),8)))</f>
        <v>0</v>
      </c>
      <c r="R14" s="50" cm="1">
        <f t="array" ref="R14">IF(TbTradesBitPreço[[#This Row],[Tipo]]="EMPTY",0,R13+IF(TbTradesBitPreço[[#This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Row],[Par]]))),$1:$1,0)),-(Q13-Q14)/Q13*R13),0),0)+IF(TbTradesBitPreço[[#This Row],[Tipo]]="SELL",IF(ISNUMBER(FIND(MID(R$1,10,5),TbTradesBitPreço[[#This Row],[Par]])),IF(FIND(MID(R$1,10,5),TbTradesBitPreço[[#This Row],[Par]])=1, -(Q13-Q14)/Q13*R13,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Row],[Par]])),(-(Q13-Q14)/Q13*R13)+IF(TbTradesBitPreço[[#This Row],[Resultado]]&gt;0,0,TbTradesBitPreço[[#This Row],[Taxa]]),0),0))</f>
        <v>0</v>
      </c>
      <c r="S14" s="41">
        <f t="shared" si="1"/>
        <v>0</v>
      </c>
      <c r="T14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Row],[Tipo]]="DROP"),T13+TbTradesBitPreço[[#This Row],[Qtt]],T13-TbTradesBitPreço[[#This Row],[Qtt]]),IF(TbTradesBitPreço[[#This Row],[Tipo]]="BUY",T13-TbTradesBitPreço[[#This Row],[Qtt]]*TbTradesBitPreço[[#This Row],[Preço]],T13+TbTradesBitPreço[[#This Row],[Qtt]]*TbTradesBitPreço[[#This Row],[Preço]])),T13)-IF(TbTradesBitPreço[[#This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Row],[Tipo]]="DROP"),T13+TbTradesBitPreço[[#This Row],[Qtt]],T13-TbTradesBitPreço[[#This Row],[Qtt]]),IF(TbTradesBitPreço[[#This Row],[Tipo]]="BUY",T13-TbTradesBitPreço[[#This Row],[Qtt]]*TbTradesBitPreço[[#This Row],[Preço]],T13+TbTradesBitPreço[[#This Row],[Qtt]]*TbTradesBitPreço[[#This Row],[Preço]])),T13)-IF(TbTradesBitPreço[[#This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Row],[Tipo]]="DROP"),T13+TbTradesBitPreço[[#This Row],[Qtt]],T13-TbTradesBitPreço[[#This Row],[Qtt]]),IF(TbTradesBitPreço[[#This Row],[Tipo]]="BUY",T13-TbTradesBitPreço[[#This Row],[Qtt]]*TbTradesBitPreço[[#This Row],[Preço]],T13+TbTradesBitPreço[[#This Row],[Qtt]]*TbTradesBitPreço[[#This Row],[Preço]])),T13)-IF(TbTradesBitPreço[[#This Row],[Moeda da Taxa]]=MID(T$1,9,5),TbTradesBitPreço[[#This Row],[Taxa]],0),8)))</f>
        <v>4.0943000000000002E-4</v>
      </c>
      <c r="U14" s="50" cm="1">
        <f t="array" ref="U14">IF(TbTradesBitPreço[[#This Row],[Tipo]]="EMPTY",0,U13+IF(TbTradesBitPreço[[#This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Row],[Par]]))),$1:$1,0)),-(T13-T14)/T13*U13),0),0)+IF(TbTradesBitPreço[[#This Row],[Tipo]]="SELL",IF(ISNUMBER(FIND(MID(U$1,10,5),TbTradesBitPreço[[#This Row],[Par]])),IF(FIND(MID(U$1,10,5),TbTradesBitPreço[[#This Row],[Par]])=1, -(T13-T14)/T13*U13,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Row],[Par]])),(-(T13-T14)/T13*U13)+IF(TbTradesBitPreço[[#This Row],[Resultado]]&gt;0,0,TbTradesBitPreço[[#This Row],[Taxa]]),0),0))</f>
        <v>74.577359558941879</v>
      </c>
      <c r="V14" s="41">
        <f t="shared" si="2"/>
        <v>182149.23078167666</v>
      </c>
      <c r="W14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Row],[Tipo]]="DROP"),W13+TbTradesBitPreço[[#This Row],[Qtt]],W13-TbTradesBitPreço[[#This Row],[Qtt]]),IF(TbTradesBitPreço[[#This Row],[Tipo]]="BUY",W13-TbTradesBitPreço[[#This Row],[Qtt]]*TbTradesBitPreço[[#This Row],[Preço]],W13+TbTradesBitPreço[[#This Row],[Qtt]]*TbTradesBitPreço[[#This Row],[Preço]])),W13)-IF(TbTradesBitPreço[[#This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Row],[Tipo]]="DROP"),W13+TbTradesBitPreço[[#This Row],[Qtt]],W13-TbTradesBitPreço[[#This Row],[Qtt]]),IF(TbTradesBitPreço[[#This Row],[Tipo]]="BUY",W13-TbTradesBitPreço[[#This Row],[Qtt]]*TbTradesBitPreço[[#This Row],[Preço]],W13+TbTradesBitPreço[[#This Row],[Qtt]]*TbTradesBitPreço[[#This Row],[Preço]])),W13)-IF(TbTradesBitPreço[[#This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Row],[Tipo]]="DROP"),W13+TbTradesBitPreço[[#This Row],[Qtt]],W13-TbTradesBitPreço[[#This Row],[Qtt]]),IF(TbTradesBitPreço[[#This Row],[Tipo]]="BUY",W13-TbTradesBitPreço[[#This Row],[Qtt]]*TbTradesBitPreço[[#This Row],[Preço]],W13+TbTradesBitPreço[[#This Row],[Qtt]]*TbTradesBitPreço[[#This Row],[Preço]])),W13)-IF(TbTradesBitPreço[[#This Row],[Moeda da Taxa]]=MID(W$1,9,5),TbTradesBitPreço[[#This Row],[Taxa]],0),8)))</f>
        <v>0</v>
      </c>
      <c r="X14" s="50" cm="1">
        <f t="array" ref="X14">IF(TbTradesBitPreço[[#This Row],[Tipo]]="EMPTY",0,X13+IF(TbTradesBitPreço[[#This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Row],[Par]]))),$1:$1,0)),-(W13-W14)/W13*X13),0),0)+IF(TbTradesBitPreço[[#This Row],[Tipo]]="SELL",IF(ISNUMBER(FIND(MID(X$1,10,5),TbTradesBitPreço[[#This Row],[Par]])),IF(FIND(MID(X$1,10,5),TbTradesBitPreço[[#This Row],[Par]])=1, -(W13-W14)/W13*X13,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Row],[Par]])),(-(W13-W14)/W13*X13)+IF(TbTradesBitPreço[[#This Row],[Resultado]]&gt;0,0,TbTradesBitPreço[[#This Row],[Taxa]]),0),0))</f>
        <v>0</v>
      </c>
      <c r="Y14" s="41">
        <f t="shared" si="3"/>
        <v>0</v>
      </c>
    </row>
    <row r="15" spans="1:25" x14ac:dyDescent="0.3">
      <c r="B15" s="40"/>
      <c r="C15" s="40">
        <f>TRUNC(IF(AND(TbTradesBitPreço[[#This Row],[Tipo]]="SEND",TbTradesBitPreço[[#This Row],[Par]]="BRL"),TbTradesBitPreço[[#This Row],[Qtt]]*(1-P14)-IF(TbTradesBitPreço[[#This Row],[Moeda da Taxa]]="BRL",TbTradesBitPreço[[#This Row],[Taxa]],0),0)+IF(AND(TbTradesBitPreço[[#This Row],[Tipo]]="BURN",TbTradesBitPreço[[#This Row],[Par]]="BRL"),-TbTradesBitPreço[[#This Row],[Qtt]]*P14,0),2)</f>
        <v>0</v>
      </c>
      <c r="D15" s="53">
        <v>44328.876956018517</v>
      </c>
      <c r="E15" s="37" t="s">
        <v>147</v>
      </c>
      <c r="F15" s="37" t="s">
        <v>139</v>
      </c>
      <c r="G15" s="38">
        <f>53.78/TbTradesBitPreço[[#This Row],[Qtt]]</f>
        <v>19996.356186488887</v>
      </c>
      <c r="H15" s="38">
        <v>2.6894900000000001E-3</v>
      </c>
      <c r="I15" s="38">
        <v>0</v>
      </c>
      <c r="J15" s="37" t="s">
        <v>8</v>
      </c>
      <c r="K15" s="52">
        <v>1</v>
      </c>
      <c r="L15" s="40">
        <f t="shared" si="4"/>
        <v>19996.349999999999</v>
      </c>
      <c r="M15" s="40">
        <f>IF(OR(TbTradesBitPreço[[#This Row],[Tipo]]="BUY",TbTradesBitPreço[[#This Row],[Tipo]]="RECEIVE",TbTradesBitPreço[[#This Row],[Tipo]]="DROP"),L15*H15,-L15*H15)</f>
        <v>53.779983361500001</v>
      </c>
      <c r="N15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Row],[Tipo]]="DROP"),N14+TbTradesBitPreço[[#This Row],[Qtt]],N14-TbTradesBitPreço[[#This Row],[Qtt]]),IF(TbTradesBitPreço[[#This Row],[Tipo]]="BUY",N14-TbTradesBitPreço[[#This Row],[Qtt]]*TbTradesBitPreço[[#This Row],[Preço]],N14+TbTradesBitPreço[[#This Row],[Qtt]]*TbTradesBitPreço[[#This Row],[Preço]])),N14)-IF(TbTradesBitPreço[[#This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Row],[Tipo]]="DROP"),N14+TbTradesBitPreço[[#This Row],[Qtt]],N14-TbTradesBitPreço[[#This Row],[Qtt]]),IF(TbTradesBitPreço[[#This Row],[Tipo]]="BUY",N14-TbTradesBitPreço[[#This Row],[Qtt]]*TbTradesBitPreço[[#This Row],[Preço]],N14+TbTradesBitPreço[[#This Row],[Qtt]]*TbTradesBitPreço[[#This Row],[Preço]])),N14)-IF(TbTradesBitPreço[[#This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Row],[Tipo]]="DROP"),N14+TbTradesBitPreço[[#This Row],[Qtt]],N14-TbTradesBitPreço[[#This Row],[Qtt]]),IF(TbTradesBitPreço[[#This Row],[Tipo]]="BUY",N14-TbTradesBitPreço[[#This Row],[Qtt]]*TbTradesBitPreço[[#This Row],[Preço]],N14+TbTradesBitPreço[[#This Row],[Qtt]]*TbTradesBitPreço[[#This Row],[Preço]])),N14)-IF(TbTradesBitPreço[[#This Row],[Moeda da Taxa]]=MID(N$1,9,5),TbTradesBitPreço[[#This Row],[Taxa]],0),8)))</f>
        <v>2.0981739999999999E-2</v>
      </c>
      <c r="O15" s="50" cm="1">
        <f t="array" ref="O15">IF(TbTradesBitPreço[[#This Row],[Tipo]]="EMPTY",0,O14+IF(TbTradesBitPreço[[#This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Row],[Par]]))),$1:$1,0)),-(N14-N15)/N14*O14),0),0)+IF(TbTradesBitPreço[[#This Row],[Tipo]]="SELL",IF(ISNUMBER(FIND(MID(O$1,10,5),TbTradesBitPreço[[#This Row],[Par]])),IF(FIND(MID(O$1,10,5),TbTradesBitPreço[[#This Row],[Par]])=1, -(N14-N15)/N14*O14,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Row],[Par]])),(-(N14-N15)/N14*O14)+IF(TbTradesBitPreço[[#This Row],[Resultado]]&gt;0,0,TbTradesBitPreço[[#This Row],[Taxa]]),0),0))</f>
        <v>9.9145259900019767E-3</v>
      </c>
      <c r="P15" s="41">
        <f t="shared" si="0"/>
        <v>0.47253116233458126</v>
      </c>
      <c r="Q15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Row],[Tipo]]="DROP"),Q14+TbTradesBitPreço[[#This Row],[Qtt]],Q14-TbTradesBitPreço[[#This Row],[Qtt]]),IF(TbTradesBitPreço[[#This Row],[Tipo]]="BUY",Q14-TbTradesBitPreço[[#This Row],[Qtt]]*TbTradesBitPreço[[#This Row],[Preço]],Q14+TbTradesBitPreço[[#This Row],[Qtt]]*TbTradesBitPreço[[#This Row],[Preço]])),Q14)-IF(TbTradesBitPreço[[#This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Row],[Tipo]]="DROP"),Q14+TbTradesBitPreço[[#This Row],[Qtt]],Q14-TbTradesBitPreço[[#This Row],[Qtt]]),IF(TbTradesBitPreço[[#This Row],[Tipo]]="BUY",Q14-TbTradesBitPreço[[#This Row],[Qtt]]*TbTradesBitPreço[[#This Row],[Preço]],Q14+TbTradesBitPreço[[#This Row],[Qtt]]*TbTradesBitPreço[[#This Row],[Preço]])),Q14)-IF(TbTradesBitPreço[[#This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Row],[Tipo]]="DROP"),Q14+TbTradesBitPreço[[#This Row],[Qtt]],Q14-TbTradesBitPreço[[#This Row],[Qtt]]),IF(TbTradesBitPreço[[#This Row],[Tipo]]="BUY",Q14-TbTradesBitPreço[[#This Row],[Qtt]]*TbTradesBitPreço[[#This Row],[Preço]],Q14+TbTradesBitPreço[[#This Row],[Qtt]]*TbTradesBitPreço[[#This Row],[Preço]])),Q14)-IF(TbTradesBitPreço[[#This Row],[Moeda da Taxa]]=MID(Q$1,9,5),TbTradesBitPreço[[#This Row],[Taxa]],0),8)))</f>
        <v>0</v>
      </c>
      <c r="R15" s="50" cm="1">
        <f t="array" ref="R15">IF(TbTradesBitPreço[[#This Row],[Tipo]]="EMPTY",0,R14+IF(TbTradesBitPreço[[#This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Row],[Par]]))),$1:$1,0)),-(Q14-Q15)/Q14*R14),0),0)+IF(TbTradesBitPreço[[#This Row],[Tipo]]="SELL",IF(ISNUMBER(FIND(MID(R$1,10,5),TbTradesBitPreço[[#This Row],[Par]])),IF(FIND(MID(R$1,10,5),TbTradesBitPreço[[#This Row],[Par]])=1, -(Q14-Q15)/Q14*R14,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Row],[Par]])),(-(Q14-Q15)/Q14*R14)+IF(TbTradesBitPreço[[#This Row],[Resultado]]&gt;0,0,TbTradesBitPreço[[#This Row],[Taxa]]),0),0))</f>
        <v>0</v>
      </c>
      <c r="S15" s="41">
        <f t="shared" si="1"/>
        <v>0</v>
      </c>
      <c r="T15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Row],[Tipo]]="DROP"),T14+TbTradesBitPreço[[#This Row],[Qtt]],T14-TbTradesBitPreço[[#This Row],[Qtt]]),IF(TbTradesBitPreço[[#This Row],[Tipo]]="BUY",T14-TbTradesBitPreço[[#This Row],[Qtt]]*TbTradesBitPreço[[#This Row],[Preço]],T14+TbTradesBitPreço[[#This Row],[Qtt]]*TbTradesBitPreço[[#This Row],[Preço]])),T14)-IF(TbTradesBitPreço[[#This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Row],[Tipo]]="DROP"),T14+TbTradesBitPreço[[#This Row],[Qtt]],T14-TbTradesBitPreço[[#This Row],[Qtt]]),IF(TbTradesBitPreço[[#This Row],[Tipo]]="BUY",T14-TbTradesBitPreço[[#This Row],[Qtt]]*TbTradesBitPreço[[#This Row],[Preço]],T14+TbTradesBitPreço[[#This Row],[Qtt]]*TbTradesBitPreço[[#This Row],[Preço]])),T14)-IF(TbTradesBitPreço[[#This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Row],[Tipo]]="DROP"),T14+TbTradesBitPreço[[#This Row],[Qtt]],T14-TbTradesBitPreço[[#This Row],[Qtt]]),IF(TbTradesBitPreço[[#This Row],[Tipo]]="BUY",T14-TbTradesBitPreço[[#This Row],[Qtt]]*TbTradesBitPreço[[#This Row],[Preço]],T14+TbTradesBitPreço[[#This Row],[Qtt]]*TbTradesBitPreço[[#This Row],[Preço]])),T14)-IF(TbTradesBitPreço[[#This Row],[Moeda da Taxa]]=MID(T$1,9,5),TbTradesBitPreço[[#This Row],[Taxa]],0),8)))</f>
        <v>4.0943000000000002E-4</v>
      </c>
      <c r="U15" s="50" cm="1">
        <f t="array" ref="U15">IF(TbTradesBitPreço[[#This Row],[Tipo]]="EMPTY",0,U14+IF(TbTradesBitPreço[[#This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Row],[Par]]))),$1:$1,0)),-(T14-T15)/T14*U14),0),0)+IF(TbTradesBitPreço[[#This Row],[Tipo]]="SELL",IF(ISNUMBER(FIND(MID(U$1,10,5),TbTradesBitPreço[[#This Row],[Par]])),IF(FIND(MID(U$1,10,5),TbTradesBitPreço[[#This Row],[Par]])=1, -(T14-T15)/T14*U14,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Row],[Par]])),(-(T14-T15)/T14*U14)+IF(TbTradesBitPreço[[#This Row],[Resultado]]&gt;0,0,TbTradesBitPreço[[#This Row],[Taxa]]),0),0))</f>
        <v>74.577359558941879</v>
      </c>
      <c r="V15" s="41">
        <f t="shared" si="2"/>
        <v>182149.23078167666</v>
      </c>
      <c r="W15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Row],[Tipo]]="DROP"),W14+TbTradesBitPreço[[#This Row],[Qtt]],W14-TbTradesBitPreço[[#This Row],[Qtt]]),IF(TbTradesBitPreço[[#This Row],[Tipo]]="BUY",W14-TbTradesBitPreço[[#This Row],[Qtt]]*TbTradesBitPreço[[#This Row],[Preço]],W14+TbTradesBitPreço[[#This Row],[Qtt]]*TbTradesBitPreço[[#This Row],[Preço]])),W14)-IF(TbTradesBitPreço[[#This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Row],[Tipo]]="DROP"),W14+TbTradesBitPreço[[#This Row],[Qtt]],W14-TbTradesBitPreço[[#This Row],[Qtt]]),IF(TbTradesBitPreço[[#This Row],[Tipo]]="BUY",W14-TbTradesBitPreço[[#This Row],[Qtt]]*TbTradesBitPreço[[#This Row],[Preço]],W14+TbTradesBitPreço[[#This Row],[Qtt]]*TbTradesBitPreço[[#This Row],[Preço]])),W14)-IF(TbTradesBitPreço[[#This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Row],[Tipo]]="DROP"),W14+TbTradesBitPreço[[#This Row],[Qtt]],W14-TbTradesBitPreço[[#This Row],[Qtt]]),IF(TbTradesBitPreço[[#This Row],[Tipo]]="BUY",W14-TbTradesBitPreço[[#This Row],[Qtt]]*TbTradesBitPreço[[#This Row],[Preço]],W14+TbTradesBitPreço[[#This Row],[Qtt]]*TbTradesBitPreço[[#This Row],[Preço]])),W14)-IF(TbTradesBitPreço[[#This Row],[Moeda da Taxa]]=MID(W$1,9,5),TbTradesBitPreço[[#This Row],[Taxa]],0),8)))</f>
        <v>2.6894900000000001E-3</v>
      </c>
      <c r="X15" s="50" cm="1">
        <f t="array" ref="X15">IF(TbTradesBitPreço[[#This Row],[Tipo]]="EMPTY",0,X14+IF(TbTradesBitPreço[[#This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Row],[Par]]))),$1:$1,0)),-(W14-W15)/W14*X14),0),0)+IF(TbTradesBitPreço[[#This Row],[Tipo]]="SELL",IF(ISNUMBER(FIND(MID(X$1,10,5),TbTradesBitPreço[[#This Row],[Par]])),IF(FIND(MID(X$1,10,5),TbTradesBitPreço[[#This Row],[Par]])=1, -(W14-W15)/W14*X14,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Row],[Par]])),(-(W14-W15)/W14*X14)+IF(TbTradesBitPreço[[#This Row],[Resultado]]&gt;0,0,TbTradesBitPreço[[#This Row],[Taxa]]),0),0))</f>
        <v>25.412725915068126</v>
      </c>
      <c r="Y15" s="41">
        <f t="shared" si="3"/>
        <v>9448.9014330107657</v>
      </c>
    </row>
    <row r="16" spans="1:25" x14ac:dyDescent="0.3">
      <c r="B16" s="40"/>
      <c r="C16" s="40">
        <f>TRUNC(IF(AND(TbTradesBitPreço[[#This Row],[Tipo]]="SEND",TbTradesBitPreço[[#This Row],[Par]]="BRL"),TbTradesBitPreço[[#This Row],[Qtt]]*(1-P15)-IF(TbTradesBitPreço[[#This Row],[Moeda da Taxa]]="BRL",TbTradesBitPreço[[#This Row],[Taxa]],0),0)+IF(AND(TbTradesBitPreço[[#This Row],[Tipo]]="BURN",TbTradesBitPreço[[#This Row],[Par]]="BRL"),-TbTradesBitPreço[[#This Row],[Qtt]]*P15,0),2)</f>
        <v>0</v>
      </c>
      <c r="D16" s="53">
        <v>44328.917928240742</v>
      </c>
      <c r="E16" s="37" t="s">
        <v>138</v>
      </c>
      <c r="F16" s="37" t="s">
        <v>140</v>
      </c>
      <c r="G16" s="38">
        <f>81.88/TbTradesBitPreço[[#This Row],[Qtt]]</f>
        <v>266657.98215332505</v>
      </c>
      <c r="H16" s="38">
        <v>3.0706E-4</v>
      </c>
      <c r="I16" s="38">
        <v>0</v>
      </c>
      <c r="J16" s="37" t="s">
        <v>6</v>
      </c>
      <c r="K16" s="52">
        <v>1</v>
      </c>
      <c r="L16" s="40">
        <f t="shared" si="4"/>
        <v>266657.98</v>
      </c>
      <c r="M16" s="40">
        <f>IF(OR(TbTradesBitPreço[[#This Row],[Tipo]]="BUY",TbTradesBitPreço[[#This Row],[Tipo]]="RECEIVE",TbTradesBitPreço[[#This Row],[Tipo]]="DROP"),L16*H16,-L16*H16)</f>
        <v>-81.87999933879999</v>
      </c>
      <c r="N16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Row],[Tipo]]="DROP"),N15+TbTradesBitPreço[[#This Row],[Qtt]],N15-TbTradesBitPreço[[#This Row],[Qtt]]),IF(TbTradesBitPreço[[#This Row],[Tipo]]="BUY",N15-TbTradesBitPreço[[#This Row],[Qtt]]*TbTradesBitPreço[[#This Row],[Preço]],N15+TbTradesBitPreço[[#This Row],[Qtt]]*TbTradesBitPreço[[#This Row],[Preço]])),N15)-IF(TbTradesBitPreço[[#This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Row],[Tipo]]="DROP"),N15+TbTradesBitPreço[[#This Row],[Qtt]],N15-TbTradesBitPreço[[#This Row],[Qtt]]),IF(TbTradesBitPreço[[#This Row],[Tipo]]="BUY",N15-TbTradesBitPreço[[#This Row],[Qtt]]*TbTradesBitPreço[[#This Row],[Preço]],N15+TbTradesBitPreço[[#This Row],[Qtt]]*TbTradesBitPreço[[#This Row],[Preço]])),N15)-IF(TbTradesBitPreço[[#This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Row],[Tipo]]="DROP"),N15+TbTradesBitPreço[[#This Row],[Qtt]],N15-TbTradesBitPreço[[#This Row],[Qtt]]),IF(TbTradesBitPreço[[#This Row],[Tipo]]="BUY",N15-TbTradesBitPreço[[#This Row],[Qtt]]*TbTradesBitPreço[[#This Row],[Preço]],N15+TbTradesBitPreço[[#This Row],[Qtt]]*TbTradesBitPreço[[#This Row],[Preço]])),N15)-IF(TbTradesBitPreço[[#This Row],[Moeda da Taxa]]=MID(N$1,9,5),TbTradesBitPreço[[#This Row],[Taxa]],0),8)))</f>
        <v>81.900981740000006</v>
      </c>
      <c r="O16" s="50" cm="1">
        <f t="array" ref="O16">IF(TbTradesBitPreço[[#This Row],[Tipo]]="EMPTY",0,O15+IF(TbTradesBitPreço[[#This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Row],[Par]]))),$1:$1,0)),-(N15-N16)/N15*O15),0),0)+IF(TbTradesBitPreço[[#This Row],[Tipo]]="SELL",IF(ISNUMBER(FIND(MID(O$1,10,5),TbTradesBitPreço[[#This Row],[Par]])),IF(FIND(MID(O$1,10,5),TbTradesBitPreço[[#This Row],[Par]])=1, -(N15-N16)/N15*O15,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Row],[Par]])),(-(N15-N16)/N15*O15)+IF(TbTradesBitPreço[[#This Row],[Resultado]]&gt;0,0,TbTradesBitPreço[[#This Row],[Taxa]]),0),0))</f>
        <v>55.940657329811643</v>
      </c>
      <c r="P16" s="41">
        <f t="shared" si="0"/>
        <v>0.68302792153821668</v>
      </c>
      <c r="Q16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Row],[Tipo]]="DROP"),Q15+TbTradesBitPreço[[#This Row],[Qtt]],Q15-TbTradesBitPreço[[#This Row],[Qtt]]),IF(TbTradesBitPreço[[#This Row],[Tipo]]="BUY",Q15-TbTradesBitPreço[[#This Row],[Qtt]]*TbTradesBitPreço[[#This Row],[Preço]],Q15+TbTradesBitPreço[[#This Row],[Qtt]]*TbTradesBitPreço[[#This Row],[Preço]])),Q15)-IF(TbTradesBitPreço[[#This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Row],[Tipo]]="DROP"),Q15+TbTradesBitPreço[[#This Row],[Qtt]],Q15-TbTradesBitPreço[[#This Row],[Qtt]]),IF(TbTradesBitPreço[[#This Row],[Tipo]]="BUY",Q15-TbTradesBitPreço[[#This Row],[Qtt]]*TbTradesBitPreço[[#This Row],[Preço]],Q15+TbTradesBitPreço[[#This Row],[Qtt]]*TbTradesBitPreço[[#This Row],[Preço]])),Q15)-IF(TbTradesBitPreço[[#This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Row],[Tipo]]="DROP"),Q15+TbTradesBitPreço[[#This Row],[Qtt]],Q15-TbTradesBitPreço[[#This Row],[Qtt]]),IF(TbTradesBitPreço[[#This Row],[Tipo]]="BUY",Q15-TbTradesBitPreço[[#This Row],[Qtt]]*TbTradesBitPreço[[#This Row],[Preço]],Q15+TbTradesBitPreço[[#This Row],[Qtt]]*TbTradesBitPreço[[#This Row],[Preço]])),Q15)-IF(TbTradesBitPreço[[#This Row],[Moeda da Taxa]]=MID(Q$1,9,5),TbTradesBitPreço[[#This Row],[Taxa]],0),8)))</f>
        <v>0</v>
      </c>
      <c r="R16" s="50" cm="1">
        <f t="array" ref="R16">IF(TbTradesBitPreço[[#This Row],[Tipo]]="EMPTY",0,R15+IF(TbTradesBitPreço[[#This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Row],[Par]]))),$1:$1,0)),-(Q15-Q16)/Q15*R15),0),0)+IF(TbTradesBitPreço[[#This Row],[Tipo]]="SELL",IF(ISNUMBER(FIND(MID(R$1,10,5),TbTradesBitPreço[[#This Row],[Par]])),IF(FIND(MID(R$1,10,5),TbTradesBitPreço[[#This Row],[Par]])=1, -(Q15-Q16)/Q15*R15,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Row],[Par]])),(-(Q15-Q16)/Q15*R15)+IF(TbTradesBitPreço[[#This Row],[Resultado]]&gt;0,0,TbTradesBitPreço[[#This Row],[Taxa]]),0),0))</f>
        <v>0</v>
      </c>
      <c r="S16" s="41">
        <f t="shared" si="1"/>
        <v>0</v>
      </c>
      <c r="T16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Row],[Tipo]]="DROP"),T15+TbTradesBitPreço[[#This Row],[Qtt]],T15-TbTradesBitPreço[[#This Row],[Qtt]]),IF(TbTradesBitPreço[[#This Row],[Tipo]]="BUY",T15-TbTradesBitPreço[[#This Row],[Qtt]]*TbTradesBitPreço[[#This Row],[Preço]],T15+TbTradesBitPreço[[#This Row],[Qtt]]*TbTradesBitPreço[[#This Row],[Preço]])),T15)-IF(TbTradesBitPreço[[#This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Row],[Tipo]]="DROP"),T15+TbTradesBitPreço[[#This Row],[Qtt]],T15-TbTradesBitPreço[[#This Row],[Qtt]]),IF(TbTradesBitPreço[[#This Row],[Tipo]]="BUY",T15-TbTradesBitPreço[[#This Row],[Qtt]]*TbTradesBitPreço[[#This Row],[Preço]],T15+TbTradesBitPreço[[#This Row],[Qtt]]*TbTradesBitPreço[[#This Row],[Preço]])),T15)-IF(TbTradesBitPreço[[#This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Row],[Tipo]]="DROP"),T15+TbTradesBitPreço[[#This Row],[Qtt]],T15-TbTradesBitPreço[[#This Row],[Qtt]]),IF(TbTradesBitPreço[[#This Row],[Tipo]]="BUY",T15-TbTradesBitPreço[[#This Row],[Qtt]]*TbTradesBitPreço[[#This Row],[Preço]],T15+TbTradesBitPreço[[#This Row],[Qtt]]*TbTradesBitPreço[[#This Row],[Preço]])),T15)-IF(TbTradesBitPreço[[#This Row],[Moeda da Taxa]]=MID(T$1,9,5),TbTradesBitPreço[[#This Row],[Taxa]],0),8)))</f>
        <v>1.0237E-4</v>
      </c>
      <c r="U16" s="50" cm="1">
        <f t="array" ref="U16">IF(TbTradesBitPreço[[#This Row],[Tipo]]="EMPTY",0,U15+IF(TbTradesBitPreço[[#This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Row],[Par]]))),$1:$1,0)),-(T15-T16)/T15*U15),0),0)+IF(TbTradesBitPreço[[#This Row],[Tipo]]="SELL",IF(ISNUMBER(FIND(MID(U$1,10,5),TbTradesBitPreço[[#This Row],[Par]])),IF(FIND(MID(U$1,10,5),TbTradesBitPreço[[#This Row],[Par]])=1, -(T15-T16)/T15*U15,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Row],[Par]])),(-(T15-T16)/T15*U15)+IF(TbTradesBitPreço[[#This Row],[Resultado]]&gt;0,0,TbTradesBitPreço[[#This Row],[Taxa]]),0),0))</f>
        <v>18.646616755120242</v>
      </c>
      <c r="V16" s="41">
        <f t="shared" si="2"/>
        <v>182149.23078167668</v>
      </c>
      <c r="W16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Row],[Tipo]]="DROP"),W15+TbTradesBitPreço[[#This Row],[Qtt]],W15-TbTradesBitPreço[[#This Row],[Qtt]]),IF(TbTradesBitPreço[[#This Row],[Tipo]]="BUY",W15-TbTradesBitPreço[[#This Row],[Qtt]]*TbTradesBitPreço[[#This Row],[Preço]],W15+TbTradesBitPreço[[#This Row],[Qtt]]*TbTradesBitPreço[[#This Row],[Preço]])),W15)-IF(TbTradesBitPreço[[#This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Row],[Tipo]]="DROP"),W15+TbTradesBitPreço[[#This Row],[Qtt]],W15-TbTradesBitPreço[[#This Row],[Qtt]]),IF(TbTradesBitPreço[[#This Row],[Tipo]]="BUY",W15-TbTradesBitPreço[[#This Row],[Qtt]]*TbTradesBitPreço[[#This Row],[Preço]],W15+TbTradesBitPreço[[#This Row],[Qtt]]*TbTradesBitPreço[[#This Row],[Preço]])),W15)-IF(TbTradesBitPreço[[#This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Row],[Tipo]]="DROP"),W15+TbTradesBitPreço[[#This Row],[Qtt]],W15-TbTradesBitPreço[[#This Row],[Qtt]]),IF(TbTradesBitPreço[[#This Row],[Tipo]]="BUY",W15-TbTradesBitPreço[[#This Row],[Qtt]]*TbTradesBitPreço[[#This Row],[Preço]],W15+TbTradesBitPreço[[#This Row],[Qtt]]*TbTradesBitPreço[[#This Row],[Preço]])),W15)-IF(TbTradesBitPreço[[#This Row],[Moeda da Taxa]]=MID(W$1,9,5),TbTradesBitPreço[[#This Row],[Taxa]],0),8)))</f>
        <v>2.6894900000000001E-3</v>
      </c>
      <c r="X16" s="50" cm="1">
        <f t="array" ref="X16">IF(TbTradesBitPreço[[#This Row],[Tipo]]="EMPTY",0,X15+IF(TbTradesBitPreço[[#This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Row],[Par]]))),$1:$1,0)),-(W15-W16)/W15*X15),0),0)+IF(TbTradesBitPreço[[#This Row],[Tipo]]="SELL",IF(ISNUMBER(FIND(MID(X$1,10,5),TbTradesBitPreço[[#This Row],[Par]])),IF(FIND(MID(X$1,10,5),TbTradesBitPreço[[#This Row],[Par]])=1, -(W15-W16)/W15*X15,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Row],[Par]])),(-(W15-W16)/W15*X15)+IF(TbTradesBitPreço[[#This Row],[Resultado]]&gt;0,0,TbTradesBitPreço[[#This Row],[Taxa]]),0),0))</f>
        <v>25.412725915068126</v>
      </c>
      <c r="Y16" s="41">
        <f t="shared" si="3"/>
        <v>9448.9014330107657</v>
      </c>
    </row>
    <row r="17" spans="2:25" x14ac:dyDescent="0.3">
      <c r="B17" s="40"/>
      <c r="C17" s="40">
        <f>TRUNC(IF(AND(TbTradesBitPreço[[#This Row],[Tipo]]="SEND",TbTradesBitPreço[[#This Row],[Par]]="BRL"),TbTradesBitPreço[[#This Row],[Qtt]]*(1-P16)-IF(TbTradesBitPreço[[#This Row],[Moeda da Taxa]]="BRL",TbTradesBitPreço[[#This Row],[Taxa]],0),0)+IF(AND(TbTradesBitPreço[[#This Row],[Tipo]]="BURN",TbTradesBitPreço[[#This Row],[Par]]="BRL"),-TbTradesBitPreço[[#This Row],[Qtt]]*P16,0),2)</f>
        <v>0</v>
      </c>
      <c r="D17" s="53">
        <v>44328.918287037035</v>
      </c>
      <c r="E17" s="37" t="s">
        <v>147</v>
      </c>
      <c r="F17" s="37" t="s">
        <v>140</v>
      </c>
      <c r="G17" s="38">
        <f>28.37/TbTradesBitPreço[[#This Row],[Qtt]]</f>
        <v>21097.015036363908</v>
      </c>
      <c r="H17" s="38">
        <v>1.3447400000000001E-3</v>
      </c>
      <c r="I17" s="38">
        <v>0</v>
      </c>
      <c r="J17" s="37" t="s">
        <v>8</v>
      </c>
      <c r="K17" s="52">
        <v>1</v>
      </c>
      <c r="L17" s="40">
        <f t="shared" si="4"/>
        <v>21097.01</v>
      </c>
      <c r="M17" s="40">
        <f>IF(OR(TbTradesBitPreço[[#This Row],[Tipo]]="BUY",TbTradesBitPreço[[#This Row],[Tipo]]="RECEIVE",TbTradesBitPreço[[#This Row],[Tipo]]="DROP"),L17*H17,-L17*H17)</f>
        <v>-28.369993227399998</v>
      </c>
      <c r="N17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Row],[Tipo]]="DROP"),N16+TbTradesBitPreço[[#This Row],[Qtt]],N16-TbTradesBitPreço[[#This Row],[Qtt]]),IF(TbTradesBitPreço[[#This Row],[Tipo]]="BUY",N16-TbTradesBitPreço[[#This Row],[Qtt]]*TbTradesBitPreço[[#This Row],[Preço]],N16+TbTradesBitPreço[[#This Row],[Qtt]]*TbTradesBitPreço[[#This Row],[Preço]])),N16)-IF(TbTradesBitPreço[[#This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Row],[Tipo]]="DROP"),N16+TbTradesBitPreço[[#This Row],[Qtt]],N16-TbTradesBitPreço[[#This Row],[Qtt]]),IF(TbTradesBitPreço[[#This Row],[Tipo]]="BUY",N16-TbTradesBitPreço[[#This Row],[Qtt]]*TbTradesBitPreço[[#This Row],[Preço]],N16+TbTradesBitPreço[[#This Row],[Qtt]]*TbTradesBitPreço[[#This Row],[Preço]])),N16)-IF(TbTradesBitPreço[[#This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Row],[Tipo]]="DROP"),N16+TbTradesBitPreço[[#This Row],[Qtt]],N16-TbTradesBitPreço[[#This Row],[Qtt]]),IF(TbTradesBitPreço[[#This Row],[Tipo]]="BUY",N16-TbTradesBitPreço[[#This Row],[Qtt]]*TbTradesBitPreço[[#This Row],[Preço]],N16+TbTradesBitPreço[[#This Row],[Qtt]]*TbTradesBitPreço[[#This Row],[Preço]])),N16)-IF(TbTradesBitPreço[[#This Row],[Moeda da Taxa]]=MID(N$1,9,5),TbTradesBitPreço[[#This Row],[Taxa]],0),8)))</f>
        <v>110.27098174</v>
      </c>
      <c r="O17" s="50" cm="1">
        <f t="array" ref="O17">IF(TbTradesBitPreço[[#This Row],[Tipo]]="EMPTY",0,O16+IF(TbTradesBitPreço[[#This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Row],[Par]]))),$1:$1,0)),-(N16-N17)/N16*O16),0),0)+IF(TbTradesBitPreço[[#This Row],[Tipo]]="SELL",IF(ISNUMBER(FIND(MID(O$1,10,5),TbTradesBitPreço[[#This Row],[Par]])),IF(FIND(MID(O$1,10,5),TbTradesBitPreço[[#This Row],[Par]])=1, -(N16-N17)/N16*O16,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Row],[Par]])),(-(N16-N17)/N16*O16)+IF(TbTradesBitPreço[[#This Row],[Resultado]]&gt;0,0,TbTradesBitPreço[[#This Row],[Taxa]]),0),0))</f>
        <v>68.646973042838539</v>
      </c>
      <c r="P17" s="41">
        <f t="shared" si="0"/>
        <v>0.6225298075671104</v>
      </c>
      <c r="Q17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Row],[Tipo]]="DROP"),Q16+TbTradesBitPreço[[#This Row],[Qtt]],Q16-TbTradesBitPreço[[#This Row],[Qtt]]),IF(TbTradesBitPreço[[#This Row],[Tipo]]="BUY",Q16-TbTradesBitPreço[[#This Row],[Qtt]]*TbTradesBitPreço[[#This Row],[Preço]],Q16+TbTradesBitPreço[[#This Row],[Qtt]]*TbTradesBitPreço[[#This Row],[Preço]])),Q16)-IF(TbTradesBitPreço[[#This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Row],[Tipo]]="DROP"),Q16+TbTradesBitPreço[[#This Row],[Qtt]],Q16-TbTradesBitPreço[[#This Row],[Qtt]]),IF(TbTradesBitPreço[[#This Row],[Tipo]]="BUY",Q16-TbTradesBitPreço[[#This Row],[Qtt]]*TbTradesBitPreço[[#This Row],[Preço]],Q16+TbTradesBitPreço[[#This Row],[Qtt]]*TbTradesBitPreço[[#This Row],[Preço]])),Q16)-IF(TbTradesBitPreço[[#This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Row],[Tipo]]="DROP"),Q16+TbTradesBitPreço[[#This Row],[Qtt]],Q16-TbTradesBitPreço[[#This Row],[Qtt]]),IF(TbTradesBitPreço[[#This Row],[Tipo]]="BUY",Q16-TbTradesBitPreço[[#This Row],[Qtt]]*TbTradesBitPreço[[#This Row],[Preço]],Q16+TbTradesBitPreço[[#This Row],[Qtt]]*TbTradesBitPreço[[#This Row],[Preço]])),Q16)-IF(TbTradesBitPreço[[#This Row],[Moeda da Taxa]]=MID(Q$1,9,5),TbTradesBitPreço[[#This Row],[Taxa]],0),8)))</f>
        <v>0</v>
      </c>
      <c r="R17" s="50" cm="1">
        <f t="array" ref="R17">IF(TbTradesBitPreço[[#This Row],[Tipo]]="EMPTY",0,R16+IF(TbTradesBitPreço[[#This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Row],[Par]]))),$1:$1,0)),-(Q16-Q17)/Q16*R16),0),0)+IF(TbTradesBitPreço[[#This Row],[Tipo]]="SELL",IF(ISNUMBER(FIND(MID(R$1,10,5),TbTradesBitPreço[[#This Row],[Par]])),IF(FIND(MID(R$1,10,5),TbTradesBitPreço[[#This Row],[Par]])=1, -(Q16-Q17)/Q16*R16,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Row],[Par]])),(-(Q16-Q17)/Q16*R16)+IF(TbTradesBitPreço[[#This Row],[Resultado]]&gt;0,0,TbTradesBitPreço[[#This Row],[Taxa]]),0),0))</f>
        <v>0</v>
      </c>
      <c r="S17" s="41">
        <f t="shared" si="1"/>
        <v>0</v>
      </c>
      <c r="T17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Row],[Tipo]]="DROP"),T16+TbTradesBitPreço[[#This Row],[Qtt]],T16-TbTradesBitPreço[[#This Row],[Qtt]]),IF(TbTradesBitPreço[[#This Row],[Tipo]]="BUY",T16-TbTradesBitPreço[[#This Row],[Qtt]]*TbTradesBitPreço[[#This Row],[Preço]],T16+TbTradesBitPreço[[#This Row],[Qtt]]*TbTradesBitPreço[[#This Row],[Preço]])),T16)-IF(TbTradesBitPreço[[#This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Row],[Tipo]]="DROP"),T16+TbTradesBitPreço[[#This Row],[Qtt]],T16-TbTradesBitPreço[[#This Row],[Qtt]]),IF(TbTradesBitPreço[[#This Row],[Tipo]]="BUY",T16-TbTradesBitPreço[[#This Row],[Qtt]]*TbTradesBitPreço[[#This Row],[Preço]],T16+TbTradesBitPreço[[#This Row],[Qtt]]*TbTradesBitPreço[[#This Row],[Preço]])),T16)-IF(TbTradesBitPreço[[#This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Row],[Tipo]]="DROP"),T16+TbTradesBitPreço[[#This Row],[Qtt]],T16-TbTradesBitPreço[[#This Row],[Qtt]]),IF(TbTradesBitPreço[[#This Row],[Tipo]]="BUY",T16-TbTradesBitPreço[[#This Row],[Qtt]]*TbTradesBitPreço[[#This Row],[Preço]],T16+TbTradesBitPreço[[#This Row],[Qtt]]*TbTradesBitPreço[[#This Row],[Preço]])),T16)-IF(TbTradesBitPreço[[#This Row],[Moeda da Taxa]]=MID(T$1,9,5),TbTradesBitPreço[[#This Row],[Taxa]],0),8)))</f>
        <v>1.0237E-4</v>
      </c>
      <c r="U17" s="50" cm="1">
        <f t="array" ref="U17">IF(TbTradesBitPreço[[#This Row],[Tipo]]="EMPTY",0,U16+IF(TbTradesBitPreço[[#This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Row],[Par]]))),$1:$1,0)),-(T16-T17)/T16*U16),0),0)+IF(TbTradesBitPreço[[#This Row],[Tipo]]="SELL",IF(ISNUMBER(FIND(MID(U$1,10,5),TbTradesBitPreço[[#This Row],[Par]])),IF(FIND(MID(U$1,10,5),TbTradesBitPreço[[#This Row],[Par]])=1, -(T16-T17)/T16*U16,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Row],[Par]])),(-(T16-T17)/T16*U16)+IF(TbTradesBitPreço[[#This Row],[Resultado]]&gt;0,0,TbTradesBitPreço[[#This Row],[Taxa]]),0),0))</f>
        <v>18.646616755120242</v>
      </c>
      <c r="V17" s="41">
        <f t="shared" si="2"/>
        <v>182149.23078167668</v>
      </c>
      <c r="W17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Row],[Tipo]]="DROP"),W16+TbTradesBitPreço[[#This Row],[Qtt]],W16-TbTradesBitPreço[[#This Row],[Qtt]]),IF(TbTradesBitPreço[[#This Row],[Tipo]]="BUY",W16-TbTradesBitPreço[[#This Row],[Qtt]]*TbTradesBitPreço[[#This Row],[Preço]],W16+TbTradesBitPreço[[#This Row],[Qtt]]*TbTradesBitPreço[[#This Row],[Preço]])),W16)-IF(TbTradesBitPreço[[#This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Row],[Tipo]]="DROP"),W16+TbTradesBitPreço[[#This Row],[Qtt]],W16-TbTradesBitPreço[[#This Row],[Qtt]]),IF(TbTradesBitPreço[[#This Row],[Tipo]]="BUY",W16-TbTradesBitPreço[[#This Row],[Qtt]]*TbTradesBitPreço[[#This Row],[Preço]],W16+TbTradesBitPreço[[#This Row],[Qtt]]*TbTradesBitPreço[[#This Row],[Preço]])),W16)-IF(TbTradesBitPreço[[#This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Row],[Tipo]]="DROP"),W16+TbTradesBitPreço[[#This Row],[Qtt]],W16-TbTradesBitPreço[[#This Row],[Qtt]]),IF(TbTradesBitPreço[[#This Row],[Tipo]]="BUY",W16-TbTradesBitPreço[[#This Row],[Qtt]]*TbTradesBitPreço[[#This Row],[Preço]],W16+TbTradesBitPreço[[#This Row],[Qtt]]*TbTradesBitPreço[[#This Row],[Preço]])),W16)-IF(TbTradesBitPreço[[#This Row],[Moeda da Taxa]]=MID(W$1,9,5),TbTradesBitPreço[[#This Row],[Taxa]],0),8)))</f>
        <v>1.34475E-3</v>
      </c>
      <c r="X17" s="50" cm="1">
        <f t="array" ref="X17">IF(TbTradesBitPreço[[#This Row],[Tipo]]="EMPTY",0,X16+IF(TbTradesBitPreço[[#This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Row],[Par]]))),$1:$1,0)),-(W16-W17)/W16*X16),0),0)+IF(TbTradesBitPreço[[#This Row],[Tipo]]="SELL",IF(ISNUMBER(FIND(MID(X$1,10,5),TbTradesBitPreço[[#This Row],[Par]])),IF(FIND(MID(X$1,10,5),TbTradesBitPreço[[#This Row],[Par]])=1, -(W16-W17)/W16*X16,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Row],[Par]])),(-(W16-W17)/W16*X16)+IF(TbTradesBitPreço[[#This Row],[Resultado]]&gt;0,0,TbTradesBitPreço[[#This Row],[Taxa]]),0),0))</f>
        <v>12.706410202041228</v>
      </c>
      <c r="Y17" s="41">
        <f t="shared" si="3"/>
        <v>9448.9014330107657</v>
      </c>
    </row>
    <row r="18" spans="2:25" x14ac:dyDescent="0.3">
      <c r="B18" s="40"/>
      <c r="C18" s="40">
        <f>TRUNC(IF(AND(TbTradesBitPreço[[#This Row],[Tipo]]="SEND",TbTradesBitPreço[[#This Row],[Par]]="BRL"),TbTradesBitPreço[[#This Row],[Qtt]]*(1-P17)-IF(TbTradesBitPreço[[#This Row],[Moeda da Taxa]]="BRL",TbTradesBitPreço[[#This Row],[Taxa]],0),0)+IF(AND(TbTradesBitPreço[[#This Row],[Tipo]]="BURN",TbTradesBitPreço[[#This Row],[Par]]="BRL"),-TbTradesBitPreço[[#This Row],[Qtt]]*P17,0),2)</f>
        <v>0</v>
      </c>
      <c r="D18" s="53">
        <v>44339.585879629631</v>
      </c>
      <c r="E18" s="37" t="s">
        <v>138</v>
      </c>
      <c r="F18" s="37" t="s">
        <v>139</v>
      </c>
      <c r="G18" s="38">
        <f>27.54/TbTradesBitPreço[[#This Row],[Qtt]]</f>
        <v>180744.24099232131</v>
      </c>
      <c r="H18" s="38">
        <v>1.5237000000000001E-4</v>
      </c>
      <c r="I18" s="38">
        <v>0</v>
      </c>
      <c r="J18" s="37" t="s">
        <v>6</v>
      </c>
      <c r="K18" s="52">
        <v>1</v>
      </c>
      <c r="L18" s="40">
        <f t="shared" si="4"/>
        <v>180744.24</v>
      </c>
      <c r="M18" s="40">
        <f>IF(OR(TbTradesBitPreço[[#This Row],[Tipo]]="BUY",TbTradesBitPreço[[#This Row],[Tipo]]="RECEIVE",TbTradesBitPreço[[#This Row],[Tipo]]="DROP"),L18*H18,-L18*H18)</f>
        <v>27.539999848800001</v>
      </c>
      <c r="N18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Row],[Tipo]]="DROP"),N17+TbTradesBitPreço[[#This Row],[Qtt]],N17-TbTradesBitPreço[[#This Row],[Qtt]]),IF(TbTradesBitPreço[[#This Row],[Tipo]]="BUY",N17-TbTradesBitPreço[[#This Row],[Qtt]]*TbTradesBitPreço[[#This Row],[Preço]],N17+TbTradesBitPreço[[#This Row],[Qtt]]*TbTradesBitPreço[[#This Row],[Preço]])),N17)-IF(TbTradesBitPreço[[#This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Row],[Tipo]]="DROP"),N17+TbTradesBitPreço[[#This Row],[Qtt]],N17-TbTradesBitPreço[[#This Row],[Qtt]]),IF(TbTradesBitPreço[[#This Row],[Tipo]]="BUY",N17-TbTradesBitPreço[[#This Row],[Qtt]]*TbTradesBitPreço[[#This Row],[Preço]],N17+TbTradesBitPreço[[#This Row],[Qtt]]*TbTradesBitPreço[[#This Row],[Preço]])),N17)-IF(TbTradesBitPreço[[#This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Row],[Tipo]]="DROP"),N17+TbTradesBitPreço[[#This Row],[Qtt]],N17-TbTradesBitPreço[[#This Row],[Qtt]]),IF(TbTradesBitPreço[[#This Row],[Tipo]]="BUY",N17-TbTradesBitPreço[[#This Row],[Qtt]]*TbTradesBitPreço[[#This Row],[Preço]],N17+TbTradesBitPreço[[#This Row],[Qtt]]*TbTradesBitPreço[[#This Row],[Preço]])),N17)-IF(TbTradesBitPreço[[#This Row],[Moeda da Taxa]]=MID(N$1,9,5),TbTradesBitPreço[[#This Row],[Taxa]],0),8)))</f>
        <v>82.730981740000004</v>
      </c>
      <c r="O18" s="50" cm="1">
        <f t="array" ref="O18">IF(TbTradesBitPreço[[#This Row],[Tipo]]="EMPTY",0,O17+IF(TbTradesBitPreço[[#This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Row],[Par]]))),$1:$1,0)),-(N17-N18)/N17*O17),0),0)+IF(TbTradesBitPreço[[#This Row],[Tipo]]="SELL",IF(ISNUMBER(FIND(MID(O$1,10,5),TbTradesBitPreço[[#This Row],[Par]])),IF(FIND(MID(O$1,10,5),TbTradesBitPreço[[#This Row],[Par]])=1, -(N17-N18)/N17*O17,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Row],[Par]])),(-(N17-N18)/N17*O17)+IF(TbTradesBitPreço[[#This Row],[Resultado]]&gt;0,0,TbTradesBitPreço[[#This Row],[Taxa]]),0),0))</f>
        <v>51.502502142440321</v>
      </c>
      <c r="P18" s="41">
        <f t="shared" si="0"/>
        <v>0.62252980756711029</v>
      </c>
      <c r="Q18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Row],[Tipo]]="DROP"),Q17+TbTradesBitPreço[[#This Row],[Qtt]],Q17-TbTradesBitPreço[[#This Row],[Qtt]]),IF(TbTradesBitPreço[[#This Row],[Tipo]]="BUY",Q17-TbTradesBitPreço[[#This Row],[Qtt]]*TbTradesBitPreço[[#This Row],[Preço]],Q17+TbTradesBitPreço[[#This Row],[Qtt]]*TbTradesBitPreço[[#This Row],[Preço]])),Q17)-IF(TbTradesBitPreço[[#This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Row],[Tipo]]="DROP"),Q17+TbTradesBitPreço[[#This Row],[Qtt]],Q17-TbTradesBitPreço[[#This Row],[Qtt]]),IF(TbTradesBitPreço[[#This Row],[Tipo]]="BUY",Q17-TbTradesBitPreço[[#This Row],[Qtt]]*TbTradesBitPreço[[#This Row],[Preço]],Q17+TbTradesBitPreço[[#This Row],[Qtt]]*TbTradesBitPreço[[#This Row],[Preço]])),Q17)-IF(TbTradesBitPreço[[#This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Row],[Tipo]]="DROP"),Q17+TbTradesBitPreço[[#This Row],[Qtt]],Q17-TbTradesBitPreço[[#This Row],[Qtt]]),IF(TbTradesBitPreço[[#This Row],[Tipo]]="BUY",Q17-TbTradesBitPreço[[#This Row],[Qtt]]*TbTradesBitPreço[[#This Row],[Preço]],Q17+TbTradesBitPreço[[#This Row],[Qtt]]*TbTradesBitPreço[[#This Row],[Preço]])),Q17)-IF(TbTradesBitPreço[[#This Row],[Moeda da Taxa]]=MID(Q$1,9,5),TbTradesBitPreço[[#This Row],[Taxa]],0),8)))</f>
        <v>0</v>
      </c>
      <c r="R18" s="50" cm="1">
        <f t="array" ref="R18">IF(TbTradesBitPreço[[#This Row],[Tipo]]="EMPTY",0,R17+IF(TbTradesBitPreço[[#This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Row],[Par]]))),$1:$1,0)),-(Q17-Q18)/Q17*R17),0),0)+IF(TbTradesBitPreço[[#This Row],[Tipo]]="SELL",IF(ISNUMBER(FIND(MID(R$1,10,5),TbTradesBitPreço[[#This Row],[Par]])),IF(FIND(MID(R$1,10,5),TbTradesBitPreço[[#This Row],[Par]])=1, -(Q17-Q18)/Q17*R17,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Row],[Par]])),(-(Q17-Q18)/Q17*R17)+IF(TbTradesBitPreço[[#This Row],[Resultado]]&gt;0,0,TbTradesBitPreço[[#This Row],[Taxa]]),0),0))</f>
        <v>0</v>
      </c>
      <c r="S18" s="41">
        <f t="shared" si="1"/>
        <v>0</v>
      </c>
      <c r="T18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Row],[Tipo]]="DROP"),T17+TbTradesBitPreço[[#This Row],[Qtt]],T17-TbTradesBitPreço[[#This Row],[Qtt]]),IF(TbTradesBitPreço[[#This Row],[Tipo]]="BUY",T17-TbTradesBitPreço[[#This Row],[Qtt]]*TbTradesBitPreço[[#This Row],[Preço]],T17+TbTradesBitPreço[[#This Row],[Qtt]]*TbTradesBitPreço[[#This Row],[Preço]])),T17)-IF(TbTradesBitPreço[[#This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Row],[Tipo]]="DROP"),T17+TbTradesBitPreço[[#This Row],[Qtt]],T17-TbTradesBitPreço[[#This Row],[Qtt]]),IF(TbTradesBitPreço[[#This Row],[Tipo]]="BUY",T17-TbTradesBitPreço[[#This Row],[Qtt]]*TbTradesBitPreço[[#This Row],[Preço]],T17+TbTradesBitPreço[[#This Row],[Qtt]]*TbTradesBitPreço[[#This Row],[Preço]])),T17)-IF(TbTradesBitPreço[[#This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Row],[Tipo]]="DROP"),T17+TbTradesBitPreço[[#This Row],[Qtt]],T17-TbTradesBitPreço[[#This Row],[Qtt]]),IF(TbTradesBitPreço[[#This Row],[Tipo]]="BUY",T17-TbTradesBitPreço[[#This Row],[Qtt]]*TbTradesBitPreço[[#This Row],[Preço]],T17+TbTradesBitPreço[[#This Row],[Qtt]]*TbTradesBitPreço[[#This Row],[Preço]])),T17)-IF(TbTradesBitPreço[[#This Row],[Moeda da Taxa]]=MID(T$1,9,5),TbTradesBitPreço[[#This Row],[Taxa]],0),8)))</f>
        <v>2.5473999999999999E-4</v>
      </c>
      <c r="U18" s="50" cm="1">
        <f t="array" ref="U18">IF(TbTradesBitPreço[[#This Row],[Tipo]]="EMPTY",0,U17+IF(TbTradesBitPreço[[#This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Row],[Par]]))),$1:$1,0)),-(T17-T18)/T17*U17),0),0)+IF(TbTradesBitPreço[[#This Row],[Tipo]]="SELL",IF(ISNUMBER(FIND(MID(U$1,10,5),TbTradesBitPreço[[#This Row],[Par]])),IF(FIND(MID(U$1,10,5),TbTradesBitPreço[[#This Row],[Par]])=1, -(T17-T18)/T17*U17,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Row],[Par]])),(-(T17-T18)/T17*U17)+IF(TbTradesBitPreço[[#This Row],[Resultado]]&gt;0,0,TbTradesBitPreço[[#This Row],[Taxa]]),0),0))</f>
        <v>35.791087655518453</v>
      </c>
      <c r="V18" s="41">
        <f t="shared" si="2"/>
        <v>140500.46186511131</v>
      </c>
      <c r="W18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Row],[Tipo]]="DROP"),W17+TbTradesBitPreço[[#This Row],[Qtt]],W17-TbTradesBitPreço[[#This Row],[Qtt]]),IF(TbTradesBitPreço[[#This Row],[Tipo]]="BUY",W17-TbTradesBitPreço[[#This Row],[Qtt]]*TbTradesBitPreço[[#This Row],[Preço]],W17+TbTradesBitPreço[[#This Row],[Qtt]]*TbTradesBitPreço[[#This Row],[Preço]])),W17)-IF(TbTradesBitPreço[[#This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Row],[Tipo]]="DROP"),W17+TbTradesBitPreço[[#This Row],[Qtt]],W17-TbTradesBitPreço[[#This Row],[Qtt]]),IF(TbTradesBitPreço[[#This Row],[Tipo]]="BUY",W17-TbTradesBitPreço[[#This Row],[Qtt]]*TbTradesBitPreço[[#This Row],[Preço]],W17+TbTradesBitPreço[[#This Row],[Qtt]]*TbTradesBitPreço[[#This Row],[Preço]])),W17)-IF(TbTradesBitPreço[[#This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Row],[Tipo]]="DROP"),W17+TbTradesBitPreço[[#This Row],[Qtt]],W17-TbTradesBitPreço[[#This Row],[Qtt]]),IF(TbTradesBitPreço[[#This Row],[Tipo]]="BUY",W17-TbTradesBitPreço[[#This Row],[Qtt]]*TbTradesBitPreço[[#This Row],[Preço]],W17+TbTradesBitPreço[[#This Row],[Qtt]]*TbTradesBitPreço[[#This Row],[Preço]])),W17)-IF(TbTradesBitPreço[[#This Row],[Moeda da Taxa]]=MID(W$1,9,5),TbTradesBitPreço[[#This Row],[Taxa]],0),8)))</f>
        <v>1.34475E-3</v>
      </c>
      <c r="X18" s="50" cm="1">
        <f t="array" ref="X18">IF(TbTradesBitPreço[[#This Row],[Tipo]]="EMPTY",0,X17+IF(TbTradesBitPreço[[#This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Row],[Par]]))),$1:$1,0)),-(W17-W18)/W17*X17),0),0)+IF(TbTradesBitPreço[[#This Row],[Tipo]]="SELL",IF(ISNUMBER(FIND(MID(X$1,10,5),TbTradesBitPreço[[#This Row],[Par]])),IF(FIND(MID(X$1,10,5),TbTradesBitPreço[[#This Row],[Par]])=1, -(W17-W18)/W17*X17,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Row],[Par]])),(-(W17-W18)/W17*X17)+IF(TbTradesBitPreço[[#This Row],[Resultado]]&gt;0,0,TbTradesBitPreço[[#This Row],[Taxa]]),0),0))</f>
        <v>12.706410202041228</v>
      </c>
      <c r="Y18" s="41">
        <f t="shared" si="3"/>
        <v>9448.9014330107657</v>
      </c>
    </row>
    <row r="19" spans="2:25" x14ac:dyDescent="0.3">
      <c r="B19" s="40"/>
      <c r="C19" s="40">
        <f>TRUNC(IF(AND(TbTradesBitPreço[[#This Row],[Tipo]]="SEND",TbTradesBitPreço[[#This Row],[Par]]="BRL"),TbTradesBitPreço[[#This Row],[Qtt]]*(1-P18)-IF(TbTradesBitPreço[[#This Row],[Moeda da Taxa]]="BRL",TbTradesBitPreço[[#This Row],[Taxa]],0),0)+IF(AND(TbTradesBitPreço[[#This Row],[Tipo]]="BURN",TbTradesBitPreço[[#This Row],[Par]]="BRL"),-TbTradesBitPreço[[#This Row],[Qtt]]*P18,0),2)</f>
        <v>0</v>
      </c>
      <c r="D19" s="53">
        <v>44339.586296296293</v>
      </c>
      <c r="E19" s="37" t="s">
        <v>147</v>
      </c>
      <c r="F19" s="37" t="s">
        <v>139</v>
      </c>
      <c r="G19" s="38">
        <f>41.33/TbTradesBitPreço[[#This Row],[Qtt]]</f>
        <v>10630.007330152646</v>
      </c>
      <c r="H19" s="38">
        <v>3.8880500000000001E-3</v>
      </c>
      <c r="I19" s="38">
        <v>0</v>
      </c>
      <c r="J19" s="37" t="s">
        <v>8</v>
      </c>
      <c r="K19" s="52">
        <v>1</v>
      </c>
      <c r="L19" s="40">
        <f t="shared" si="4"/>
        <v>10630</v>
      </c>
      <c r="M19" s="40">
        <f>IF(OR(TbTradesBitPreço[[#This Row],[Tipo]]="BUY",TbTradesBitPreço[[#This Row],[Tipo]]="RECEIVE",TbTradesBitPreço[[#This Row],[Tipo]]="DROP"),L19*H19,-L19*H19)</f>
        <v>41.329971499999999</v>
      </c>
      <c r="N19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Row],[Tipo]]="DROP"),N18+TbTradesBitPreço[[#This Row],[Qtt]],N18-TbTradesBitPreço[[#This Row],[Qtt]]),IF(TbTradesBitPreço[[#This Row],[Tipo]]="BUY",N18-TbTradesBitPreço[[#This Row],[Qtt]]*TbTradesBitPreço[[#This Row],[Preço]],N18+TbTradesBitPreço[[#This Row],[Qtt]]*TbTradesBitPreço[[#This Row],[Preço]])),N18)-IF(TbTradesBitPreço[[#This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Row],[Tipo]]="DROP"),N18+TbTradesBitPreço[[#This Row],[Qtt]],N18-TbTradesBitPreço[[#This Row],[Qtt]]),IF(TbTradesBitPreço[[#This Row],[Tipo]]="BUY",N18-TbTradesBitPreço[[#This Row],[Qtt]]*TbTradesBitPreço[[#This Row],[Preço]],N18+TbTradesBitPreço[[#This Row],[Qtt]]*TbTradesBitPreço[[#This Row],[Preço]])),N18)-IF(TbTradesBitPreço[[#This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Row],[Tipo]]="DROP"),N18+TbTradesBitPreço[[#This Row],[Qtt]],N18-TbTradesBitPreço[[#This Row],[Qtt]]),IF(TbTradesBitPreço[[#This Row],[Tipo]]="BUY",N18-TbTradesBitPreço[[#This Row],[Qtt]]*TbTradesBitPreço[[#This Row],[Preço]],N18+TbTradesBitPreço[[#This Row],[Qtt]]*TbTradesBitPreço[[#This Row],[Preço]])),N18)-IF(TbTradesBitPreço[[#This Row],[Moeda da Taxa]]=MID(N$1,9,5),TbTradesBitPreço[[#This Row],[Taxa]],0),8)))</f>
        <v>41.400981739999999</v>
      </c>
      <c r="O19" s="50" cm="1">
        <f t="array" ref="O19">IF(TbTradesBitPreço[[#This Row],[Tipo]]="EMPTY",0,O18+IF(TbTradesBitPreço[[#This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Row],[Par]]))),$1:$1,0)),-(N18-N19)/N18*O18),0),0)+IF(TbTradesBitPreço[[#This Row],[Tipo]]="SELL",IF(ISNUMBER(FIND(MID(O$1,10,5),TbTradesBitPreço[[#This Row],[Par]])),IF(FIND(MID(O$1,10,5),TbTradesBitPreço[[#This Row],[Par]])=1, -(N18-N19)/N18*O18,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Row],[Par]])),(-(N18-N19)/N18*O18)+IF(TbTradesBitPreço[[#This Row],[Resultado]]&gt;0,0,TbTradesBitPreço[[#This Row],[Taxa]]),0),0))</f>
        <v>25.773345195691647</v>
      </c>
      <c r="P19" s="41">
        <f t="shared" si="0"/>
        <v>0.62252980756711029</v>
      </c>
      <c r="Q19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Row],[Tipo]]="DROP"),Q18+TbTradesBitPreço[[#This Row],[Qtt]],Q18-TbTradesBitPreço[[#This Row],[Qtt]]),IF(TbTradesBitPreço[[#This Row],[Tipo]]="BUY",Q18-TbTradesBitPreço[[#This Row],[Qtt]]*TbTradesBitPreço[[#This Row],[Preço]],Q18+TbTradesBitPreço[[#This Row],[Qtt]]*TbTradesBitPreço[[#This Row],[Preço]])),Q18)-IF(TbTradesBitPreço[[#This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Row],[Tipo]]="DROP"),Q18+TbTradesBitPreço[[#This Row],[Qtt]],Q18-TbTradesBitPreço[[#This Row],[Qtt]]),IF(TbTradesBitPreço[[#This Row],[Tipo]]="BUY",Q18-TbTradesBitPreço[[#This Row],[Qtt]]*TbTradesBitPreço[[#This Row],[Preço]],Q18+TbTradesBitPreço[[#This Row],[Qtt]]*TbTradesBitPreço[[#This Row],[Preço]])),Q18)-IF(TbTradesBitPreço[[#This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Row],[Tipo]]="DROP"),Q18+TbTradesBitPreço[[#This Row],[Qtt]],Q18-TbTradesBitPreço[[#This Row],[Qtt]]),IF(TbTradesBitPreço[[#This Row],[Tipo]]="BUY",Q18-TbTradesBitPreço[[#This Row],[Qtt]]*TbTradesBitPreço[[#This Row],[Preço]],Q18+TbTradesBitPreço[[#This Row],[Qtt]]*TbTradesBitPreço[[#This Row],[Preço]])),Q18)-IF(TbTradesBitPreço[[#This Row],[Moeda da Taxa]]=MID(Q$1,9,5),TbTradesBitPreço[[#This Row],[Taxa]],0),8)))</f>
        <v>0</v>
      </c>
      <c r="R19" s="50" cm="1">
        <f t="array" ref="R19">IF(TbTradesBitPreço[[#This Row],[Tipo]]="EMPTY",0,R18+IF(TbTradesBitPreço[[#This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Row],[Par]]))),$1:$1,0)),-(Q18-Q19)/Q18*R18),0),0)+IF(TbTradesBitPreço[[#This Row],[Tipo]]="SELL",IF(ISNUMBER(FIND(MID(R$1,10,5),TbTradesBitPreço[[#This Row],[Par]])),IF(FIND(MID(R$1,10,5),TbTradesBitPreço[[#This Row],[Par]])=1, -(Q18-Q19)/Q18*R18,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Row],[Par]])),(-(Q18-Q19)/Q18*R18)+IF(TbTradesBitPreço[[#This Row],[Resultado]]&gt;0,0,TbTradesBitPreço[[#This Row],[Taxa]]),0),0))</f>
        <v>0</v>
      </c>
      <c r="S19" s="41">
        <f t="shared" si="1"/>
        <v>0</v>
      </c>
      <c r="T19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Row],[Tipo]]="DROP"),T18+TbTradesBitPreço[[#This Row],[Qtt]],T18-TbTradesBitPreço[[#This Row],[Qtt]]),IF(TbTradesBitPreço[[#This Row],[Tipo]]="BUY",T18-TbTradesBitPreço[[#This Row],[Qtt]]*TbTradesBitPreço[[#This Row],[Preço]],T18+TbTradesBitPreço[[#This Row],[Qtt]]*TbTradesBitPreço[[#This Row],[Preço]])),T18)-IF(TbTradesBitPreço[[#This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Row],[Tipo]]="DROP"),T18+TbTradesBitPreço[[#This Row],[Qtt]],T18-TbTradesBitPreço[[#This Row],[Qtt]]),IF(TbTradesBitPreço[[#This Row],[Tipo]]="BUY",T18-TbTradesBitPreço[[#This Row],[Qtt]]*TbTradesBitPreço[[#This Row],[Preço]],T18+TbTradesBitPreço[[#This Row],[Qtt]]*TbTradesBitPreço[[#This Row],[Preço]])),T18)-IF(TbTradesBitPreço[[#This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Row],[Tipo]]="DROP"),T18+TbTradesBitPreço[[#This Row],[Qtt]],T18-TbTradesBitPreço[[#This Row],[Qtt]]),IF(TbTradesBitPreço[[#This Row],[Tipo]]="BUY",T18-TbTradesBitPreço[[#This Row],[Qtt]]*TbTradesBitPreço[[#This Row],[Preço]],T18+TbTradesBitPreço[[#This Row],[Qtt]]*TbTradesBitPreço[[#This Row],[Preço]])),T18)-IF(TbTradesBitPreço[[#This Row],[Moeda da Taxa]]=MID(T$1,9,5),TbTradesBitPreço[[#This Row],[Taxa]],0),8)))</f>
        <v>2.5473999999999999E-4</v>
      </c>
      <c r="U19" s="50" cm="1">
        <f t="array" ref="U19">IF(TbTradesBitPreço[[#This Row],[Tipo]]="EMPTY",0,U18+IF(TbTradesBitPreço[[#This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Row],[Par]]))),$1:$1,0)),-(T18-T19)/T18*U18),0),0)+IF(TbTradesBitPreço[[#This Row],[Tipo]]="SELL",IF(ISNUMBER(FIND(MID(U$1,10,5),TbTradesBitPreço[[#This Row],[Par]])),IF(FIND(MID(U$1,10,5),TbTradesBitPreço[[#This Row],[Par]])=1, -(T18-T19)/T18*U18,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Row],[Par]])),(-(T18-T19)/T18*U18)+IF(TbTradesBitPreço[[#This Row],[Resultado]]&gt;0,0,TbTradesBitPreço[[#This Row],[Taxa]]),0),0))</f>
        <v>35.791087655518453</v>
      </c>
      <c r="V19" s="41">
        <f t="shared" si="2"/>
        <v>140500.46186511131</v>
      </c>
      <c r="W19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Row],[Tipo]]="DROP"),W18+TbTradesBitPreço[[#This Row],[Qtt]],W18-TbTradesBitPreço[[#This Row],[Qtt]]),IF(TbTradesBitPreço[[#This Row],[Tipo]]="BUY",W18-TbTradesBitPreço[[#This Row],[Qtt]]*TbTradesBitPreço[[#This Row],[Preço]],W18+TbTradesBitPreço[[#This Row],[Qtt]]*TbTradesBitPreço[[#This Row],[Preço]])),W18)-IF(TbTradesBitPreço[[#This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Row],[Tipo]]="DROP"),W18+TbTradesBitPreço[[#This Row],[Qtt]],W18-TbTradesBitPreço[[#This Row],[Qtt]]),IF(TbTradesBitPreço[[#This Row],[Tipo]]="BUY",W18-TbTradesBitPreço[[#This Row],[Qtt]]*TbTradesBitPreço[[#This Row],[Preço]],W18+TbTradesBitPreço[[#This Row],[Qtt]]*TbTradesBitPreço[[#This Row],[Preço]])),W18)-IF(TbTradesBitPreço[[#This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Row],[Tipo]]="DROP"),W18+TbTradesBitPreço[[#This Row],[Qtt]],W18-TbTradesBitPreço[[#This Row],[Qtt]]),IF(TbTradesBitPreço[[#This Row],[Tipo]]="BUY",W18-TbTradesBitPreço[[#This Row],[Qtt]]*TbTradesBitPreço[[#This Row],[Preço]],W18+TbTradesBitPreço[[#This Row],[Qtt]]*TbTradesBitPreço[[#This Row],[Preço]])),W18)-IF(TbTradesBitPreço[[#This Row],[Moeda da Taxa]]=MID(W$1,9,5),TbTradesBitPreço[[#This Row],[Taxa]],0),8)))</f>
        <v>5.2328000000000001E-3</v>
      </c>
      <c r="X19" s="50" cm="1">
        <f t="array" ref="X19">IF(TbTradesBitPreço[[#This Row],[Tipo]]="EMPTY",0,X18+IF(TbTradesBitPreço[[#This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Row],[Par]]))),$1:$1,0)),-(W18-W19)/W18*X18),0),0)+IF(TbTradesBitPreço[[#This Row],[Tipo]]="SELL",IF(ISNUMBER(FIND(MID(X$1,10,5),TbTradesBitPreço[[#This Row],[Par]])),IF(FIND(MID(X$1,10,5),TbTradesBitPreço[[#This Row],[Par]])=1, -(W18-W19)/W18*X18,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Row],[Par]])),(-(W18-W19)/W18*X18)+IF(TbTradesBitPreço[[#This Row],[Resultado]]&gt;0,0,TbTradesBitPreço[[#This Row],[Taxa]]),0),0))</f>
        <v>38.4355671487899</v>
      </c>
      <c r="Y19" s="41">
        <f t="shared" si="3"/>
        <v>7345.1244360170267</v>
      </c>
    </row>
    <row r="20" spans="2:25" x14ac:dyDescent="0.3">
      <c r="B20" s="40"/>
      <c r="C20" s="40">
        <f>TRUNC(IF(AND(TbTradesBitPreço[[#This Row],[Tipo]]="SEND",TbTradesBitPreço[[#This Row],[Par]]="BRL"),TbTradesBitPreço[[#This Row],[Qtt]]*(1-P19)-IF(TbTradesBitPreço[[#This Row],[Moeda da Taxa]]="BRL",TbTradesBitPreço[[#This Row],[Taxa]],0),0)+IF(AND(TbTradesBitPreço[[#This Row],[Tipo]]="BURN",TbTradesBitPreço[[#This Row],[Par]]="BRL"),-TbTradesBitPreço[[#This Row],[Qtt]]*P19,0),2)</f>
        <v>0</v>
      </c>
      <c r="D20" s="53">
        <v>44373.501111111109</v>
      </c>
      <c r="E20" s="37" t="s">
        <v>138</v>
      </c>
      <c r="F20" s="37" t="s">
        <v>139</v>
      </c>
      <c r="G20" s="38">
        <f>41.07/TbTradesBitPreço[[#This Row],[Qtt]]</f>
        <v>155857.46271488749</v>
      </c>
      <c r="H20" s="38">
        <v>2.6351E-4</v>
      </c>
      <c r="I20" s="38">
        <v>0</v>
      </c>
      <c r="J20" s="38" t="s">
        <v>6</v>
      </c>
      <c r="K20" s="52">
        <v>1</v>
      </c>
      <c r="L20" s="40">
        <f t="shared" si="4"/>
        <v>155857.46</v>
      </c>
      <c r="M20" s="40">
        <f>IF(OR(TbTradesBitPreço[[#This Row],[Tipo]]="BUY",TbTradesBitPreço[[#This Row],[Tipo]]="RECEIVE",TbTradesBitPreço[[#This Row],[Tipo]]="DROP"),L20*H20,-L20*H20)</f>
        <v>41.069999284600001</v>
      </c>
      <c r="N20" s="68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Row],[Tipo]]="DROP"),N19+TbTradesBitPreço[[#This Row],[Qtt]],N19-TbTradesBitPreço[[#This Row],[Qtt]]),IF(TbTradesBitPreço[[#This Row],[Tipo]]="BUY",N19-TbTradesBitPreço[[#This Row],[Qtt]]*TbTradesBitPreço[[#This Row],[Preço]],N19+TbTradesBitPreço[[#This Row],[Qtt]]*TbTradesBitPreço[[#This Row],[Preço]])),N19)-IF(TbTradesBitPreço[[#This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Row],[Tipo]]="DROP"),N19+TbTradesBitPreço[[#This Row],[Qtt]],N19-TbTradesBitPreço[[#This Row],[Qtt]]),IF(TbTradesBitPreço[[#This Row],[Tipo]]="BUY",N19-TbTradesBitPreço[[#This Row],[Qtt]]*TbTradesBitPreço[[#This Row],[Preço]],N19+TbTradesBitPreço[[#This Row],[Qtt]]*TbTradesBitPreço[[#This Row],[Preço]])),N19)-IF(TbTradesBitPreço[[#This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Row],[Tipo]]="DROP"),N19+TbTradesBitPreço[[#This Row],[Qtt]],N19-TbTradesBitPreço[[#This Row],[Qtt]]),IF(TbTradesBitPreço[[#This Row],[Tipo]]="BUY",N19-TbTradesBitPreço[[#This Row],[Qtt]]*TbTradesBitPreço[[#This Row],[Preço]],N19+TbTradesBitPreço[[#This Row],[Qtt]]*TbTradesBitPreço[[#This Row],[Preço]])),N19)-IF(TbTradesBitPreço[[#This Row],[Moeda da Taxa]]=MID(N$1,9,5),TbTradesBitPreço[[#This Row],[Taxa]],0),8)))</f>
        <v>0.33098172999999997</v>
      </c>
      <c r="O20" s="50" cm="1">
        <f t="array" ref="O20">IF(TbTradesBitPreço[[#This Row],[Tipo]]="EMPTY",0,O19+IF(TbTradesBitPreço[[#This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Row],[Par]]))),$1:$1,0)),-(N19-N20)/N19*O19),0),0)+IF(TbTradesBitPreço[[#This Row],[Tipo]]="SELL",IF(ISNUMBER(FIND(MID(O$1,10,5),TbTradesBitPreço[[#This Row],[Par]])),IF(FIND(MID(O$1,10,5),TbTradesBitPreço[[#This Row],[Par]])=1, -(N19-N20)/N19*O19,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Row],[Par]])),(-(N19-N20)/N19*O19)+IF(TbTradesBitPreço[[#This Row],[Resultado]]&gt;0,0,TbTradesBitPreço[[#This Row],[Taxa]]),0),0))</f>
        <v>0.20604599268512658</v>
      </c>
      <c r="P20" s="41">
        <f t="shared" si="0"/>
        <v>0.6225298075671023</v>
      </c>
      <c r="Q20" s="42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Row],[Tipo]]="DROP"),Q19+TbTradesBitPreço[[#This Row],[Qtt]],Q19-TbTradesBitPreço[[#This Row],[Qtt]]),IF(TbTradesBitPreço[[#This Row],[Tipo]]="BUY",Q19-TbTradesBitPreço[[#This Row],[Qtt]]*TbTradesBitPreço[[#This Row],[Preço]],Q19+TbTradesBitPreço[[#This Row],[Qtt]]*TbTradesBitPreço[[#This Row],[Preço]])),Q19)-IF(TbTradesBitPreço[[#This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Row],[Tipo]]="DROP"),Q19+TbTradesBitPreço[[#This Row],[Qtt]],Q19-TbTradesBitPreço[[#This Row],[Qtt]]),IF(TbTradesBitPreço[[#This Row],[Tipo]]="BUY",Q19-TbTradesBitPreço[[#This Row],[Qtt]]*TbTradesBitPreço[[#This Row],[Preço]],Q19+TbTradesBitPreço[[#This Row],[Qtt]]*TbTradesBitPreço[[#This Row],[Preço]])),Q19)-IF(TbTradesBitPreço[[#This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Row],[Tipo]]="DROP"),Q19+TbTradesBitPreço[[#This Row],[Qtt]],Q19-TbTradesBitPreço[[#This Row],[Qtt]]),IF(TbTradesBitPreço[[#This Row],[Tipo]]="BUY",Q19-TbTradesBitPreço[[#This Row],[Qtt]]*TbTradesBitPreço[[#This Row],[Preço]],Q19+TbTradesBitPreço[[#This Row],[Qtt]]*TbTradesBitPreço[[#This Row],[Preço]])),Q19)-IF(TbTradesBitPreço[[#This Row],[Moeda da Taxa]]=MID(Q$1,9,5),TbTradesBitPreço[[#This Row],[Taxa]],0),8)))</f>
        <v>0</v>
      </c>
      <c r="R20" s="50" cm="1">
        <f t="array" ref="R20">IF(TbTradesBitPreço[[#This Row],[Tipo]]="EMPTY",0,R19+IF(TbTradesBitPreço[[#This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Row],[Par]]))),$1:$1,0)),-(Q19-Q20)/Q19*R19),0),0)+IF(TbTradesBitPreço[[#This Row],[Tipo]]="SELL",IF(ISNUMBER(FIND(MID(R$1,10,5),TbTradesBitPreço[[#This Row],[Par]])),IF(FIND(MID(R$1,10,5),TbTradesBitPreço[[#This Row],[Par]])=1, -(Q19-Q20)/Q19*R19,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Row],[Par]])),(-(Q19-Q20)/Q19*R19)+IF(TbTradesBitPreço[[#This Row],[Resultado]]&gt;0,0,TbTradesBitPreço[[#This Row],[Taxa]]),0),0))</f>
        <v>0</v>
      </c>
      <c r="S20" s="41">
        <f t="shared" si="1"/>
        <v>0</v>
      </c>
      <c r="T20" s="43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Row],[Tipo]]="DROP"),T19+TbTradesBitPreço[[#This Row],[Qtt]],T19-TbTradesBitPreço[[#This Row],[Qtt]]),IF(TbTradesBitPreço[[#This Row],[Tipo]]="BUY",T19-TbTradesBitPreço[[#This Row],[Qtt]]*TbTradesBitPreço[[#This Row],[Preço]],T19+TbTradesBitPreço[[#This Row],[Qtt]]*TbTradesBitPreço[[#This Row],[Preço]])),T19)-IF(TbTradesBitPreço[[#This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Row],[Tipo]]="DROP"),T19+TbTradesBitPreço[[#This Row],[Qtt]],T19-TbTradesBitPreço[[#This Row],[Qtt]]),IF(TbTradesBitPreço[[#This Row],[Tipo]]="BUY",T19-TbTradesBitPreço[[#This Row],[Qtt]]*TbTradesBitPreço[[#This Row],[Preço]],T19+TbTradesBitPreço[[#This Row],[Qtt]]*TbTradesBitPreço[[#This Row],[Preço]])),T19)-IF(TbTradesBitPreço[[#This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Row],[Tipo]]="DROP"),T19+TbTradesBitPreço[[#This Row],[Qtt]],T19-TbTradesBitPreço[[#This Row],[Qtt]]),IF(TbTradesBitPreço[[#This Row],[Tipo]]="BUY",T19-TbTradesBitPreço[[#This Row],[Qtt]]*TbTradesBitPreço[[#This Row],[Preço]],T19+TbTradesBitPreço[[#This Row],[Qtt]]*TbTradesBitPreço[[#This Row],[Preço]])),T19)-IF(TbTradesBitPreço[[#This Row],[Moeda da Taxa]]=MID(T$1,9,5),TbTradesBitPreço[[#This Row],[Taxa]],0),8)))</f>
        <v>5.1825000000000005E-4</v>
      </c>
      <c r="U20" s="50" cm="1">
        <f t="array" ref="U20">IF(TbTradesBitPreço[[#This Row],[Tipo]]="EMPTY",0,U19+IF(TbTradesBitPreço[[#This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Row],[Par]]))),$1:$1,0)),-(T19-T20)/T19*U19),0),0)+IF(TbTradesBitPreço[[#This Row],[Tipo]]="SELL",IF(ISNUMBER(FIND(MID(U$1,10,5),TbTradesBitPreço[[#This Row],[Par]])),IF(FIND(MID(U$1,10,5),TbTradesBitPreço[[#This Row],[Par]])=1, -(T19-T20)/T19*U19,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Row],[Par]])),(-(T19-T20)/T19*U19)+IF(TbTradesBitPreço[[#This Row],[Resultado]]&gt;0,0,TbTradesBitPreço[[#This Row],[Taxa]]),0),0))</f>
        <v>61.358386858524973</v>
      </c>
      <c r="V20" s="41">
        <f t="shared" si="2"/>
        <v>118395.34367298595</v>
      </c>
      <c r="W20" s="43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Row],[Tipo]]="DROP"),W19+TbTradesBitPreço[[#This Row],[Qtt]],W19-TbTradesBitPreço[[#This Row],[Qtt]]),IF(TbTradesBitPreço[[#This Row],[Tipo]]="BUY",W19-TbTradesBitPreço[[#This Row],[Qtt]]*TbTradesBitPreço[[#This Row],[Preço]],W19+TbTradesBitPreço[[#This Row],[Qtt]]*TbTradesBitPreço[[#This Row],[Preço]])),W19)-IF(TbTradesBitPreço[[#This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Row],[Tipo]]="DROP"),W19+TbTradesBitPreço[[#This Row],[Qtt]],W19-TbTradesBitPreço[[#This Row],[Qtt]]),IF(TbTradesBitPreço[[#This Row],[Tipo]]="BUY",W19-TbTradesBitPreço[[#This Row],[Qtt]]*TbTradesBitPreço[[#This Row],[Preço]],W19+TbTradesBitPreço[[#This Row],[Qtt]]*TbTradesBitPreço[[#This Row],[Preço]])),W19)-IF(TbTradesBitPreço[[#This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Row],[Tipo]]="DROP"),W19+TbTradesBitPreço[[#This Row],[Qtt]],W19-TbTradesBitPreço[[#This Row],[Qtt]]),IF(TbTradesBitPreço[[#This Row],[Tipo]]="BUY",W19-TbTradesBitPreço[[#This Row],[Qtt]]*TbTradesBitPreço[[#This Row],[Preço]],W19+TbTradesBitPreço[[#This Row],[Qtt]]*TbTradesBitPreço[[#This Row],[Preço]])),W19)-IF(TbTradesBitPreço[[#This Row],[Moeda da Taxa]]=MID(W$1,9,5),TbTradesBitPreço[[#This Row],[Taxa]],0),8)))</f>
        <v>5.2328000000000001E-3</v>
      </c>
      <c r="X20" s="50" cm="1">
        <f t="array" ref="X20">IF(TbTradesBitPreço[[#This Row],[Tipo]]="EMPTY",0,X19+IF(TbTradesBitPreço[[#This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Row],[Par]]))),$1:$1,0)),-(W19-W20)/W19*X19),0),0)+IF(TbTradesBitPreço[[#This Row],[Tipo]]="SELL",IF(ISNUMBER(FIND(MID(X$1,10,5),TbTradesBitPreço[[#This Row],[Par]])),IF(FIND(MID(X$1,10,5),TbTradesBitPreço[[#This Row],[Par]])=1, -(W19-W20)/W19*X19,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Row],[Par]])),(-(W19-W20)/W19*X19)+IF(TbTradesBitPreço[[#This Row],[Resultado]]&gt;0,0,TbTradesBitPreço[[#This Row],[Taxa]]),0),0))</f>
        <v>38.4355671487899</v>
      </c>
      <c r="Y20" s="41">
        <f t="shared" si="3"/>
        <v>7345.1244360170267</v>
      </c>
    </row>
    <row r="21" spans="2:25" x14ac:dyDescent="0.3">
      <c r="B21" s="54" t="s">
        <v>149</v>
      </c>
      <c r="C21" s="58">
        <f>SUBTOTAL(109,TbTradesBitPreço[Resultado])</f>
        <v>0</v>
      </c>
      <c r="D21" s="55"/>
      <c r="E21" s="55"/>
      <c r="F21" s="55"/>
      <c r="G21" s="55"/>
      <c r="H21" s="55"/>
      <c r="I21" s="55"/>
      <c r="J21" s="55"/>
      <c r="K21" s="56"/>
      <c r="L21" s="57"/>
      <c r="M21" s="58">
        <f>SUBTOTAL(107,TbTradesBitPreço[Volume])</f>
        <v>66.571257450981847</v>
      </c>
      <c r="N21" s="123"/>
      <c r="O21" s="54"/>
      <c r="P21" s="54"/>
      <c r="Q21" s="84"/>
      <c r="R21" s="54"/>
      <c r="S21" s="54"/>
      <c r="T21" s="63"/>
      <c r="U21" s="54"/>
      <c r="V21" s="54"/>
      <c r="W21" s="63"/>
      <c r="X21" s="54"/>
      <c r="Y21" s="59"/>
    </row>
    <row r="22" spans="2:25" x14ac:dyDescent="0.3">
      <c r="B22" s="140" t="s">
        <v>74</v>
      </c>
    </row>
    <row r="23" spans="2:25" x14ac:dyDescent="0.3">
      <c r="B23" s="142" t="s">
        <v>90</v>
      </c>
    </row>
    <row r="37" ht="13.95" customHeight="1" x14ac:dyDescent="0.3"/>
  </sheetData>
  <conditionalFormatting sqref="B4:B19">
    <cfRule type="cellIs" dxfId="1791" priority="66" operator="greaterThan">
      <formula>0</formula>
    </cfRule>
    <cfRule type="cellIs" dxfId="1790" priority="67" operator="lessThan">
      <formula>0</formula>
    </cfRule>
  </conditionalFormatting>
  <conditionalFormatting sqref="C2:C21">
    <cfRule type="cellIs" dxfId="1789" priority="21" operator="greaterThan">
      <formula>0</formula>
    </cfRule>
    <cfRule type="cellIs" dxfId="1788" priority="22" operator="lessThan">
      <formula>0</formula>
    </cfRule>
  </conditionalFormatting>
  <conditionalFormatting sqref="D3:D19">
    <cfRule type="cellIs" dxfId="1787" priority="65" operator="lessThan">
      <formula>$D$2</formula>
    </cfRule>
  </conditionalFormatting>
  <conditionalFormatting sqref="F1:F20">
    <cfRule type="containsText" dxfId="1786" priority="60" operator="containsText" text="DROP">
      <formula>NOT(ISERROR(SEARCH("DROP",F1)))</formula>
    </cfRule>
    <cfRule type="containsText" dxfId="1785" priority="63" operator="containsText" text="SELL">
      <formula>NOT(ISERROR(SEARCH("SELL",F1)))</formula>
    </cfRule>
    <cfRule type="containsText" dxfId="1784" priority="64" operator="containsText" text="BUY">
      <formula>NOT(ISERROR(SEARCH("BUY",F1)))</formula>
    </cfRule>
  </conditionalFormatting>
  <conditionalFormatting sqref="F2:F20">
    <cfRule type="containsText" dxfId="1783" priority="61" operator="containsText" text="RECEIVE">
      <formula>NOT(ISERROR(SEARCH("RECEIVE",F2)))</formula>
    </cfRule>
    <cfRule type="containsText" dxfId="1782" priority="62" operator="containsText" text="SEND">
      <formula>NOT(ISERROR(SEARCH("SEND",F2)))</formula>
    </cfRule>
  </conditionalFormatting>
  <conditionalFormatting sqref="M2:M20">
    <cfRule type="cellIs" dxfId="1781" priority="47" operator="greaterThan">
      <formula>0</formula>
    </cfRule>
    <cfRule type="cellIs" dxfId="1780" priority="48" operator="lessThan">
      <formula>0</formula>
    </cfRule>
  </conditionalFormatting>
  <conditionalFormatting sqref="N2:N20">
    <cfRule type="cellIs" dxfId="1779" priority="17" operator="lessThan">
      <formula>0</formula>
    </cfRule>
  </conditionalFormatting>
  <conditionalFormatting sqref="P2:P20">
    <cfRule type="expression" dxfId="1778" priority="7">
      <formula>P2&gt;P1</formula>
    </cfRule>
    <cfRule type="expression" dxfId="1777" priority="8">
      <formula>P2&lt;P1</formula>
    </cfRule>
  </conditionalFormatting>
  <conditionalFormatting sqref="Q2:Q20">
    <cfRule type="cellIs" dxfId="1776" priority="16" operator="lessThan">
      <formula>0</formula>
    </cfRule>
  </conditionalFormatting>
  <conditionalFormatting sqref="S2:S20">
    <cfRule type="expression" dxfId="1775" priority="5">
      <formula>S2&gt;S1</formula>
    </cfRule>
    <cfRule type="expression" dxfId="1774" priority="6">
      <formula>S2&lt;S1</formula>
    </cfRule>
  </conditionalFormatting>
  <conditionalFormatting sqref="T2:T20">
    <cfRule type="cellIs" dxfId="1773" priority="14" operator="lessThan">
      <formula>0</formula>
    </cfRule>
  </conditionalFormatting>
  <conditionalFormatting sqref="V2:V20">
    <cfRule type="expression" dxfId="1772" priority="3">
      <formula>V2&gt;V1</formula>
    </cfRule>
    <cfRule type="expression" dxfId="1771" priority="4">
      <formula>V2&lt;V1</formula>
    </cfRule>
  </conditionalFormatting>
  <conditionalFormatting sqref="W2:W20">
    <cfRule type="cellIs" dxfId="1770" priority="13" operator="lessThan">
      <formula>0</formula>
    </cfRule>
  </conditionalFormatting>
  <conditionalFormatting sqref="Y2:Y20">
    <cfRule type="expression" dxfId="1769" priority="1">
      <formula>Y2&gt;Y1</formula>
    </cfRule>
    <cfRule type="expression" dxfId="1768" priority="2">
      <formula>Y2&lt;Y1</formula>
    </cfRule>
  </conditionalFormatting>
  <hyperlinks>
    <hyperlink ref="A1" location="Sumário!A1" display="SUMÁRIO" xr:uid="{42404DEA-2D6D-4FD4-B321-CC9E77ADB9B4}"/>
    <hyperlink ref="B22" location="Sumário!A1" display="SUMÁRIO" xr:uid="{04E2C8A7-FF96-4413-8144-9F4183C7FA21}"/>
    <hyperlink ref="A2" location="'ARCA BitPreço'!A1" display="ARCA" xr:uid="{1F82B3C6-6242-418E-B570-143A2BF78CA3}"/>
    <hyperlink ref="B23" location="'ARCA BitPreço'!A1" display="ARCA" xr:uid="{6D07E3D6-0639-4020-B047-2420C9BE1D6B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70C61-8F2D-43CD-B81A-692CF7D46C02}">
  <dimension ref="A1:AH37"/>
  <sheetViews>
    <sheetView zoomScale="115" zoomScaleNormal="115" workbookViewId="0">
      <selection activeCell="B14" sqref="B14"/>
    </sheetView>
  </sheetViews>
  <sheetFormatPr defaultColWidth="20.33203125" defaultRowHeight="15" x14ac:dyDescent="0.3"/>
  <cols>
    <col min="1" max="1" width="10.88671875" style="35" bestFit="1" customWidth="1"/>
    <col min="2" max="2" width="17.33203125" style="90" bestFit="1" customWidth="1"/>
    <col min="3" max="3" width="15.88671875" style="76" bestFit="1" customWidth="1"/>
    <col min="4" max="4" width="16.6640625" style="65" bestFit="1" customWidth="1"/>
    <col min="5" max="5" width="8.44140625" style="77" bestFit="1" customWidth="1"/>
    <col min="6" max="6" width="9.44140625" style="77" bestFit="1" customWidth="1"/>
    <col min="7" max="7" width="14" style="78" bestFit="1" customWidth="1"/>
    <col min="8" max="9" width="11.6640625" style="78" bestFit="1" customWidth="1"/>
    <col min="10" max="10" width="19" style="77" bestFit="1" customWidth="1"/>
    <col min="11" max="11" width="16.33203125" style="75" bestFit="1" customWidth="1"/>
    <col min="12" max="12" width="17.6640625" style="67" bestFit="1" customWidth="1"/>
    <col min="13" max="13" width="14" style="67" bestFit="1" customWidth="1"/>
    <col min="14" max="14" width="15.5546875" style="41" bestFit="1" customWidth="1"/>
    <col min="15" max="15" width="16.44140625" style="41" bestFit="1" customWidth="1"/>
    <col min="16" max="16" width="19.33203125" style="41" bestFit="1" customWidth="1"/>
    <col min="17" max="17" width="16.5546875" style="42" bestFit="1" customWidth="1"/>
    <col min="18" max="18" width="17.88671875" style="41" bestFit="1" customWidth="1"/>
    <col min="19" max="19" width="20.5546875" style="41" bestFit="1" customWidth="1"/>
    <col min="20" max="20" width="18" style="25" bestFit="1" customWidth="1"/>
    <col min="21" max="21" width="18.5546875" style="67" bestFit="1" customWidth="1"/>
    <col min="22" max="22" width="22.33203125" style="67" bestFit="1" customWidth="1"/>
    <col min="23" max="23" width="18" style="25" bestFit="1" customWidth="1"/>
    <col min="24" max="24" width="18.5546875" style="76" bestFit="1" customWidth="1"/>
    <col min="25" max="25" width="22.33203125" style="76" bestFit="1" customWidth="1"/>
    <col min="26" max="26" width="18.5546875" style="92" bestFit="1" customWidth="1"/>
    <col min="27" max="27" width="19.109375" style="76" bestFit="1" customWidth="1"/>
    <col min="28" max="28" width="22.88671875" style="76" bestFit="1" customWidth="1"/>
    <col min="29" max="29" width="18.109375" style="92" bestFit="1" customWidth="1"/>
    <col min="30" max="30" width="18.6640625" style="76" bestFit="1" customWidth="1"/>
    <col min="31" max="31" width="22.44140625" style="76" bestFit="1" customWidth="1"/>
    <col min="32" max="32" width="18.33203125" style="92" bestFit="1" customWidth="1"/>
    <col min="33" max="33" width="18.88671875" style="76" bestFit="1" customWidth="1"/>
    <col min="34" max="34" width="22.5546875" style="76" bestFit="1" customWidth="1"/>
    <col min="35" max="16384" width="20.33203125" style="35"/>
  </cols>
  <sheetData>
    <row r="1" spans="1:34" x14ac:dyDescent="0.3">
      <c r="A1" s="61" t="s">
        <v>74</v>
      </c>
      <c r="B1" s="64" t="s">
        <v>98</v>
      </c>
      <c r="C1" s="15" t="s">
        <v>99</v>
      </c>
      <c r="D1" s="65" t="s">
        <v>100</v>
      </c>
      <c r="E1" s="77" t="s">
        <v>101</v>
      </c>
      <c r="F1" s="77" t="s">
        <v>102</v>
      </c>
      <c r="G1" s="77" t="s">
        <v>103</v>
      </c>
      <c r="H1" s="78" t="s">
        <v>104</v>
      </c>
      <c r="I1" s="78" t="s">
        <v>105</v>
      </c>
      <c r="J1" s="77" t="s">
        <v>106</v>
      </c>
      <c r="K1" s="66" t="s">
        <v>107</v>
      </c>
      <c r="L1" s="67" t="s">
        <v>108</v>
      </c>
      <c r="M1" s="67" t="s">
        <v>109</v>
      </c>
      <c r="N1" s="41" t="s">
        <v>110</v>
      </c>
      <c r="O1" s="40" t="s">
        <v>111</v>
      </c>
      <c r="P1" s="40" t="s">
        <v>112</v>
      </c>
      <c r="Q1" s="42" t="s">
        <v>113</v>
      </c>
      <c r="R1" s="40" t="s">
        <v>114</v>
      </c>
      <c r="S1" s="40" t="s">
        <v>115</v>
      </c>
      <c r="T1" s="25" t="s">
        <v>116</v>
      </c>
      <c r="U1" s="67" t="s">
        <v>117</v>
      </c>
      <c r="V1" s="67" t="s">
        <v>118</v>
      </c>
      <c r="W1" s="25" t="s">
        <v>128</v>
      </c>
      <c r="X1" s="15" t="s">
        <v>129</v>
      </c>
      <c r="Y1" s="15" t="s">
        <v>130</v>
      </c>
      <c r="Z1" s="25" t="s">
        <v>119</v>
      </c>
      <c r="AA1" s="15" t="s">
        <v>120</v>
      </c>
      <c r="AB1" s="15" t="s">
        <v>121</v>
      </c>
      <c r="AC1" s="25" t="s">
        <v>150</v>
      </c>
      <c r="AD1" s="15" t="s">
        <v>151</v>
      </c>
      <c r="AE1" s="15" t="s">
        <v>152</v>
      </c>
      <c r="AF1" s="25" t="s">
        <v>153</v>
      </c>
      <c r="AG1" s="15" t="s">
        <v>154</v>
      </c>
      <c r="AH1" s="15" t="s">
        <v>155</v>
      </c>
    </row>
    <row r="2" spans="1:34" x14ac:dyDescent="0.3">
      <c r="A2" s="119" t="s">
        <v>90</v>
      </c>
      <c r="B2" s="69" t="s">
        <v>134</v>
      </c>
      <c r="C2" s="67">
        <f>TRUNC(IF(AND(TbTradesUpHold[[#This Row],[Tipo]]="SEND",TbTradesUpHold[[#This Row],[Par]]="BRL"),TbTradesUpHold[[#This Row],[Qtt]]*(1-P1)-IF(TbTradesUpHold[[#This Row],[Moeda da Taxa]]="BRL",TbTradesUpHold[[#This Row],[Taxa]],0),0)+IF(AND(TbTradesUpHold[[#This Row],[Tipo]]="BURN",TbTradesUpHold[[#This Row],[Par]]="BRL"),-TbTradesUpHold[[#This Row],[Qtt]]*P1,0),2)</f>
        <v>0</v>
      </c>
      <c r="D2" s="70"/>
      <c r="E2" s="71"/>
      <c r="F2" s="71" t="s">
        <v>135</v>
      </c>
      <c r="G2" s="72"/>
      <c r="H2" s="72"/>
      <c r="I2" s="72"/>
      <c r="J2" s="71"/>
      <c r="K2" s="73"/>
      <c r="L2" s="67">
        <f>TRUNC(K2*G2,2)</f>
        <v>0</v>
      </c>
      <c r="M2" s="67">
        <f>IF(OR(TbTradesUpHold[[#This Row],[Tipo]]="BUY",TbTradesUpHold[[#This Row],[Tipo]]="RECEIVE",TbTradesUpHold[[#This Row],[Tipo]]="DROP"),L2*H2,-L2*H2)</f>
        <v>0</v>
      </c>
      <c r="N2" s="41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Row],[Tipo]]="DROP"),N1+TbTradesUpHold[[#This Row],[Qtt]],N1-TbTradesUpHold[[#This Row],[Qtt]]),IF(TbTradesUpHold[[#This Row],[Tipo]]="BUY",N1-TbTradesUpHold[[#This Row],[Qtt]]*TbTradesUpHold[[#This Row],[Preço]],N1+TbTradesUpHold[[#This Row],[Qtt]]*TbTradesUpHold[[#This Row],[Preço]])),N1)-IF(TbTradesUpHold[[#This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Row],[Tipo]]="DROP"),N1+TbTradesUpHold[[#This Row],[Qtt]],N1-TbTradesUpHold[[#This Row],[Qtt]]),IF(TbTradesUpHold[[#This Row],[Tipo]]="BUY",N1-TbTradesUpHold[[#This Row],[Qtt]]*TbTradesUpHold[[#This Row],[Preço]],N1+TbTradesUpHold[[#This Row],[Qtt]]*TbTradesUpHold[[#This Row],[Preço]])),N1)-IF(TbTradesUpHold[[#This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Row],[Tipo]]="DROP"),N1+TbTradesUpHold[[#This Row],[Qtt]],N1-TbTradesUpHold[[#This Row],[Qtt]]),IF(TbTradesUpHold[[#This Row],[Tipo]]="BUY",N1-TbTradesUpHold[[#This Row],[Qtt]]*TbTradesUpHold[[#This Row],[Preço]],N1+TbTradesUpHold[[#This Row],[Qtt]]*TbTradesUpHold[[#This Row],[Preço]])),N1)-IF(TbTradesUpHold[[#This Row],[Moeda da Taxa]]=MID(N$1,9,5),TbTradesUpHold[[#This Row],[Taxa]],0),8)))</f>
        <v>0</v>
      </c>
      <c r="O2" s="50" cm="1">
        <f t="array" ref="O2">IF(TbTradesUpHold[[#This Row],[Tipo]]="EMPTY",0,O1+IF(TbTradesUpHold[[#This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Row],[Par]]))),$1:$1,0)),-(N1-N2)/N1*O1),0),0)+IF(TbTradesUpHold[[#This Row],[Tipo]]="SELL",IF(ISNUMBER(FIND(MID(O$1,10,5),TbTradesUpHold[[#This Row],[Par]])),IF(FIND(MID(O$1,10,5),TbTradesUpHold[[#This Row],[Par]])=1, -(N1-N2)/N1*O1,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Row],[Par]])),(-(N1-N2)/N1*O1)+IF(TbTradesUpHold[[#This Row],[Resultado]]&gt;0,0,TbTradesUpHold[[#This Row],[Taxa]]),0),0))</f>
        <v>0</v>
      </c>
      <c r="P2" s="41">
        <f t="shared" ref="P2:P10" si="0">IF(N2=0,0,O2/N2)</f>
        <v>0</v>
      </c>
      <c r="Q2" s="42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Row],[Tipo]]="DROP"),Q1+TbTradesUpHold[[#This Row],[Qtt]],Q1-TbTradesUpHold[[#This Row],[Qtt]]),IF(TbTradesUpHold[[#This Row],[Tipo]]="BUY",Q1-TbTradesUpHold[[#This Row],[Qtt]]*TbTradesUpHold[[#This Row],[Preço]],Q1+TbTradesUpHold[[#This Row],[Qtt]]*TbTradesUpHold[[#This Row],[Preço]])),Q1)-IF(TbTradesUpHold[[#This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Row],[Tipo]]="DROP"),Q1+TbTradesUpHold[[#This Row],[Qtt]],Q1-TbTradesUpHold[[#This Row],[Qtt]]),IF(TbTradesUpHold[[#This Row],[Tipo]]="BUY",Q1-TbTradesUpHold[[#This Row],[Qtt]]*TbTradesUpHold[[#This Row],[Preço]],Q1+TbTradesUpHold[[#This Row],[Qtt]]*TbTradesUpHold[[#This Row],[Preço]])),Q1)-IF(TbTradesUpHold[[#This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Row],[Tipo]]="DROP"),Q1+TbTradesUpHold[[#This Row],[Qtt]],Q1-TbTradesUpHold[[#This Row],[Qtt]]),IF(TbTradesUpHold[[#This Row],[Tipo]]="BUY",Q1-TbTradesUpHold[[#This Row],[Qtt]]*TbTradesUpHold[[#This Row],[Preço]],Q1+TbTradesUpHold[[#This Row],[Qtt]]*TbTradesUpHold[[#This Row],[Preço]])),Q1)-IF(TbTradesUpHold[[#This Row],[Moeda da Taxa]]=MID(Q$1,9,5),TbTradesUpHold[[#This Row],[Taxa]],0),8)))</f>
        <v>0</v>
      </c>
      <c r="R2" s="50" cm="1">
        <f t="array" ref="R2">IF(TbTradesUpHold[[#This Row],[Tipo]]="EMPTY",0,R1+IF(TbTradesUpHold[[#This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Row],[Par]]))),$1:$1,0)),-(Q1-Q2)/Q1*R1),0),0)+IF(TbTradesUpHold[[#This Row],[Tipo]]="SELL",IF(ISNUMBER(FIND(MID(R$1,10,5),TbTradesUpHold[[#This Row],[Par]])),IF(FIND(MID(R$1,10,5),TbTradesUpHold[[#This Row],[Par]])=1, -(Q1-Q2)/Q1*R1,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Row],[Par]])),(-(Q1-Q2)/Q1*R1)+IF(TbTradesUpHold[[#This Row],[Resultado]]&gt;0,0,TbTradesUpHold[[#This Row],[Taxa]]),0),0))</f>
        <v>0</v>
      </c>
      <c r="S2" s="41">
        <f t="shared" ref="S2:S10" si="1">IF(Q2=0,0,R2/Q2)</f>
        <v>0</v>
      </c>
      <c r="T2" s="43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Row],[Tipo]]="DROP"),T1+TbTradesUpHold[[#This Row],[Qtt]],T1-TbTradesUpHold[[#This Row],[Qtt]]),IF(TbTradesUpHold[[#This Row],[Tipo]]="BUY",T1-TbTradesUpHold[[#This Row],[Qtt]]*TbTradesUpHold[[#This Row],[Preço]],T1+TbTradesUpHold[[#This Row],[Qtt]]*TbTradesUpHold[[#This Row],[Preço]])),T1)-IF(TbTradesUpHold[[#This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Row],[Tipo]]="DROP"),T1+TbTradesUpHold[[#This Row],[Qtt]],T1-TbTradesUpHold[[#This Row],[Qtt]]),IF(TbTradesUpHold[[#This Row],[Tipo]]="BUY",T1-TbTradesUpHold[[#This Row],[Qtt]]*TbTradesUpHold[[#This Row],[Preço]],T1+TbTradesUpHold[[#This Row],[Qtt]]*TbTradesUpHold[[#This Row],[Preço]])),T1)-IF(TbTradesUpHold[[#This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Row],[Tipo]]="DROP"),T1+TbTradesUpHold[[#This Row],[Qtt]],T1-TbTradesUpHold[[#This Row],[Qtt]]),IF(TbTradesUpHold[[#This Row],[Tipo]]="BUY",T1-TbTradesUpHold[[#This Row],[Qtt]]*TbTradesUpHold[[#This Row],[Preço]],T1+TbTradesUpHold[[#This Row],[Qtt]]*TbTradesUpHold[[#This Row],[Preço]])),T1)-IF(TbTradesUpHold[[#This Row],[Moeda da Taxa]]=MID(T$1,9,5),TbTradesUpHold[[#This Row],[Taxa]],0),8)))</f>
        <v>0</v>
      </c>
      <c r="U2" s="50" cm="1">
        <f t="array" ref="U2">IF(TbTradesUpHold[[#This Row],[Tipo]]="EMPTY",0,U1+IF(TbTradesUpHold[[#This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Row],[Par]]))),$1:$1,0)),-(T1-T2)/T1*U1),0),0)+IF(TbTradesUpHold[[#This Row],[Tipo]]="SELL",IF(ISNUMBER(FIND(MID(U$1,10,5),TbTradesUpHold[[#This Row],[Par]])),IF(FIND(MID(U$1,10,5),TbTradesUpHold[[#This Row],[Par]])=1, -(T1-T2)/T1*U1,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Row],[Par]])),(-(T1-T2)/T1*U1)+IF(TbTradesUpHold[[#This Row],[Resultado]]&gt;0,0,TbTradesUpHold[[#This Row],[Taxa]]),0),0))</f>
        <v>0</v>
      </c>
      <c r="V2" s="41">
        <f t="shared" ref="V2:V10" si="2">IF(T2=0,0,U2/T2)</f>
        <v>0</v>
      </c>
      <c r="W2" s="43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Row],[Tipo]]="DROP"),W1+TbTradesUpHold[[#This Row],[Qtt]],W1-TbTradesUpHold[[#This Row],[Qtt]]),IF(TbTradesUpHold[[#This Row],[Tipo]]="BUY",W1-TbTradesUpHold[[#This Row],[Qtt]]*TbTradesUpHold[[#This Row],[Preço]],W1+TbTradesUpHold[[#This Row],[Qtt]]*TbTradesUpHold[[#This Row],[Preço]])),W1)-IF(TbTradesUpHold[[#This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Row],[Tipo]]="DROP"),W1+TbTradesUpHold[[#This Row],[Qtt]],W1-TbTradesUpHold[[#This Row],[Qtt]]),IF(TbTradesUpHold[[#This Row],[Tipo]]="BUY",W1-TbTradesUpHold[[#This Row],[Qtt]]*TbTradesUpHold[[#This Row],[Preço]],W1+TbTradesUpHold[[#This Row],[Qtt]]*TbTradesUpHold[[#This Row],[Preço]])),W1)-IF(TbTradesUpHold[[#This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Row],[Tipo]]="DROP"),W1+TbTradesUpHold[[#This Row],[Qtt]],W1-TbTradesUpHold[[#This Row],[Qtt]]),IF(TbTradesUpHold[[#This Row],[Tipo]]="BUY",W1-TbTradesUpHold[[#This Row],[Qtt]]*TbTradesUpHold[[#This Row],[Preço]],W1+TbTradesUpHold[[#This Row],[Qtt]]*TbTradesUpHold[[#This Row],[Preço]])),W1)-IF(TbTradesUpHold[[#This Row],[Moeda da Taxa]]=MID(W$1,9,5),TbTradesUpHold[[#This Row],[Taxa]],0),8)))</f>
        <v>0</v>
      </c>
      <c r="X2" s="50" cm="1">
        <f t="array" ref="X2">IF(TbTradesUpHold[[#This Row],[Tipo]]="EMPTY",0,X1+IF(TbTradesUpHold[[#This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Row],[Par]]))),$1:$1,0)),-(W1-W2)/W1*X1),0),0)+IF(TbTradesUpHold[[#This Row],[Tipo]]="SELL",IF(ISNUMBER(FIND(MID(X$1,10,5),TbTradesUpHold[[#This Row],[Par]])),IF(FIND(MID(X$1,10,5),TbTradesUpHold[[#This Row],[Par]])=1, -(W1-W2)/W1*X1,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Row],[Par]])),(-(W1-W2)/W1*X1)+IF(TbTradesUpHold[[#This Row],[Resultado]]&gt;0,0,TbTradesUpHold[[#This Row],[Taxa]]),0),0))</f>
        <v>0</v>
      </c>
      <c r="Y2" s="41">
        <f t="shared" ref="Y2:Y10" si="3">IF(W2=0,0,X2/W2)</f>
        <v>0</v>
      </c>
      <c r="Z2" s="43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Row],[Tipo]]="DROP"),Z1+TbTradesUpHold[[#This Row],[Qtt]],Z1-TbTradesUpHold[[#This Row],[Qtt]]),IF(TbTradesUpHold[[#This Row],[Tipo]]="BUY",Z1-TbTradesUpHold[[#This Row],[Qtt]]*TbTradesUpHold[[#This Row],[Preço]],Z1+TbTradesUpHold[[#This Row],[Qtt]]*TbTradesUpHold[[#This Row],[Preço]])),Z1)-IF(TbTradesUpHold[[#This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Row],[Tipo]]="DROP"),Z1+TbTradesUpHold[[#This Row],[Qtt]],Z1-TbTradesUpHold[[#This Row],[Qtt]]),IF(TbTradesUpHold[[#This Row],[Tipo]]="BUY",Z1-TbTradesUpHold[[#This Row],[Qtt]]*TbTradesUpHold[[#This Row],[Preço]],Z1+TbTradesUpHold[[#This Row],[Qtt]]*TbTradesUpHold[[#This Row],[Preço]])),Z1)-IF(TbTradesUpHold[[#This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Row],[Tipo]]="DROP"),Z1+TbTradesUpHold[[#This Row],[Qtt]],Z1-TbTradesUpHold[[#This Row],[Qtt]]),IF(TbTradesUpHold[[#This Row],[Tipo]]="BUY",Z1-TbTradesUpHold[[#This Row],[Qtt]]*TbTradesUpHold[[#This Row],[Preço]],Z1+TbTradesUpHold[[#This Row],[Qtt]]*TbTradesUpHold[[#This Row],[Preço]])),Z1)-IF(TbTradesUpHold[[#This Row],[Moeda da Taxa]]=MID(Z$1,9,5),TbTradesUpHold[[#This Row],[Taxa]],0),8)))</f>
        <v>0</v>
      </c>
      <c r="AA2" s="50" cm="1">
        <f t="array" ref="AA2">IF(TbTradesUpHold[[#This Row],[Tipo]]="EMPTY",0,AA1+IF(TbTradesUpHold[[#This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Row],[Par]]))),$1:$1,0)),-(Z1-Z2)/Z1*AA1),0),0)+IF(TbTradesUpHold[[#This Row],[Tipo]]="SELL",IF(ISNUMBER(FIND(MID(AA$1,10,5),TbTradesUpHold[[#This Row],[Par]])),IF(FIND(MID(AA$1,10,5),TbTradesUpHold[[#This Row],[Par]])=1, -(Z1-Z2)/Z1*AA1,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Row],[Par]])),(-(Z1-Z2)/Z1*AA1)+IF(TbTradesUpHold[[#This Row],[Resultado]]&gt;0,0,TbTradesUpHold[[#This Row],[Taxa]]),0),0))</f>
        <v>0</v>
      </c>
      <c r="AB2" s="41">
        <f t="shared" ref="AB2:AB10" si="4">IF(Z2=0,0,AA2/Z2)</f>
        <v>0</v>
      </c>
      <c r="AC2" s="43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Row],[Tipo]]="DROP"),AC1+TbTradesUpHold[[#This Row],[Qtt]],AC1-TbTradesUpHold[[#This Row],[Qtt]]),IF(TbTradesUpHold[[#This Row],[Tipo]]="BUY",AC1-TbTradesUpHold[[#This Row],[Qtt]]*TbTradesUpHold[[#This Row],[Preço]],AC1+TbTradesUpHold[[#This Row],[Qtt]]*TbTradesUpHold[[#This Row],[Preço]])),AC1)-IF(TbTradesUpHold[[#This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Row],[Tipo]]="DROP"),AC1+TbTradesUpHold[[#This Row],[Qtt]],AC1-TbTradesUpHold[[#This Row],[Qtt]]),IF(TbTradesUpHold[[#This Row],[Tipo]]="BUY",AC1-TbTradesUpHold[[#This Row],[Qtt]]*TbTradesUpHold[[#This Row],[Preço]],AC1+TbTradesUpHold[[#This Row],[Qtt]]*TbTradesUpHold[[#This Row],[Preço]])),AC1)-IF(TbTradesUpHold[[#This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Row],[Tipo]]="DROP"),AC1+TbTradesUpHold[[#This Row],[Qtt]],AC1-TbTradesUpHold[[#This Row],[Qtt]]),IF(TbTradesUpHold[[#This Row],[Tipo]]="BUY",AC1-TbTradesUpHold[[#This Row],[Qtt]]*TbTradesUpHold[[#This Row],[Preço]],AC1+TbTradesUpHold[[#This Row],[Qtt]]*TbTradesUpHold[[#This Row],[Preço]])),AC1)-IF(TbTradesUpHold[[#This Row],[Moeda da Taxa]]=MID(AC$1,9,5),TbTradesUpHold[[#This Row],[Taxa]],0),8)))</f>
        <v>0</v>
      </c>
      <c r="AD2" s="50" cm="1">
        <f t="array" ref="AD2">IF(TbTradesUpHold[[#This Row],[Tipo]]="EMPTY",0,AD1+IF(TbTradesUpHold[[#This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Row],[Par]]))),$1:$1,0)),-(AC1-AC2)/AC1*AD1),0),0)+IF(TbTradesUpHold[[#This Row],[Tipo]]="SELL",IF(ISNUMBER(FIND(MID(AD$1,10,5),TbTradesUpHold[[#This Row],[Par]])),IF(FIND(MID(AD$1,10,5),TbTradesUpHold[[#This Row],[Par]])=1, -(AC1-AC2)/AC1*AD1,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Row],[Par]])),(-(AC1-AC2)/AC1*AD1)+IF(TbTradesUpHold[[#This Row],[Resultado]]&gt;0,0,TbTradesUpHold[[#This Row],[Taxa]]),0),0))</f>
        <v>0</v>
      </c>
      <c r="AE2" s="41">
        <f t="shared" ref="AE2:AE10" si="5">IF(AC2=0,0,AD2/AC2)</f>
        <v>0</v>
      </c>
      <c r="AF2" s="43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Row],[Tipo]]="DROP"),AF1+TbTradesUpHold[[#This Row],[Qtt]],AF1-TbTradesUpHold[[#This Row],[Qtt]]),IF(TbTradesUpHold[[#This Row],[Tipo]]="BUY",AF1-TbTradesUpHold[[#This Row],[Qtt]]*TbTradesUpHold[[#This Row],[Preço]],AF1+TbTradesUpHold[[#This Row],[Qtt]]*TbTradesUpHold[[#This Row],[Preço]])),AF1)-IF(TbTradesUpHold[[#This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Row],[Tipo]]="DROP"),AF1+TbTradesUpHold[[#This Row],[Qtt]],AF1-TbTradesUpHold[[#This Row],[Qtt]]),IF(TbTradesUpHold[[#This Row],[Tipo]]="BUY",AF1-TbTradesUpHold[[#This Row],[Qtt]]*TbTradesUpHold[[#This Row],[Preço]],AF1+TbTradesUpHold[[#This Row],[Qtt]]*TbTradesUpHold[[#This Row],[Preço]])),AF1)-IF(TbTradesUpHold[[#This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Row],[Tipo]]="DROP"),AF1+TbTradesUpHold[[#This Row],[Qtt]],AF1-TbTradesUpHold[[#This Row],[Qtt]]),IF(TbTradesUpHold[[#This Row],[Tipo]]="BUY",AF1-TbTradesUpHold[[#This Row],[Qtt]]*TbTradesUpHold[[#This Row],[Preço]],AF1+TbTradesUpHold[[#This Row],[Qtt]]*TbTradesUpHold[[#This Row],[Preço]])),AF1)-IF(TbTradesUpHold[[#This Row],[Moeda da Taxa]]=MID(AF$1,9,5),TbTradesUpHold[[#This Row],[Taxa]],0),8)))</f>
        <v>0</v>
      </c>
      <c r="AG2" s="50" cm="1">
        <f t="array" ref="AG2">IF(TbTradesUpHold[[#This Row],[Tipo]]="EMPTY",0,AG1+IF(TbTradesUpHold[[#This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Row],[Par]]))),$1:$1,0)),-(AF1-AF2)/AF1*AG1),0),0)+IF(TbTradesUpHold[[#This Row],[Tipo]]="SELL",IF(ISNUMBER(FIND(MID(AG$1,10,5),TbTradesUpHold[[#This Row],[Par]])),IF(FIND(MID(AG$1,10,5),TbTradesUpHold[[#This Row],[Par]])=1, -(AF1-AF2)/AF1*AG1,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Row],[Par]])),(-(AF1-AF2)/AF1*AG1)+IF(TbTradesUpHold[[#This Row],[Resultado]]&gt;0,0,TbTradesUpHold[[#This Row],[Taxa]]),0),0))</f>
        <v>0</v>
      </c>
      <c r="AH2" s="41">
        <f t="shared" ref="AH2:AH10" si="6">IF(AF2=0,0,AG2/AF2)</f>
        <v>0</v>
      </c>
    </row>
    <row r="3" spans="1:34" x14ac:dyDescent="0.3">
      <c r="B3" s="74" t="s">
        <v>156</v>
      </c>
      <c r="C3" s="67">
        <f>TRUNC(IF(AND(TbTradesUpHold[[#This Row],[Tipo]]="SEND",TbTradesUpHold[[#This Row],[Par]]="BRL"),TbTradesUpHold[[#This Row],[Qtt]]*(1-P2)-IF(TbTradesUpHold[[#This Row],[Moeda da Taxa]]="BRL",TbTradesUpHold[[#This Row],[Taxa]],0),0)+IF(AND(TbTradesUpHold[[#This Row],[Tipo]]="BURN",TbTradesUpHold[[#This Row],[Par]]="BRL"),-TbTradesUpHold[[#This Row],[Qtt]]*P2,0),2)</f>
        <v>0</v>
      </c>
      <c r="D3" s="65">
        <v>44264.276388888888</v>
      </c>
      <c r="E3" s="77" t="s">
        <v>41</v>
      </c>
      <c r="F3" s="77" t="s">
        <v>148</v>
      </c>
      <c r="G3" s="78">
        <f>TRUNC(5.797*0.73,8)</f>
        <v>4.2318100000000003</v>
      </c>
      <c r="H3" s="78">
        <v>0.25</v>
      </c>
      <c r="I3" s="78">
        <v>0</v>
      </c>
      <c r="J3" s="77" t="s">
        <v>41</v>
      </c>
      <c r="K3" s="75">
        <v>1</v>
      </c>
      <c r="L3" s="67">
        <f>TRUNC(K3*G3,2)</f>
        <v>4.2300000000000004</v>
      </c>
      <c r="M3" s="67">
        <f>IF(OR(TbTradesUpHold[[#This Row],[Tipo]]="BUY",TbTradesUpHold[[#This Row],[Tipo]]="RECEIVE",TbTradesUpHold[[#This Row],[Tipo]]="DROP"),L3*H3,-L3*H3)</f>
        <v>1.0575000000000001</v>
      </c>
      <c r="N3" s="41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Row],[Tipo]]="DROP"),N2+TbTradesUpHold[[#This Row],[Qtt]],N2-TbTradesUpHold[[#This Row],[Qtt]]),IF(TbTradesUpHold[[#This Row],[Tipo]]="BUY",N2-TbTradesUpHold[[#This Row],[Qtt]]*TbTradesUpHold[[#This Row],[Preço]],N2+TbTradesUpHold[[#This Row],[Qtt]]*TbTradesUpHold[[#This Row],[Preço]])),N2)-IF(TbTradesUpHold[[#This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Row],[Tipo]]="DROP"),N2+TbTradesUpHold[[#This Row],[Qtt]],N2-TbTradesUpHold[[#This Row],[Qtt]]),IF(TbTradesUpHold[[#This Row],[Tipo]]="BUY",N2-TbTradesUpHold[[#This Row],[Qtt]]*TbTradesUpHold[[#This Row],[Preço]],N2+TbTradesUpHold[[#This Row],[Qtt]]*TbTradesUpHold[[#This Row],[Preço]])),N2)-IF(TbTradesUpHold[[#This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Row],[Tipo]]="DROP"),N2+TbTradesUpHold[[#This Row],[Qtt]],N2-TbTradesUpHold[[#This Row],[Qtt]]),IF(TbTradesUpHold[[#This Row],[Tipo]]="BUY",N2-TbTradesUpHold[[#This Row],[Qtt]]*TbTradesUpHold[[#This Row],[Preço]],N2+TbTradesUpHold[[#This Row],[Qtt]]*TbTradesUpHold[[#This Row],[Preço]])),N2)-IF(TbTradesUpHold[[#This Row],[Moeda da Taxa]]=MID(N$1,9,5),TbTradesUpHold[[#This Row],[Taxa]],0),8)))</f>
        <v>0</v>
      </c>
      <c r="O3" s="50" cm="1">
        <f t="array" ref="O3">IF(TbTradesUpHold[[#This Row],[Tipo]]="EMPTY",0,O2+IF(TbTradesUpHold[[#This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Row],[Par]]))),$1:$1,0)),-(N2-N3)/N2*O2),0),0)+IF(TbTradesUpHold[[#This Row],[Tipo]]="SELL",IF(ISNUMBER(FIND(MID(O$1,10,5),TbTradesUpHold[[#This Row],[Par]])),IF(FIND(MID(O$1,10,5),TbTradesUpHold[[#This Row],[Par]])=1, -(N2-N3)/N2*O2,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Row],[Par]])),(-(N2-N3)/N2*O2)+IF(TbTradesUpHold[[#This Row],[Resultado]]&gt;0,0,TbTradesUpHold[[#This Row],[Taxa]]),0),0))</f>
        <v>0</v>
      </c>
      <c r="P3" s="41">
        <f t="shared" si="0"/>
        <v>0</v>
      </c>
      <c r="Q3" s="42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Row],[Tipo]]="DROP"),Q2+TbTradesUpHold[[#This Row],[Qtt]],Q2-TbTradesUpHold[[#This Row],[Qtt]]),IF(TbTradesUpHold[[#This Row],[Tipo]]="BUY",Q2-TbTradesUpHold[[#This Row],[Qtt]]*TbTradesUpHold[[#This Row],[Preço]],Q2+TbTradesUpHold[[#This Row],[Qtt]]*TbTradesUpHold[[#This Row],[Preço]])),Q2)-IF(TbTradesUpHold[[#This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Row],[Tipo]]="DROP"),Q2+TbTradesUpHold[[#This Row],[Qtt]],Q2-TbTradesUpHold[[#This Row],[Qtt]]),IF(TbTradesUpHold[[#This Row],[Tipo]]="BUY",Q2-TbTradesUpHold[[#This Row],[Qtt]]*TbTradesUpHold[[#This Row],[Preço]],Q2+TbTradesUpHold[[#This Row],[Qtt]]*TbTradesUpHold[[#This Row],[Preço]])),Q2)-IF(TbTradesUpHold[[#This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Row],[Tipo]]="DROP"),Q2+TbTradesUpHold[[#This Row],[Qtt]],Q2-TbTradesUpHold[[#This Row],[Qtt]]),IF(TbTradesUpHold[[#This Row],[Tipo]]="BUY",Q2-TbTradesUpHold[[#This Row],[Qtt]]*TbTradesUpHold[[#This Row],[Preço]],Q2+TbTradesUpHold[[#This Row],[Qtt]]*TbTradesUpHold[[#This Row],[Preço]])),Q2)-IF(TbTradesUpHold[[#This Row],[Moeda da Taxa]]=MID(Q$1,9,5),TbTradesUpHold[[#This Row],[Taxa]],0),8)))</f>
        <v>0</v>
      </c>
      <c r="R3" s="50" cm="1">
        <f t="array" ref="R3">IF(TbTradesUpHold[[#This Row],[Tipo]]="EMPTY",0,R2+IF(TbTradesUpHold[[#This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Row],[Par]]))),$1:$1,0)),-(Q2-Q3)/Q2*R2),0),0)+IF(TbTradesUpHold[[#This Row],[Tipo]]="SELL",IF(ISNUMBER(FIND(MID(R$1,10,5),TbTradesUpHold[[#This Row],[Par]])),IF(FIND(MID(R$1,10,5),TbTradesUpHold[[#This Row],[Par]])=1, -(Q2-Q3)/Q2*R2,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Row],[Par]])),(-(Q2-Q3)/Q2*R2)+IF(TbTradesUpHold[[#This Row],[Resultado]]&gt;0,0,TbTradesUpHold[[#This Row],[Taxa]]),0),0))</f>
        <v>0</v>
      </c>
      <c r="S3" s="41">
        <f t="shared" si="1"/>
        <v>0</v>
      </c>
      <c r="T3" s="43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Row],[Tipo]]="DROP"),T2+TbTradesUpHold[[#This Row],[Qtt]],T2-TbTradesUpHold[[#This Row],[Qtt]]),IF(TbTradesUpHold[[#This Row],[Tipo]]="BUY",T2-TbTradesUpHold[[#This Row],[Qtt]]*TbTradesUpHold[[#This Row],[Preço]],T2+TbTradesUpHold[[#This Row],[Qtt]]*TbTradesUpHold[[#This Row],[Preço]])),T2)-IF(TbTradesUpHold[[#This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Row],[Tipo]]="DROP"),T2+TbTradesUpHold[[#This Row],[Qtt]],T2-TbTradesUpHold[[#This Row],[Qtt]]),IF(TbTradesUpHold[[#This Row],[Tipo]]="BUY",T2-TbTradesUpHold[[#This Row],[Qtt]]*TbTradesUpHold[[#This Row],[Preço]],T2+TbTradesUpHold[[#This Row],[Qtt]]*TbTradesUpHold[[#This Row],[Preço]])),T2)-IF(TbTradesUpHold[[#This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Row],[Tipo]]="DROP"),T2+TbTradesUpHold[[#This Row],[Qtt]],T2-TbTradesUpHold[[#This Row],[Qtt]]),IF(TbTradesUpHold[[#This Row],[Tipo]]="BUY",T2-TbTradesUpHold[[#This Row],[Qtt]]*TbTradesUpHold[[#This Row],[Preço]],T2+TbTradesUpHold[[#This Row],[Qtt]]*TbTradesUpHold[[#This Row],[Preço]])),T2)-IF(TbTradesUpHold[[#This Row],[Moeda da Taxa]]=MID(T$1,9,5),TbTradesUpHold[[#This Row],[Taxa]],0),8)))</f>
        <v>0</v>
      </c>
      <c r="U3" s="50" cm="1">
        <f t="array" ref="U3">IF(TbTradesUpHold[[#This Row],[Tipo]]="EMPTY",0,U2+IF(TbTradesUpHold[[#This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Row],[Par]]))),$1:$1,0)),-(T2-T3)/T2*U2),0),0)+IF(TbTradesUpHold[[#This Row],[Tipo]]="SELL",IF(ISNUMBER(FIND(MID(U$1,10,5),TbTradesUpHold[[#This Row],[Par]])),IF(FIND(MID(U$1,10,5),TbTradesUpHold[[#This Row],[Par]])=1, -(T2-T3)/T2*U2,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Row],[Par]])),(-(T2-T3)/T2*U2)+IF(TbTradesUpHold[[#This Row],[Resultado]]&gt;0,0,TbTradesUpHold[[#This Row],[Taxa]]),0),0))</f>
        <v>0</v>
      </c>
      <c r="V3" s="41">
        <f t="shared" si="2"/>
        <v>0</v>
      </c>
      <c r="W3" s="43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Row],[Tipo]]="DROP"),W2+TbTradesUpHold[[#This Row],[Qtt]],W2-TbTradesUpHold[[#This Row],[Qtt]]),IF(TbTradesUpHold[[#This Row],[Tipo]]="BUY",W2-TbTradesUpHold[[#This Row],[Qtt]]*TbTradesUpHold[[#This Row],[Preço]],W2+TbTradesUpHold[[#This Row],[Qtt]]*TbTradesUpHold[[#This Row],[Preço]])),W2)-IF(TbTradesUpHold[[#This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Row],[Tipo]]="DROP"),W2+TbTradesUpHold[[#This Row],[Qtt]],W2-TbTradesUpHold[[#This Row],[Qtt]]),IF(TbTradesUpHold[[#This Row],[Tipo]]="BUY",W2-TbTradesUpHold[[#This Row],[Qtt]]*TbTradesUpHold[[#This Row],[Preço]],W2+TbTradesUpHold[[#This Row],[Qtt]]*TbTradesUpHold[[#This Row],[Preço]])),W2)-IF(TbTradesUpHold[[#This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Row],[Tipo]]="DROP"),W2+TbTradesUpHold[[#This Row],[Qtt]],W2-TbTradesUpHold[[#This Row],[Qtt]]),IF(TbTradesUpHold[[#This Row],[Tipo]]="BUY",W2-TbTradesUpHold[[#This Row],[Qtt]]*TbTradesUpHold[[#This Row],[Preço]],W2+TbTradesUpHold[[#This Row],[Qtt]]*TbTradesUpHold[[#This Row],[Preço]])),W2)-IF(TbTradesUpHold[[#This Row],[Moeda da Taxa]]=MID(W$1,9,5),TbTradesUpHold[[#This Row],[Taxa]],0),8)))</f>
        <v>0</v>
      </c>
      <c r="X3" s="50" cm="1">
        <f t="array" ref="X3">IF(TbTradesUpHold[[#This Row],[Tipo]]="EMPTY",0,X2+IF(TbTradesUpHold[[#This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Row],[Par]]))),$1:$1,0)),-(W2-W3)/W2*X2),0),0)+IF(TbTradesUpHold[[#This Row],[Tipo]]="SELL",IF(ISNUMBER(FIND(MID(X$1,10,5),TbTradesUpHold[[#This Row],[Par]])),IF(FIND(MID(X$1,10,5),TbTradesUpHold[[#This Row],[Par]])=1, -(W2-W3)/W2*X2,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Row],[Par]])),(-(W2-W3)/W2*X2)+IF(TbTradesUpHold[[#This Row],[Resultado]]&gt;0,0,TbTradesUpHold[[#This Row],[Taxa]]),0),0))</f>
        <v>0</v>
      </c>
      <c r="Y3" s="41">
        <f t="shared" si="3"/>
        <v>0</v>
      </c>
      <c r="Z3" s="43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Row],[Tipo]]="DROP"),Z2+TbTradesUpHold[[#This Row],[Qtt]],Z2-TbTradesUpHold[[#This Row],[Qtt]]),IF(TbTradesUpHold[[#This Row],[Tipo]]="BUY",Z2-TbTradesUpHold[[#This Row],[Qtt]]*TbTradesUpHold[[#This Row],[Preço]],Z2+TbTradesUpHold[[#This Row],[Qtt]]*TbTradesUpHold[[#This Row],[Preço]])),Z2)-IF(TbTradesUpHold[[#This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Row],[Tipo]]="DROP"),Z2+TbTradesUpHold[[#This Row],[Qtt]],Z2-TbTradesUpHold[[#This Row],[Qtt]]),IF(TbTradesUpHold[[#This Row],[Tipo]]="BUY",Z2-TbTradesUpHold[[#This Row],[Qtt]]*TbTradesUpHold[[#This Row],[Preço]],Z2+TbTradesUpHold[[#This Row],[Qtt]]*TbTradesUpHold[[#This Row],[Preço]])),Z2)-IF(TbTradesUpHold[[#This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Row],[Tipo]]="DROP"),Z2+TbTradesUpHold[[#This Row],[Qtt]],Z2-TbTradesUpHold[[#This Row],[Qtt]]),IF(TbTradesUpHold[[#This Row],[Tipo]]="BUY",Z2-TbTradesUpHold[[#This Row],[Qtt]]*TbTradesUpHold[[#This Row],[Preço]],Z2+TbTradesUpHold[[#This Row],[Qtt]]*TbTradesUpHold[[#This Row],[Preço]])),Z2)-IF(TbTradesUpHold[[#This Row],[Moeda da Taxa]]=MID(Z$1,9,5),TbTradesUpHold[[#This Row],[Taxa]],0),8)))</f>
        <v>0</v>
      </c>
      <c r="AA3" s="50" cm="1">
        <f t="array" ref="AA3">IF(TbTradesUpHold[[#This Row],[Tipo]]="EMPTY",0,AA2+IF(TbTradesUpHold[[#This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Row],[Par]]))),$1:$1,0)),-(Z2-Z3)/Z2*AA2),0),0)+IF(TbTradesUpHold[[#This Row],[Tipo]]="SELL",IF(ISNUMBER(FIND(MID(AA$1,10,5),TbTradesUpHold[[#This Row],[Par]])),IF(FIND(MID(AA$1,10,5),TbTradesUpHold[[#This Row],[Par]])=1, -(Z2-Z3)/Z2*AA2,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Row],[Par]])),(-(Z2-Z3)/Z2*AA2)+IF(TbTradesUpHold[[#This Row],[Resultado]]&gt;0,0,TbTradesUpHold[[#This Row],[Taxa]]),0),0))</f>
        <v>0</v>
      </c>
      <c r="AB3" s="41">
        <f t="shared" si="4"/>
        <v>0</v>
      </c>
      <c r="AC3" s="43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Row],[Tipo]]="DROP"),AC2+TbTradesUpHold[[#This Row],[Qtt]],AC2-TbTradesUpHold[[#This Row],[Qtt]]),IF(TbTradesUpHold[[#This Row],[Tipo]]="BUY",AC2-TbTradesUpHold[[#This Row],[Qtt]]*TbTradesUpHold[[#This Row],[Preço]],AC2+TbTradesUpHold[[#This Row],[Qtt]]*TbTradesUpHold[[#This Row],[Preço]])),AC2)-IF(TbTradesUpHold[[#This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Row],[Tipo]]="DROP"),AC2+TbTradesUpHold[[#This Row],[Qtt]],AC2-TbTradesUpHold[[#This Row],[Qtt]]),IF(TbTradesUpHold[[#This Row],[Tipo]]="BUY",AC2-TbTradesUpHold[[#This Row],[Qtt]]*TbTradesUpHold[[#This Row],[Preço]],AC2+TbTradesUpHold[[#This Row],[Qtt]]*TbTradesUpHold[[#This Row],[Preço]])),AC2)-IF(TbTradesUpHold[[#This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Row],[Tipo]]="DROP"),AC2+TbTradesUpHold[[#This Row],[Qtt]],AC2-TbTradesUpHold[[#This Row],[Qtt]]),IF(TbTradesUpHold[[#This Row],[Tipo]]="BUY",AC2-TbTradesUpHold[[#This Row],[Qtt]]*TbTradesUpHold[[#This Row],[Preço]],AC2+TbTradesUpHold[[#This Row],[Qtt]]*TbTradesUpHold[[#This Row],[Preço]])),AC2)-IF(TbTradesUpHold[[#This Row],[Moeda da Taxa]]=MID(AC$1,9,5),TbTradesUpHold[[#This Row],[Taxa]],0),8)))</f>
        <v>0.25</v>
      </c>
      <c r="AD3" s="50" cm="1">
        <f t="array" ref="AD3">IF(TbTradesUpHold[[#This Row],[Tipo]]="EMPTY",0,AD2+IF(TbTradesUpHold[[#This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Row],[Par]]))),$1:$1,0)),-(AC2-AC3)/AC2*AD2),0),0)+IF(TbTradesUpHold[[#This Row],[Tipo]]="SELL",IF(ISNUMBER(FIND(MID(AD$1,10,5),TbTradesUpHold[[#This Row],[Par]])),IF(FIND(MID(AD$1,10,5),TbTradesUpHold[[#This Row],[Par]])=1, -(AC2-AC3)/AC2*AD2,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Row],[Par]])),(-(AC2-AC3)/AC2*AD2)+IF(TbTradesUpHold[[#This Row],[Resultado]]&gt;0,0,TbTradesUpHold[[#This Row],[Taxa]]),0),0))</f>
        <v>0</v>
      </c>
      <c r="AE3" s="41">
        <f t="shared" si="5"/>
        <v>0</v>
      </c>
      <c r="AF3" s="43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Row],[Tipo]]="DROP"),AF2+TbTradesUpHold[[#This Row],[Qtt]],AF2-TbTradesUpHold[[#This Row],[Qtt]]),IF(TbTradesUpHold[[#This Row],[Tipo]]="BUY",AF2-TbTradesUpHold[[#This Row],[Qtt]]*TbTradesUpHold[[#This Row],[Preço]],AF2+TbTradesUpHold[[#This Row],[Qtt]]*TbTradesUpHold[[#This Row],[Preço]])),AF2)-IF(TbTradesUpHold[[#This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Row],[Tipo]]="DROP"),AF2+TbTradesUpHold[[#This Row],[Qtt]],AF2-TbTradesUpHold[[#This Row],[Qtt]]),IF(TbTradesUpHold[[#This Row],[Tipo]]="BUY",AF2-TbTradesUpHold[[#This Row],[Qtt]]*TbTradesUpHold[[#This Row],[Preço]],AF2+TbTradesUpHold[[#This Row],[Qtt]]*TbTradesUpHold[[#This Row],[Preço]])),AF2)-IF(TbTradesUpHold[[#This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Row],[Tipo]]="DROP"),AF2+TbTradesUpHold[[#This Row],[Qtt]],AF2-TbTradesUpHold[[#This Row],[Qtt]]),IF(TbTradesUpHold[[#This Row],[Tipo]]="BUY",AF2-TbTradesUpHold[[#This Row],[Qtt]]*TbTradesUpHold[[#This Row],[Preço]],AF2+TbTradesUpHold[[#This Row],[Qtt]]*TbTradesUpHold[[#This Row],[Preço]])),AF2)-IF(TbTradesUpHold[[#This Row],[Moeda da Taxa]]=MID(AF$1,9,5),TbTradesUpHold[[#This Row],[Taxa]],0),8)))</f>
        <v>0</v>
      </c>
      <c r="AG3" s="50" cm="1">
        <f t="array" ref="AG3">IF(TbTradesUpHold[[#This Row],[Tipo]]="EMPTY",0,AG2+IF(TbTradesUpHold[[#This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Row],[Par]]))),$1:$1,0)),-(AF2-AF3)/AF2*AG2),0),0)+IF(TbTradesUpHold[[#This Row],[Tipo]]="SELL",IF(ISNUMBER(FIND(MID(AG$1,10,5),TbTradesUpHold[[#This Row],[Par]])),IF(FIND(MID(AG$1,10,5),TbTradesUpHold[[#This Row],[Par]])=1, -(AF2-AF3)/AF2*AG2,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Row],[Par]])),(-(AF2-AF3)/AF2*AG2)+IF(TbTradesUpHold[[#This Row],[Resultado]]&gt;0,0,TbTradesUpHold[[#This Row],[Taxa]]),0),0))</f>
        <v>0</v>
      </c>
      <c r="AH3" s="41">
        <f t="shared" si="6"/>
        <v>0</v>
      </c>
    </row>
    <row r="4" spans="1:34" x14ac:dyDescent="0.3">
      <c r="B4" s="74"/>
      <c r="C4" s="67">
        <f>TRUNC(IF(AND(TbTradesUpHold[[#This Row],[Tipo]]="SEND",TbTradesUpHold[[#This Row],[Par]]="BRL"),TbTradesUpHold[[#This Row],[Qtt]]*(1-P3)-IF(TbTradesUpHold[[#This Row],[Moeda da Taxa]]="BRL",TbTradesUpHold[[#This Row],[Taxa]],0),0)+IF(AND(TbTradesUpHold[[#This Row],[Tipo]]="BURN",TbTradesUpHold[[#This Row],[Par]]="BRL"),-TbTradesUpHold[[#This Row],[Qtt]]*P3,0),2)</f>
        <v>0</v>
      </c>
      <c r="D4" s="65">
        <v>44266.720138888886</v>
      </c>
      <c r="E4" s="77" t="s">
        <v>157</v>
      </c>
      <c r="F4" s="77" t="s">
        <v>139</v>
      </c>
      <c r="G4" s="78">
        <f>TRUNC(1/0.70902038,8)</f>
        <v>1.41039669</v>
      </c>
      <c r="H4" s="78">
        <v>0.177255</v>
      </c>
      <c r="I4" s="78">
        <f>TRUNC(1.33987685946302E-07,8)</f>
        <v>1.3E-7</v>
      </c>
      <c r="J4" s="77" t="s">
        <v>41</v>
      </c>
      <c r="K4" s="75">
        <f>TRUNC(0.807*5.6,8)</f>
        <v>4.5191999999999997</v>
      </c>
      <c r="L4" s="67">
        <f t="shared" ref="L4:L10" si="7">TRUNC(K4*G4,2)</f>
        <v>6.37</v>
      </c>
      <c r="M4" s="67">
        <f>IF(OR(TbTradesUpHold[[#This Row],[Tipo]]="BUY",TbTradesUpHold[[#This Row],[Tipo]]="RECEIVE",TbTradesUpHold[[#This Row],[Tipo]]="DROP"),L4*H4,-L4*H4)</f>
        <v>1.12911435</v>
      </c>
      <c r="N4" s="41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Row],[Tipo]]="DROP"),N3+TbTradesUpHold[[#This Row],[Qtt]],N3-TbTradesUpHold[[#This Row],[Qtt]]),IF(TbTradesUpHold[[#This Row],[Tipo]]="BUY",N3-TbTradesUpHold[[#This Row],[Qtt]]*TbTradesUpHold[[#This Row],[Preço]],N3+TbTradesUpHold[[#This Row],[Qtt]]*TbTradesUpHold[[#This Row],[Preço]])),N3)-IF(TbTradesUpHold[[#This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Row],[Tipo]]="DROP"),N3+TbTradesUpHold[[#This Row],[Qtt]],N3-TbTradesUpHold[[#This Row],[Qtt]]),IF(TbTradesUpHold[[#This Row],[Tipo]]="BUY",N3-TbTradesUpHold[[#This Row],[Qtt]]*TbTradesUpHold[[#This Row],[Preço]],N3+TbTradesUpHold[[#This Row],[Qtt]]*TbTradesUpHold[[#This Row],[Preço]])),N3)-IF(TbTradesUpHold[[#This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Row],[Tipo]]="DROP"),N3+TbTradesUpHold[[#This Row],[Qtt]],N3-TbTradesUpHold[[#This Row],[Qtt]]),IF(TbTradesUpHold[[#This Row],[Tipo]]="BUY",N3-TbTradesUpHold[[#This Row],[Qtt]]*TbTradesUpHold[[#This Row],[Preço]],N3+TbTradesUpHold[[#This Row],[Qtt]]*TbTradesUpHold[[#This Row],[Preço]])),N3)-IF(TbTradesUpHold[[#This Row],[Moeda da Taxa]]=MID(N$1,9,5),TbTradesUpHold[[#This Row],[Taxa]],0),8)))</f>
        <v>0</v>
      </c>
      <c r="O4" s="50" cm="1">
        <f t="array" ref="O4">IF(TbTradesUpHold[[#This Row],[Tipo]]="EMPTY",0,O3+IF(TbTradesUpHold[[#This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Row],[Par]]))),$1:$1,0)),-(N3-N4)/N3*O3),0),0)+IF(TbTradesUpHold[[#This Row],[Tipo]]="SELL",IF(ISNUMBER(FIND(MID(O$1,10,5),TbTradesUpHold[[#This Row],[Par]])),IF(FIND(MID(O$1,10,5),TbTradesUpHold[[#This Row],[Par]])=1, -(N3-N4)/N3*O3,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Row],[Par]])),(-(N3-N4)/N3*O3)+IF(TbTradesUpHold[[#This Row],[Resultado]]&gt;0,0,TbTradesUpHold[[#This Row],[Taxa]]),0),0))</f>
        <v>0</v>
      </c>
      <c r="P4" s="41">
        <f t="shared" si="0"/>
        <v>0</v>
      </c>
      <c r="Q4" s="42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Row],[Tipo]]="DROP"),Q3+TbTradesUpHold[[#This Row],[Qtt]],Q3-TbTradesUpHold[[#This Row],[Qtt]]),IF(TbTradesUpHold[[#This Row],[Tipo]]="BUY",Q3-TbTradesUpHold[[#This Row],[Qtt]]*TbTradesUpHold[[#This Row],[Preço]],Q3+TbTradesUpHold[[#This Row],[Qtt]]*TbTradesUpHold[[#This Row],[Preço]])),Q3)-IF(TbTradesUpHold[[#This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Row],[Tipo]]="DROP"),Q3+TbTradesUpHold[[#This Row],[Qtt]],Q3-TbTradesUpHold[[#This Row],[Qtt]]),IF(TbTradesUpHold[[#This Row],[Tipo]]="BUY",Q3-TbTradesUpHold[[#This Row],[Qtt]]*TbTradesUpHold[[#This Row],[Preço]],Q3+TbTradesUpHold[[#This Row],[Qtt]]*TbTradesUpHold[[#This Row],[Preço]])),Q3)-IF(TbTradesUpHold[[#This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Row],[Tipo]]="DROP"),Q3+TbTradesUpHold[[#This Row],[Qtt]],Q3-TbTradesUpHold[[#This Row],[Qtt]]),IF(TbTradesUpHold[[#This Row],[Tipo]]="BUY",Q3-TbTradesUpHold[[#This Row],[Qtt]]*TbTradesUpHold[[#This Row],[Preço]],Q3+TbTradesUpHold[[#This Row],[Qtt]]*TbTradesUpHold[[#This Row],[Preço]])),Q3)-IF(TbTradesUpHold[[#This Row],[Moeda da Taxa]]=MID(Q$1,9,5),TbTradesUpHold[[#This Row],[Taxa]],0),8)))</f>
        <v>0</v>
      </c>
      <c r="R4" s="50" cm="1">
        <f t="array" ref="R4">IF(TbTradesUpHold[[#This Row],[Tipo]]="EMPTY",0,R3+IF(TbTradesUpHold[[#This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Row],[Par]]))),$1:$1,0)),-(Q3-Q4)/Q3*R3),0),0)+IF(TbTradesUpHold[[#This Row],[Tipo]]="SELL",IF(ISNUMBER(FIND(MID(R$1,10,5),TbTradesUpHold[[#This Row],[Par]])),IF(FIND(MID(R$1,10,5),TbTradesUpHold[[#This Row],[Par]])=1, -(Q3-Q4)/Q3*R3,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Row],[Par]])),(-(Q3-Q4)/Q3*R3)+IF(TbTradesUpHold[[#This Row],[Resultado]]&gt;0,0,TbTradesUpHold[[#This Row],[Taxa]]),0),0))</f>
        <v>0</v>
      </c>
      <c r="S4" s="41">
        <f t="shared" si="1"/>
        <v>0</v>
      </c>
      <c r="T4" s="43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Row],[Tipo]]="DROP"),T3+TbTradesUpHold[[#This Row],[Qtt]],T3-TbTradesUpHold[[#This Row],[Qtt]]),IF(TbTradesUpHold[[#This Row],[Tipo]]="BUY",T3-TbTradesUpHold[[#This Row],[Qtt]]*TbTradesUpHold[[#This Row],[Preço]],T3+TbTradesUpHold[[#This Row],[Qtt]]*TbTradesUpHold[[#This Row],[Preço]])),T3)-IF(TbTradesUpHold[[#This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Row],[Tipo]]="DROP"),T3+TbTradesUpHold[[#This Row],[Qtt]],T3-TbTradesUpHold[[#This Row],[Qtt]]),IF(TbTradesUpHold[[#This Row],[Tipo]]="BUY",T3-TbTradesUpHold[[#This Row],[Qtt]]*TbTradesUpHold[[#This Row],[Preço]],T3+TbTradesUpHold[[#This Row],[Qtt]]*TbTradesUpHold[[#This Row],[Preço]])),T3)-IF(TbTradesUpHold[[#This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Row],[Tipo]]="DROP"),T3+TbTradesUpHold[[#This Row],[Qtt]],T3-TbTradesUpHold[[#This Row],[Qtt]]),IF(TbTradesUpHold[[#This Row],[Tipo]]="BUY",T3-TbTradesUpHold[[#This Row],[Qtt]]*TbTradesUpHold[[#This Row],[Preço]],T3+TbTradesUpHold[[#This Row],[Qtt]]*TbTradesUpHold[[#This Row],[Preço]])),T3)-IF(TbTradesUpHold[[#This Row],[Moeda da Taxa]]=MID(T$1,9,5),TbTradesUpHold[[#This Row],[Taxa]],0),8)))</f>
        <v>0</v>
      </c>
      <c r="U4" s="50" cm="1">
        <f t="array" ref="U4">IF(TbTradesUpHold[[#This Row],[Tipo]]="EMPTY",0,U3+IF(TbTradesUpHold[[#This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Row],[Par]]))),$1:$1,0)),-(T3-T4)/T3*U3),0),0)+IF(TbTradesUpHold[[#This Row],[Tipo]]="SELL",IF(ISNUMBER(FIND(MID(U$1,10,5),TbTradesUpHold[[#This Row],[Par]])),IF(FIND(MID(U$1,10,5),TbTradesUpHold[[#This Row],[Par]])=1, -(T3-T4)/T3*U3,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Row],[Par]])),(-(T3-T4)/T3*U3)+IF(TbTradesUpHold[[#This Row],[Resultado]]&gt;0,0,TbTradesUpHold[[#This Row],[Taxa]]),0),0))</f>
        <v>0</v>
      </c>
      <c r="V4" s="41">
        <f t="shared" si="2"/>
        <v>0</v>
      </c>
      <c r="W4" s="43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Row],[Tipo]]="DROP"),W3+TbTradesUpHold[[#This Row],[Qtt]],W3-TbTradesUpHold[[#This Row],[Qtt]]),IF(TbTradesUpHold[[#This Row],[Tipo]]="BUY",W3-TbTradesUpHold[[#This Row],[Qtt]]*TbTradesUpHold[[#This Row],[Preço]],W3+TbTradesUpHold[[#This Row],[Qtt]]*TbTradesUpHold[[#This Row],[Preço]])),W3)-IF(TbTradesUpHold[[#This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Row],[Tipo]]="DROP"),W3+TbTradesUpHold[[#This Row],[Qtt]],W3-TbTradesUpHold[[#This Row],[Qtt]]),IF(TbTradesUpHold[[#This Row],[Tipo]]="BUY",W3-TbTradesUpHold[[#This Row],[Qtt]]*TbTradesUpHold[[#This Row],[Preço]],W3+TbTradesUpHold[[#This Row],[Qtt]]*TbTradesUpHold[[#This Row],[Preço]])),W3)-IF(TbTradesUpHold[[#This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Row],[Tipo]]="DROP"),W3+TbTradesUpHold[[#This Row],[Qtt]],W3-TbTradesUpHold[[#This Row],[Qtt]]),IF(TbTradesUpHold[[#This Row],[Tipo]]="BUY",W3-TbTradesUpHold[[#This Row],[Qtt]]*TbTradesUpHold[[#This Row],[Preço]],W3+TbTradesUpHold[[#This Row],[Qtt]]*TbTradesUpHold[[#This Row],[Preço]])),W3)-IF(TbTradesUpHold[[#This Row],[Moeda da Taxa]]=MID(W$1,9,5),TbTradesUpHold[[#This Row],[Taxa]],0),8)))</f>
        <v>0</v>
      </c>
      <c r="X4" s="50" cm="1">
        <f t="array" ref="X4">IF(TbTradesUpHold[[#This Row],[Tipo]]="EMPTY",0,X3+IF(TbTradesUpHold[[#This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Row],[Par]]))),$1:$1,0)),-(W3-W4)/W3*X3),0),0)+IF(TbTradesUpHold[[#This Row],[Tipo]]="SELL",IF(ISNUMBER(FIND(MID(X$1,10,5),TbTradesUpHold[[#This Row],[Par]])),IF(FIND(MID(X$1,10,5),TbTradesUpHold[[#This Row],[Par]])=1, -(W3-W4)/W3*X3,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Row],[Par]])),(-(W3-W4)/W3*X3)+IF(TbTradesUpHold[[#This Row],[Resultado]]&gt;0,0,TbTradesUpHold[[#This Row],[Taxa]]),0),0))</f>
        <v>0</v>
      </c>
      <c r="Y4" s="41">
        <f t="shared" si="3"/>
        <v>0</v>
      </c>
      <c r="Z4" s="43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Row],[Tipo]]="DROP"),Z3+TbTradesUpHold[[#This Row],[Qtt]],Z3-TbTradesUpHold[[#This Row],[Qtt]]),IF(TbTradesUpHold[[#This Row],[Tipo]]="BUY",Z3-TbTradesUpHold[[#This Row],[Qtt]]*TbTradesUpHold[[#This Row],[Preço]],Z3+TbTradesUpHold[[#This Row],[Qtt]]*TbTradesUpHold[[#This Row],[Preço]])),Z3)-IF(TbTradesUpHold[[#This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Row],[Tipo]]="DROP"),Z3+TbTradesUpHold[[#This Row],[Qtt]],Z3-TbTradesUpHold[[#This Row],[Qtt]]),IF(TbTradesUpHold[[#This Row],[Tipo]]="BUY",Z3-TbTradesUpHold[[#This Row],[Qtt]]*TbTradesUpHold[[#This Row],[Preço]],Z3+TbTradesUpHold[[#This Row],[Qtt]]*TbTradesUpHold[[#This Row],[Preço]])),Z3)-IF(TbTradesUpHold[[#This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Row],[Tipo]]="DROP"),Z3+TbTradesUpHold[[#This Row],[Qtt]],Z3-TbTradesUpHold[[#This Row],[Qtt]]),IF(TbTradesUpHold[[#This Row],[Tipo]]="BUY",Z3-TbTradesUpHold[[#This Row],[Qtt]]*TbTradesUpHold[[#This Row],[Preço]],Z3+TbTradesUpHold[[#This Row],[Qtt]]*TbTradesUpHold[[#This Row],[Preço]])),Z3)-IF(TbTradesUpHold[[#This Row],[Moeda da Taxa]]=MID(Z$1,9,5),TbTradesUpHold[[#This Row],[Taxa]],0),8)))</f>
        <v>0.177255</v>
      </c>
      <c r="AA4" s="50" cm="1">
        <f t="array" ref="AA4">IF(TbTradesUpHold[[#This Row],[Tipo]]="EMPTY",0,AA3+IF(TbTradesUpHold[[#This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Row],[Par]]))),$1:$1,0)),-(Z3-Z4)/Z3*AA3),0),0)+IF(TbTradesUpHold[[#This Row],[Tipo]]="SELL",IF(ISNUMBER(FIND(MID(AA$1,10,5),TbTradesUpHold[[#This Row],[Par]])),IF(FIND(MID(AA$1,10,5),TbTradesUpHold[[#This Row],[Par]])=1, -(Z3-Z4)/Z3*AA3,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Row],[Par]])),(-(Z3-Z4)/Z3*AA3)+IF(TbTradesUpHold[[#This Row],[Resultado]]&gt;0,0,TbTradesUpHold[[#This Row],[Taxa]]),0),0))</f>
        <v>0</v>
      </c>
      <c r="AB4" s="41">
        <f t="shared" si="4"/>
        <v>0</v>
      </c>
      <c r="AC4" s="43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Row],[Tipo]]="DROP"),AC3+TbTradesUpHold[[#This Row],[Qtt]],AC3-TbTradesUpHold[[#This Row],[Qtt]]),IF(TbTradesUpHold[[#This Row],[Tipo]]="BUY",AC3-TbTradesUpHold[[#This Row],[Qtt]]*TbTradesUpHold[[#This Row],[Preço]],AC3+TbTradesUpHold[[#This Row],[Qtt]]*TbTradesUpHold[[#This Row],[Preço]])),AC3)-IF(TbTradesUpHold[[#This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Row],[Tipo]]="DROP"),AC3+TbTradesUpHold[[#This Row],[Qtt]],AC3-TbTradesUpHold[[#This Row],[Qtt]]),IF(TbTradesUpHold[[#This Row],[Tipo]]="BUY",AC3-TbTradesUpHold[[#This Row],[Qtt]]*TbTradesUpHold[[#This Row],[Preço]],AC3+TbTradesUpHold[[#This Row],[Qtt]]*TbTradesUpHold[[#This Row],[Preço]])),AC3)-IF(TbTradesUpHold[[#This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Row],[Tipo]]="DROP"),AC3+TbTradesUpHold[[#This Row],[Qtt]],AC3-TbTradesUpHold[[#This Row],[Qtt]]),IF(TbTradesUpHold[[#This Row],[Tipo]]="BUY",AC3-TbTradesUpHold[[#This Row],[Qtt]]*TbTradesUpHold[[#This Row],[Preço]],AC3+TbTradesUpHold[[#This Row],[Qtt]]*TbTradesUpHold[[#This Row],[Preço]])),AC3)-IF(TbTradesUpHold[[#This Row],[Moeda da Taxa]]=MID(AC$1,9,5),TbTradesUpHold[[#This Row],[Taxa]],0),8)))</f>
        <v>0</v>
      </c>
      <c r="AD4" s="50" cm="1">
        <f t="array" ref="AD4">IF(TbTradesUpHold[[#This Row],[Tipo]]="EMPTY",0,AD3+IF(TbTradesUpHold[[#This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Row],[Par]]))),$1:$1,0)),-(AC3-AC4)/AC3*AD3),0),0)+IF(TbTradesUpHold[[#This Row],[Tipo]]="SELL",IF(ISNUMBER(FIND(MID(AD$1,10,5),TbTradesUpHold[[#This Row],[Par]])),IF(FIND(MID(AD$1,10,5),TbTradesUpHold[[#This Row],[Par]])=1, -(AC3-AC4)/AC3*AD3,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Row],[Par]])),(-(AC3-AC4)/AC3*AD3)+IF(TbTradesUpHold[[#This Row],[Resultado]]&gt;0,0,TbTradesUpHold[[#This Row],[Taxa]]),0),0))</f>
        <v>0</v>
      </c>
      <c r="AE4" s="41">
        <f t="shared" si="5"/>
        <v>0</v>
      </c>
      <c r="AF4" s="43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Row],[Tipo]]="DROP"),AF3+TbTradesUpHold[[#This Row],[Qtt]],AF3-TbTradesUpHold[[#This Row],[Qtt]]),IF(TbTradesUpHold[[#This Row],[Tipo]]="BUY",AF3-TbTradesUpHold[[#This Row],[Qtt]]*TbTradesUpHold[[#This Row],[Preço]],AF3+TbTradesUpHold[[#This Row],[Qtt]]*TbTradesUpHold[[#This Row],[Preço]])),AF3)-IF(TbTradesUpHold[[#This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Row],[Tipo]]="DROP"),AF3+TbTradesUpHold[[#This Row],[Qtt]],AF3-TbTradesUpHold[[#This Row],[Qtt]]),IF(TbTradesUpHold[[#This Row],[Tipo]]="BUY",AF3-TbTradesUpHold[[#This Row],[Qtt]]*TbTradesUpHold[[#This Row],[Preço]],AF3+TbTradesUpHold[[#This Row],[Qtt]]*TbTradesUpHold[[#This Row],[Preço]])),AF3)-IF(TbTradesUpHold[[#This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Row],[Tipo]]="DROP"),AF3+TbTradesUpHold[[#This Row],[Qtt]],AF3-TbTradesUpHold[[#This Row],[Qtt]]),IF(TbTradesUpHold[[#This Row],[Tipo]]="BUY",AF3-TbTradesUpHold[[#This Row],[Qtt]]*TbTradesUpHold[[#This Row],[Preço]],AF3+TbTradesUpHold[[#This Row],[Qtt]]*TbTradesUpHold[[#This Row],[Preço]])),AF3)-IF(TbTradesUpHold[[#This Row],[Moeda da Taxa]]=MID(AF$1,9,5),TbTradesUpHold[[#This Row],[Taxa]],0),8)))</f>
        <v>0</v>
      </c>
      <c r="AG4" s="50" cm="1">
        <f t="array" ref="AG4">IF(TbTradesUpHold[[#This Row],[Tipo]]="EMPTY",0,AG3+IF(TbTradesUpHold[[#This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Row],[Par]]))),$1:$1,0)),-(AF3-AF4)/AF3*AG3),0),0)+IF(TbTradesUpHold[[#This Row],[Tipo]]="SELL",IF(ISNUMBER(FIND(MID(AG$1,10,5),TbTradesUpHold[[#This Row],[Par]])),IF(FIND(MID(AG$1,10,5),TbTradesUpHold[[#This Row],[Par]])=1, -(AF3-AF4)/AF3*AG3,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Row],[Par]])),(-(AF3-AF4)/AF3*AG3)+IF(TbTradesUpHold[[#This Row],[Resultado]]&gt;0,0,TbTradesUpHold[[#This Row],[Taxa]]),0),0))</f>
        <v>0</v>
      </c>
      <c r="AH4" s="41">
        <f t="shared" si="6"/>
        <v>0</v>
      </c>
    </row>
    <row r="5" spans="1:34" x14ac:dyDescent="0.3">
      <c r="B5" s="74"/>
      <c r="C5" s="67">
        <f>TRUNC(IF(AND(TbTradesUpHold[[#This Row],[Tipo]]="SEND",TbTradesUpHold[[#This Row],[Par]]="BRL"),TbTradesUpHold[[#This Row],[Qtt]]*(1-P4)-IF(TbTradesUpHold[[#This Row],[Moeda da Taxa]]="BRL",TbTradesUpHold[[#This Row],[Taxa]],0),0)+IF(AND(TbTradesUpHold[[#This Row],[Tipo]]="BURN",TbTradesUpHold[[#This Row],[Par]]="BRL"),-TbTradesUpHold[[#This Row],[Qtt]]*P4,0),2)</f>
        <v>0</v>
      </c>
      <c r="D5" s="65">
        <v>44268.420138888891</v>
      </c>
      <c r="E5" s="77" t="s">
        <v>158</v>
      </c>
      <c r="F5" s="77" t="s">
        <v>140</v>
      </c>
      <c r="G5" s="78">
        <v>6.1977900000000004</v>
      </c>
      <c r="H5" s="78">
        <v>0.177255</v>
      </c>
      <c r="I5" s="78">
        <v>0</v>
      </c>
      <c r="J5" s="77" t="s">
        <v>50</v>
      </c>
      <c r="K5" s="75">
        <v>1</v>
      </c>
      <c r="L5" s="67">
        <f t="shared" si="7"/>
        <v>6.19</v>
      </c>
      <c r="M5" s="67">
        <f>IF(OR(TbTradesUpHold[[#This Row],[Tipo]]="BUY",TbTradesUpHold[[#This Row],[Tipo]]="RECEIVE",TbTradesUpHold[[#This Row],[Tipo]]="DROP"),L5*H5,-L5*H5)</f>
        <v>-1.0972084500000001</v>
      </c>
      <c r="N5" s="41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Row],[Tipo]]="DROP"),N4+TbTradesUpHold[[#This Row],[Qtt]],N4-TbTradesUpHold[[#This Row],[Qtt]]),IF(TbTradesUpHold[[#This Row],[Tipo]]="BUY",N4-TbTradesUpHold[[#This Row],[Qtt]]*TbTradesUpHold[[#This Row],[Preço]],N4+TbTradesUpHold[[#This Row],[Qtt]]*TbTradesUpHold[[#This Row],[Preço]])),N4)-IF(TbTradesUpHold[[#This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Row],[Tipo]]="DROP"),N4+TbTradesUpHold[[#This Row],[Qtt]],N4-TbTradesUpHold[[#This Row],[Qtt]]),IF(TbTradesUpHold[[#This Row],[Tipo]]="BUY",N4-TbTradesUpHold[[#This Row],[Qtt]]*TbTradesUpHold[[#This Row],[Preço]],N4+TbTradesUpHold[[#This Row],[Qtt]]*TbTradesUpHold[[#This Row],[Preço]])),N4)-IF(TbTradesUpHold[[#This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Row],[Tipo]]="DROP"),N4+TbTradesUpHold[[#This Row],[Qtt]],N4-TbTradesUpHold[[#This Row],[Qtt]]),IF(TbTradesUpHold[[#This Row],[Tipo]]="BUY",N4-TbTradesUpHold[[#This Row],[Qtt]]*TbTradesUpHold[[#This Row],[Preço]],N4+TbTradesUpHold[[#This Row],[Qtt]]*TbTradesUpHold[[#This Row],[Preço]])),N4)-IF(TbTradesUpHold[[#This Row],[Moeda da Taxa]]=MID(N$1,9,5),TbTradesUpHold[[#This Row],[Taxa]],0),8)))</f>
        <v>1.09858926</v>
      </c>
      <c r="O5" s="50" cm="1">
        <f t="array" ref="O5">IF(TbTradesUpHold[[#This Row],[Tipo]]="EMPTY",0,O4+IF(TbTradesUpHold[[#This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Row],[Par]]))),$1:$1,0)),-(N4-N5)/N4*O4),0),0)+IF(TbTradesUpHold[[#This Row],[Tipo]]="SELL",IF(ISNUMBER(FIND(MID(O$1,10,5),TbTradesUpHold[[#This Row],[Par]])),IF(FIND(MID(O$1,10,5),TbTradesUpHold[[#This Row],[Par]])=1, -(N4-N5)/N4*O4,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Row],[Par]])),(-(N4-N5)/N4*O4)+IF(TbTradesUpHold[[#This Row],[Resultado]]&gt;0,0,TbTradesUpHold[[#This Row],[Taxa]]),0),0))</f>
        <v>0</v>
      </c>
      <c r="P5" s="41">
        <f t="shared" si="0"/>
        <v>0</v>
      </c>
      <c r="Q5" s="42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Row],[Tipo]]="DROP"),Q4+TbTradesUpHold[[#This Row],[Qtt]],Q4-TbTradesUpHold[[#This Row],[Qtt]]),IF(TbTradesUpHold[[#This Row],[Tipo]]="BUY",Q4-TbTradesUpHold[[#This Row],[Qtt]]*TbTradesUpHold[[#This Row],[Preço]],Q4+TbTradesUpHold[[#This Row],[Qtt]]*TbTradesUpHold[[#This Row],[Preço]])),Q4)-IF(TbTradesUpHold[[#This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Row],[Tipo]]="DROP"),Q4+TbTradesUpHold[[#This Row],[Qtt]],Q4-TbTradesUpHold[[#This Row],[Qtt]]),IF(TbTradesUpHold[[#This Row],[Tipo]]="BUY",Q4-TbTradesUpHold[[#This Row],[Qtt]]*TbTradesUpHold[[#This Row],[Preço]],Q4+TbTradesUpHold[[#This Row],[Qtt]]*TbTradesUpHold[[#This Row],[Preço]])),Q4)-IF(TbTradesUpHold[[#This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Row],[Tipo]]="DROP"),Q4+TbTradesUpHold[[#This Row],[Qtt]],Q4-TbTradesUpHold[[#This Row],[Qtt]]),IF(TbTradesUpHold[[#This Row],[Tipo]]="BUY",Q4-TbTradesUpHold[[#This Row],[Qtt]]*TbTradesUpHold[[#This Row],[Preço]],Q4+TbTradesUpHold[[#This Row],[Qtt]]*TbTradesUpHold[[#This Row],[Preço]])),Q4)-IF(TbTradesUpHold[[#This Row],[Moeda da Taxa]]=MID(Q$1,9,5),TbTradesUpHold[[#This Row],[Taxa]],0),8)))</f>
        <v>0</v>
      </c>
      <c r="R5" s="50" cm="1">
        <f t="array" ref="R5">IF(TbTradesUpHold[[#This Row],[Tipo]]="EMPTY",0,R4+IF(TbTradesUpHold[[#This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Row],[Par]]))),$1:$1,0)),-(Q4-Q5)/Q4*R4),0),0)+IF(TbTradesUpHold[[#This Row],[Tipo]]="SELL",IF(ISNUMBER(FIND(MID(R$1,10,5),TbTradesUpHold[[#This Row],[Par]])),IF(FIND(MID(R$1,10,5),TbTradesUpHold[[#This Row],[Par]])=1, -(Q4-Q5)/Q4*R4,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Row],[Par]])),(-(Q4-Q5)/Q4*R4)+IF(TbTradesUpHold[[#This Row],[Resultado]]&gt;0,0,TbTradesUpHold[[#This Row],[Taxa]]),0),0))</f>
        <v>0</v>
      </c>
      <c r="S5" s="41">
        <f t="shared" si="1"/>
        <v>0</v>
      </c>
      <c r="T5" s="43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Row],[Tipo]]="DROP"),T4+TbTradesUpHold[[#This Row],[Qtt]],T4-TbTradesUpHold[[#This Row],[Qtt]]),IF(TbTradesUpHold[[#This Row],[Tipo]]="BUY",T4-TbTradesUpHold[[#This Row],[Qtt]]*TbTradesUpHold[[#This Row],[Preço]],T4+TbTradesUpHold[[#This Row],[Qtt]]*TbTradesUpHold[[#This Row],[Preço]])),T4)-IF(TbTradesUpHold[[#This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Row],[Tipo]]="DROP"),T4+TbTradesUpHold[[#This Row],[Qtt]],T4-TbTradesUpHold[[#This Row],[Qtt]]),IF(TbTradesUpHold[[#This Row],[Tipo]]="BUY",T4-TbTradesUpHold[[#This Row],[Qtt]]*TbTradesUpHold[[#This Row],[Preço]],T4+TbTradesUpHold[[#This Row],[Qtt]]*TbTradesUpHold[[#This Row],[Preço]])),T4)-IF(TbTradesUpHold[[#This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Row],[Tipo]]="DROP"),T4+TbTradesUpHold[[#This Row],[Qtt]],T4-TbTradesUpHold[[#This Row],[Qtt]]),IF(TbTradesUpHold[[#This Row],[Tipo]]="BUY",T4-TbTradesUpHold[[#This Row],[Qtt]]*TbTradesUpHold[[#This Row],[Preço]],T4+TbTradesUpHold[[#This Row],[Qtt]]*TbTradesUpHold[[#This Row],[Preço]])),T4)-IF(TbTradesUpHold[[#This Row],[Moeda da Taxa]]=MID(T$1,9,5),TbTradesUpHold[[#This Row],[Taxa]],0),8)))</f>
        <v>0</v>
      </c>
      <c r="U5" s="50" cm="1">
        <f t="array" ref="U5">IF(TbTradesUpHold[[#This Row],[Tipo]]="EMPTY",0,U4+IF(TbTradesUpHold[[#This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Row],[Par]]))),$1:$1,0)),-(T4-T5)/T4*U4),0),0)+IF(TbTradesUpHold[[#This Row],[Tipo]]="SELL",IF(ISNUMBER(FIND(MID(U$1,10,5),TbTradesUpHold[[#This Row],[Par]])),IF(FIND(MID(U$1,10,5),TbTradesUpHold[[#This Row],[Par]])=1, -(T4-T5)/T4*U4,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Row],[Par]])),(-(T4-T5)/T4*U4)+IF(TbTradesUpHold[[#This Row],[Resultado]]&gt;0,0,TbTradesUpHold[[#This Row],[Taxa]]),0),0))</f>
        <v>0</v>
      </c>
      <c r="V5" s="41">
        <f t="shared" si="2"/>
        <v>0</v>
      </c>
      <c r="W5" s="43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Row],[Tipo]]="DROP"),W4+TbTradesUpHold[[#This Row],[Qtt]],W4-TbTradesUpHold[[#This Row],[Qtt]]),IF(TbTradesUpHold[[#This Row],[Tipo]]="BUY",W4-TbTradesUpHold[[#This Row],[Qtt]]*TbTradesUpHold[[#This Row],[Preço]],W4+TbTradesUpHold[[#This Row],[Qtt]]*TbTradesUpHold[[#This Row],[Preço]])),W4)-IF(TbTradesUpHold[[#This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Row],[Tipo]]="DROP"),W4+TbTradesUpHold[[#This Row],[Qtt]],W4-TbTradesUpHold[[#This Row],[Qtt]]),IF(TbTradesUpHold[[#This Row],[Tipo]]="BUY",W4-TbTradesUpHold[[#This Row],[Qtt]]*TbTradesUpHold[[#This Row],[Preço]],W4+TbTradesUpHold[[#This Row],[Qtt]]*TbTradesUpHold[[#This Row],[Preço]])),W4)-IF(TbTradesUpHold[[#This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Row],[Tipo]]="DROP"),W4+TbTradesUpHold[[#This Row],[Qtt]],W4-TbTradesUpHold[[#This Row],[Qtt]]),IF(TbTradesUpHold[[#This Row],[Tipo]]="BUY",W4-TbTradesUpHold[[#This Row],[Qtt]]*TbTradesUpHold[[#This Row],[Preço]],W4+TbTradesUpHold[[#This Row],[Qtt]]*TbTradesUpHold[[#This Row],[Preço]])),W4)-IF(TbTradesUpHold[[#This Row],[Moeda da Taxa]]=MID(W$1,9,5),TbTradesUpHold[[#This Row],[Taxa]],0),8)))</f>
        <v>0</v>
      </c>
      <c r="X5" s="50" cm="1">
        <f t="array" ref="X5">IF(TbTradesUpHold[[#This Row],[Tipo]]="EMPTY",0,X4+IF(TbTradesUpHold[[#This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Row],[Par]]))),$1:$1,0)),-(W4-W5)/W4*X4),0),0)+IF(TbTradesUpHold[[#This Row],[Tipo]]="SELL",IF(ISNUMBER(FIND(MID(X$1,10,5),TbTradesUpHold[[#This Row],[Par]])),IF(FIND(MID(X$1,10,5),TbTradesUpHold[[#This Row],[Par]])=1, -(W4-W5)/W4*X4,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Row],[Par]])),(-(W4-W5)/W4*X4)+IF(TbTradesUpHold[[#This Row],[Resultado]]&gt;0,0,TbTradesUpHold[[#This Row],[Taxa]]),0),0))</f>
        <v>0</v>
      </c>
      <c r="Y5" s="41">
        <f t="shared" si="3"/>
        <v>0</v>
      </c>
      <c r="Z5" s="43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Row],[Tipo]]="DROP"),Z4+TbTradesUpHold[[#This Row],[Qtt]],Z4-TbTradesUpHold[[#This Row],[Qtt]]),IF(TbTradesUpHold[[#This Row],[Tipo]]="BUY",Z4-TbTradesUpHold[[#This Row],[Qtt]]*TbTradesUpHold[[#This Row],[Preço]],Z4+TbTradesUpHold[[#This Row],[Qtt]]*TbTradesUpHold[[#This Row],[Preço]])),Z4)-IF(TbTradesUpHold[[#This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Row],[Tipo]]="DROP"),Z4+TbTradesUpHold[[#This Row],[Qtt]],Z4-TbTradesUpHold[[#This Row],[Qtt]]),IF(TbTradesUpHold[[#This Row],[Tipo]]="BUY",Z4-TbTradesUpHold[[#This Row],[Qtt]]*TbTradesUpHold[[#This Row],[Preço]],Z4+TbTradesUpHold[[#This Row],[Qtt]]*TbTradesUpHold[[#This Row],[Preço]])),Z4)-IF(TbTradesUpHold[[#This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Row],[Tipo]]="DROP"),Z4+TbTradesUpHold[[#This Row],[Qtt]],Z4-TbTradesUpHold[[#This Row],[Qtt]]),IF(TbTradesUpHold[[#This Row],[Tipo]]="BUY",Z4-TbTradesUpHold[[#This Row],[Qtt]]*TbTradesUpHold[[#This Row],[Preço]],Z4+TbTradesUpHold[[#This Row],[Qtt]]*TbTradesUpHold[[#This Row],[Preço]])),Z4)-IF(TbTradesUpHold[[#This Row],[Moeda da Taxa]]=MID(Z$1,9,5),TbTradesUpHold[[#This Row],[Taxa]],0),8)))</f>
        <v>0</v>
      </c>
      <c r="AA5" s="50" cm="1">
        <f t="array" ref="AA5">IF(TbTradesUpHold[[#This Row],[Tipo]]="EMPTY",0,AA4+IF(TbTradesUpHold[[#This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Row],[Par]]))),$1:$1,0)),-(Z4-Z5)/Z4*AA4),0),0)+IF(TbTradesUpHold[[#This Row],[Tipo]]="SELL",IF(ISNUMBER(FIND(MID(AA$1,10,5),TbTradesUpHold[[#This Row],[Par]])),IF(FIND(MID(AA$1,10,5),TbTradesUpHold[[#This Row],[Par]])=1, -(Z4-Z5)/Z4*AA4,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Row],[Par]])),(-(Z4-Z5)/Z4*AA4)+IF(TbTradesUpHold[[#This Row],[Resultado]]&gt;0,0,TbTradesUpHold[[#This Row],[Taxa]]),0),0))</f>
        <v>0</v>
      </c>
      <c r="AB5" s="41">
        <f t="shared" si="4"/>
        <v>0</v>
      </c>
      <c r="AC5" s="43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Row],[Tipo]]="DROP"),AC4+TbTradesUpHold[[#This Row],[Qtt]],AC4-TbTradesUpHold[[#This Row],[Qtt]]),IF(TbTradesUpHold[[#This Row],[Tipo]]="BUY",AC4-TbTradesUpHold[[#This Row],[Qtt]]*TbTradesUpHold[[#This Row],[Preço]],AC4+TbTradesUpHold[[#This Row],[Qtt]]*TbTradesUpHold[[#This Row],[Preço]])),AC4)-IF(TbTradesUpHold[[#This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Row],[Tipo]]="DROP"),AC4+TbTradesUpHold[[#This Row],[Qtt]],AC4-TbTradesUpHold[[#This Row],[Qtt]]),IF(TbTradesUpHold[[#This Row],[Tipo]]="BUY",AC4-TbTradesUpHold[[#This Row],[Qtt]]*TbTradesUpHold[[#This Row],[Preço]],AC4+TbTradesUpHold[[#This Row],[Qtt]]*TbTradesUpHold[[#This Row],[Preço]])),AC4)-IF(TbTradesUpHold[[#This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Row],[Tipo]]="DROP"),AC4+TbTradesUpHold[[#This Row],[Qtt]],AC4-TbTradesUpHold[[#This Row],[Qtt]]),IF(TbTradesUpHold[[#This Row],[Tipo]]="BUY",AC4-TbTradesUpHold[[#This Row],[Qtt]]*TbTradesUpHold[[#This Row],[Preço]],AC4+TbTradesUpHold[[#This Row],[Qtt]]*TbTradesUpHold[[#This Row],[Preço]])),AC4)-IF(TbTradesUpHold[[#This Row],[Moeda da Taxa]]=MID(AC$1,9,5),TbTradesUpHold[[#This Row],[Taxa]],0),8)))</f>
        <v>0</v>
      </c>
      <c r="AD5" s="50" cm="1">
        <f t="array" ref="AD5">IF(TbTradesUpHold[[#This Row],[Tipo]]="EMPTY",0,AD4+IF(TbTradesUpHold[[#This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Row],[Par]]))),$1:$1,0)),-(AC4-AC5)/AC4*AD4),0),0)+IF(TbTradesUpHold[[#This Row],[Tipo]]="SELL",IF(ISNUMBER(FIND(MID(AD$1,10,5),TbTradesUpHold[[#This Row],[Par]])),IF(FIND(MID(AD$1,10,5),TbTradesUpHold[[#This Row],[Par]])=1, -(AC4-AC5)/AC4*AD4,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Row],[Par]])),(-(AC4-AC5)/AC4*AD4)+IF(TbTradesUpHold[[#This Row],[Resultado]]&gt;0,0,TbTradesUpHold[[#This Row],[Taxa]]),0),0))</f>
        <v>0</v>
      </c>
      <c r="AE5" s="41">
        <f t="shared" si="5"/>
        <v>0</v>
      </c>
      <c r="AF5" s="43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Row],[Tipo]]="DROP"),AF4+TbTradesUpHold[[#This Row],[Qtt]],AF4-TbTradesUpHold[[#This Row],[Qtt]]),IF(TbTradesUpHold[[#This Row],[Tipo]]="BUY",AF4-TbTradesUpHold[[#This Row],[Qtt]]*TbTradesUpHold[[#This Row],[Preço]],AF4+TbTradesUpHold[[#This Row],[Qtt]]*TbTradesUpHold[[#This Row],[Preço]])),AF4)-IF(TbTradesUpHold[[#This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Row],[Tipo]]="DROP"),AF4+TbTradesUpHold[[#This Row],[Qtt]],AF4-TbTradesUpHold[[#This Row],[Qtt]]),IF(TbTradesUpHold[[#This Row],[Tipo]]="BUY",AF4-TbTradesUpHold[[#This Row],[Qtt]]*TbTradesUpHold[[#This Row],[Preço]],AF4+TbTradesUpHold[[#This Row],[Qtt]]*TbTradesUpHold[[#This Row],[Preço]])),AF4)-IF(TbTradesUpHold[[#This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Row],[Tipo]]="DROP"),AF4+TbTradesUpHold[[#This Row],[Qtt]],AF4-TbTradesUpHold[[#This Row],[Qtt]]),IF(TbTradesUpHold[[#This Row],[Tipo]]="BUY",AF4-TbTradesUpHold[[#This Row],[Qtt]]*TbTradesUpHold[[#This Row],[Preço]],AF4+TbTradesUpHold[[#This Row],[Qtt]]*TbTradesUpHold[[#This Row],[Preço]])),AF4)-IF(TbTradesUpHold[[#This Row],[Moeda da Taxa]]=MID(AF$1,9,5),TbTradesUpHold[[#This Row],[Taxa]],0),8)))</f>
        <v>0</v>
      </c>
      <c r="AG5" s="50" cm="1">
        <f t="array" ref="AG5">IF(TbTradesUpHold[[#This Row],[Tipo]]="EMPTY",0,AG4+IF(TbTradesUpHold[[#This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Row],[Par]]))),$1:$1,0)),-(AF4-AF5)/AF4*AG4),0),0)+IF(TbTradesUpHold[[#This Row],[Tipo]]="SELL",IF(ISNUMBER(FIND(MID(AG$1,10,5),TbTradesUpHold[[#This Row],[Par]])),IF(FIND(MID(AG$1,10,5),TbTradesUpHold[[#This Row],[Par]])=1, -(AF4-AF5)/AF4*AG4,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Row],[Par]])),(-(AF4-AF5)/AF4*AG4)+IF(TbTradesUpHold[[#This Row],[Resultado]]&gt;0,0,TbTradesUpHold[[#This Row],[Taxa]]),0),0))</f>
        <v>0</v>
      </c>
      <c r="AH5" s="41">
        <f t="shared" si="6"/>
        <v>0</v>
      </c>
    </row>
    <row r="6" spans="1:34" x14ac:dyDescent="0.3">
      <c r="B6" s="74"/>
      <c r="C6" s="67">
        <f>TRUNC(IF(AND(TbTradesUpHold[[#This Row],[Tipo]]="SEND",TbTradesUpHold[[#This Row],[Par]]="BRL"),TbTradesUpHold[[#This Row],[Qtt]]*(1-P5)-IF(TbTradesUpHold[[#This Row],[Moeda da Taxa]]="BRL",TbTradesUpHold[[#This Row],[Taxa]],0),0)+IF(AND(TbTradesUpHold[[#This Row],[Tipo]]="BURN",TbTradesUpHold[[#This Row],[Par]]="BRL"),-TbTradesUpHold[[#This Row],[Qtt]]*P5,0),2)</f>
        <v>0</v>
      </c>
      <c r="D6" s="65">
        <v>44268.42291666667</v>
      </c>
      <c r="E6" s="77" t="s">
        <v>158</v>
      </c>
      <c r="F6" s="77" t="s">
        <v>139</v>
      </c>
      <c r="G6" s="78">
        <f>TRUNC(1/0.15523233,8)</f>
        <v>6.4419570300000002</v>
      </c>
      <c r="H6" s="78">
        <v>0.16920299999999999</v>
      </c>
      <c r="I6" s="78">
        <v>0</v>
      </c>
      <c r="J6" s="77" t="s">
        <v>50</v>
      </c>
      <c r="K6" s="75">
        <v>1</v>
      </c>
      <c r="L6" s="67">
        <f t="shared" si="7"/>
        <v>6.44</v>
      </c>
      <c r="M6" s="67">
        <f>IF(OR(TbTradesUpHold[[#This Row],[Tipo]]="BUY",TbTradesUpHold[[#This Row],[Tipo]]="RECEIVE",TbTradesUpHold[[#This Row],[Tipo]]="DROP"),L6*H6,-L6*H6)</f>
        <v>1.08966732</v>
      </c>
      <c r="N6" s="41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Row],[Tipo]]="DROP"),N5+TbTradesUpHold[[#This Row],[Qtt]],N5-TbTradesUpHold[[#This Row],[Qtt]]),IF(TbTradesUpHold[[#This Row],[Tipo]]="BUY",N5-TbTradesUpHold[[#This Row],[Qtt]]*TbTradesUpHold[[#This Row],[Preço]],N5+TbTradesUpHold[[#This Row],[Qtt]]*TbTradesUpHold[[#This Row],[Preço]])),N5)-IF(TbTradesUpHold[[#This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Row],[Tipo]]="DROP"),N5+TbTradesUpHold[[#This Row],[Qtt]],N5-TbTradesUpHold[[#This Row],[Qtt]]),IF(TbTradesUpHold[[#This Row],[Tipo]]="BUY",N5-TbTradesUpHold[[#This Row],[Qtt]]*TbTradesUpHold[[#This Row],[Preço]],N5+TbTradesUpHold[[#This Row],[Qtt]]*TbTradesUpHold[[#This Row],[Preço]])),N5)-IF(TbTradesUpHold[[#This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Row],[Tipo]]="DROP"),N5+TbTradesUpHold[[#This Row],[Qtt]],N5-TbTradesUpHold[[#This Row],[Qtt]]),IF(TbTradesUpHold[[#This Row],[Tipo]]="BUY",N5-TbTradesUpHold[[#This Row],[Qtt]]*TbTradesUpHold[[#This Row],[Preço]],N5+TbTradesUpHold[[#This Row],[Qtt]]*TbTradesUpHold[[#This Row],[Preço]])),N5)-IF(TbTradesUpHold[[#This Row],[Moeda da Taxa]]=MID(N$1,9,5),TbTradesUpHold[[#This Row],[Taxa]],0),8)))</f>
        <v>8.5908000000000009E-3</v>
      </c>
      <c r="O6" s="50" cm="1">
        <f t="array" ref="O6">IF(TbTradesUpHold[[#This Row],[Tipo]]="EMPTY",0,O5+IF(TbTradesUpHold[[#This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Row],[Par]]))),$1:$1,0)),-(N5-N6)/N5*O5),0),0)+IF(TbTradesUpHold[[#This Row],[Tipo]]="SELL",IF(ISNUMBER(FIND(MID(O$1,10,5),TbTradesUpHold[[#This Row],[Par]])),IF(FIND(MID(O$1,10,5),TbTradesUpHold[[#This Row],[Par]])=1, -(N5-N6)/N5*O5,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Row],[Par]])),(-(N5-N6)/N5*O5)+IF(TbTradesUpHold[[#This Row],[Resultado]]&gt;0,0,TbTradesUpHold[[#This Row],[Taxa]]),0),0))</f>
        <v>0</v>
      </c>
      <c r="P6" s="41">
        <f t="shared" si="0"/>
        <v>0</v>
      </c>
      <c r="Q6" s="42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Row],[Tipo]]="DROP"),Q5+TbTradesUpHold[[#This Row],[Qtt]],Q5-TbTradesUpHold[[#This Row],[Qtt]]),IF(TbTradesUpHold[[#This Row],[Tipo]]="BUY",Q5-TbTradesUpHold[[#This Row],[Qtt]]*TbTradesUpHold[[#This Row],[Preço]],Q5+TbTradesUpHold[[#This Row],[Qtt]]*TbTradesUpHold[[#This Row],[Preço]])),Q5)-IF(TbTradesUpHold[[#This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Row],[Tipo]]="DROP"),Q5+TbTradesUpHold[[#This Row],[Qtt]],Q5-TbTradesUpHold[[#This Row],[Qtt]]),IF(TbTradesUpHold[[#This Row],[Tipo]]="BUY",Q5-TbTradesUpHold[[#This Row],[Qtt]]*TbTradesUpHold[[#This Row],[Preço]],Q5+TbTradesUpHold[[#This Row],[Qtt]]*TbTradesUpHold[[#This Row],[Preço]])),Q5)-IF(TbTradesUpHold[[#This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Row],[Tipo]]="DROP"),Q5+TbTradesUpHold[[#This Row],[Qtt]],Q5-TbTradesUpHold[[#This Row],[Qtt]]),IF(TbTradesUpHold[[#This Row],[Tipo]]="BUY",Q5-TbTradesUpHold[[#This Row],[Qtt]]*TbTradesUpHold[[#This Row],[Preço]],Q5+TbTradesUpHold[[#This Row],[Qtt]]*TbTradesUpHold[[#This Row],[Preço]])),Q5)-IF(TbTradesUpHold[[#This Row],[Moeda da Taxa]]=MID(Q$1,9,5),TbTradesUpHold[[#This Row],[Taxa]],0),8)))</f>
        <v>0</v>
      </c>
      <c r="R6" s="50" cm="1">
        <f t="array" ref="R6">IF(TbTradesUpHold[[#This Row],[Tipo]]="EMPTY",0,R5+IF(TbTradesUpHold[[#This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Row],[Par]]))),$1:$1,0)),-(Q5-Q6)/Q5*R5),0),0)+IF(TbTradesUpHold[[#This Row],[Tipo]]="SELL",IF(ISNUMBER(FIND(MID(R$1,10,5),TbTradesUpHold[[#This Row],[Par]])),IF(FIND(MID(R$1,10,5),TbTradesUpHold[[#This Row],[Par]])=1, -(Q5-Q6)/Q5*R5,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Row],[Par]])),(-(Q5-Q6)/Q5*R5)+IF(TbTradesUpHold[[#This Row],[Resultado]]&gt;0,0,TbTradesUpHold[[#This Row],[Taxa]]),0),0))</f>
        <v>0</v>
      </c>
      <c r="S6" s="41">
        <f t="shared" si="1"/>
        <v>0</v>
      </c>
      <c r="T6" s="43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Row],[Tipo]]="DROP"),T5+TbTradesUpHold[[#This Row],[Qtt]],T5-TbTradesUpHold[[#This Row],[Qtt]]),IF(TbTradesUpHold[[#This Row],[Tipo]]="BUY",T5-TbTradesUpHold[[#This Row],[Qtt]]*TbTradesUpHold[[#This Row],[Preço]],T5+TbTradesUpHold[[#This Row],[Qtt]]*TbTradesUpHold[[#This Row],[Preço]])),T5)-IF(TbTradesUpHold[[#This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Row],[Tipo]]="DROP"),T5+TbTradesUpHold[[#This Row],[Qtt]],T5-TbTradesUpHold[[#This Row],[Qtt]]),IF(TbTradesUpHold[[#This Row],[Tipo]]="BUY",T5-TbTradesUpHold[[#This Row],[Qtt]]*TbTradesUpHold[[#This Row],[Preço]],T5+TbTradesUpHold[[#This Row],[Qtt]]*TbTradesUpHold[[#This Row],[Preço]])),T5)-IF(TbTradesUpHold[[#This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Row],[Tipo]]="DROP"),T5+TbTradesUpHold[[#This Row],[Qtt]],T5-TbTradesUpHold[[#This Row],[Qtt]]),IF(TbTradesUpHold[[#This Row],[Tipo]]="BUY",T5-TbTradesUpHold[[#This Row],[Qtt]]*TbTradesUpHold[[#This Row],[Preço]],T5+TbTradesUpHold[[#This Row],[Qtt]]*TbTradesUpHold[[#This Row],[Preço]])),T5)-IF(TbTradesUpHold[[#This Row],[Moeda da Taxa]]=MID(T$1,9,5),TbTradesUpHold[[#This Row],[Taxa]],0),8)))</f>
        <v>0</v>
      </c>
      <c r="U6" s="50" cm="1">
        <f t="array" ref="U6">IF(TbTradesUpHold[[#This Row],[Tipo]]="EMPTY",0,U5+IF(TbTradesUpHold[[#This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Row],[Par]]))),$1:$1,0)),-(T5-T6)/T5*U5),0),0)+IF(TbTradesUpHold[[#This Row],[Tipo]]="SELL",IF(ISNUMBER(FIND(MID(U$1,10,5),TbTradesUpHold[[#This Row],[Par]])),IF(FIND(MID(U$1,10,5),TbTradesUpHold[[#This Row],[Par]])=1, -(T5-T6)/T5*U5,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Row],[Par]])),(-(T5-T6)/T5*U5)+IF(TbTradesUpHold[[#This Row],[Resultado]]&gt;0,0,TbTradesUpHold[[#This Row],[Taxa]]),0),0))</f>
        <v>0</v>
      </c>
      <c r="V6" s="41">
        <f t="shared" si="2"/>
        <v>0</v>
      </c>
      <c r="W6" s="43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Row],[Tipo]]="DROP"),W5+TbTradesUpHold[[#This Row],[Qtt]],W5-TbTradesUpHold[[#This Row],[Qtt]]),IF(TbTradesUpHold[[#This Row],[Tipo]]="BUY",W5-TbTradesUpHold[[#This Row],[Qtt]]*TbTradesUpHold[[#This Row],[Preço]],W5+TbTradesUpHold[[#This Row],[Qtt]]*TbTradesUpHold[[#This Row],[Preço]])),W5)-IF(TbTradesUpHold[[#This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Row],[Tipo]]="DROP"),W5+TbTradesUpHold[[#This Row],[Qtt]],W5-TbTradesUpHold[[#This Row],[Qtt]]),IF(TbTradesUpHold[[#This Row],[Tipo]]="BUY",W5-TbTradesUpHold[[#This Row],[Qtt]]*TbTradesUpHold[[#This Row],[Preço]],W5+TbTradesUpHold[[#This Row],[Qtt]]*TbTradesUpHold[[#This Row],[Preço]])),W5)-IF(TbTradesUpHold[[#This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Row],[Tipo]]="DROP"),W5+TbTradesUpHold[[#This Row],[Qtt]],W5-TbTradesUpHold[[#This Row],[Qtt]]),IF(TbTradesUpHold[[#This Row],[Tipo]]="BUY",W5-TbTradesUpHold[[#This Row],[Qtt]]*TbTradesUpHold[[#This Row],[Preço]],W5+TbTradesUpHold[[#This Row],[Qtt]]*TbTradesUpHold[[#This Row],[Preço]])),W5)-IF(TbTradesUpHold[[#This Row],[Moeda da Taxa]]=MID(W$1,9,5),TbTradesUpHold[[#This Row],[Taxa]],0),8)))</f>
        <v>0</v>
      </c>
      <c r="X6" s="50" cm="1">
        <f t="array" ref="X6">IF(TbTradesUpHold[[#This Row],[Tipo]]="EMPTY",0,X5+IF(TbTradesUpHold[[#This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Row],[Par]]))),$1:$1,0)),-(W5-W6)/W5*X5),0),0)+IF(TbTradesUpHold[[#This Row],[Tipo]]="SELL",IF(ISNUMBER(FIND(MID(X$1,10,5),TbTradesUpHold[[#This Row],[Par]])),IF(FIND(MID(X$1,10,5),TbTradesUpHold[[#This Row],[Par]])=1, -(W5-W6)/W5*X5,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Row],[Par]])),(-(W5-W6)/W5*X5)+IF(TbTradesUpHold[[#This Row],[Resultado]]&gt;0,0,TbTradesUpHold[[#This Row],[Taxa]]),0),0))</f>
        <v>0</v>
      </c>
      <c r="Y6" s="41">
        <f t="shared" si="3"/>
        <v>0</v>
      </c>
      <c r="Z6" s="43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Row],[Tipo]]="DROP"),Z5+TbTradesUpHold[[#This Row],[Qtt]],Z5-TbTradesUpHold[[#This Row],[Qtt]]),IF(TbTradesUpHold[[#This Row],[Tipo]]="BUY",Z5-TbTradesUpHold[[#This Row],[Qtt]]*TbTradesUpHold[[#This Row],[Preço]],Z5+TbTradesUpHold[[#This Row],[Qtt]]*TbTradesUpHold[[#This Row],[Preço]])),Z5)-IF(TbTradesUpHold[[#This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Row],[Tipo]]="DROP"),Z5+TbTradesUpHold[[#This Row],[Qtt]],Z5-TbTradesUpHold[[#This Row],[Qtt]]),IF(TbTradesUpHold[[#This Row],[Tipo]]="BUY",Z5-TbTradesUpHold[[#This Row],[Qtt]]*TbTradesUpHold[[#This Row],[Preço]],Z5+TbTradesUpHold[[#This Row],[Qtt]]*TbTradesUpHold[[#This Row],[Preço]])),Z5)-IF(TbTradesUpHold[[#This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Row],[Tipo]]="DROP"),Z5+TbTradesUpHold[[#This Row],[Qtt]],Z5-TbTradesUpHold[[#This Row],[Qtt]]),IF(TbTradesUpHold[[#This Row],[Tipo]]="BUY",Z5-TbTradesUpHold[[#This Row],[Qtt]]*TbTradesUpHold[[#This Row],[Preço]],Z5+TbTradesUpHold[[#This Row],[Qtt]]*TbTradesUpHold[[#This Row],[Preço]])),Z5)-IF(TbTradesUpHold[[#This Row],[Moeda da Taxa]]=MID(Z$1,9,5),TbTradesUpHold[[#This Row],[Taxa]],0),8)))</f>
        <v>0.16920299999999999</v>
      </c>
      <c r="AA6" s="50" cm="1">
        <f t="array" ref="AA6">IF(TbTradesUpHold[[#This Row],[Tipo]]="EMPTY",0,AA5+IF(TbTradesUpHold[[#This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Row],[Par]]))),$1:$1,0)),-(Z5-Z6)/Z5*AA5),0),0)+IF(TbTradesUpHold[[#This Row],[Tipo]]="SELL",IF(ISNUMBER(FIND(MID(AA$1,10,5),TbTradesUpHold[[#This Row],[Par]])),IF(FIND(MID(AA$1,10,5),TbTradesUpHold[[#This Row],[Par]])=1, -(Z5-Z6)/Z5*AA5,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Row],[Par]])),(-(Z5-Z6)/Z5*AA5)+IF(TbTradesUpHold[[#This Row],[Resultado]]&gt;0,0,TbTradesUpHold[[#This Row],[Taxa]]),0),0))</f>
        <v>0</v>
      </c>
      <c r="AB6" s="41">
        <f t="shared" si="4"/>
        <v>0</v>
      </c>
      <c r="AC6" s="43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Row],[Tipo]]="DROP"),AC5+TbTradesUpHold[[#This Row],[Qtt]],AC5-TbTradesUpHold[[#This Row],[Qtt]]),IF(TbTradesUpHold[[#This Row],[Tipo]]="BUY",AC5-TbTradesUpHold[[#This Row],[Qtt]]*TbTradesUpHold[[#This Row],[Preço]],AC5+TbTradesUpHold[[#This Row],[Qtt]]*TbTradesUpHold[[#This Row],[Preço]])),AC5)-IF(TbTradesUpHold[[#This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Row],[Tipo]]="DROP"),AC5+TbTradesUpHold[[#This Row],[Qtt]],AC5-TbTradesUpHold[[#This Row],[Qtt]]),IF(TbTradesUpHold[[#This Row],[Tipo]]="BUY",AC5-TbTradesUpHold[[#This Row],[Qtt]]*TbTradesUpHold[[#This Row],[Preço]],AC5+TbTradesUpHold[[#This Row],[Qtt]]*TbTradesUpHold[[#This Row],[Preço]])),AC5)-IF(TbTradesUpHold[[#This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Row],[Tipo]]="DROP"),AC5+TbTradesUpHold[[#This Row],[Qtt]],AC5-TbTradesUpHold[[#This Row],[Qtt]]),IF(TbTradesUpHold[[#This Row],[Tipo]]="BUY",AC5-TbTradesUpHold[[#This Row],[Qtt]]*TbTradesUpHold[[#This Row],[Preço]],AC5+TbTradesUpHold[[#This Row],[Qtt]]*TbTradesUpHold[[#This Row],[Preço]])),AC5)-IF(TbTradesUpHold[[#This Row],[Moeda da Taxa]]=MID(AC$1,9,5),TbTradesUpHold[[#This Row],[Taxa]],0),8)))</f>
        <v>0</v>
      </c>
      <c r="AD6" s="50" cm="1">
        <f t="array" ref="AD6">IF(TbTradesUpHold[[#This Row],[Tipo]]="EMPTY",0,AD5+IF(TbTradesUpHold[[#This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Row],[Par]]))),$1:$1,0)),-(AC5-AC6)/AC5*AD5),0),0)+IF(TbTradesUpHold[[#This Row],[Tipo]]="SELL",IF(ISNUMBER(FIND(MID(AD$1,10,5),TbTradesUpHold[[#This Row],[Par]])),IF(FIND(MID(AD$1,10,5),TbTradesUpHold[[#This Row],[Par]])=1, -(AC5-AC6)/AC5*AD5,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Row],[Par]])),(-(AC5-AC6)/AC5*AD5)+IF(TbTradesUpHold[[#This Row],[Resultado]]&gt;0,0,TbTradesUpHold[[#This Row],[Taxa]]),0),0))</f>
        <v>0</v>
      </c>
      <c r="AE6" s="41">
        <f t="shared" si="5"/>
        <v>0</v>
      </c>
      <c r="AF6" s="43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Row],[Tipo]]="DROP"),AF5+TbTradesUpHold[[#This Row],[Qtt]],AF5-TbTradesUpHold[[#This Row],[Qtt]]),IF(TbTradesUpHold[[#This Row],[Tipo]]="BUY",AF5-TbTradesUpHold[[#This Row],[Qtt]]*TbTradesUpHold[[#This Row],[Preço]],AF5+TbTradesUpHold[[#This Row],[Qtt]]*TbTradesUpHold[[#This Row],[Preço]])),AF5)-IF(TbTradesUpHold[[#This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Row],[Tipo]]="DROP"),AF5+TbTradesUpHold[[#This Row],[Qtt]],AF5-TbTradesUpHold[[#This Row],[Qtt]]),IF(TbTradesUpHold[[#This Row],[Tipo]]="BUY",AF5-TbTradesUpHold[[#This Row],[Qtt]]*TbTradesUpHold[[#This Row],[Preço]],AF5+TbTradesUpHold[[#This Row],[Qtt]]*TbTradesUpHold[[#This Row],[Preço]])),AF5)-IF(TbTradesUpHold[[#This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Row],[Tipo]]="DROP"),AF5+TbTradesUpHold[[#This Row],[Qtt]],AF5-TbTradesUpHold[[#This Row],[Qtt]]),IF(TbTradesUpHold[[#This Row],[Tipo]]="BUY",AF5-TbTradesUpHold[[#This Row],[Qtt]]*TbTradesUpHold[[#This Row],[Preço]],AF5+TbTradesUpHold[[#This Row],[Qtt]]*TbTradesUpHold[[#This Row],[Preço]])),AF5)-IF(TbTradesUpHold[[#This Row],[Moeda da Taxa]]=MID(AF$1,9,5),TbTradesUpHold[[#This Row],[Taxa]],0),8)))</f>
        <v>0</v>
      </c>
      <c r="AG6" s="50" cm="1">
        <f t="array" ref="AG6">IF(TbTradesUpHold[[#This Row],[Tipo]]="EMPTY",0,AG5+IF(TbTradesUpHold[[#This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Row],[Par]]))),$1:$1,0)),-(AF5-AF6)/AF5*AG5),0),0)+IF(TbTradesUpHold[[#This Row],[Tipo]]="SELL",IF(ISNUMBER(FIND(MID(AG$1,10,5),TbTradesUpHold[[#This Row],[Par]])),IF(FIND(MID(AG$1,10,5),TbTradesUpHold[[#This Row],[Par]])=1, -(AF5-AF6)/AF5*AG5,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Row],[Par]])),(-(AF5-AF6)/AF5*AG5)+IF(TbTradesUpHold[[#This Row],[Resultado]]&gt;0,0,TbTradesUpHold[[#This Row],[Taxa]]),0),0))</f>
        <v>0</v>
      </c>
      <c r="AH6" s="41">
        <f t="shared" si="6"/>
        <v>0</v>
      </c>
    </row>
    <row r="7" spans="1:34" x14ac:dyDescent="0.3">
      <c r="B7" s="74"/>
      <c r="C7" s="67">
        <f>TRUNC(IF(AND(TbTradesUpHold[[#This Row],[Tipo]]="SEND",TbTradesUpHold[[#This Row],[Par]]="BRL"),TbTradesUpHold[[#This Row],[Qtt]]*(1-P6)-IF(TbTradesUpHold[[#This Row],[Moeda da Taxa]]="BRL",TbTradesUpHold[[#This Row],[Taxa]],0),0)+IF(AND(TbTradesUpHold[[#This Row],[Tipo]]="BURN",TbTradesUpHold[[#This Row],[Par]]="BRL"),-TbTradesUpHold[[#This Row],[Qtt]]*P6,0),2)</f>
        <v>0</v>
      </c>
      <c r="D7" s="65">
        <v>44268.425694444442</v>
      </c>
      <c r="E7" s="77" t="s">
        <v>159</v>
      </c>
      <c r="F7" s="77" t="s">
        <v>139</v>
      </c>
      <c r="G7" s="78">
        <f>TRUNC(1/0.00194679,8)</f>
        <v>513.66608622000001</v>
      </c>
      <c r="H7" s="78">
        <v>3.2939999999999998E-4</v>
      </c>
      <c r="I7" s="78">
        <f>TRUNC(1.39119781791819E-06,8)</f>
        <v>1.39E-6</v>
      </c>
      <c r="J7" s="77" t="s">
        <v>43</v>
      </c>
      <c r="K7" s="75">
        <v>6.44</v>
      </c>
      <c r="L7" s="67">
        <f t="shared" si="7"/>
        <v>3308</v>
      </c>
      <c r="M7" s="67">
        <f>IF(OR(TbTradesUpHold[[#This Row],[Tipo]]="BUY",TbTradesUpHold[[#This Row],[Tipo]]="RECEIVE",TbTradesUpHold[[#This Row],[Tipo]]="DROP"),L7*H7,-L7*H7)</f>
        <v>1.0896551999999999</v>
      </c>
      <c r="N7" s="41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Row],[Tipo]]="DROP"),N6+TbTradesUpHold[[#This Row],[Qtt]],N6-TbTradesUpHold[[#This Row],[Qtt]]),IF(TbTradesUpHold[[#This Row],[Tipo]]="BUY",N6-TbTradesUpHold[[#This Row],[Qtt]]*TbTradesUpHold[[#This Row],[Preço]],N6+TbTradesUpHold[[#This Row],[Qtt]]*TbTradesUpHold[[#This Row],[Preço]])),N6)-IF(TbTradesUpHold[[#This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Row],[Tipo]]="DROP"),N6+TbTradesUpHold[[#This Row],[Qtt]],N6-TbTradesUpHold[[#This Row],[Qtt]]),IF(TbTradesUpHold[[#This Row],[Tipo]]="BUY",N6-TbTradesUpHold[[#This Row],[Qtt]]*TbTradesUpHold[[#This Row],[Preço]],N6+TbTradesUpHold[[#This Row],[Qtt]]*TbTradesUpHold[[#This Row],[Preço]])),N6)-IF(TbTradesUpHold[[#This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Row],[Tipo]]="DROP"),N6+TbTradesUpHold[[#This Row],[Qtt]],N6-TbTradesUpHold[[#This Row],[Qtt]]),IF(TbTradesUpHold[[#This Row],[Tipo]]="BUY",N6-TbTradesUpHold[[#This Row],[Qtt]]*TbTradesUpHold[[#This Row],[Preço]],N6+TbTradesUpHold[[#This Row],[Qtt]]*TbTradesUpHold[[#This Row],[Preço]])),N6)-IF(TbTradesUpHold[[#This Row],[Moeda da Taxa]]=MID(N$1,9,5),TbTradesUpHold[[#This Row],[Taxa]],0),8)))</f>
        <v>8.5908000000000009E-3</v>
      </c>
      <c r="O7" s="50" cm="1">
        <f t="array" ref="O7">IF(TbTradesUpHold[[#This Row],[Tipo]]="EMPTY",0,O6+IF(TbTradesUpHold[[#This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Row],[Par]]))),$1:$1,0)),-(N6-N7)/N6*O6),0),0)+IF(TbTradesUpHold[[#This Row],[Tipo]]="SELL",IF(ISNUMBER(FIND(MID(O$1,10,5),TbTradesUpHold[[#This Row],[Par]])),IF(FIND(MID(O$1,10,5),TbTradesUpHold[[#This Row],[Par]])=1, -(N6-N7)/N6*O6,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Row],[Par]])),(-(N6-N7)/N6*O6)+IF(TbTradesUpHold[[#This Row],[Resultado]]&gt;0,0,TbTradesUpHold[[#This Row],[Taxa]]),0),0))</f>
        <v>0</v>
      </c>
      <c r="P7" s="41">
        <f t="shared" si="0"/>
        <v>0</v>
      </c>
      <c r="Q7" s="42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Row],[Tipo]]="DROP"),Q6+TbTradesUpHold[[#This Row],[Qtt]],Q6-TbTradesUpHold[[#This Row],[Qtt]]),IF(TbTradesUpHold[[#This Row],[Tipo]]="BUY",Q6-TbTradesUpHold[[#This Row],[Qtt]]*TbTradesUpHold[[#This Row],[Preço]],Q6+TbTradesUpHold[[#This Row],[Qtt]]*TbTradesUpHold[[#This Row],[Preço]])),Q6)-IF(TbTradesUpHold[[#This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Row],[Tipo]]="DROP"),Q6+TbTradesUpHold[[#This Row],[Qtt]],Q6-TbTradesUpHold[[#This Row],[Qtt]]),IF(TbTradesUpHold[[#This Row],[Tipo]]="BUY",Q6-TbTradesUpHold[[#This Row],[Qtt]]*TbTradesUpHold[[#This Row],[Preço]],Q6+TbTradesUpHold[[#This Row],[Qtt]]*TbTradesUpHold[[#This Row],[Preço]])),Q6)-IF(TbTradesUpHold[[#This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Row],[Tipo]]="DROP"),Q6+TbTradesUpHold[[#This Row],[Qtt]],Q6-TbTradesUpHold[[#This Row],[Qtt]]),IF(TbTradesUpHold[[#This Row],[Tipo]]="BUY",Q6-TbTradesUpHold[[#This Row],[Qtt]]*TbTradesUpHold[[#This Row],[Preço]],Q6+TbTradesUpHold[[#This Row],[Qtt]]*TbTradesUpHold[[#This Row],[Preço]])),Q6)-IF(TbTradesUpHold[[#This Row],[Moeda da Taxa]]=MID(Q$1,9,5),TbTradesUpHold[[#This Row],[Taxa]],0),8)))</f>
        <v>0</v>
      </c>
      <c r="R7" s="50" cm="1">
        <f t="array" ref="R7">IF(TbTradesUpHold[[#This Row],[Tipo]]="EMPTY",0,R6+IF(TbTradesUpHold[[#This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Row],[Par]]))),$1:$1,0)),-(Q6-Q7)/Q6*R6),0),0)+IF(TbTradesUpHold[[#This Row],[Tipo]]="SELL",IF(ISNUMBER(FIND(MID(R$1,10,5),TbTradesUpHold[[#This Row],[Par]])),IF(FIND(MID(R$1,10,5),TbTradesUpHold[[#This Row],[Par]])=1, -(Q6-Q7)/Q6*R6,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Row],[Par]])),(-(Q6-Q7)/Q6*R6)+IF(TbTradesUpHold[[#This Row],[Resultado]]&gt;0,0,TbTradesUpHold[[#This Row],[Taxa]]),0),0))</f>
        <v>0</v>
      </c>
      <c r="S7" s="41">
        <f t="shared" si="1"/>
        <v>0</v>
      </c>
      <c r="T7" s="43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Row],[Tipo]]="DROP"),T6+TbTradesUpHold[[#This Row],[Qtt]],T6-TbTradesUpHold[[#This Row],[Qtt]]),IF(TbTradesUpHold[[#This Row],[Tipo]]="BUY",T6-TbTradesUpHold[[#This Row],[Qtt]]*TbTradesUpHold[[#This Row],[Preço]],T6+TbTradesUpHold[[#This Row],[Qtt]]*TbTradesUpHold[[#This Row],[Preço]])),T6)-IF(TbTradesUpHold[[#This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Row],[Tipo]]="DROP"),T6+TbTradesUpHold[[#This Row],[Qtt]],T6-TbTradesUpHold[[#This Row],[Qtt]]),IF(TbTradesUpHold[[#This Row],[Tipo]]="BUY",T6-TbTradesUpHold[[#This Row],[Qtt]]*TbTradesUpHold[[#This Row],[Preço]],T6+TbTradesUpHold[[#This Row],[Qtt]]*TbTradesUpHold[[#This Row],[Preço]])),T6)-IF(TbTradesUpHold[[#This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Row],[Tipo]]="DROP"),T6+TbTradesUpHold[[#This Row],[Qtt]],T6-TbTradesUpHold[[#This Row],[Qtt]]),IF(TbTradesUpHold[[#This Row],[Tipo]]="BUY",T6-TbTradesUpHold[[#This Row],[Qtt]]*TbTradesUpHold[[#This Row],[Preço]],T6+TbTradesUpHold[[#This Row],[Qtt]]*TbTradesUpHold[[#This Row],[Preço]])),T6)-IF(TbTradesUpHold[[#This Row],[Moeda da Taxa]]=MID(T$1,9,5),TbTradesUpHold[[#This Row],[Taxa]],0),8)))</f>
        <v>0</v>
      </c>
      <c r="U7" s="50" cm="1">
        <f t="array" ref="U7">IF(TbTradesUpHold[[#This Row],[Tipo]]="EMPTY",0,U6+IF(TbTradesUpHold[[#This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Row],[Par]]))),$1:$1,0)),-(T6-T7)/T6*U6),0),0)+IF(TbTradesUpHold[[#This Row],[Tipo]]="SELL",IF(ISNUMBER(FIND(MID(U$1,10,5),TbTradesUpHold[[#This Row],[Par]])),IF(FIND(MID(U$1,10,5),TbTradesUpHold[[#This Row],[Par]])=1, -(T6-T7)/T6*U6,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Row],[Par]])),(-(T6-T7)/T6*U6)+IF(TbTradesUpHold[[#This Row],[Resultado]]&gt;0,0,TbTradesUpHold[[#This Row],[Taxa]]),0),0))</f>
        <v>0</v>
      </c>
      <c r="V7" s="41">
        <f t="shared" si="2"/>
        <v>0</v>
      </c>
      <c r="W7" s="43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Row],[Tipo]]="DROP"),W6+TbTradesUpHold[[#This Row],[Qtt]],W6-TbTradesUpHold[[#This Row],[Qtt]]),IF(TbTradesUpHold[[#This Row],[Tipo]]="BUY",W6-TbTradesUpHold[[#This Row],[Qtt]]*TbTradesUpHold[[#This Row],[Preço]],W6+TbTradesUpHold[[#This Row],[Qtt]]*TbTradesUpHold[[#This Row],[Preço]])),W6)-IF(TbTradesUpHold[[#This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Row],[Tipo]]="DROP"),W6+TbTradesUpHold[[#This Row],[Qtt]],W6-TbTradesUpHold[[#This Row],[Qtt]]),IF(TbTradesUpHold[[#This Row],[Tipo]]="BUY",W6-TbTradesUpHold[[#This Row],[Qtt]]*TbTradesUpHold[[#This Row],[Preço]],W6+TbTradesUpHold[[#This Row],[Qtt]]*TbTradesUpHold[[#This Row],[Preço]])),W6)-IF(TbTradesUpHold[[#This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Row],[Tipo]]="DROP"),W6+TbTradesUpHold[[#This Row],[Qtt]],W6-TbTradesUpHold[[#This Row],[Qtt]]),IF(TbTradesUpHold[[#This Row],[Tipo]]="BUY",W6-TbTradesUpHold[[#This Row],[Qtt]]*TbTradesUpHold[[#This Row],[Preço]],W6+TbTradesUpHold[[#This Row],[Qtt]]*TbTradesUpHold[[#This Row],[Preço]])),W6)-IF(TbTradesUpHold[[#This Row],[Moeda da Taxa]]=MID(W$1,9,5),TbTradesUpHold[[#This Row],[Taxa]],0),8)))</f>
        <v>0</v>
      </c>
      <c r="X7" s="50" cm="1">
        <f t="array" ref="X7">IF(TbTradesUpHold[[#This Row],[Tipo]]="EMPTY",0,X6+IF(TbTradesUpHold[[#This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Row],[Par]]))),$1:$1,0)),-(W6-W7)/W6*X6),0),0)+IF(TbTradesUpHold[[#This Row],[Tipo]]="SELL",IF(ISNUMBER(FIND(MID(X$1,10,5),TbTradesUpHold[[#This Row],[Par]])),IF(FIND(MID(X$1,10,5),TbTradesUpHold[[#This Row],[Par]])=1, -(W6-W7)/W6*X6,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Row],[Par]])),(-(W6-W7)/W6*X6)+IF(TbTradesUpHold[[#This Row],[Resultado]]&gt;0,0,TbTradesUpHold[[#This Row],[Taxa]]),0),0))</f>
        <v>0</v>
      </c>
      <c r="Y7" s="41">
        <f t="shared" si="3"/>
        <v>0</v>
      </c>
      <c r="Z7" s="43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Row],[Tipo]]="DROP"),Z6+TbTradesUpHold[[#This Row],[Qtt]],Z6-TbTradesUpHold[[#This Row],[Qtt]]),IF(TbTradesUpHold[[#This Row],[Tipo]]="BUY",Z6-TbTradesUpHold[[#This Row],[Qtt]]*TbTradesUpHold[[#This Row],[Preço]],Z6+TbTradesUpHold[[#This Row],[Qtt]]*TbTradesUpHold[[#This Row],[Preço]])),Z6)-IF(TbTradesUpHold[[#This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Row],[Tipo]]="DROP"),Z6+TbTradesUpHold[[#This Row],[Qtt]],Z6-TbTradesUpHold[[#This Row],[Qtt]]),IF(TbTradesUpHold[[#This Row],[Tipo]]="BUY",Z6-TbTradesUpHold[[#This Row],[Qtt]]*TbTradesUpHold[[#This Row],[Preço]],Z6+TbTradesUpHold[[#This Row],[Qtt]]*TbTradesUpHold[[#This Row],[Preço]])),Z6)-IF(TbTradesUpHold[[#This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Row],[Tipo]]="DROP"),Z6+TbTradesUpHold[[#This Row],[Qtt]],Z6-TbTradesUpHold[[#This Row],[Qtt]]),IF(TbTradesUpHold[[#This Row],[Tipo]]="BUY",Z6-TbTradesUpHold[[#This Row],[Qtt]]*TbTradesUpHold[[#This Row],[Preço]],Z6+TbTradesUpHold[[#This Row],[Qtt]]*TbTradesUpHold[[#This Row],[Preço]])),Z6)-IF(TbTradesUpHold[[#This Row],[Moeda da Taxa]]=MID(Z$1,9,5),TbTradesUpHold[[#This Row],[Taxa]],0),8)))</f>
        <v>0</v>
      </c>
      <c r="AA7" s="50" cm="1">
        <f t="array" ref="AA7">IF(TbTradesUpHold[[#This Row],[Tipo]]="EMPTY",0,AA6+IF(TbTradesUpHold[[#This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Row],[Par]]))),$1:$1,0)),-(Z6-Z7)/Z6*AA6),0),0)+IF(TbTradesUpHold[[#This Row],[Tipo]]="SELL",IF(ISNUMBER(FIND(MID(AA$1,10,5),TbTradesUpHold[[#This Row],[Par]])),IF(FIND(MID(AA$1,10,5),TbTradesUpHold[[#This Row],[Par]])=1, -(Z6-Z7)/Z6*AA6,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Row],[Par]])),(-(Z6-Z7)/Z6*AA6)+IF(TbTradesUpHold[[#This Row],[Resultado]]&gt;0,0,TbTradesUpHold[[#This Row],[Taxa]]),0),0))</f>
        <v>0</v>
      </c>
      <c r="AB7" s="41">
        <f t="shared" si="4"/>
        <v>0</v>
      </c>
      <c r="AC7" s="43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Row],[Tipo]]="DROP"),AC6+TbTradesUpHold[[#This Row],[Qtt]],AC6-TbTradesUpHold[[#This Row],[Qtt]]),IF(TbTradesUpHold[[#This Row],[Tipo]]="BUY",AC6-TbTradesUpHold[[#This Row],[Qtt]]*TbTradesUpHold[[#This Row],[Preço]],AC6+TbTradesUpHold[[#This Row],[Qtt]]*TbTradesUpHold[[#This Row],[Preço]])),AC6)-IF(TbTradesUpHold[[#This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Row],[Tipo]]="DROP"),AC6+TbTradesUpHold[[#This Row],[Qtt]],AC6-TbTradesUpHold[[#This Row],[Qtt]]),IF(TbTradesUpHold[[#This Row],[Tipo]]="BUY",AC6-TbTradesUpHold[[#This Row],[Qtt]]*TbTradesUpHold[[#This Row],[Preço]],AC6+TbTradesUpHold[[#This Row],[Qtt]]*TbTradesUpHold[[#This Row],[Preço]])),AC6)-IF(TbTradesUpHold[[#This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Row],[Tipo]]="DROP"),AC6+TbTradesUpHold[[#This Row],[Qtt]],AC6-TbTradesUpHold[[#This Row],[Qtt]]),IF(TbTradesUpHold[[#This Row],[Tipo]]="BUY",AC6-TbTradesUpHold[[#This Row],[Qtt]]*TbTradesUpHold[[#This Row],[Preço]],AC6+TbTradesUpHold[[#This Row],[Qtt]]*TbTradesUpHold[[#This Row],[Preço]])),AC6)-IF(TbTradesUpHold[[#This Row],[Moeda da Taxa]]=MID(AC$1,9,5),TbTradesUpHold[[#This Row],[Taxa]],0),8)))</f>
        <v>0</v>
      </c>
      <c r="AD7" s="50" cm="1">
        <f t="array" ref="AD7">IF(TbTradesUpHold[[#This Row],[Tipo]]="EMPTY",0,AD6+IF(TbTradesUpHold[[#This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Row],[Par]]))),$1:$1,0)),-(AC6-AC7)/AC6*AD6),0),0)+IF(TbTradesUpHold[[#This Row],[Tipo]]="SELL",IF(ISNUMBER(FIND(MID(AD$1,10,5),TbTradesUpHold[[#This Row],[Par]])),IF(FIND(MID(AD$1,10,5),TbTradesUpHold[[#This Row],[Par]])=1, -(AC6-AC7)/AC6*AD6,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Row],[Par]])),(-(AC6-AC7)/AC6*AD6)+IF(TbTradesUpHold[[#This Row],[Resultado]]&gt;0,0,TbTradesUpHold[[#This Row],[Taxa]]),0),0))</f>
        <v>0</v>
      </c>
      <c r="AE7" s="41">
        <f t="shared" si="5"/>
        <v>0</v>
      </c>
      <c r="AF7" s="43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Row],[Tipo]]="DROP"),AF6+TbTradesUpHold[[#This Row],[Qtt]],AF6-TbTradesUpHold[[#This Row],[Qtt]]),IF(TbTradesUpHold[[#This Row],[Tipo]]="BUY",AF6-TbTradesUpHold[[#This Row],[Qtt]]*TbTradesUpHold[[#This Row],[Preço]],AF6+TbTradesUpHold[[#This Row],[Qtt]]*TbTradesUpHold[[#This Row],[Preço]])),AF6)-IF(TbTradesUpHold[[#This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Row],[Tipo]]="DROP"),AF6+TbTradesUpHold[[#This Row],[Qtt]],AF6-TbTradesUpHold[[#This Row],[Qtt]]),IF(TbTradesUpHold[[#This Row],[Tipo]]="BUY",AF6-TbTradesUpHold[[#This Row],[Qtt]]*TbTradesUpHold[[#This Row],[Preço]],AF6+TbTradesUpHold[[#This Row],[Qtt]]*TbTradesUpHold[[#This Row],[Preço]])),AF6)-IF(TbTradesUpHold[[#This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Row],[Tipo]]="DROP"),AF6+TbTradesUpHold[[#This Row],[Qtt]],AF6-TbTradesUpHold[[#This Row],[Qtt]]),IF(TbTradesUpHold[[#This Row],[Tipo]]="BUY",AF6-TbTradesUpHold[[#This Row],[Qtt]]*TbTradesUpHold[[#This Row],[Preço]],AF6+TbTradesUpHold[[#This Row],[Qtt]]*TbTradesUpHold[[#This Row],[Preço]])),AF6)-IF(TbTradesUpHold[[#This Row],[Moeda da Taxa]]=MID(AF$1,9,5),TbTradesUpHold[[#This Row],[Taxa]],0),8)))</f>
        <v>3.2939999999999998E-4</v>
      </c>
      <c r="AG7" s="50" cm="1">
        <f t="array" ref="AG7">IF(TbTradesUpHold[[#This Row],[Tipo]]="EMPTY",0,AG6+IF(TbTradesUpHold[[#This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Row],[Par]]))),$1:$1,0)),-(AF6-AF7)/AF6*AG6),0),0)+IF(TbTradesUpHold[[#This Row],[Tipo]]="SELL",IF(ISNUMBER(FIND(MID(AG$1,10,5),TbTradesUpHold[[#This Row],[Par]])),IF(FIND(MID(AG$1,10,5),TbTradesUpHold[[#This Row],[Par]])=1, -(AF6-AF7)/AF6*AG6,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Row],[Par]])),(-(AF6-AF7)/AF6*AG6)+IF(TbTradesUpHold[[#This Row],[Resultado]]&gt;0,0,TbTradesUpHold[[#This Row],[Taxa]]),0),0))</f>
        <v>0</v>
      </c>
      <c r="AH7" s="41">
        <f t="shared" si="6"/>
        <v>0</v>
      </c>
    </row>
    <row r="8" spans="1:34" x14ac:dyDescent="0.3">
      <c r="B8" s="74"/>
      <c r="C8" s="67">
        <f>TRUNC(IF(AND(TbTradesUpHold[[#This Row],[Tipo]]="SEND",TbTradesUpHold[[#This Row],[Par]]="BRL"),TbTradesUpHold[[#This Row],[Qtt]]*(1-P7)-IF(TbTradesUpHold[[#This Row],[Moeda da Taxa]]="BRL",TbTradesUpHold[[#This Row],[Taxa]],0),0)+IF(AND(TbTradesUpHold[[#This Row],[Tipo]]="BURN",TbTradesUpHold[[#This Row],[Par]]="BRL"),-TbTradesUpHold[[#This Row],[Qtt]]*P7,0),2)</f>
        <v>0</v>
      </c>
      <c r="D8" s="65">
        <v>44268.431250000001</v>
      </c>
      <c r="E8" s="77" t="s">
        <v>160</v>
      </c>
      <c r="F8" s="77" t="s">
        <v>139</v>
      </c>
      <c r="G8" s="78">
        <f>TRUNC(1/481.94219097,8)</f>
        <v>2.07493E-3</v>
      </c>
      <c r="H8" s="78">
        <v>0.158751</v>
      </c>
      <c r="I8" s="78">
        <f>TRUNC(1.57219171134561E-09,8)</f>
        <v>0</v>
      </c>
      <c r="J8" s="77" t="s">
        <v>161</v>
      </c>
      <c r="K8" s="75">
        <v>3308.01</v>
      </c>
      <c r="L8" s="67">
        <f t="shared" si="7"/>
        <v>6.86</v>
      </c>
      <c r="M8" s="67">
        <f>IF(OR(TbTradesUpHold[[#This Row],[Tipo]]="BUY",TbTradesUpHold[[#This Row],[Tipo]]="RECEIVE",TbTradesUpHold[[#This Row],[Tipo]]="DROP"),L8*H8,-L8*H8)</f>
        <v>1.08903186</v>
      </c>
      <c r="N8" s="41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Row],[Tipo]]="DROP"),N7+TbTradesUpHold[[#This Row],[Qtt]],N7-TbTradesUpHold[[#This Row],[Qtt]]),IF(TbTradesUpHold[[#This Row],[Tipo]]="BUY",N7-TbTradesUpHold[[#This Row],[Qtt]]*TbTradesUpHold[[#This Row],[Preço]],N7+TbTradesUpHold[[#This Row],[Qtt]]*TbTradesUpHold[[#This Row],[Preço]])),N7)-IF(TbTradesUpHold[[#This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Row],[Tipo]]="DROP"),N7+TbTradesUpHold[[#This Row],[Qtt]],N7-TbTradesUpHold[[#This Row],[Qtt]]),IF(TbTradesUpHold[[#This Row],[Tipo]]="BUY",N7-TbTradesUpHold[[#This Row],[Qtt]]*TbTradesUpHold[[#This Row],[Preço]],N7+TbTradesUpHold[[#This Row],[Qtt]]*TbTradesUpHold[[#This Row],[Preço]])),N7)-IF(TbTradesUpHold[[#This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Row],[Tipo]]="DROP"),N7+TbTradesUpHold[[#This Row],[Qtt]],N7-TbTradesUpHold[[#This Row],[Qtt]]),IF(TbTradesUpHold[[#This Row],[Tipo]]="BUY",N7-TbTradesUpHold[[#This Row],[Qtt]]*TbTradesUpHold[[#This Row],[Preço]],N7+TbTradesUpHold[[#This Row],[Qtt]]*TbTradesUpHold[[#This Row],[Preço]])),N7)-IF(TbTradesUpHold[[#This Row],[Moeda da Taxa]]=MID(N$1,9,5),TbTradesUpHold[[#This Row],[Taxa]],0),8)))</f>
        <v>8.5908000000000009E-3</v>
      </c>
      <c r="O8" s="50" cm="1">
        <f t="array" ref="O8">IF(TbTradesUpHold[[#This Row],[Tipo]]="EMPTY",0,O7+IF(TbTradesUpHold[[#This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Row],[Par]]))),$1:$1,0)),-(N7-N8)/N7*O7),0),0)+IF(TbTradesUpHold[[#This Row],[Tipo]]="SELL",IF(ISNUMBER(FIND(MID(O$1,10,5),TbTradesUpHold[[#This Row],[Par]])),IF(FIND(MID(O$1,10,5),TbTradesUpHold[[#This Row],[Par]])=1, -(N7-N8)/N7*O7,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Row],[Par]])),(-(N7-N8)/N7*O7)+IF(TbTradesUpHold[[#This Row],[Resultado]]&gt;0,0,TbTradesUpHold[[#This Row],[Taxa]]),0),0))</f>
        <v>0</v>
      </c>
      <c r="P8" s="41">
        <f t="shared" si="0"/>
        <v>0</v>
      </c>
      <c r="Q8" s="42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Row],[Tipo]]="DROP"),Q7+TbTradesUpHold[[#This Row],[Qtt]],Q7-TbTradesUpHold[[#This Row],[Qtt]]),IF(TbTradesUpHold[[#This Row],[Tipo]]="BUY",Q7-TbTradesUpHold[[#This Row],[Qtt]]*TbTradesUpHold[[#This Row],[Preço]],Q7+TbTradesUpHold[[#This Row],[Qtt]]*TbTradesUpHold[[#This Row],[Preço]])),Q7)-IF(TbTradesUpHold[[#This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Row],[Tipo]]="DROP"),Q7+TbTradesUpHold[[#This Row],[Qtt]],Q7-TbTradesUpHold[[#This Row],[Qtt]]),IF(TbTradesUpHold[[#This Row],[Tipo]]="BUY",Q7-TbTradesUpHold[[#This Row],[Qtt]]*TbTradesUpHold[[#This Row],[Preço]],Q7+TbTradesUpHold[[#This Row],[Qtt]]*TbTradesUpHold[[#This Row],[Preço]])),Q7)-IF(TbTradesUpHold[[#This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Row],[Tipo]]="DROP"),Q7+TbTradesUpHold[[#This Row],[Qtt]],Q7-TbTradesUpHold[[#This Row],[Qtt]]),IF(TbTradesUpHold[[#This Row],[Tipo]]="BUY",Q7-TbTradesUpHold[[#This Row],[Qtt]]*TbTradesUpHold[[#This Row],[Preço]],Q7+TbTradesUpHold[[#This Row],[Qtt]]*TbTradesUpHold[[#This Row],[Preço]])),Q7)-IF(TbTradesUpHold[[#This Row],[Moeda da Taxa]]=MID(Q$1,9,5),TbTradesUpHold[[#This Row],[Taxa]],0),8)))</f>
        <v>0</v>
      </c>
      <c r="R8" s="50" cm="1">
        <f t="array" ref="R8">IF(TbTradesUpHold[[#This Row],[Tipo]]="EMPTY",0,R7+IF(TbTradesUpHold[[#This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Row],[Par]]))),$1:$1,0)),-(Q7-Q8)/Q7*R7),0),0)+IF(TbTradesUpHold[[#This Row],[Tipo]]="SELL",IF(ISNUMBER(FIND(MID(R$1,10,5),TbTradesUpHold[[#This Row],[Par]])),IF(FIND(MID(R$1,10,5),TbTradesUpHold[[#This Row],[Par]])=1, -(Q7-Q8)/Q7*R7,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Row],[Par]])),(-(Q7-Q8)/Q7*R7)+IF(TbTradesUpHold[[#This Row],[Resultado]]&gt;0,0,TbTradesUpHold[[#This Row],[Taxa]]),0),0))</f>
        <v>0</v>
      </c>
      <c r="S8" s="41">
        <f t="shared" si="1"/>
        <v>0</v>
      </c>
      <c r="T8" s="43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Row],[Tipo]]="DROP"),T7+TbTradesUpHold[[#This Row],[Qtt]],T7-TbTradesUpHold[[#This Row],[Qtt]]),IF(TbTradesUpHold[[#This Row],[Tipo]]="BUY",T7-TbTradesUpHold[[#This Row],[Qtt]]*TbTradesUpHold[[#This Row],[Preço]],T7+TbTradesUpHold[[#This Row],[Qtt]]*TbTradesUpHold[[#This Row],[Preço]])),T7)-IF(TbTradesUpHold[[#This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Row],[Tipo]]="DROP"),T7+TbTradesUpHold[[#This Row],[Qtt]],T7-TbTradesUpHold[[#This Row],[Qtt]]),IF(TbTradesUpHold[[#This Row],[Tipo]]="BUY",T7-TbTradesUpHold[[#This Row],[Qtt]]*TbTradesUpHold[[#This Row],[Preço]],T7+TbTradesUpHold[[#This Row],[Qtt]]*TbTradesUpHold[[#This Row],[Preço]])),T7)-IF(TbTradesUpHold[[#This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Row],[Tipo]]="DROP"),T7+TbTradesUpHold[[#This Row],[Qtt]],T7-TbTradesUpHold[[#This Row],[Qtt]]),IF(TbTradesUpHold[[#This Row],[Tipo]]="BUY",T7-TbTradesUpHold[[#This Row],[Qtt]]*TbTradesUpHold[[#This Row],[Preço]],T7+TbTradesUpHold[[#This Row],[Qtt]]*TbTradesUpHold[[#This Row],[Preço]])),T7)-IF(TbTradesUpHold[[#This Row],[Moeda da Taxa]]=MID(T$1,9,5),TbTradesUpHold[[#This Row],[Taxa]],0),8)))</f>
        <v>0</v>
      </c>
      <c r="U8" s="50" cm="1">
        <f t="array" ref="U8">IF(TbTradesUpHold[[#This Row],[Tipo]]="EMPTY",0,U7+IF(TbTradesUpHold[[#This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Row],[Par]]))),$1:$1,0)),-(T7-T8)/T7*U7),0),0)+IF(TbTradesUpHold[[#This Row],[Tipo]]="SELL",IF(ISNUMBER(FIND(MID(U$1,10,5),TbTradesUpHold[[#This Row],[Par]])),IF(FIND(MID(U$1,10,5),TbTradesUpHold[[#This Row],[Par]])=1, -(T7-T8)/T7*U7,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Row],[Par]])),(-(T7-T8)/T7*U7)+IF(TbTradesUpHold[[#This Row],[Resultado]]&gt;0,0,TbTradesUpHold[[#This Row],[Taxa]]),0),0))</f>
        <v>0</v>
      </c>
      <c r="V8" s="41">
        <f t="shared" si="2"/>
        <v>0</v>
      </c>
      <c r="W8" s="43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Row],[Tipo]]="DROP"),W7+TbTradesUpHold[[#This Row],[Qtt]],W7-TbTradesUpHold[[#This Row],[Qtt]]),IF(TbTradesUpHold[[#This Row],[Tipo]]="BUY",W7-TbTradesUpHold[[#This Row],[Qtt]]*TbTradesUpHold[[#This Row],[Preço]],W7+TbTradesUpHold[[#This Row],[Qtt]]*TbTradesUpHold[[#This Row],[Preço]])),W7)-IF(TbTradesUpHold[[#This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Row],[Tipo]]="DROP"),W7+TbTradesUpHold[[#This Row],[Qtt]],W7-TbTradesUpHold[[#This Row],[Qtt]]),IF(TbTradesUpHold[[#This Row],[Tipo]]="BUY",W7-TbTradesUpHold[[#This Row],[Qtt]]*TbTradesUpHold[[#This Row],[Preço]],W7+TbTradesUpHold[[#This Row],[Qtt]]*TbTradesUpHold[[#This Row],[Preço]])),W7)-IF(TbTradesUpHold[[#This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Row],[Tipo]]="DROP"),W7+TbTradesUpHold[[#This Row],[Qtt]],W7-TbTradesUpHold[[#This Row],[Qtt]]),IF(TbTradesUpHold[[#This Row],[Tipo]]="BUY",W7-TbTradesUpHold[[#This Row],[Qtt]]*TbTradesUpHold[[#This Row],[Preço]],W7+TbTradesUpHold[[#This Row],[Qtt]]*TbTradesUpHold[[#This Row],[Preço]])),W7)-IF(TbTradesUpHold[[#This Row],[Moeda da Taxa]]=MID(W$1,9,5),TbTradesUpHold[[#This Row],[Taxa]],0),8)))</f>
        <v>0</v>
      </c>
      <c r="X8" s="50" cm="1">
        <f t="array" ref="X8">IF(TbTradesUpHold[[#This Row],[Tipo]]="EMPTY",0,X7+IF(TbTradesUpHold[[#This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Row],[Par]]))),$1:$1,0)),-(W7-W8)/W7*X7),0),0)+IF(TbTradesUpHold[[#This Row],[Tipo]]="SELL",IF(ISNUMBER(FIND(MID(X$1,10,5),TbTradesUpHold[[#This Row],[Par]])),IF(FIND(MID(X$1,10,5),TbTradesUpHold[[#This Row],[Par]])=1, -(W7-W8)/W7*X7,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Row],[Par]])),(-(W7-W8)/W7*X7)+IF(TbTradesUpHold[[#This Row],[Resultado]]&gt;0,0,TbTradesUpHold[[#This Row],[Taxa]]),0),0))</f>
        <v>0</v>
      </c>
      <c r="Y8" s="41">
        <f t="shared" si="3"/>
        <v>0</v>
      </c>
      <c r="Z8" s="43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Row],[Tipo]]="DROP"),Z7+TbTradesUpHold[[#This Row],[Qtt]],Z7-TbTradesUpHold[[#This Row],[Qtt]]),IF(TbTradesUpHold[[#This Row],[Tipo]]="BUY",Z7-TbTradesUpHold[[#This Row],[Qtt]]*TbTradesUpHold[[#This Row],[Preço]],Z7+TbTradesUpHold[[#This Row],[Qtt]]*TbTradesUpHold[[#This Row],[Preço]])),Z7)-IF(TbTradesUpHold[[#This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Row],[Tipo]]="DROP"),Z7+TbTradesUpHold[[#This Row],[Qtt]],Z7-TbTradesUpHold[[#This Row],[Qtt]]),IF(TbTradesUpHold[[#This Row],[Tipo]]="BUY",Z7-TbTradesUpHold[[#This Row],[Qtt]]*TbTradesUpHold[[#This Row],[Preço]],Z7+TbTradesUpHold[[#This Row],[Qtt]]*TbTradesUpHold[[#This Row],[Preço]])),Z7)-IF(TbTradesUpHold[[#This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Row],[Tipo]]="DROP"),Z7+TbTradesUpHold[[#This Row],[Qtt]],Z7-TbTradesUpHold[[#This Row],[Qtt]]),IF(TbTradesUpHold[[#This Row],[Tipo]]="BUY",Z7-TbTradesUpHold[[#This Row],[Qtt]]*TbTradesUpHold[[#This Row],[Preço]],Z7+TbTradesUpHold[[#This Row],[Qtt]]*TbTradesUpHold[[#This Row],[Preço]])),Z7)-IF(TbTradesUpHold[[#This Row],[Moeda da Taxa]]=MID(Z$1,9,5),TbTradesUpHold[[#This Row],[Taxa]],0),8)))</f>
        <v>0.158751</v>
      </c>
      <c r="AA8" s="50" cm="1">
        <f t="array" ref="AA8">IF(TbTradesUpHold[[#This Row],[Tipo]]="EMPTY",0,AA7+IF(TbTradesUpHold[[#This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Row],[Par]]))),$1:$1,0)),-(Z7-Z8)/Z7*AA7),0),0)+IF(TbTradesUpHold[[#This Row],[Tipo]]="SELL",IF(ISNUMBER(FIND(MID(AA$1,10,5),TbTradesUpHold[[#This Row],[Par]])),IF(FIND(MID(AA$1,10,5),TbTradesUpHold[[#This Row],[Par]])=1, -(Z7-Z8)/Z7*AA7,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Row],[Par]])),(-(Z7-Z8)/Z7*AA7)+IF(TbTradesUpHold[[#This Row],[Resultado]]&gt;0,0,TbTradesUpHold[[#This Row],[Taxa]]),0),0))</f>
        <v>0</v>
      </c>
      <c r="AB8" s="41">
        <f t="shared" si="4"/>
        <v>0</v>
      </c>
      <c r="AC8" s="43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Row],[Tipo]]="DROP"),AC7+TbTradesUpHold[[#This Row],[Qtt]],AC7-TbTradesUpHold[[#This Row],[Qtt]]),IF(TbTradesUpHold[[#This Row],[Tipo]]="BUY",AC7-TbTradesUpHold[[#This Row],[Qtt]]*TbTradesUpHold[[#This Row],[Preço]],AC7+TbTradesUpHold[[#This Row],[Qtt]]*TbTradesUpHold[[#This Row],[Preço]])),AC7)-IF(TbTradesUpHold[[#This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Row],[Tipo]]="DROP"),AC7+TbTradesUpHold[[#This Row],[Qtt]],AC7-TbTradesUpHold[[#This Row],[Qtt]]),IF(TbTradesUpHold[[#This Row],[Tipo]]="BUY",AC7-TbTradesUpHold[[#This Row],[Qtt]]*TbTradesUpHold[[#This Row],[Preço]],AC7+TbTradesUpHold[[#This Row],[Qtt]]*TbTradesUpHold[[#This Row],[Preço]])),AC7)-IF(TbTradesUpHold[[#This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Row],[Tipo]]="DROP"),AC7+TbTradesUpHold[[#This Row],[Qtt]],AC7-TbTradesUpHold[[#This Row],[Qtt]]),IF(TbTradesUpHold[[#This Row],[Tipo]]="BUY",AC7-TbTradesUpHold[[#This Row],[Qtt]]*TbTradesUpHold[[#This Row],[Preço]],AC7+TbTradesUpHold[[#This Row],[Qtt]]*TbTradesUpHold[[#This Row],[Preço]])),AC7)-IF(TbTradesUpHold[[#This Row],[Moeda da Taxa]]=MID(AC$1,9,5),TbTradesUpHold[[#This Row],[Taxa]],0),8)))</f>
        <v>0</v>
      </c>
      <c r="AD8" s="50" cm="1">
        <f t="array" ref="AD8">IF(TbTradesUpHold[[#This Row],[Tipo]]="EMPTY",0,AD7+IF(TbTradesUpHold[[#This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Row],[Par]]))),$1:$1,0)),-(AC7-AC8)/AC7*AD7),0),0)+IF(TbTradesUpHold[[#This Row],[Tipo]]="SELL",IF(ISNUMBER(FIND(MID(AD$1,10,5),TbTradesUpHold[[#This Row],[Par]])),IF(FIND(MID(AD$1,10,5),TbTradesUpHold[[#This Row],[Par]])=1, -(AC7-AC8)/AC7*AD7,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Row],[Par]])),(-(AC7-AC8)/AC7*AD7)+IF(TbTradesUpHold[[#This Row],[Resultado]]&gt;0,0,TbTradesUpHold[[#This Row],[Taxa]]),0),0))</f>
        <v>0</v>
      </c>
      <c r="AE8" s="41">
        <f t="shared" si="5"/>
        <v>0</v>
      </c>
      <c r="AF8" s="43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Row],[Tipo]]="DROP"),AF7+TbTradesUpHold[[#This Row],[Qtt]],AF7-TbTradesUpHold[[#This Row],[Qtt]]),IF(TbTradesUpHold[[#This Row],[Tipo]]="BUY",AF7-TbTradesUpHold[[#This Row],[Qtt]]*TbTradesUpHold[[#This Row],[Preço]],AF7+TbTradesUpHold[[#This Row],[Qtt]]*TbTradesUpHold[[#This Row],[Preço]])),AF7)-IF(TbTradesUpHold[[#This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Row],[Tipo]]="DROP"),AF7+TbTradesUpHold[[#This Row],[Qtt]],AF7-TbTradesUpHold[[#This Row],[Qtt]]),IF(TbTradesUpHold[[#This Row],[Tipo]]="BUY",AF7-TbTradesUpHold[[#This Row],[Qtt]]*TbTradesUpHold[[#This Row],[Preço]],AF7+TbTradesUpHold[[#This Row],[Qtt]]*TbTradesUpHold[[#This Row],[Preço]])),AF7)-IF(TbTradesUpHold[[#This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Row],[Tipo]]="DROP"),AF7+TbTradesUpHold[[#This Row],[Qtt]],AF7-TbTradesUpHold[[#This Row],[Qtt]]),IF(TbTradesUpHold[[#This Row],[Tipo]]="BUY",AF7-TbTradesUpHold[[#This Row],[Qtt]]*TbTradesUpHold[[#This Row],[Preço]],AF7+TbTradesUpHold[[#This Row],[Qtt]]*TbTradesUpHold[[#This Row],[Preço]])),AF7)-IF(TbTradesUpHold[[#This Row],[Moeda da Taxa]]=MID(AF$1,9,5),TbTradesUpHold[[#This Row],[Taxa]],0),8)))</f>
        <v>0</v>
      </c>
      <c r="AG8" s="50" cm="1">
        <f t="array" ref="AG8">IF(TbTradesUpHold[[#This Row],[Tipo]]="EMPTY",0,AG7+IF(TbTradesUpHold[[#This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Row],[Par]]))),$1:$1,0)),-(AF7-AF8)/AF7*AG7),0),0)+IF(TbTradesUpHold[[#This Row],[Tipo]]="SELL",IF(ISNUMBER(FIND(MID(AG$1,10,5),TbTradesUpHold[[#This Row],[Par]])),IF(FIND(MID(AG$1,10,5),TbTradesUpHold[[#This Row],[Par]])=1, -(AF7-AF8)/AF7*AG7,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Row],[Par]])),(-(AF7-AF8)/AF7*AG7)+IF(TbTradesUpHold[[#This Row],[Resultado]]&gt;0,0,TbTradesUpHold[[#This Row],[Taxa]]),0),0))</f>
        <v>0</v>
      </c>
      <c r="AH8" s="41">
        <f t="shared" si="6"/>
        <v>0</v>
      </c>
    </row>
    <row r="9" spans="1:34" x14ac:dyDescent="0.3">
      <c r="B9" s="89" t="s">
        <v>156</v>
      </c>
      <c r="C9" s="67">
        <f>TRUNC(IF(AND(TbTradesUpHold[[#This Row],[Tipo]]="SEND",TbTradesUpHold[[#This Row],[Par]]="BRL"),TbTradesUpHold[[#This Row],[Qtt]]*(1-P8)-IF(TbTradesUpHold[[#This Row],[Moeda da Taxa]]="BRL",TbTradesUpHold[[#This Row],[Taxa]],0),0)+IF(AND(TbTradesUpHold[[#This Row],[Tipo]]="BURN",TbTradesUpHold[[#This Row],[Par]]="BRL"),-TbTradesUpHold[[#This Row],[Qtt]]*P8,0),2)</f>
        <v>0</v>
      </c>
      <c r="D9" s="65">
        <v>44294.370833333334</v>
      </c>
      <c r="E9" s="77" t="s">
        <v>41</v>
      </c>
      <c r="F9" s="77" t="s">
        <v>148</v>
      </c>
      <c r="G9" s="78">
        <f>TRUNC(1.22*5.678,8)</f>
        <v>6.9271599999999998</v>
      </c>
      <c r="H9" s="78">
        <v>0.44</v>
      </c>
      <c r="I9" s="78">
        <v>0</v>
      </c>
      <c r="J9" s="77" t="s">
        <v>41</v>
      </c>
      <c r="K9" s="75">
        <v>1</v>
      </c>
      <c r="L9" s="67">
        <f t="shared" si="7"/>
        <v>6.92</v>
      </c>
      <c r="M9" s="67">
        <f>IF(OR(TbTradesUpHold[[#This Row],[Tipo]]="BUY",TbTradesUpHold[[#This Row],[Tipo]]="RECEIVE",TbTradesUpHold[[#This Row],[Tipo]]="DROP"),L9*H9,-L9*H9)</f>
        <v>3.0448</v>
      </c>
      <c r="N9" s="41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Row],[Tipo]]="DROP"),N8+TbTradesUpHold[[#This Row],[Qtt]],N8-TbTradesUpHold[[#This Row],[Qtt]]),IF(TbTradesUpHold[[#This Row],[Tipo]]="BUY",N8-TbTradesUpHold[[#This Row],[Qtt]]*TbTradesUpHold[[#This Row],[Preço]],N8+TbTradesUpHold[[#This Row],[Qtt]]*TbTradesUpHold[[#This Row],[Preço]])),N8)-IF(TbTradesUpHold[[#This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Row],[Tipo]]="DROP"),N8+TbTradesUpHold[[#This Row],[Qtt]],N8-TbTradesUpHold[[#This Row],[Qtt]]),IF(TbTradesUpHold[[#This Row],[Tipo]]="BUY",N8-TbTradesUpHold[[#This Row],[Qtt]]*TbTradesUpHold[[#This Row],[Preço]],N8+TbTradesUpHold[[#This Row],[Qtt]]*TbTradesUpHold[[#This Row],[Preço]])),N8)-IF(TbTradesUpHold[[#This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Row],[Tipo]]="DROP"),N8+TbTradesUpHold[[#This Row],[Qtt]],N8-TbTradesUpHold[[#This Row],[Qtt]]),IF(TbTradesUpHold[[#This Row],[Tipo]]="BUY",N8-TbTradesUpHold[[#This Row],[Qtt]]*TbTradesUpHold[[#This Row],[Preço]],N8+TbTradesUpHold[[#This Row],[Qtt]]*TbTradesUpHold[[#This Row],[Preço]])),N8)-IF(TbTradesUpHold[[#This Row],[Moeda da Taxa]]=MID(N$1,9,5),TbTradesUpHold[[#This Row],[Taxa]],0),8)))</f>
        <v>8.5908000000000009E-3</v>
      </c>
      <c r="O9" s="50" cm="1">
        <f t="array" ref="O9">IF(TbTradesUpHold[[#This Row],[Tipo]]="EMPTY",0,O8+IF(TbTradesUpHold[[#This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Row],[Par]]))),$1:$1,0)),-(N8-N9)/N8*O8),0),0)+IF(TbTradesUpHold[[#This Row],[Tipo]]="SELL",IF(ISNUMBER(FIND(MID(O$1,10,5),TbTradesUpHold[[#This Row],[Par]])),IF(FIND(MID(O$1,10,5),TbTradesUpHold[[#This Row],[Par]])=1, -(N8-N9)/N8*O8,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Row],[Par]])),(-(N8-N9)/N8*O8)+IF(TbTradesUpHold[[#This Row],[Resultado]]&gt;0,0,TbTradesUpHold[[#This Row],[Taxa]]),0),0))</f>
        <v>0</v>
      </c>
      <c r="P9" s="41">
        <f t="shared" si="0"/>
        <v>0</v>
      </c>
      <c r="Q9" s="42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Row],[Tipo]]="DROP"),Q8+TbTradesUpHold[[#This Row],[Qtt]],Q8-TbTradesUpHold[[#This Row],[Qtt]]),IF(TbTradesUpHold[[#This Row],[Tipo]]="BUY",Q8-TbTradesUpHold[[#This Row],[Qtt]]*TbTradesUpHold[[#This Row],[Preço]],Q8+TbTradesUpHold[[#This Row],[Qtt]]*TbTradesUpHold[[#This Row],[Preço]])),Q8)-IF(TbTradesUpHold[[#This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Row],[Tipo]]="DROP"),Q8+TbTradesUpHold[[#This Row],[Qtt]],Q8-TbTradesUpHold[[#This Row],[Qtt]]),IF(TbTradesUpHold[[#This Row],[Tipo]]="BUY",Q8-TbTradesUpHold[[#This Row],[Qtt]]*TbTradesUpHold[[#This Row],[Preço]],Q8+TbTradesUpHold[[#This Row],[Qtt]]*TbTradesUpHold[[#This Row],[Preço]])),Q8)-IF(TbTradesUpHold[[#This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Row],[Tipo]]="DROP"),Q8+TbTradesUpHold[[#This Row],[Qtt]],Q8-TbTradesUpHold[[#This Row],[Qtt]]),IF(TbTradesUpHold[[#This Row],[Tipo]]="BUY",Q8-TbTradesUpHold[[#This Row],[Qtt]]*TbTradesUpHold[[#This Row],[Preço]],Q8+TbTradesUpHold[[#This Row],[Qtt]]*TbTradesUpHold[[#This Row],[Preço]])),Q8)-IF(TbTradesUpHold[[#This Row],[Moeda da Taxa]]=MID(Q$1,9,5),TbTradesUpHold[[#This Row],[Taxa]],0),8)))</f>
        <v>0</v>
      </c>
      <c r="R9" s="50" cm="1">
        <f t="array" ref="R9">IF(TbTradesUpHold[[#This Row],[Tipo]]="EMPTY",0,R8+IF(TbTradesUpHold[[#This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Row],[Par]]))),$1:$1,0)),-(Q8-Q9)/Q8*R8),0),0)+IF(TbTradesUpHold[[#This Row],[Tipo]]="SELL",IF(ISNUMBER(FIND(MID(R$1,10,5),TbTradesUpHold[[#This Row],[Par]])),IF(FIND(MID(R$1,10,5),TbTradesUpHold[[#This Row],[Par]])=1, -(Q8-Q9)/Q8*R8,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Row],[Par]])),(-(Q8-Q9)/Q8*R8)+IF(TbTradesUpHold[[#This Row],[Resultado]]&gt;0,0,TbTradesUpHold[[#This Row],[Taxa]]),0),0))</f>
        <v>0</v>
      </c>
      <c r="S9" s="41">
        <f t="shared" si="1"/>
        <v>0</v>
      </c>
      <c r="T9" s="43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Row],[Tipo]]="DROP"),T8+TbTradesUpHold[[#This Row],[Qtt]],T8-TbTradesUpHold[[#This Row],[Qtt]]),IF(TbTradesUpHold[[#This Row],[Tipo]]="BUY",T8-TbTradesUpHold[[#This Row],[Qtt]]*TbTradesUpHold[[#This Row],[Preço]],T8+TbTradesUpHold[[#This Row],[Qtt]]*TbTradesUpHold[[#This Row],[Preço]])),T8)-IF(TbTradesUpHold[[#This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Row],[Tipo]]="DROP"),T8+TbTradesUpHold[[#This Row],[Qtt]],T8-TbTradesUpHold[[#This Row],[Qtt]]),IF(TbTradesUpHold[[#This Row],[Tipo]]="BUY",T8-TbTradesUpHold[[#This Row],[Qtt]]*TbTradesUpHold[[#This Row],[Preço]],T8+TbTradesUpHold[[#This Row],[Qtt]]*TbTradesUpHold[[#This Row],[Preço]])),T8)-IF(TbTradesUpHold[[#This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Row],[Tipo]]="DROP"),T8+TbTradesUpHold[[#This Row],[Qtt]],T8-TbTradesUpHold[[#This Row],[Qtt]]),IF(TbTradesUpHold[[#This Row],[Tipo]]="BUY",T8-TbTradesUpHold[[#This Row],[Qtt]]*TbTradesUpHold[[#This Row],[Preço]],T8+TbTradesUpHold[[#This Row],[Qtt]]*TbTradesUpHold[[#This Row],[Preço]])),T8)-IF(TbTradesUpHold[[#This Row],[Moeda da Taxa]]=MID(T$1,9,5),TbTradesUpHold[[#This Row],[Taxa]],0),8)))</f>
        <v>0</v>
      </c>
      <c r="U9" s="50" cm="1">
        <f t="array" ref="U9">IF(TbTradesUpHold[[#This Row],[Tipo]]="EMPTY",0,U8+IF(TbTradesUpHold[[#This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Row],[Par]]))),$1:$1,0)),-(T8-T9)/T8*U8),0),0)+IF(TbTradesUpHold[[#This Row],[Tipo]]="SELL",IF(ISNUMBER(FIND(MID(U$1,10,5),TbTradesUpHold[[#This Row],[Par]])),IF(FIND(MID(U$1,10,5),TbTradesUpHold[[#This Row],[Par]])=1, -(T8-T9)/T8*U8,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Row],[Par]])),(-(T8-T9)/T8*U8)+IF(TbTradesUpHold[[#This Row],[Resultado]]&gt;0,0,TbTradesUpHold[[#This Row],[Taxa]]),0),0))</f>
        <v>0</v>
      </c>
      <c r="V9" s="41">
        <f t="shared" si="2"/>
        <v>0</v>
      </c>
      <c r="W9" s="43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Row],[Tipo]]="DROP"),W8+TbTradesUpHold[[#This Row],[Qtt]],W8-TbTradesUpHold[[#This Row],[Qtt]]),IF(TbTradesUpHold[[#This Row],[Tipo]]="BUY",W8-TbTradesUpHold[[#This Row],[Qtt]]*TbTradesUpHold[[#This Row],[Preço]],W8+TbTradesUpHold[[#This Row],[Qtt]]*TbTradesUpHold[[#This Row],[Preço]])),W8)-IF(TbTradesUpHold[[#This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Row],[Tipo]]="DROP"),W8+TbTradesUpHold[[#This Row],[Qtt]],W8-TbTradesUpHold[[#This Row],[Qtt]]),IF(TbTradesUpHold[[#This Row],[Tipo]]="BUY",W8-TbTradesUpHold[[#This Row],[Qtt]]*TbTradesUpHold[[#This Row],[Preço]],W8+TbTradesUpHold[[#This Row],[Qtt]]*TbTradesUpHold[[#This Row],[Preço]])),W8)-IF(TbTradesUpHold[[#This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Row],[Tipo]]="DROP"),W8+TbTradesUpHold[[#This Row],[Qtt]],W8-TbTradesUpHold[[#This Row],[Qtt]]),IF(TbTradesUpHold[[#This Row],[Tipo]]="BUY",W8-TbTradesUpHold[[#This Row],[Qtt]]*TbTradesUpHold[[#This Row],[Preço]],W8+TbTradesUpHold[[#This Row],[Qtt]]*TbTradesUpHold[[#This Row],[Preço]])),W8)-IF(TbTradesUpHold[[#This Row],[Moeda da Taxa]]=MID(W$1,9,5),TbTradesUpHold[[#This Row],[Taxa]],0),8)))</f>
        <v>0</v>
      </c>
      <c r="X9" s="50" cm="1">
        <f t="array" ref="X9">IF(TbTradesUpHold[[#This Row],[Tipo]]="EMPTY",0,X8+IF(TbTradesUpHold[[#This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Row],[Par]]))),$1:$1,0)),-(W8-W9)/W8*X8),0),0)+IF(TbTradesUpHold[[#This Row],[Tipo]]="SELL",IF(ISNUMBER(FIND(MID(X$1,10,5),TbTradesUpHold[[#This Row],[Par]])),IF(FIND(MID(X$1,10,5),TbTradesUpHold[[#This Row],[Par]])=1, -(W8-W9)/W8*X8,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Row],[Par]])),(-(W8-W9)/W8*X8)+IF(TbTradesUpHold[[#This Row],[Resultado]]&gt;0,0,TbTradesUpHold[[#This Row],[Taxa]]),0),0))</f>
        <v>0</v>
      </c>
      <c r="Y9" s="41">
        <f t="shared" si="3"/>
        <v>0</v>
      </c>
      <c r="Z9" s="43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Row],[Tipo]]="DROP"),Z8+TbTradesUpHold[[#This Row],[Qtt]],Z8-TbTradesUpHold[[#This Row],[Qtt]]),IF(TbTradesUpHold[[#This Row],[Tipo]]="BUY",Z8-TbTradesUpHold[[#This Row],[Qtt]]*TbTradesUpHold[[#This Row],[Preço]],Z8+TbTradesUpHold[[#This Row],[Qtt]]*TbTradesUpHold[[#This Row],[Preço]])),Z8)-IF(TbTradesUpHold[[#This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Row],[Tipo]]="DROP"),Z8+TbTradesUpHold[[#This Row],[Qtt]],Z8-TbTradesUpHold[[#This Row],[Qtt]]),IF(TbTradesUpHold[[#This Row],[Tipo]]="BUY",Z8-TbTradesUpHold[[#This Row],[Qtt]]*TbTradesUpHold[[#This Row],[Preço]],Z8+TbTradesUpHold[[#This Row],[Qtt]]*TbTradesUpHold[[#This Row],[Preço]])),Z8)-IF(TbTradesUpHold[[#This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Row],[Tipo]]="DROP"),Z8+TbTradesUpHold[[#This Row],[Qtt]],Z8-TbTradesUpHold[[#This Row],[Qtt]]),IF(TbTradesUpHold[[#This Row],[Tipo]]="BUY",Z8-TbTradesUpHold[[#This Row],[Qtt]]*TbTradesUpHold[[#This Row],[Preço]],Z8+TbTradesUpHold[[#This Row],[Qtt]]*TbTradesUpHold[[#This Row],[Preço]])),Z8)-IF(TbTradesUpHold[[#This Row],[Moeda da Taxa]]=MID(Z$1,9,5),TbTradesUpHold[[#This Row],[Taxa]],0),8)))</f>
        <v>0.158751</v>
      </c>
      <c r="AA9" s="50" cm="1">
        <f t="array" ref="AA9">IF(TbTradesUpHold[[#This Row],[Tipo]]="EMPTY",0,AA8+IF(TbTradesUpHold[[#This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Row],[Par]]))),$1:$1,0)),-(Z8-Z9)/Z8*AA8),0),0)+IF(TbTradesUpHold[[#This Row],[Tipo]]="SELL",IF(ISNUMBER(FIND(MID(AA$1,10,5),TbTradesUpHold[[#This Row],[Par]])),IF(FIND(MID(AA$1,10,5),TbTradesUpHold[[#This Row],[Par]])=1, -(Z8-Z9)/Z8*AA8,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Row],[Par]])),(-(Z8-Z9)/Z8*AA8)+IF(TbTradesUpHold[[#This Row],[Resultado]]&gt;0,0,TbTradesUpHold[[#This Row],[Taxa]]),0),0))</f>
        <v>0</v>
      </c>
      <c r="AB9" s="41">
        <f t="shared" si="4"/>
        <v>0</v>
      </c>
      <c r="AC9" s="43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Row],[Tipo]]="DROP"),AC8+TbTradesUpHold[[#This Row],[Qtt]],AC8-TbTradesUpHold[[#This Row],[Qtt]]),IF(TbTradesUpHold[[#This Row],[Tipo]]="BUY",AC8-TbTradesUpHold[[#This Row],[Qtt]]*TbTradesUpHold[[#This Row],[Preço]],AC8+TbTradesUpHold[[#This Row],[Qtt]]*TbTradesUpHold[[#This Row],[Preço]])),AC8)-IF(TbTradesUpHold[[#This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Row],[Tipo]]="DROP"),AC8+TbTradesUpHold[[#This Row],[Qtt]],AC8-TbTradesUpHold[[#This Row],[Qtt]]),IF(TbTradesUpHold[[#This Row],[Tipo]]="BUY",AC8-TbTradesUpHold[[#This Row],[Qtt]]*TbTradesUpHold[[#This Row],[Preço]],AC8+TbTradesUpHold[[#This Row],[Qtt]]*TbTradesUpHold[[#This Row],[Preço]])),AC8)-IF(TbTradesUpHold[[#This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Row],[Tipo]]="DROP"),AC8+TbTradesUpHold[[#This Row],[Qtt]],AC8-TbTradesUpHold[[#This Row],[Qtt]]),IF(TbTradesUpHold[[#This Row],[Tipo]]="BUY",AC8-TbTradesUpHold[[#This Row],[Qtt]]*TbTradesUpHold[[#This Row],[Preço]],AC8+TbTradesUpHold[[#This Row],[Qtt]]*TbTradesUpHold[[#This Row],[Preço]])),AC8)-IF(TbTradesUpHold[[#This Row],[Moeda da Taxa]]=MID(AC$1,9,5),TbTradesUpHold[[#This Row],[Taxa]],0),8)))</f>
        <v>0.44</v>
      </c>
      <c r="AD9" s="50" cm="1">
        <f t="array" ref="AD9">IF(TbTradesUpHold[[#This Row],[Tipo]]="EMPTY",0,AD8+IF(TbTradesUpHold[[#This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Row],[Par]]))),$1:$1,0)),-(AC8-AC9)/AC8*AD8),0),0)+IF(TbTradesUpHold[[#This Row],[Tipo]]="SELL",IF(ISNUMBER(FIND(MID(AD$1,10,5),TbTradesUpHold[[#This Row],[Par]])),IF(FIND(MID(AD$1,10,5),TbTradesUpHold[[#This Row],[Par]])=1, -(AC8-AC9)/AC8*AD8,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Row],[Par]])),(-(AC8-AC9)/AC8*AD8)+IF(TbTradesUpHold[[#This Row],[Resultado]]&gt;0,0,TbTradesUpHold[[#This Row],[Taxa]]),0),0))</f>
        <v>0</v>
      </c>
      <c r="AE9" s="41">
        <f t="shared" si="5"/>
        <v>0</v>
      </c>
      <c r="AF9" s="43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Row],[Tipo]]="DROP"),AF8+TbTradesUpHold[[#This Row],[Qtt]],AF8-TbTradesUpHold[[#This Row],[Qtt]]),IF(TbTradesUpHold[[#This Row],[Tipo]]="BUY",AF8-TbTradesUpHold[[#This Row],[Qtt]]*TbTradesUpHold[[#This Row],[Preço]],AF8+TbTradesUpHold[[#This Row],[Qtt]]*TbTradesUpHold[[#This Row],[Preço]])),AF8)-IF(TbTradesUpHold[[#This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Row],[Tipo]]="DROP"),AF8+TbTradesUpHold[[#This Row],[Qtt]],AF8-TbTradesUpHold[[#This Row],[Qtt]]),IF(TbTradesUpHold[[#This Row],[Tipo]]="BUY",AF8-TbTradesUpHold[[#This Row],[Qtt]]*TbTradesUpHold[[#This Row],[Preço]],AF8+TbTradesUpHold[[#This Row],[Qtt]]*TbTradesUpHold[[#This Row],[Preço]])),AF8)-IF(TbTradesUpHold[[#This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Row],[Tipo]]="DROP"),AF8+TbTradesUpHold[[#This Row],[Qtt]],AF8-TbTradesUpHold[[#This Row],[Qtt]]),IF(TbTradesUpHold[[#This Row],[Tipo]]="BUY",AF8-TbTradesUpHold[[#This Row],[Qtt]]*TbTradesUpHold[[#This Row],[Preço]],AF8+TbTradesUpHold[[#This Row],[Qtt]]*TbTradesUpHold[[#This Row],[Preço]])),AF8)-IF(TbTradesUpHold[[#This Row],[Moeda da Taxa]]=MID(AF$1,9,5),TbTradesUpHold[[#This Row],[Taxa]],0),8)))</f>
        <v>0</v>
      </c>
      <c r="AG9" s="50" cm="1">
        <f t="array" ref="AG9">IF(TbTradesUpHold[[#This Row],[Tipo]]="EMPTY",0,AG8+IF(TbTradesUpHold[[#This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Row],[Par]]))),$1:$1,0)),-(AF8-AF9)/AF8*AG8),0),0)+IF(TbTradesUpHold[[#This Row],[Tipo]]="SELL",IF(ISNUMBER(FIND(MID(AG$1,10,5),TbTradesUpHold[[#This Row],[Par]])),IF(FIND(MID(AG$1,10,5),TbTradesUpHold[[#This Row],[Par]])=1, -(AF8-AF9)/AF8*AG8,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Row],[Par]])),(-(AF8-AF9)/AF8*AG8)+IF(TbTradesUpHold[[#This Row],[Resultado]]&gt;0,0,TbTradesUpHold[[#This Row],[Taxa]]),0),0))</f>
        <v>0</v>
      </c>
      <c r="AH9" s="41">
        <f t="shared" si="6"/>
        <v>0</v>
      </c>
    </row>
    <row r="10" spans="1:34" x14ac:dyDescent="0.3">
      <c r="B10" s="89" t="s">
        <v>156</v>
      </c>
      <c r="C10" s="67">
        <f>TRUNC(IF(AND(TbTradesUpHold[[#This Row],[Tipo]]="SEND",TbTradesUpHold[[#This Row],[Par]]="BRL"),TbTradesUpHold[[#This Row],[Qtt]]*(1-P9)-IF(TbTradesUpHold[[#This Row],[Moeda da Taxa]]="BRL",TbTradesUpHold[[#This Row],[Taxa]],0),0)+IF(AND(TbTradesUpHold[[#This Row],[Tipo]]="BURN",TbTradesUpHold[[#This Row],[Par]]="BRL"),-TbTradesUpHold[[#This Row],[Qtt]]*P9,0),2)</f>
        <v>0</v>
      </c>
      <c r="D10" s="65">
        <v>44325.618055555555</v>
      </c>
      <c r="E10" s="77" t="s">
        <v>41</v>
      </c>
      <c r="F10" s="77" t="s">
        <v>148</v>
      </c>
      <c r="G10" s="78">
        <f>TRUNC(1.37*5.32,8)</f>
        <v>7.2884000000000002</v>
      </c>
      <c r="H10" s="78">
        <v>0.25</v>
      </c>
      <c r="I10" s="78">
        <v>0</v>
      </c>
      <c r="J10" s="77" t="s">
        <v>41</v>
      </c>
      <c r="K10" s="75">
        <v>1</v>
      </c>
      <c r="L10" s="67">
        <f t="shared" si="7"/>
        <v>7.28</v>
      </c>
      <c r="M10" s="67">
        <f>IF(OR(TbTradesUpHold[[#This Row],[Tipo]]="BUY",TbTradesUpHold[[#This Row],[Tipo]]="RECEIVE",TbTradesUpHold[[#This Row],[Tipo]]="DROP"),L10*H10,-L10*H10)</f>
        <v>1.82</v>
      </c>
      <c r="N10" s="41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Row],[Tipo]]="DROP"),N9+TbTradesUpHold[[#This Row],[Qtt]],N9-TbTradesUpHold[[#This Row],[Qtt]]),IF(TbTradesUpHold[[#This Row],[Tipo]]="BUY",N9-TbTradesUpHold[[#This Row],[Qtt]]*TbTradesUpHold[[#This Row],[Preço]],N9+TbTradesUpHold[[#This Row],[Qtt]]*TbTradesUpHold[[#This Row],[Preço]])),N9)-IF(TbTradesUpHold[[#This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Row],[Tipo]]="DROP"),N9+TbTradesUpHold[[#This Row],[Qtt]],N9-TbTradesUpHold[[#This Row],[Qtt]]),IF(TbTradesUpHold[[#This Row],[Tipo]]="BUY",N9-TbTradesUpHold[[#This Row],[Qtt]]*TbTradesUpHold[[#This Row],[Preço]],N9+TbTradesUpHold[[#This Row],[Qtt]]*TbTradesUpHold[[#This Row],[Preço]])),N9)-IF(TbTradesUpHold[[#This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Row],[Tipo]]="DROP"),N9+TbTradesUpHold[[#This Row],[Qtt]],N9-TbTradesUpHold[[#This Row],[Qtt]]),IF(TbTradesUpHold[[#This Row],[Tipo]]="BUY",N9-TbTradesUpHold[[#This Row],[Qtt]]*TbTradesUpHold[[#This Row],[Preço]],N9+TbTradesUpHold[[#This Row],[Qtt]]*TbTradesUpHold[[#This Row],[Preço]])),N9)-IF(TbTradesUpHold[[#This Row],[Moeda da Taxa]]=MID(N$1,9,5),TbTradesUpHold[[#This Row],[Taxa]],0),8)))</f>
        <v>8.5908000000000009E-3</v>
      </c>
      <c r="O10" s="50" cm="1">
        <f t="array" ref="O10">IF(TbTradesUpHold[[#This Row],[Tipo]]="EMPTY",0,O9+IF(TbTradesUpHold[[#This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Row],[Par]]))),$1:$1,0)),-(N9-N10)/N9*O9),0),0)+IF(TbTradesUpHold[[#This Row],[Tipo]]="SELL",IF(ISNUMBER(FIND(MID(O$1,10,5),TbTradesUpHold[[#This Row],[Par]])),IF(FIND(MID(O$1,10,5),TbTradesUpHold[[#This Row],[Par]])=1, -(N9-N10)/N9*O9,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Row],[Par]])),(-(N9-N10)/N9*O9)+IF(TbTradesUpHold[[#This Row],[Resultado]]&gt;0,0,TbTradesUpHold[[#This Row],[Taxa]]),0),0))</f>
        <v>0</v>
      </c>
      <c r="P10" s="41">
        <f t="shared" si="0"/>
        <v>0</v>
      </c>
      <c r="Q10" s="42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Row],[Tipo]]="DROP"),Q9+TbTradesUpHold[[#This Row],[Qtt]],Q9-TbTradesUpHold[[#This Row],[Qtt]]),IF(TbTradesUpHold[[#This Row],[Tipo]]="BUY",Q9-TbTradesUpHold[[#This Row],[Qtt]]*TbTradesUpHold[[#This Row],[Preço]],Q9+TbTradesUpHold[[#This Row],[Qtt]]*TbTradesUpHold[[#This Row],[Preço]])),Q9)-IF(TbTradesUpHold[[#This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Row],[Tipo]]="DROP"),Q9+TbTradesUpHold[[#This Row],[Qtt]],Q9-TbTradesUpHold[[#This Row],[Qtt]]),IF(TbTradesUpHold[[#This Row],[Tipo]]="BUY",Q9-TbTradesUpHold[[#This Row],[Qtt]]*TbTradesUpHold[[#This Row],[Preço]],Q9+TbTradesUpHold[[#This Row],[Qtt]]*TbTradesUpHold[[#This Row],[Preço]])),Q9)-IF(TbTradesUpHold[[#This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Row],[Tipo]]="DROP"),Q9+TbTradesUpHold[[#This Row],[Qtt]],Q9-TbTradesUpHold[[#This Row],[Qtt]]),IF(TbTradesUpHold[[#This Row],[Tipo]]="BUY",Q9-TbTradesUpHold[[#This Row],[Qtt]]*TbTradesUpHold[[#This Row],[Preço]],Q9+TbTradesUpHold[[#This Row],[Qtt]]*TbTradesUpHold[[#This Row],[Preço]])),Q9)-IF(TbTradesUpHold[[#This Row],[Moeda da Taxa]]=MID(Q$1,9,5),TbTradesUpHold[[#This Row],[Taxa]],0),8)))</f>
        <v>0</v>
      </c>
      <c r="R10" s="50" cm="1">
        <f t="array" ref="R10">IF(TbTradesUpHold[[#This Row],[Tipo]]="EMPTY",0,R9+IF(TbTradesUpHold[[#This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Row],[Par]]))),$1:$1,0)),-(Q9-Q10)/Q9*R9),0),0)+IF(TbTradesUpHold[[#This Row],[Tipo]]="SELL",IF(ISNUMBER(FIND(MID(R$1,10,5),TbTradesUpHold[[#This Row],[Par]])),IF(FIND(MID(R$1,10,5),TbTradesUpHold[[#This Row],[Par]])=1, -(Q9-Q10)/Q9*R9,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Row],[Par]])),(-(Q9-Q10)/Q9*R9)+IF(TbTradesUpHold[[#This Row],[Resultado]]&gt;0,0,TbTradesUpHold[[#This Row],[Taxa]]),0),0))</f>
        <v>0</v>
      </c>
      <c r="S10" s="41">
        <f t="shared" si="1"/>
        <v>0</v>
      </c>
      <c r="T10" s="43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Row],[Tipo]]="DROP"),T9+TbTradesUpHold[[#This Row],[Qtt]],T9-TbTradesUpHold[[#This Row],[Qtt]]),IF(TbTradesUpHold[[#This Row],[Tipo]]="BUY",T9-TbTradesUpHold[[#This Row],[Qtt]]*TbTradesUpHold[[#This Row],[Preço]],T9+TbTradesUpHold[[#This Row],[Qtt]]*TbTradesUpHold[[#This Row],[Preço]])),T9)-IF(TbTradesUpHold[[#This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Row],[Tipo]]="DROP"),T9+TbTradesUpHold[[#This Row],[Qtt]],T9-TbTradesUpHold[[#This Row],[Qtt]]),IF(TbTradesUpHold[[#This Row],[Tipo]]="BUY",T9-TbTradesUpHold[[#This Row],[Qtt]]*TbTradesUpHold[[#This Row],[Preço]],T9+TbTradesUpHold[[#This Row],[Qtt]]*TbTradesUpHold[[#This Row],[Preço]])),T9)-IF(TbTradesUpHold[[#This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Row],[Tipo]]="DROP"),T9+TbTradesUpHold[[#This Row],[Qtt]],T9-TbTradesUpHold[[#This Row],[Qtt]]),IF(TbTradesUpHold[[#This Row],[Tipo]]="BUY",T9-TbTradesUpHold[[#This Row],[Qtt]]*TbTradesUpHold[[#This Row],[Preço]],T9+TbTradesUpHold[[#This Row],[Qtt]]*TbTradesUpHold[[#This Row],[Preço]])),T9)-IF(TbTradesUpHold[[#This Row],[Moeda da Taxa]]=MID(T$1,9,5),TbTradesUpHold[[#This Row],[Taxa]],0),8)))</f>
        <v>0</v>
      </c>
      <c r="U10" s="50" cm="1">
        <f t="array" ref="U10">IF(TbTradesUpHold[[#This Row],[Tipo]]="EMPTY",0,U9+IF(TbTradesUpHold[[#This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Row],[Par]]))),$1:$1,0)),-(T9-T10)/T9*U9),0),0)+IF(TbTradesUpHold[[#This Row],[Tipo]]="SELL",IF(ISNUMBER(FIND(MID(U$1,10,5),TbTradesUpHold[[#This Row],[Par]])),IF(FIND(MID(U$1,10,5),TbTradesUpHold[[#This Row],[Par]])=1, -(T9-T10)/T9*U9,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Row],[Par]])),(-(T9-T10)/T9*U9)+IF(TbTradesUpHold[[#This Row],[Resultado]]&gt;0,0,TbTradesUpHold[[#This Row],[Taxa]]),0),0))</f>
        <v>0</v>
      </c>
      <c r="V10" s="41">
        <f t="shared" si="2"/>
        <v>0</v>
      </c>
      <c r="W10" s="43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Row],[Tipo]]="DROP"),W9+TbTradesUpHold[[#This Row],[Qtt]],W9-TbTradesUpHold[[#This Row],[Qtt]]),IF(TbTradesUpHold[[#This Row],[Tipo]]="BUY",W9-TbTradesUpHold[[#This Row],[Qtt]]*TbTradesUpHold[[#This Row],[Preço]],W9+TbTradesUpHold[[#This Row],[Qtt]]*TbTradesUpHold[[#This Row],[Preço]])),W9)-IF(TbTradesUpHold[[#This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Row],[Tipo]]="DROP"),W9+TbTradesUpHold[[#This Row],[Qtt]],W9-TbTradesUpHold[[#This Row],[Qtt]]),IF(TbTradesUpHold[[#This Row],[Tipo]]="BUY",W9-TbTradesUpHold[[#This Row],[Qtt]]*TbTradesUpHold[[#This Row],[Preço]],W9+TbTradesUpHold[[#This Row],[Qtt]]*TbTradesUpHold[[#This Row],[Preço]])),W9)-IF(TbTradesUpHold[[#This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Row],[Tipo]]="DROP"),W9+TbTradesUpHold[[#This Row],[Qtt]],W9-TbTradesUpHold[[#This Row],[Qtt]]),IF(TbTradesUpHold[[#This Row],[Tipo]]="BUY",W9-TbTradesUpHold[[#This Row],[Qtt]]*TbTradesUpHold[[#This Row],[Preço]],W9+TbTradesUpHold[[#This Row],[Qtt]]*TbTradesUpHold[[#This Row],[Preço]])),W9)-IF(TbTradesUpHold[[#This Row],[Moeda da Taxa]]=MID(W$1,9,5),TbTradesUpHold[[#This Row],[Taxa]],0),8)))</f>
        <v>0</v>
      </c>
      <c r="X10" s="50" cm="1">
        <f t="array" ref="X10">IF(TbTradesUpHold[[#This Row],[Tipo]]="EMPTY",0,X9+IF(TbTradesUpHold[[#This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Row],[Par]]))),$1:$1,0)),-(W9-W10)/W9*X9),0),0)+IF(TbTradesUpHold[[#This Row],[Tipo]]="SELL",IF(ISNUMBER(FIND(MID(X$1,10,5),TbTradesUpHold[[#This Row],[Par]])),IF(FIND(MID(X$1,10,5),TbTradesUpHold[[#This Row],[Par]])=1, -(W9-W10)/W9*X9,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Row],[Par]])),(-(W9-W10)/W9*X9)+IF(TbTradesUpHold[[#This Row],[Resultado]]&gt;0,0,TbTradesUpHold[[#This Row],[Taxa]]),0),0))</f>
        <v>0</v>
      </c>
      <c r="Y10" s="41">
        <f t="shared" si="3"/>
        <v>0</v>
      </c>
      <c r="Z10" s="43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Row],[Tipo]]="DROP"),Z9+TbTradesUpHold[[#This Row],[Qtt]],Z9-TbTradesUpHold[[#This Row],[Qtt]]),IF(TbTradesUpHold[[#This Row],[Tipo]]="BUY",Z9-TbTradesUpHold[[#This Row],[Qtt]]*TbTradesUpHold[[#This Row],[Preço]],Z9+TbTradesUpHold[[#This Row],[Qtt]]*TbTradesUpHold[[#This Row],[Preço]])),Z9)-IF(TbTradesUpHold[[#This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Row],[Tipo]]="DROP"),Z9+TbTradesUpHold[[#This Row],[Qtt]],Z9-TbTradesUpHold[[#This Row],[Qtt]]),IF(TbTradesUpHold[[#This Row],[Tipo]]="BUY",Z9-TbTradesUpHold[[#This Row],[Qtt]]*TbTradesUpHold[[#This Row],[Preço]],Z9+TbTradesUpHold[[#This Row],[Qtt]]*TbTradesUpHold[[#This Row],[Preço]])),Z9)-IF(TbTradesUpHold[[#This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Row],[Tipo]]="DROP"),Z9+TbTradesUpHold[[#This Row],[Qtt]],Z9-TbTradesUpHold[[#This Row],[Qtt]]),IF(TbTradesUpHold[[#This Row],[Tipo]]="BUY",Z9-TbTradesUpHold[[#This Row],[Qtt]]*TbTradesUpHold[[#This Row],[Preço]],Z9+TbTradesUpHold[[#This Row],[Qtt]]*TbTradesUpHold[[#This Row],[Preço]])),Z9)-IF(TbTradesUpHold[[#This Row],[Moeda da Taxa]]=MID(Z$1,9,5),TbTradesUpHold[[#This Row],[Taxa]],0),8)))</f>
        <v>0.158751</v>
      </c>
      <c r="AA10" s="50" cm="1">
        <f t="array" ref="AA10">IF(TbTradesUpHold[[#This Row],[Tipo]]="EMPTY",0,AA9+IF(TbTradesUpHold[[#This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Row],[Par]]))),$1:$1,0)),-(Z9-Z10)/Z9*AA9),0),0)+IF(TbTradesUpHold[[#This Row],[Tipo]]="SELL",IF(ISNUMBER(FIND(MID(AA$1,10,5),TbTradesUpHold[[#This Row],[Par]])),IF(FIND(MID(AA$1,10,5),TbTradesUpHold[[#This Row],[Par]])=1, -(Z9-Z10)/Z9*AA9,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Row],[Par]])),(-(Z9-Z10)/Z9*AA9)+IF(TbTradesUpHold[[#This Row],[Resultado]]&gt;0,0,TbTradesUpHold[[#This Row],[Taxa]]),0),0))</f>
        <v>0</v>
      </c>
      <c r="AB10" s="41">
        <f t="shared" si="4"/>
        <v>0</v>
      </c>
      <c r="AC10" s="43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Row],[Tipo]]="DROP"),AC9+TbTradesUpHold[[#This Row],[Qtt]],AC9-TbTradesUpHold[[#This Row],[Qtt]]),IF(TbTradesUpHold[[#This Row],[Tipo]]="BUY",AC9-TbTradesUpHold[[#This Row],[Qtt]]*TbTradesUpHold[[#This Row],[Preço]],AC9+TbTradesUpHold[[#This Row],[Qtt]]*TbTradesUpHold[[#This Row],[Preço]])),AC9)-IF(TbTradesUpHold[[#This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Row],[Tipo]]="DROP"),AC9+TbTradesUpHold[[#This Row],[Qtt]],AC9-TbTradesUpHold[[#This Row],[Qtt]]),IF(TbTradesUpHold[[#This Row],[Tipo]]="BUY",AC9-TbTradesUpHold[[#This Row],[Qtt]]*TbTradesUpHold[[#This Row],[Preço]],AC9+TbTradesUpHold[[#This Row],[Qtt]]*TbTradesUpHold[[#This Row],[Preço]])),AC9)-IF(TbTradesUpHold[[#This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Row],[Tipo]]="DROP"),AC9+TbTradesUpHold[[#This Row],[Qtt]],AC9-TbTradesUpHold[[#This Row],[Qtt]]),IF(TbTradesUpHold[[#This Row],[Tipo]]="BUY",AC9-TbTradesUpHold[[#This Row],[Qtt]]*TbTradesUpHold[[#This Row],[Preço]],AC9+TbTradesUpHold[[#This Row],[Qtt]]*TbTradesUpHold[[#This Row],[Preço]])),AC9)-IF(TbTradesUpHold[[#This Row],[Moeda da Taxa]]=MID(AC$1,9,5),TbTradesUpHold[[#This Row],[Taxa]],0),8)))</f>
        <v>0.69</v>
      </c>
      <c r="AD10" s="50" cm="1">
        <f t="array" ref="AD10">IF(TbTradesUpHold[[#This Row],[Tipo]]="EMPTY",0,AD9+IF(TbTradesUpHold[[#This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Row],[Par]]))),$1:$1,0)),-(AC9-AC10)/AC9*AD9),0),0)+IF(TbTradesUpHold[[#This Row],[Tipo]]="SELL",IF(ISNUMBER(FIND(MID(AD$1,10,5),TbTradesUpHold[[#This Row],[Par]])),IF(FIND(MID(AD$1,10,5),TbTradesUpHold[[#This Row],[Par]])=1, -(AC9-AC10)/AC9*AD9,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Row],[Par]])),(-(AC9-AC10)/AC9*AD9)+IF(TbTradesUpHold[[#This Row],[Resultado]]&gt;0,0,TbTradesUpHold[[#This Row],[Taxa]]),0),0))</f>
        <v>0</v>
      </c>
      <c r="AE10" s="41">
        <f t="shared" si="5"/>
        <v>0</v>
      </c>
      <c r="AF10" s="43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Row],[Tipo]]="DROP"),AF9+TbTradesUpHold[[#This Row],[Qtt]],AF9-TbTradesUpHold[[#This Row],[Qtt]]),IF(TbTradesUpHold[[#This Row],[Tipo]]="BUY",AF9-TbTradesUpHold[[#This Row],[Qtt]]*TbTradesUpHold[[#This Row],[Preço]],AF9+TbTradesUpHold[[#This Row],[Qtt]]*TbTradesUpHold[[#This Row],[Preço]])),AF9)-IF(TbTradesUpHold[[#This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Row],[Tipo]]="DROP"),AF9+TbTradesUpHold[[#This Row],[Qtt]],AF9-TbTradesUpHold[[#This Row],[Qtt]]),IF(TbTradesUpHold[[#This Row],[Tipo]]="BUY",AF9-TbTradesUpHold[[#This Row],[Qtt]]*TbTradesUpHold[[#This Row],[Preço]],AF9+TbTradesUpHold[[#This Row],[Qtt]]*TbTradesUpHold[[#This Row],[Preço]])),AF9)-IF(TbTradesUpHold[[#This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Row],[Tipo]]="DROP"),AF9+TbTradesUpHold[[#This Row],[Qtt]],AF9-TbTradesUpHold[[#This Row],[Qtt]]),IF(TbTradesUpHold[[#This Row],[Tipo]]="BUY",AF9-TbTradesUpHold[[#This Row],[Qtt]]*TbTradesUpHold[[#This Row],[Preço]],AF9+TbTradesUpHold[[#This Row],[Qtt]]*TbTradesUpHold[[#This Row],[Preço]])),AF9)-IF(TbTradesUpHold[[#This Row],[Moeda da Taxa]]=MID(AF$1,9,5),TbTradesUpHold[[#This Row],[Taxa]],0),8)))</f>
        <v>0</v>
      </c>
      <c r="AG10" s="50" cm="1">
        <f t="array" ref="AG10">IF(TbTradesUpHold[[#This Row],[Tipo]]="EMPTY",0,AG9+IF(TbTradesUpHold[[#This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Row],[Par]]))),$1:$1,0)),-(AF9-AF10)/AF9*AG9),0),0)+IF(TbTradesUpHold[[#This Row],[Tipo]]="SELL",IF(ISNUMBER(FIND(MID(AG$1,10,5),TbTradesUpHold[[#This Row],[Par]])),IF(FIND(MID(AG$1,10,5),TbTradesUpHold[[#This Row],[Par]])=1, -(AF9-AF10)/AF9*AG9,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Row],[Par]])),(-(AF9-AF10)/AF9*AG9)+IF(TbTradesUpHold[[#This Row],[Resultado]]&gt;0,0,TbTradesUpHold[[#This Row],[Taxa]]),0),0))</f>
        <v>0</v>
      </c>
      <c r="AH10" s="41">
        <f t="shared" si="6"/>
        <v>0</v>
      </c>
    </row>
    <row r="11" spans="1:34" x14ac:dyDescent="0.3">
      <c r="B11" s="89" t="s">
        <v>156</v>
      </c>
      <c r="C11" s="76">
        <f>TRUNC(IF(AND(TbTradesUpHold[[#This Row],[Tipo]]="SEND",TbTradesUpHold[[#This Row],[Par]]="BRL"),TbTradesUpHold[[#This Row],[Qtt]]*(1-P10)-IF(TbTradesUpHold[[#This Row],[Moeda da Taxa]]="BRL",TbTradesUpHold[[#This Row],[Taxa]],0),0)+IF(AND(TbTradesUpHold[[#This Row],[Tipo]]="BURN",TbTradesUpHold[[#This Row],[Par]]="BRL"),-TbTradesUpHold[[#This Row],[Qtt]]*P10,0),2)</f>
        <v>0</v>
      </c>
      <c r="D11" s="65">
        <v>44356.830555555556</v>
      </c>
      <c r="E11" s="77" t="s">
        <v>41</v>
      </c>
      <c r="F11" s="77" t="s">
        <v>148</v>
      </c>
      <c r="G11" s="78">
        <v>3.5</v>
      </c>
      <c r="H11" s="78">
        <v>0.25</v>
      </c>
      <c r="I11" s="78">
        <v>0</v>
      </c>
      <c r="J11" s="78" t="s">
        <v>41</v>
      </c>
      <c r="K11" s="75">
        <v>1</v>
      </c>
      <c r="L11" s="66">
        <f>TRUNC(K11*G11,2)</f>
        <v>3.5</v>
      </c>
      <c r="M11" s="67">
        <f>IF(OR(TbTradesUpHold[[#This Row],[Tipo]]="BUY",TbTradesUpHold[[#This Row],[Tipo]]="RECEIVE",TbTradesUpHold[[#This Row],[Tipo]]="DROP"),L11*H11,-L11*H11)</f>
        <v>0.875</v>
      </c>
      <c r="N11" s="41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Row],[Tipo]]="DROP"),N10+TbTradesUpHold[[#This Row],[Qtt]],N10-TbTradesUpHold[[#This Row],[Qtt]]),IF(TbTradesUpHold[[#This Row],[Tipo]]="BUY",N10-TbTradesUpHold[[#This Row],[Qtt]]*TbTradesUpHold[[#This Row],[Preço]],N10+TbTradesUpHold[[#This Row],[Qtt]]*TbTradesUpHold[[#This Row],[Preço]])),N10)-IF(TbTradesUpHold[[#This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Row],[Tipo]]="DROP"),N10+TbTradesUpHold[[#This Row],[Qtt]],N10-TbTradesUpHold[[#This Row],[Qtt]]),IF(TbTradesUpHold[[#This Row],[Tipo]]="BUY",N10-TbTradesUpHold[[#This Row],[Qtt]]*TbTradesUpHold[[#This Row],[Preço]],N10+TbTradesUpHold[[#This Row],[Qtt]]*TbTradesUpHold[[#This Row],[Preço]])),N10)-IF(TbTradesUpHold[[#This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Row],[Tipo]]="DROP"),N10+TbTradesUpHold[[#This Row],[Qtt]],N10-TbTradesUpHold[[#This Row],[Qtt]]),IF(TbTradesUpHold[[#This Row],[Tipo]]="BUY",N10-TbTradesUpHold[[#This Row],[Qtt]]*TbTradesUpHold[[#This Row],[Preço]],N10+TbTradesUpHold[[#This Row],[Qtt]]*TbTradesUpHold[[#This Row],[Preço]])),N10)-IF(TbTradesUpHold[[#This Row],[Moeda da Taxa]]=MID(N$1,9,5),TbTradesUpHold[[#This Row],[Taxa]],0),8)))</f>
        <v>8.5908000000000009E-3</v>
      </c>
      <c r="O11" s="50" cm="1">
        <f t="array" ref="O11">IF(TbTradesUpHold[[#This Row],[Tipo]]="EMPTY",0,O10+IF(TbTradesUpHold[[#This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Row],[Par]]))),$1:$1,0)),-(N10-N11)/N10*O10),0),0)+IF(TbTradesUpHold[[#This Row],[Tipo]]="SELL",IF(ISNUMBER(FIND(MID(O$1,10,5),TbTradesUpHold[[#This Row],[Par]])),IF(FIND(MID(O$1,10,5),TbTradesUpHold[[#This Row],[Par]])=1, -(N10-N11)/N10*O10,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Row],[Par]])),(-(N10-N11)/N10*O10)+IF(TbTradesUpHold[[#This Row],[Resultado]]&gt;0,0,TbTradesUpHold[[#This Row],[Taxa]]),0),0))</f>
        <v>0</v>
      </c>
      <c r="P11" s="41">
        <f>IF(N11=0,0,O11/N11)</f>
        <v>0</v>
      </c>
      <c r="Q11" s="42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Row],[Tipo]]="DROP"),Q10+TbTradesUpHold[[#This Row],[Qtt]],Q10-TbTradesUpHold[[#This Row],[Qtt]]),IF(TbTradesUpHold[[#This Row],[Tipo]]="BUY",Q10-TbTradesUpHold[[#This Row],[Qtt]]*TbTradesUpHold[[#This Row],[Preço]],Q10+TbTradesUpHold[[#This Row],[Qtt]]*TbTradesUpHold[[#This Row],[Preço]])),Q10)-IF(TbTradesUpHold[[#This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Row],[Tipo]]="DROP"),Q10+TbTradesUpHold[[#This Row],[Qtt]],Q10-TbTradesUpHold[[#This Row],[Qtt]]),IF(TbTradesUpHold[[#This Row],[Tipo]]="BUY",Q10-TbTradesUpHold[[#This Row],[Qtt]]*TbTradesUpHold[[#This Row],[Preço]],Q10+TbTradesUpHold[[#This Row],[Qtt]]*TbTradesUpHold[[#This Row],[Preço]])),Q10)-IF(TbTradesUpHold[[#This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Row],[Tipo]]="DROP"),Q10+TbTradesUpHold[[#This Row],[Qtt]],Q10-TbTradesUpHold[[#This Row],[Qtt]]),IF(TbTradesUpHold[[#This Row],[Tipo]]="BUY",Q10-TbTradesUpHold[[#This Row],[Qtt]]*TbTradesUpHold[[#This Row],[Preço]],Q10+TbTradesUpHold[[#This Row],[Qtt]]*TbTradesUpHold[[#This Row],[Preço]])),Q10)-IF(TbTradesUpHold[[#This Row],[Moeda da Taxa]]=MID(Q$1,9,5),TbTradesUpHold[[#This Row],[Taxa]],0),8)))</f>
        <v>0</v>
      </c>
      <c r="R11" s="50" cm="1">
        <f t="array" ref="R11">IF(TbTradesUpHold[[#This Row],[Tipo]]="EMPTY",0,R10+IF(TbTradesUpHold[[#This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Row],[Par]]))),$1:$1,0)),-(Q10-Q11)/Q10*R10),0),0)+IF(TbTradesUpHold[[#This Row],[Tipo]]="SELL",IF(ISNUMBER(FIND(MID(R$1,10,5),TbTradesUpHold[[#This Row],[Par]])),IF(FIND(MID(R$1,10,5),TbTradesUpHold[[#This Row],[Par]])=1, -(Q10-Q11)/Q10*R10,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Row],[Par]])),(-(Q10-Q11)/Q10*R10)+IF(TbTradesUpHold[[#This Row],[Resultado]]&gt;0,0,TbTradesUpHold[[#This Row],[Taxa]]),0),0))</f>
        <v>0</v>
      </c>
      <c r="S11" s="41">
        <f>IF(Q11=0,0,R11/Q11)</f>
        <v>0</v>
      </c>
      <c r="T11" s="25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Row],[Tipo]]="DROP"),T10+TbTradesUpHold[[#This Row],[Qtt]],T10-TbTradesUpHold[[#This Row],[Qtt]]),IF(TbTradesUpHold[[#This Row],[Tipo]]="BUY",T10-TbTradesUpHold[[#This Row],[Qtt]]*TbTradesUpHold[[#This Row],[Preço]],T10+TbTradesUpHold[[#This Row],[Qtt]]*TbTradesUpHold[[#This Row],[Preço]])),T10)-IF(TbTradesUpHold[[#This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Row],[Tipo]]="DROP"),T10+TbTradesUpHold[[#This Row],[Qtt]],T10-TbTradesUpHold[[#This Row],[Qtt]]),IF(TbTradesUpHold[[#This Row],[Tipo]]="BUY",T10-TbTradesUpHold[[#This Row],[Qtt]]*TbTradesUpHold[[#This Row],[Preço]],T10+TbTradesUpHold[[#This Row],[Qtt]]*TbTradesUpHold[[#This Row],[Preço]])),T10)-IF(TbTradesUpHold[[#This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Row],[Tipo]]="DROP"),T10+TbTradesUpHold[[#This Row],[Qtt]],T10-TbTradesUpHold[[#This Row],[Qtt]]),IF(TbTradesUpHold[[#This Row],[Tipo]]="BUY",T10-TbTradesUpHold[[#This Row],[Qtt]]*TbTradesUpHold[[#This Row],[Preço]],T10+TbTradesUpHold[[#This Row],[Qtt]]*TbTradesUpHold[[#This Row],[Preço]])),T10)-IF(TbTradesUpHold[[#This Row],[Moeda da Taxa]]=MID(T$1,9,5),TbTradesUpHold[[#This Row],[Taxa]],0),8)))</f>
        <v>0</v>
      </c>
      <c r="U11" s="152" cm="1">
        <f t="array" ref="U11">IF(TbTradesUpHold[[#This Row],[Tipo]]="EMPTY",0,U10+IF(TbTradesUpHold[[#This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Row],[Par]]))),$1:$1,0)),-(T10-T11)/T10*U10),0),0)+IF(TbTradesUpHold[[#This Row],[Tipo]]="SELL",IF(ISNUMBER(FIND(MID(U$1,10,5),TbTradesUpHold[[#This Row],[Par]])),IF(FIND(MID(U$1,10,5),TbTradesUpHold[[#This Row],[Par]])=1, -(T10-T11)/T10*U10,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Row],[Par]])),(-(T10-T11)/T10*U10)+IF(TbTradesUpHold[[#This Row],[Resultado]]&gt;0,0,TbTradesUpHold[[#This Row],[Taxa]]),0),0))</f>
        <v>0</v>
      </c>
      <c r="V11" s="41">
        <f>IF(T11=0,0,U11/T11)</f>
        <v>0</v>
      </c>
      <c r="W11" s="92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Row],[Tipo]]="DROP"),W10+TbTradesUpHold[[#This Row],[Qtt]],W10-TbTradesUpHold[[#This Row],[Qtt]]),IF(TbTradesUpHold[[#This Row],[Tipo]]="BUY",W10-TbTradesUpHold[[#This Row],[Qtt]]*TbTradesUpHold[[#This Row],[Preço]],W10+TbTradesUpHold[[#This Row],[Qtt]]*TbTradesUpHold[[#This Row],[Preço]])),W10)-IF(TbTradesUpHold[[#This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Row],[Tipo]]="DROP"),W10+TbTradesUpHold[[#This Row],[Qtt]],W10-TbTradesUpHold[[#This Row],[Qtt]]),IF(TbTradesUpHold[[#This Row],[Tipo]]="BUY",W10-TbTradesUpHold[[#This Row],[Qtt]]*TbTradesUpHold[[#This Row],[Preço]],W10+TbTradesUpHold[[#This Row],[Qtt]]*TbTradesUpHold[[#This Row],[Preço]])),W10)-IF(TbTradesUpHold[[#This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Row],[Tipo]]="DROP"),W10+TbTradesUpHold[[#This Row],[Qtt]],W10-TbTradesUpHold[[#This Row],[Qtt]]),IF(TbTradesUpHold[[#This Row],[Tipo]]="BUY",W10-TbTradesUpHold[[#This Row],[Qtt]]*TbTradesUpHold[[#This Row],[Preço]],W10+TbTradesUpHold[[#This Row],[Qtt]]*TbTradesUpHold[[#This Row],[Preço]])),W10)-IF(TbTradesUpHold[[#This Row],[Moeda da Taxa]]=MID(W$1,9,5),TbTradesUpHold[[#This Row],[Taxa]],0),8)))</f>
        <v>0</v>
      </c>
      <c r="X11" s="153" cm="1">
        <f t="array" ref="X11">IF(TbTradesUpHold[[#This Row],[Tipo]]="EMPTY",0,X10+IF(TbTradesUpHold[[#This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Row],[Par]]))),$1:$1,0)),-(W10-W11)/W10*X10),0),0)+IF(TbTradesUpHold[[#This Row],[Tipo]]="SELL",IF(ISNUMBER(FIND(MID(X$1,10,5),TbTradesUpHold[[#This Row],[Par]])),IF(FIND(MID(X$1,10,5),TbTradesUpHold[[#This Row],[Par]])=1, -(W10-W11)/W10*X10,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Row],[Par]])),(-(W10-W11)/W10*X10)+IF(TbTradesUpHold[[#This Row],[Resultado]]&gt;0,0,TbTradesUpHold[[#This Row],[Taxa]]),0),0))</f>
        <v>0</v>
      </c>
      <c r="Y11" s="41">
        <f>IF(W11=0,0,X11/W11)</f>
        <v>0</v>
      </c>
      <c r="Z11" s="92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Row],[Tipo]]="DROP"),Z10+TbTradesUpHold[[#This Row],[Qtt]],Z10-TbTradesUpHold[[#This Row],[Qtt]]),IF(TbTradesUpHold[[#This Row],[Tipo]]="BUY",Z10-TbTradesUpHold[[#This Row],[Qtt]]*TbTradesUpHold[[#This Row],[Preço]],Z10+TbTradesUpHold[[#This Row],[Qtt]]*TbTradesUpHold[[#This Row],[Preço]])),Z10)-IF(TbTradesUpHold[[#This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Row],[Tipo]]="DROP"),Z10+TbTradesUpHold[[#This Row],[Qtt]],Z10-TbTradesUpHold[[#This Row],[Qtt]]),IF(TbTradesUpHold[[#This Row],[Tipo]]="BUY",Z10-TbTradesUpHold[[#This Row],[Qtt]]*TbTradesUpHold[[#This Row],[Preço]],Z10+TbTradesUpHold[[#This Row],[Qtt]]*TbTradesUpHold[[#This Row],[Preço]])),Z10)-IF(TbTradesUpHold[[#This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Row],[Tipo]]="DROP"),Z10+TbTradesUpHold[[#This Row],[Qtt]],Z10-TbTradesUpHold[[#This Row],[Qtt]]),IF(TbTradesUpHold[[#This Row],[Tipo]]="BUY",Z10-TbTradesUpHold[[#This Row],[Qtt]]*TbTradesUpHold[[#This Row],[Preço]],Z10+TbTradesUpHold[[#This Row],[Qtt]]*TbTradesUpHold[[#This Row],[Preço]])),Z10)-IF(TbTradesUpHold[[#This Row],[Moeda da Taxa]]=MID(Z$1,9,5),TbTradesUpHold[[#This Row],[Taxa]],0),8)))</f>
        <v>0.158751</v>
      </c>
      <c r="AA11" s="153" cm="1">
        <f t="array" ref="AA11">IF(TbTradesUpHold[[#This Row],[Tipo]]="EMPTY",0,AA10+IF(TbTradesUpHold[[#This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Row],[Par]]))),$1:$1,0)),-(Z10-Z11)/Z10*AA10),0),0)+IF(TbTradesUpHold[[#This Row],[Tipo]]="SELL",IF(ISNUMBER(FIND(MID(AA$1,10,5),TbTradesUpHold[[#This Row],[Par]])),IF(FIND(MID(AA$1,10,5),TbTradesUpHold[[#This Row],[Par]])=1, -(Z10-Z11)/Z10*AA10,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Row],[Par]])),(-(Z10-Z11)/Z10*AA10)+IF(TbTradesUpHold[[#This Row],[Resultado]]&gt;0,0,TbTradesUpHold[[#This Row],[Taxa]]),0),0))</f>
        <v>0</v>
      </c>
      <c r="AB11" s="41">
        <f>IF(Z11=0,0,AA11/Z11)</f>
        <v>0</v>
      </c>
      <c r="AC11" s="92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Row],[Tipo]]="DROP"),AC10+TbTradesUpHold[[#This Row],[Qtt]],AC10-TbTradesUpHold[[#This Row],[Qtt]]),IF(TbTradesUpHold[[#This Row],[Tipo]]="BUY",AC10-TbTradesUpHold[[#This Row],[Qtt]]*TbTradesUpHold[[#This Row],[Preço]],AC10+TbTradesUpHold[[#This Row],[Qtt]]*TbTradesUpHold[[#This Row],[Preço]])),AC10)-IF(TbTradesUpHold[[#This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Row],[Tipo]]="DROP"),AC10+TbTradesUpHold[[#This Row],[Qtt]],AC10-TbTradesUpHold[[#This Row],[Qtt]]),IF(TbTradesUpHold[[#This Row],[Tipo]]="BUY",AC10-TbTradesUpHold[[#This Row],[Qtt]]*TbTradesUpHold[[#This Row],[Preço]],AC10+TbTradesUpHold[[#This Row],[Qtt]]*TbTradesUpHold[[#This Row],[Preço]])),AC10)-IF(TbTradesUpHold[[#This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Row],[Tipo]]="DROP"),AC10+TbTradesUpHold[[#This Row],[Qtt]],AC10-TbTradesUpHold[[#This Row],[Qtt]]),IF(TbTradesUpHold[[#This Row],[Tipo]]="BUY",AC10-TbTradesUpHold[[#This Row],[Qtt]]*TbTradesUpHold[[#This Row],[Preço]],AC10+TbTradesUpHold[[#This Row],[Qtt]]*TbTradesUpHold[[#This Row],[Preço]])),AC10)-IF(TbTradesUpHold[[#This Row],[Moeda da Taxa]]=MID(AC$1,9,5),TbTradesUpHold[[#This Row],[Taxa]],0),8)))</f>
        <v>0.94</v>
      </c>
      <c r="AD11" s="153" cm="1">
        <f t="array" ref="AD11">IF(TbTradesUpHold[[#This Row],[Tipo]]="EMPTY",0,AD10+IF(TbTradesUpHold[[#This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Row],[Par]]))),$1:$1,0)),-(AC10-AC11)/AC10*AD10),0),0)+IF(TbTradesUpHold[[#This Row],[Tipo]]="SELL",IF(ISNUMBER(FIND(MID(AD$1,10,5),TbTradesUpHold[[#This Row],[Par]])),IF(FIND(MID(AD$1,10,5),TbTradesUpHold[[#This Row],[Par]])=1, -(AC10-AC11)/AC10*AD10,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Row],[Par]])),(-(AC10-AC11)/AC10*AD10)+IF(TbTradesUpHold[[#This Row],[Resultado]]&gt;0,0,TbTradesUpHold[[#This Row],[Taxa]]),0),0))</f>
        <v>0</v>
      </c>
      <c r="AE11" s="41">
        <f>IF(AC11=0,0,AD11/AC11)</f>
        <v>0</v>
      </c>
      <c r="AF11" s="92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Row],[Tipo]]="DROP"),AF10+TbTradesUpHold[[#This Row],[Qtt]],AF10-TbTradesUpHold[[#This Row],[Qtt]]),IF(TbTradesUpHold[[#This Row],[Tipo]]="BUY",AF10-TbTradesUpHold[[#This Row],[Qtt]]*TbTradesUpHold[[#This Row],[Preço]],AF10+TbTradesUpHold[[#This Row],[Qtt]]*TbTradesUpHold[[#This Row],[Preço]])),AF10)-IF(TbTradesUpHold[[#This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Row],[Tipo]]="DROP"),AF10+TbTradesUpHold[[#This Row],[Qtt]],AF10-TbTradesUpHold[[#This Row],[Qtt]]),IF(TbTradesUpHold[[#This Row],[Tipo]]="BUY",AF10-TbTradesUpHold[[#This Row],[Qtt]]*TbTradesUpHold[[#This Row],[Preço]],AF10+TbTradesUpHold[[#This Row],[Qtt]]*TbTradesUpHold[[#This Row],[Preço]])),AF10)-IF(TbTradesUpHold[[#This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Row],[Tipo]]="DROP"),AF10+TbTradesUpHold[[#This Row],[Qtt]],AF10-TbTradesUpHold[[#This Row],[Qtt]]),IF(TbTradesUpHold[[#This Row],[Tipo]]="BUY",AF10-TbTradesUpHold[[#This Row],[Qtt]]*TbTradesUpHold[[#This Row],[Preço]],AF10+TbTradesUpHold[[#This Row],[Qtt]]*TbTradesUpHold[[#This Row],[Preço]])),AF10)-IF(TbTradesUpHold[[#This Row],[Moeda da Taxa]]=MID(AF$1,9,5),TbTradesUpHold[[#This Row],[Taxa]],0),8)))</f>
        <v>0</v>
      </c>
      <c r="AG11" s="153" cm="1">
        <f t="array" ref="AG11">IF(TbTradesUpHold[[#This Row],[Tipo]]="EMPTY",0,AG10+IF(TbTradesUpHold[[#This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Row],[Par]]))),$1:$1,0)),-(AF10-AF11)/AF10*AG10),0),0)+IF(TbTradesUpHold[[#This Row],[Tipo]]="SELL",IF(ISNUMBER(FIND(MID(AG$1,10,5),TbTradesUpHold[[#This Row],[Par]])),IF(FIND(MID(AG$1,10,5),TbTradesUpHold[[#This Row],[Par]])=1, -(AF10-AF11)/AF10*AG10,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Row],[Par]])),(-(AF10-AF11)/AF10*AG10)+IF(TbTradesUpHold[[#This Row],[Resultado]]&gt;0,0,TbTradesUpHold[[#This Row],[Taxa]]),0),0))</f>
        <v>0</v>
      </c>
      <c r="AH11" s="41">
        <f>IF(AF11=0,0,AG11/AF11)</f>
        <v>0</v>
      </c>
    </row>
    <row r="12" spans="1:34" x14ac:dyDescent="0.3">
      <c r="B12" s="89" t="s">
        <v>156</v>
      </c>
      <c r="C12" s="76">
        <f>TRUNC(IF(AND(TbTradesUpHold[[#This Row],[Tipo]]="SEND",TbTradesUpHold[[#This Row],[Par]]="BRL"),TbTradesUpHold[[#This Row],[Qtt]]*(1-P11)-IF(TbTradesUpHold[[#This Row],[Moeda da Taxa]]="BRL",TbTradesUpHold[[#This Row],[Taxa]],0),0)+IF(AND(TbTradesUpHold[[#This Row],[Tipo]]="BURN",TbTradesUpHold[[#This Row],[Par]]="BRL"),-TbTradesUpHold[[#This Row],[Qtt]]*P11,0),2)</f>
        <v>0</v>
      </c>
      <c r="D12" s="65">
        <v>44357.086111111108</v>
      </c>
      <c r="E12" s="77" t="s">
        <v>41</v>
      </c>
      <c r="F12" s="77" t="s">
        <v>148</v>
      </c>
      <c r="G12" s="78">
        <v>3.54</v>
      </c>
      <c r="H12" s="78">
        <v>0.25</v>
      </c>
      <c r="I12" s="78">
        <v>0</v>
      </c>
      <c r="J12" s="78" t="s">
        <v>41</v>
      </c>
      <c r="K12" s="75">
        <v>1</v>
      </c>
      <c r="L12" s="66">
        <f>TRUNC(K12*G12,2)</f>
        <v>3.54</v>
      </c>
      <c r="M12" s="67">
        <f>IF(OR(TbTradesUpHold[[#This Row],[Tipo]]="BUY",TbTradesUpHold[[#This Row],[Tipo]]="RECEIVE",TbTradesUpHold[[#This Row],[Tipo]]="DROP"),L12*H12,-L12*H12)</f>
        <v>0.88500000000000001</v>
      </c>
      <c r="N12" s="41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Row],[Tipo]]="DROP"),N11+TbTradesUpHold[[#This Row],[Qtt]],N11-TbTradesUpHold[[#This Row],[Qtt]]),IF(TbTradesUpHold[[#This Row],[Tipo]]="BUY",N11-TbTradesUpHold[[#This Row],[Qtt]]*TbTradesUpHold[[#This Row],[Preço]],N11+TbTradesUpHold[[#This Row],[Qtt]]*TbTradesUpHold[[#This Row],[Preço]])),N11)-IF(TbTradesUpHold[[#This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Row],[Tipo]]="DROP"),N11+TbTradesUpHold[[#This Row],[Qtt]],N11-TbTradesUpHold[[#This Row],[Qtt]]),IF(TbTradesUpHold[[#This Row],[Tipo]]="BUY",N11-TbTradesUpHold[[#This Row],[Qtt]]*TbTradesUpHold[[#This Row],[Preço]],N11+TbTradesUpHold[[#This Row],[Qtt]]*TbTradesUpHold[[#This Row],[Preço]])),N11)-IF(TbTradesUpHold[[#This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Row],[Tipo]]="DROP"),N11+TbTradesUpHold[[#This Row],[Qtt]],N11-TbTradesUpHold[[#This Row],[Qtt]]),IF(TbTradesUpHold[[#This Row],[Tipo]]="BUY",N11-TbTradesUpHold[[#This Row],[Qtt]]*TbTradesUpHold[[#This Row],[Preço]],N11+TbTradesUpHold[[#This Row],[Qtt]]*TbTradesUpHold[[#This Row],[Preço]])),N11)-IF(TbTradesUpHold[[#This Row],[Moeda da Taxa]]=MID(N$1,9,5),TbTradesUpHold[[#This Row],[Taxa]],0),8)))</f>
        <v>8.5908000000000009E-3</v>
      </c>
      <c r="O12" s="50" cm="1">
        <f t="array" ref="O12">IF(TbTradesUpHold[[#This Row],[Tipo]]="EMPTY",0,O11+IF(TbTradesUpHold[[#This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Row],[Par]]))),$1:$1,0)),-(N11-N12)/N11*O11),0),0)+IF(TbTradesUpHold[[#This Row],[Tipo]]="SELL",IF(ISNUMBER(FIND(MID(O$1,10,5),TbTradesUpHold[[#This Row],[Par]])),IF(FIND(MID(O$1,10,5),TbTradesUpHold[[#This Row],[Par]])=1, -(N11-N12)/N11*O11,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Row],[Par]])),(-(N11-N12)/N11*O11)+IF(TbTradesUpHold[[#This Row],[Resultado]]&gt;0,0,TbTradesUpHold[[#This Row],[Taxa]]),0),0))</f>
        <v>0</v>
      </c>
      <c r="P12" s="41">
        <f>IF(N12=0,0,O12/N12)</f>
        <v>0</v>
      </c>
      <c r="Q12" s="42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Row],[Tipo]]="DROP"),Q11+TbTradesUpHold[[#This Row],[Qtt]],Q11-TbTradesUpHold[[#This Row],[Qtt]]),IF(TbTradesUpHold[[#This Row],[Tipo]]="BUY",Q11-TbTradesUpHold[[#This Row],[Qtt]]*TbTradesUpHold[[#This Row],[Preço]],Q11+TbTradesUpHold[[#This Row],[Qtt]]*TbTradesUpHold[[#This Row],[Preço]])),Q11)-IF(TbTradesUpHold[[#This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Row],[Tipo]]="DROP"),Q11+TbTradesUpHold[[#This Row],[Qtt]],Q11-TbTradesUpHold[[#This Row],[Qtt]]),IF(TbTradesUpHold[[#This Row],[Tipo]]="BUY",Q11-TbTradesUpHold[[#This Row],[Qtt]]*TbTradesUpHold[[#This Row],[Preço]],Q11+TbTradesUpHold[[#This Row],[Qtt]]*TbTradesUpHold[[#This Row],[Preço]])),Q11)-IF(TbTradesUpHold[[#This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Row],[Tipo]]="DROP"),Q11+TbTradesUpHold[[#This Row],[Qtt]],Q11-TbTradesUpHold[[#This Row],[Qtt]]),IF(TbTradesUpHold[[#This Row],[Tipo]]="BUY",Q11-TbTradesUpHold[[#This Row],[Qtt]]*TbTradesUpHold[[#This Row],[Preço]],Q11+TbTradesUpHold[[#This Row],[Qtt]]*TbTradesUpHold[[#This Row],[Preço]])),Q11)-IF(TbTradesUpHold[[#This Row],[Moeda da Taxa]]=MID(Q$1,9,5),TbTradesUpHold[[#This Row],[Taxa]],0),8)))</f>
        <v>0</v>
      </c>
      <c r="R12" s="50" cm="1">
        <f t="array" ref="R12">IF(TbTradesUpHold[[#This Row],[Tipo]]="EMPTY",0,R11+IF(TbTradesUpHold[[#This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Row],[Par]]))),$1:$1,0)),-(Q11-Q12)/Q11*R11),0),0)+IF(TbTradesUpHold[[#This Row],[Tipo]]="SELL",IF(ISNUMBER(FIND(MID(R$1,10,5),TbTradesUpHold[[#This Row],[Par]])),IF(FIND(MID(R$1,10,5),TbTradesUpHold[[#This Row],[Par]])=1, -(Q11-Q12)/Q11*R11,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Row],[Par]])),(-(Q11-Q12)/Q11*R11)+IF(TbTradesUpHold[[#This Row],[Resultado]]&gt;0,0,TbTradesUpHold[[#This Row],[Taxa]]),0),0))</f>
        <v>0</v>
      </c>
      <c r="S12" s="41">
        <f>IF(Q12=0,0,R12/Q12)</f>
        <v>0</v>
      </c>
      <c r="T12" s="25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Row],[Tipo]]="DROP"),T11+TbTradesUpHold[[#This Row],[Qtt]],T11-TbTradesUpHold[[#This Row],[Qtt]]),IF(TbTradesUpHold[[#This Row],[Tipo]]="BUY",T11-TbTradesUpHold[[#This Row],[Qtt]]*TbTradesUpHold[[#This Row],[Preço]],T11+TbTradesUpHold[[#This Row],[Qtt]]*TbTradesUpHold[[#This Row],[Preço]])),T11)-IF(TbTradesUpHold[[#This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Row],[Tipo]]="DROP"),T11+TbTradesUpHold[[#This Row],[Qtt]],T11-TbTradesUpHold[[#This Row],[Qtt]]),IF(TbTradesUpHold[[#This Row],[Tipo]]="BUY",T11-TbTradesUpHold[[#This Row],[Qtt]]*TbTradesUpHold[[#This Row],[Preço]],T11+TbTradesUpHold[[#This Row],[Qtt]]*TbTradesUpHold[[#This Row],[Preço]])),T11)-IF(TbTradesUpHold[[#This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Row],[Tipo]]="DROP"),T11+TbTradesUpHold[[#This Row],[Qtt]],T11-TbTradesUpHold[[#This Row],[Qtt]]),IF(TbTradesUpHold[[#This Row],[Tipo]]="BUY",T11-TbTradesUpHold[[#This Row],[Qtt]]*TbTradesUpHold[[#This Row],[Preço]],T11+TbTradesUpHold[[#This Row],[Qtt]]*TbTradesUpHold[[#This Row],[Preço]])),T11)-IF(TbTradesUpHold[[#This Row],[Moeda da Taxa]]=MID(T$1,9,5),TbTradesUpHold[[#This Row],[Taxa]],0),8)))</f>
        <v>0</v>
      </c>
      <c r="U12" s="152" cm="1">
        <f t="array" ref="U12">IF(TbTradesUpHold[[#This Row],[Tipo]]="EMPTY",0,U11+IF(TbTradesUpHold[[#This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Row],[Par]]))),$1:$1,0)),-(T11-T12)/T11*U11),0),0)+IF(TbTradesUpHold[[#This Row],[Tipo]]="SELL",IF(ISNUMBER(FIND(MID(U$1,10,5),TbTradesUpHold[[#This Row],[Par]])),IF(FIND(MID(U$1,10,5),TbTradesUpHold[[#This Row],[Par]])=1, -(T11-T12)/T11*U11,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Row],[Par]])),(-(T11-T12)/T11*U11)+IF(TbTradesUpHold[[#This Row],[Resultado]]&gt;0,0,TbTradesUpHold[[#This Row],[Taxa]]),0),0))</f>
        <v>0</v>
      </c>
      <c r="V12" s="41">
        <f>IF(T12=0,0,U12/T12)</f>
        <v>0</v>
      </c>
      <c r="W12" s="92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Row],[Tipo]]="DROP"),W11+TbTradesUpHold[[#This Row],[Qtt]],W11-TbTradesUpHold[[#This Row],[Qtt]]),IF(TbTradesUpHold[[#This Row],[Tipo]]="BUY",W11-TbTradesUpHold[[#This Row],[Qtt]]*TbTradesUpHold[[#This Row],[Preço]],W11+TbTradesUpHold[[#This Row],[Qtt]]*TbTradesUpHold[[#This Row],[Preço]])),W11)-IF(TbTradesUpHold[[#This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Row],[Tipo]]="DROP"),W11+TbTradesUpHold[[#This Row],[Qtt]],W11-TbTradesUpHold[[#This Row],[Qtt]]),IF(TbTradesUpHold[[#This Row],[Tipo]]="BUY",W11-TbTradesUpHold[[#This Row],[Qtt]]*TbTradesUpHold[[#This Row],[Preço]],W11+TbTradesUpHold[[#This Row],[Qtt]]*TbTradesUpHold[[#This Row],[Preço]])),W11)-IF(TbTradesUpHold[[#This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Row],[Tipo]]="DROP"),W11+TbTradesUpHold[[#This Row],[Qtt]],W11-TbTradesUpHold[[#This Row],[Qtt]]),IF(TbTradesUpHold[[#This Row],[Tipo]]="BUY",W11-TbTradesUpHold[[#This Row],[Qtt]]*TbTradesUpHold[[#This Row],[Preço]],W11+TbTradesUpHold[[#This Row],[Qtt]]*TbTradesUpHold[[#This Row],[Preço]])),W11)-IF(TbTradesUpHold[[#This Row],[Moeda da Taxa]]=MID(W$1,9,5),TbTradesUpHold[[#This Row],[Taxa]],0),8)))</f>
        <v>0</v>
      </c>
      <c r="X12" s="153" cm="1">
        <f t="array" ref="X12">IF(TbTradesUpHold[[#This Row],[Tipo]]="EMPTY",0,X11+IF(TbTradesUpHold[[#This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Row],[Par]]))),$1:$1,0)),-(W11-W12)/W11*X11),0),0)+IF(TbTradesUpHold[[#This Row],[Tipo]]="SELL",IF(ISNUMBER(FIND(MID(X$1,10,5),TbTradesUpHold[[#This Row],[Par]])),IF(FIND(MID(X$1,10,5),TbTradesUpHold[[#This Row],[Par]])=1, -(W11-W12)/W11*X11,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Row],[Par]])),(-(W11-W12)/W11*X11)+IF(TbTradesUpHold[[#This Row],[Resultado]]&gt;0,0,TbTradesUpHold[[#This Row],[Taxa]]),0),0))</f>
        <v>0</v>
      </c>
      <c r="Y12" s="41">
        <f>IF(W12=0,0,X12/W12)</f>
        <v>0</v>
      </c>
      <c r="Z12" s="92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Row],[Tipo]]="DROP"),Z11+TbTradesUpHold[[#This Row],[Qtt]],Z11-TbTradesUpHold[[#This Row],[Qtt]]),IF(TbTradesUpHold[[#This Row],[Tipo]]="BUY",Z11-TbTradesUpHold[[#This Row],[Qtt]]*TbTradesUpHold[[#This Row],[Preço]],Z11+TbTradesUpHold[[#This Row],[Qtt]]*TbTradesUpHold[[#This Row],[Preço]])),Z11)-IF(TbTradesUpHold[[#This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Row],[Tipo]]="DROP"),Z11+TbTradesUpHold[[#This Row],[Qtt]],Z11-TbTradesUpHold[[#This Row],[Qtt]]),IF(TbTradesUpHold[[#This Row],[Tipo]]="BUY",Z11-TbTradesUpHold[[#This Row],[Qtt]]*TbTradesUpHold[[#This Row],[Preço]],Z11+TbTradesUpHold[[#This Row],[Qtt]]*TbTradesUpHold[[#This Row],[Preço]])),Z11)-IF(TbTradesUpHold[[#This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Row],[Tipo]]="DROP"),Z11+TbTradesUpHold[[#This Row],[Qtt]],Z11-TbTradesUpHold[[#This Row],[Qtt]]),IF(TbTradesUpHold[[#This Row],[Tipo]]="BUY",Z11-TbTradesUpHold[[#This Row],[Qtt]]*TbTradesUpHold[[#This Row],[Preço]],Z11+TbTradesUpHold[[#This Row],[Qtt]]*TbTradesUpHold[[#This Row],[Preço]])),Z11)-IF(TbTradesUpHold[[#This Row],[Moeda da Taxa]]=MID(Z$1,9,5),TbTradesUpHold[[#This Row],[Taxa]],0),8)))</f>
        <v>0.158751</v>
      </c>
      <c r="AA12" s="153" cm="1">
        <f t="array" ref="AA12">IF(TbTradesUpHold[[#This Row],[Tipo]]="EMPTY",0,AA11+IF(TbTradesUpHold[[#This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Row],[Par]]))),$1:$1,0)),-(Z11-Z12)/Z11*AA11),0),0)+IF(TbTradesUpHold[[#This Row],[Tipo]]="SELL",IF(ISNUMBER(FIND(MID(AA$1,10,5),TbTradesUpHold[[#This Row],[Par]])),IF(FIND(MID(AA$1,10,5),TbTradesUpHold[[#This Row],[Par]])=1, -(Z11-Z12)/Z11*AA11,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Row],[Par]])),(-(Z11-Z12)/Z11*AA11)+IF(TbTradesUpHold[[#This Row],[Resultado]]&gt;0,0,TbTradesUpHold[[#This Row],[Taxa]]),0),0))</f>
        <v>0</v>
      </c>
      <c r="AB12" s="41">
        <f>IF(Z12=0,0,AA12/Z12)</f>
        <v>0</v>
      </c>
      <c r="AC12" s="92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Row],[Tipo]]="DROP"),AC11+TbTradesUpHold[[#This Row],[Qtt]],AC11-TbTradesUpHold[[#This Row],[Qtt]]),IF(TbTradesUpHold[[#This Row],[Tipo]]="BUY",AC11-TbTradesUpHold[[#This Row],[Qtt]]*TbTradesUpHold[[#This Row],[Preço]],AC11+TbTradesUpHold[[#This Row],[Qtt]]*TbTradesUpHold[[#This Row],[Preço]])),AC11)-IF(TbTradesUpHold[[#This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Row],[Tipo]]="DROP"),AC11+TbTradesUpHold[[#This Row],[Qtt]],AC11-TbTradesUpHold[[#This Row],[Qtt]]),IF(TbTradesUpHold[[#This Row],[Tipo]]="BUY",AC11-TbTradesUpHold[[#This Row],[Qtt]]*TbTradesUpHold[[#This Row],[Preço]],AC11+TbTradesUpHold[[#This Row],[Qtt]]*TbTradesUpHold[[#This Row],[Preço]])),AC11)-IF(TbTradesUpHold[[#This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Row],[Tipo]]="DROP"),AC11+TbTradesUpHold[[#This Row],[Qtt]],AC11-TbTradesUpHold[[#This Row],[Qtt]]),IF(TbTradesUpHold[[#This Row],[Tipo]]="BUY",AC11-TbTradesUpHold[[#This Row],[Qtt]]*TbTradesUpHold[[#This Row],[Preço]],AC11+TbTradesUpHold[[#This Row],[Qtt]]*TbTradesUpHold[[#This Row],[Preço]])),AC11)-IF(TbTradesUpHold[[#This Row],[Moeda da Taxa]]=MID(AC$1,9,5),TbTradesUpHold[[#This Row],[Taxa]],0),8)))</f>
        <v>1.19</v>
      </c>
      <c r="AD12" s="153" cm="1">
        <f t="array" ref="AD12">IF(TbTradesUpHold[[#This Row],[Tipo]]="EMPTY",0,AD11+IF(TbTradesUpHold[[#This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Row],[Par]]))),$1:$1,0)),-(AC11-AC12)/AC11*AD11),0),0)+IF(TbTradesUpHold[[#This Row],[Tipo]]="SELL",IF(ISNUMBER(FIND(MID(AD$1,10,5),TbTradesUpHold[[#This Row],[Par]])),IF(FIND(MID(AD$1,10,5),TbTradesUpHold[[#This Row],[Par]])=1, -(AC11-AC12)/AC11*AD11,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Row],[Par]])),(-(AC11-AC12)/AC11*AD11)+IF(TbTradesUpHold[[#This Row],[Resultado]]&gt;0,0,TbTradesUpHold[[#This Row],[Taxa]]),0),0))</f>
        <v>0</v>
      </c>
      <c r="AE12" s="41">
        <f>IF(AC12=0,0,AD12/AC12)</f>
        <v>0</v>
      </c>
      <c r="AF12" s="92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Row],[Tipo]]="DROP"),AF11+TbTradesUpHold[[#This Row],[Qtt]],AF11-TbTradesUpHold[[#This Row],[Qtt]]),IF(TbTradesUpHold[[#This Row],[Tipo]]="BUY",AF11-TbTradesUpHold[[#This Row],[Qtt]]*TbTradesUpHold[[#This Row],[Preço]],AF11+TbTradesUpHold[[#This Row],[Qtt]]*TbTradesUpHold[[#This Row],[Preço]])),AF11)-IF(TbTradesUpHold[[#This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Row],[Tipo]]="DROP"),AF11+TbTradesUpHold[[#This Row],[Qtt]],AF11-TbTradesUpHold[[#This Row],[Qtt]]),IF(TbTradesUpHold[[#This Row],[Tipo]]="BUY",AF11-TbTradesUpHold[[#This Row],[Qtt]]*TbTradesUpHold[[#This Row],[Preço]],AF11+TbTradesUpHold[[#This Row],[Qtt]]*TbTradesUpHold[[#This Row],[Preço]])),AF11)-IF(TbTradesUpHold[[#This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Row],[Tipo]]="DROP"),AF11+TbTradesUpHold[[#This Row],[Qtt]],AF11-TbTradesUpHold[[#This Row],[Qtt]]),IF(TbTradesUpHold[[#This Row],[Tipo]]="BUY",AF11-TbTradesUpHold[[#This Row],[Qtt]]*TbTradesUpHold[[#This Row],[Preço]],AF11+TbTradesUpHold[[#This Row],[Qtt]]*TbTradesUpHold[[#This Row],[Preço]])),AF11)-IF(TbTradesUpHold[[#This Row],[Moeda da Taxa]]=MID(AF$1,9,5),TbTradesUpHold[[#This Row],[Taxa]],0),8)))</f>
        <v>0</v>
      </c>
      <c r="AG12" s="153" cm="1">
        <f t="array" ref="AG12">IF(TbTradesUpHold[[#This Row],[Tipo]]="EMPTY",0,AG11+IF(TbTradesUpHold[[#This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Row],[Par]]))),$1:$1,0)),-(AF11-AF12)/AF11*AG11),0),0)+IF(TbTradesUpHold[[#This Row],[Tipo]]="SELL",IF(ISNUMBER(FIND(MID(AG$1,10,5),TbTradesUpHold[[#This Row],[Par]])),IF(FIND(MID(AG$1,10,5),TbTradesUpHold[[#This Row],[Par]])=1, -(AF11-AF12)/AF11*AG11,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Row],[Par]])),(-(AF11-AF12)/AF11*AG11)+IF(TbTradesUpHold[[#This Row],[Resultado]]&gt;0,0,TbTradesUpHold[[#This Row],[Taxa]]),0),0))</f>
        <v>0</v>
      </c>
      <c r="AH12" s="41">
        <f>IF(AF12=0,0,AG12/AF12)</f>
        <v>0</v>
      </c>
    </row>
    <row r="13" spans="1:34" x14ac:dyDescent="0.3">
      <c r="B13" s="91" t="s">
        <v>149</v>
      </c>
      <c r="C13" s="58">
        <f>SUBTOTAL(109,TbTradesUpHold[Resultado])</f>
        <v>0</v>
      </c>
      <c r="D13" s="80"/>
      <c r="E13" s="80"/>
      <c r="F13" s="80"/>
      <c r="G13" s="80"/>
      <c r="H13" s="80"/>
      <c r="I13" s="80"/>
      <c r="J13" s="80"/>
      <c r="K13" s="81"/>
      <c r="L13" s="82"/>
      <c r="M13" s="83">
        <f>SUBTOTAL(107,TbTradesUpHold[Volume])</f>
        <v>1.0161050336429782</v>
      </c>
      <c r="N13" s="54"/>
      <c r="O13" s="54"/>
      <c r="P13" s="54"/>
      <c r="Q13" s="84"/>
      <c r="R13" s="54"/>
      <c r="S13" s="54"/>
      <c r="T13" s="85"/>
      <c r="U13" s="86"/>
      <c r="V13" s="86"/>
      <c r="W13" s="87"/>
      <c r="X13" s="79"/>
      <c r="Y13" s="79"/>
      <c r="Z13" s="87"/>
      <c r="AA13" s="79"/>
      <c r="AB13" s="79"/>
      <c r="AC13" s="87"/>
      <c r="AD13" s="79"/>
      <c r="AE13" s="79"/>
      <c r="AF13" s="87"/>
      <c r="AG13" s="79"/>
      <c r="AH13" s="88"/>
    </row>
    <row r="14" spans="1:34" x14ac:dyDescent="0.3">
      <c r="B14" s="61" t="s">
        <v>74</v>
      </c>
    </row>
    <row r="15" spans="1:34" x14ac:dyDescent="0.3">
      <c r="B15" s="119" t="s">
        <v>90</v>
      </c>
    </row>
    <row r="37" ht="13.95" customHeight="1" x14ac:dyDescent="0.3"/>
  </sheetData>
  <conditionalFormatting sqref="C2:C13">
    <cfRule type="cellIs" dxfId="1767" priority="30" operator="greaterThan">
      <formula>0</formula>
    </cfRule>
    <cfRule type="cellIs" dxfId="1766" priority="31" operator="lessThan">
      <formula>0</formula>
    </cfRule>
  </conditionalFormatting>
  <conditionalFormatting sqref="D3:D10">
    <cfRule type="cellIs" dxfId="1765" priority="72" operator="lessThan">
      <formula>$D$2</formula>
    </cfRule>
  </conditionalFormatting>
  <conditionalFormatting sqref="F1:F12">
    <cfRule type="containsText" dxfId="1764" priority="67" operator="containsText" text="DROP">
      <formula>NOT(ISERROR(SEARCH("DROP",F1)))</formula>
    </cfRule>
    <cfRule type="containsText" dxfId="1763" priority="70" operator="containsText" text="SELL">
      <formula>NOT(ISERROR(SEARCH("SELL",F1)))</formula>
    </cfRule>
    <cfRule type="containsText" dxfId="1762" priority="71" operator="containsText" text="BUY">
      <formula>NOT(ISERROR(SEARCH("BUY",F1)))</formula>
    </cfRule>
  </conditionalFormatting>
  <conditionalFormatting sqref="F2:F12">
    <cfRule type="containsText" dxfId="1761" priority="68" operator="containsText" text="RECEIVE">
      <formula>NOT(ISERROR(SEARCH("RECEIVE",F2)))</formula>
    </cfRule>
    <cfRule type="containsText" dxfId="1760" priority="69" operator="containsText" text="SEND">
      <formula>NOT(ISERROR(SEARCH("SEND",F2)))</formula>
    </cfRule>
  </conditionalFormatting>
  <conditionalFormatting sqref="M2:M12">
    <cfRule type="cellIs" dxfId="1759" priority="75" operator="greaterThan">
      <formula>0</formula>
    </cfRule>
    <cfRule type="cellIs" dxfId="1758" priority="76" operator="lessThan">
      <formula>0</formula>
    </cfRule>
  </conditionalFormatting>
  <conditionalFormatting sqref="N2:N12">
    <cfRule type="cellIs" dxfId="1757" priority="23" operator="lessThan">
      <formula>0</formula>
    </cfRule>
  </conditionalFormatting>
  <conditionalFormatting sqref="P2:P12">
    <cfRule type="expression" dxfId="1756" priority="13">
      <formula>P2&gt;P1</formula>
    </cfRule>
    <cfRule type="expression" dxfId="1755" priority="14">
      <formula>P2&lt;P1</formula>
    </cfRule>
  </conditionalFormatting>
  <conditionalFormatting sqref="Q2:Q12">
    <cfRule type="cellIs" dxfId="1754" priority="24" operator="lessThan">
      <formula>0</formula>
    </cfRule>
  </conditionalFormatting>
  <conditionalFormatting sqref="S2:S12">
    <cfRule type="expression" dxfId="1753" priority="11">
      <formula>S2&gt;S1</formula>
    </cfRule>
    <cfRule type="expression" dxfId="1752" priority="12">
      <formula>S2&lt;S1</formula>
    </cfRule>
  </conditionalFormatting>
  <conditionalFormatting sqref="T2">
    <cfRule type="cellIs" dxfId="1751" priority="25" operator="lessThan">
      <formula>0</formula>
    </cfRule>
  </conditionalFormatting>
  <conditionalFormatting sqref="V2:V12">
    <cfRule type="expression" dxfId="1750" priority="9">
      <formula>V2&gt;V1</formula>
    </cfRule>
    <cfRule type="expression" dxfId="1749" priority="10">
      <formula>V2&lt;V1</formula>
    </cfRule>
  </conditionalFormatting>
  <conditionalFormatting sqref="W2">
    <cfRule type="cellIs" dxfId="1748" priority="26" operator="lessThan">
      <formula>0</formula>
    </cfRule>
  </conditionalFormatting>
  <conditionalFormatting sqref="Z2">
    <cfRule type="cellIs" dxfId="1747" priority="27" operator="lessThan">
      <formula>0</formula>
    </cfRule>
  </conditionalFormatting>
  <conditionalFormatting sqref="AC2">
    <cfRule type="cellIs" dxfId="1746" priority="28" operator="lessThan">
      <formula>0</formula>
    </cfRule>
  </conditionalFormatting>
  <conditionalFormatting sqref="AF2:AF12">
    <cfRule type="cellIs" dxfId="1745" priority="29" operator="lessThan">
      <formula>0</formula>
    </cfRule>
  </conditionalFormatting>
  <hyperlinks>
    <hyperlink ref="A1" location="Sumário!A1" display="SUMÁRIO" xr:uid="{90943C2B-AA10-48A8-8EB9-8AE3B0FE0BFC}"/>
    <hyperlink ref="B14" location="Sumário!A1" display="SUMÁRIO" xr:uid="{156364EA-D8F2-47AA-937C-4A6ADA2E7F39}"/>
    <hyperlink ref="A2" location="'ARCA UpHold'!A1" display="ARCA" xr:uid="{9D238015-AC10-4718-8E29-D50DE615E0BE}"/>
    <hyperlink ref="B15" location="'ARCA UpHold'!A1" display="ARCA" xr:uid="{66D98B43-8424-4325-A10D-A8D8DD07AD92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80A7D-A962-41ED-94C2-03FACA0ED272}">
  <dimension ref="A1:AE37"/>
  <sheetViews>
    <sheetView zoomScale="115" zoomScaleNormal="115" workbookViewId="0">
      <selection activeCell="B6" sqref="B6"/>
    </sheetView>
  </sheetViews>
  <sheetFormatPr defaultColWidth="20.33203125" defaultRowHeight="15" x14ac:dyDescent="0.3"/>
  <cols>
    <col min="1" max="1" width="10.88671875" style="35" bestFit="1" customWidth="1"/>
    <col min="2" max="2" width="17.33203125" style="90" bestFit="1" customWidth="1"/>
    <col min="3" max="3" width="15.88671875" style="157" bestFit="1" customWidth="1"/>
    <col min="4" max="4" width="16.6640625" style="65" bestFit="1" customWidth="1"/>
    <col min="5" max="5" width="8.44140625" style="77" bestFit="1" customWidth="1"/>
    <col min="6" max="6" width="9.44140625" style="77" bestFit="1" customWidth="1"/>
    <col min="7" max="8" width="12.88671875" style="78" bestFit="1" customWidth="1"/>
    <col min="9" max="9" width="11.6640625" style="78" bestFit="1" customWidth="1"/>
    <col min="10" max="10" width="19" style="77" bestFit="1" customWidth="1"/>
    <col min="11" max="11" width="16.33203125" style="75" bestFit="1" customWidth="1"/>
    <col min="12" max="12" width="17.6640625" style="67" bestFit="1" customWidth="1"/>
    <col min="13" max="13" width="14" style="67" bestFit="1" customWidth="1"/>
    <col min="14" max="14" width="15.5546875" style="41" bestFit="1" customWidth="1"/>
    <col min="15" max="15" width="16.44140625" style="41" bestFit="1" customWidth="1"/>
    <col min="16" max="16" width="19.33203125" style="41" bestFit="1" customWidth="1"/>
    <col min="17" max="17" width="16.5546875" style="42" bestFit="1" customWidth="1"/>
    <col min="18" max="18" width="17.88671875" style="41" bestFit="1" customWidth="1"/>
    <col min="19" max="19" width="20.5546875" style="41" bestFit="1" customWidth="1"/>
    <col min="20" max="20" width="18" style="25" bestFit="1" customWidth="1"/>
    <col min="21" max="21" width="18.5546875" style="67" bestFit="1" customWidth="1"/>
    <col min="22" max="22" width="22.33203125" style="67" bestFit="1" customWidth="1"/>
    <col min="23" max="23" width="18" style="25" bestFit="1" customWidth="1"/>
    <col min="24" max="24" width="18.5546875" style="76" bestFit="1" customWidth="1"/>
    <col min="25" max="25" width="22.33203125" style="76" bestFit="1" customWidth="1"/>
    <col min="26" max="26" width="18.5546875" style="92" bestFit="1" customWidth="1"/>
    <col min="27" max="27" width="19.109375" style="76" bestFit="1" customWidth="1"/>
    <col min="28" max="28" width="22.88671875" style="76" bestFit="1" customWidth="1"/>
    <col min="29" max="29" width="20.33203125" style="92" bestFit="1" customWidth="1"/>
    <col min="30" max="30" width="20.88671875" style="76" bestFit="1" customWidth="1"/>
    <col min="31" max="31" width="24.5546875" style="76" bestFit="1" customWidth="1"/>
    <col min="32" max="16384" width="20.33203125" style="35"/>
  </cols>
  <sheetData>
    <row r="1" spans="1:31" x14ac:dyDescent="0.3">
      <c r="A1" s="61" t="s">
        <v>74</v>
      </c>
      <c r="B1" s="64" t="s">
        <v>98</v>
      </c>
      <c r="C1" s="15" t="s">
        <v>99</v>
      </c>
      <c r="D1" s="65" t="s">
        <v>100</v>
      </c>
      <c r="E1" s="77" t="s">
        <v>101</v>
      </c>
      <c r="F1" s="77" t="s">
        <v>102</v>
      </c>
      <c r="G1" s="77" t="s">
        <v>103</v>
      </c>
      <c r="H1" s="78" t="s">
        <v>104</v>
      </c>
      <c r="I1" s="78" t="s">
        <v>105</v>
      </c>
      <c r="J1" s="77" t="s">
        <v>106</v>
      </c>
      <c r="K1" s="66" t="s">
        <v>107</v>
      </c>
      <c r="L1" s="67" t="s">
        <v>108</v>
      </c>
      <c r="M1" s="67" t="s">
        <v>109</v>
      </c>
      <c r="N1" s="41" t="s">
        <v>110</v>
      </c>
      <c r="O1" s="40" t="s">
        <v>111</v>
      </c>
      <c r="P1" s="40" t="s">
        <v>112</v>
      </c>
      <c r="Q1" s="42" t="s">
        <v>113</v>
      </c>
      <c r="R1" s="40" t="s">
        <v>114</v>
      </c>
      <c r="S1" s="40" t="s">
        <v>115</v>
      </c>
      <c r="T1" s="25" t="s">
        <v>116</v>
      </c>
      <c r="U1" s="67" t="s">
        <v>117</v>
      </c>
      <c r="V1" s="67" t="s">
        <v>118</v>
      </c>
      <c r="W1" s="25" t="s">
        <v>128</v>
      </c>
      <c r="X1" s="15" t="s">
        <v>129</v>
      </c>
      <c r="Y1" s="15" t="s">
        <v>130</v>
      </c>
      <c r="Z1" s="25" t="s">
        <v>119</v>
      </c>
      <c r="AA1" s="15" t="s">
        <v>120</v>
      </c>
      <c r="AB1" s="15" t="s">
        <v>121</v>
      </c>
      <c r="AC1" s="25" t="s">
        <v>122</v>
      </c>
      <c r="AD1" s="15" t="s">
        <v>123</v>
      </c>
      <c r="AE1" s="15" t="s">
        <v>124</v>
      </c>
    </row>
    <row r="2" spans="1:31" x14ac:dyDescent="0.3">
      <c r="A2" s="119" t="s">
        <v>90</v>
      </c>
      <c r="B2" s="93" t="s">
        <v>134</v>
      </c>
      <c r="C2" s="67">
        <f>TRUNC(IF(AND(TbTradesExodus[[#This Row],[Tipo]]="SEND",TbTradesExodus[[#This Row],[Par]]="BRL"),TbTradesExodus[[#This Row],[Qtt]]*(1-P1)-IF(TbTradesExodus[[#This Row],[Moeda da Taxa]]="BRL",TbTradesExodus[[#This Row],[Taxa]],0),0)+IF(AND(TbTradesExodus[[#This Row],[Tipo]]="BURN",TbTradesExodus[[#This Row],[Par]]="BRL"),-TbTradesExodus[[#This Row],[Qtt]]*P1,0),2)</f>
        <v>0</v>
      </c>
      <c r="D2" s="70"/>
      <c r="E2" s="71"/>
      <c r="F2" s="71" t="s">
        <v>135</v>
      </c>
      <c r="G2" s="72"/>
      <c r="H2" s="72"/>
      <c r="I2" s="72"/>
      <c r="J2" s="71"/>
      <c r="K2" s="73"/>
      <c r="L2" s="67">
        <f>TRUNC(K2*G2,2)</f>
        <v>0</v>
      </c>
      <c r="M2" s="67">
        <f>IF(OR(TbTradesExodus[[#This Row],[Tipo]]="BUY",TbTradesExodus[[#This Row],[Tipo]]="RECEIVE",TbTradesExodus[[#This Row],[Tipo]]="DROP"),L2*H2,-L2*H2)</f>
        <v>0</v>
      </c>
      <c r="N2" s="41">
        <f>IF(AND(IF(TbTradesExodus[[#This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Row],[Tipo]]="DROP"),N1+TbTradesExodus[[#This Row],[Qtt]],N1-TbTradesExodus[[#This Row],[Qtt]]),IF(TbTradesExodus[[#This Row],[Tipo]]="BUY",N1-TbTradesExodus[[#This Row],[Qtt]]*TbTradesExodus[[#This Row],[Preço]],N1+TbTradesExodus[[#This Row],[Qtt]]*TbTradesExodus[[#This Row],[Preço]])),N1)-IF(TbTradesExodus[[#This Row],[Moeda da Taxa]]=MID(N$1,9,5),TbTradesExodus[[#This Row],[Taxa]],0),8))&lt;0.0000001,IF(TbTradesExodus[[#This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Row],[Tipo]]="DROP"),N1+TbTradesExodus[[#This Row],[Qtt]],N1-TbTradesExodus[[#This Row],[Qtt]]),IF(TbTradesExodus[[#This Row],[Tipo]]="BUY",N1-TbTradesExodus[[#This Row],[Qtt]]*TbTradesExodus[[#This Row],[Preço]],N1+TbTradesExodus[[#This Row],[Qtt]]*TbTradesExodus[[#This Row],[Preço]])),N1)-IF(TbTradesExodus[[#This Row],[Moeda da Taxa]]=MID(N$1,9,5),TbTradesExodus[[#This Row],[Taxa]],0),8))&gt;-0.0000001),0,IF(TbTradesExodus[[#This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Row],[Tipo]]="DROP"),N1+TbTradesExodus[[#This Row],[Qtt]],N1-TbTradesExodus[[#This Row],[Qtt]]),IF(TbTradesExodus[[#This Row],[Tipo]]="BUY",N1-TbTradesExodus[[#This Row],[Qtt]]*TbTradesExodus[[#This Row],[Preço]],N1+TbTradesExodus[[#This Row],[Qtt]]*TbTradesExodus[[#This Row],[Preço]])),N1)-IF(TbTradesExodus[[#This Row],[Moeda da Taxa]]=MID(N$1,9,5),TbTradesExodus[[#This Row],[Taxa]],0),8)))</f>
        <v>0</v>
      </c>
      <c r="O2" s="50" cm="1">
        <f t="array" ref="O2">IF(TbTradesExodus[[#This Row],[Tipo]]="EMPTY",0,O1+IF(TbTradesExodus[[#This Row],[Tipo]]="DROP",0,0)+IF(TbTradesExodus[[#This Row],[Tipo]]="BURN",0,0)+IF(TbTradesExodus[[#This Row],[Tipo]]="BUY",IF(ISNUMBER(FIND(MID(O$1,10,5),TbTradesExodus[[#This Row],[Par]])),IF(FIND(MID(O$1,10,5),TbTradesExodus[[#This Row],[Par]])=1, (INDEX($1:$1048576,ROW(TbTradesExodus[[#This Row],[Par]])-1,MATCH(CONCATENATE("Estoque ",MID(TbTradesExodus[[#This Row],[Par]],LEN(MID(N$1,9,5))+1,LEN(TbTradesExodus[[#This Row],[Par]]))),$1:$1,0))-INDEX($1:$1048576,ROW(TbTradesExodus[[#This Row],[Par]]),MATCH(CONCATENATE("Estoque ",MID(TbTradesExodus[[#This Row],[Par]],LEN(MID(N$1,9,5))+1,LEN(TbTradesExodus[[#This Row],[Par]]))),$1:$1,0)))/ INDEX($1:$1048576,ROW(TbTradesExodus[[#This Row],[Par]])-1,MATCH(CONCATENATE("Estoque ",MID(TbTradesExodus[[#This Row],[Par]],LEN(MID(N$1,9,5))+1,LEN(TbTradesExodus[[#This Row],[Par]]))),$1:$1,0))*INDEX($1:$1048576,ROW(TbTradesExodus[[#This Row],[Par]])-1,MATCH(CONCATENATE("Custo de ",MID(TbTradesExodus[[#This Row],[Par]],LEN(MID(N$1,9,5))+1,LEN(TbTradesExodus[[#This Row],[Par]]))),$1:$1,0)),-(N1-N2)/N1*O1),0),0)+IF(TbTradesExodus[[#This Row],[Tipo]]="SELL",IF(ISNUMBER(FIND(MID(O$1,10,5),TbTradesExodus[[#This Row],[Par]])),IF(FIND(MID(O$1,10,5),TbTradesExodus[[#This Row],[Par]])=1, -(N1-N2)/N1*O1, (INDEX($1:$1048576,ROW(TbTradesExodus[[#This Row],[Par]])-1,MATCH(CONCATENATE("Estoque ",MID(TbTradesExodus[[#This Row],[Par]],1,FIND(MID(N$1,9,5),TbTradesExodus[[#This Row],[Par]])-1)),$1:$1,0))-INDEX($1:$1048576,ROW(TbTradesExodus[[#This Row],[Par]]),MATCH(CONCATENATE("Estoque ",MID(TbTradesExodus[[#This Row],[Par]],1,FIND(MID(N$1,9,5),TbTradesExodus[[#This Row],[Par]])-1)),$1:$1,0)))/ INDEX($1:$1048576,ROW(TbTradesExodus[[#This Row],[Par]])-1,MATCH(CONCATENATE("Estoque ",MID(TbTradesExodus[[#This Row],[Par]],1,FIND(MID(N$1,9,5),TbTradesExodus[[#This Row],[Par]])-1)),$1:$1,0))*INDEX($1:$1048576,ROW(TbTradesExodus[[#This Row],[Par]])-1,MATCH(CONCATENATE("Custo de ",MID(TbTradesExodus[[#This Row],[Par]],1,FIND(MID(N$1,9,5),TbTradesExodus[[#This Row],[Par]])-1)),$1:$1,0))),0),0)+IF(TbTradesExodus[[#This Row],[Tipo]]="RECEIVE",IF(ISNUMBER(FIND(MID(O$1,10,5),TbTradesExodus[[#This Row],[Par]])), TbTradesExodus[[#This Row],[Qtt]]*TbTradesExodus[[#This Row],[Cotação BRL]],0),0)+IF(TbTradesExodus[[#This Row],[Tipo]]="SEND",IF(ISNUMBER(FIND(MID(O$1,10,5),TbTradesExodus[[#This Row],[Par]])),(-(N1-N2)/N1*O1)+IF(TbTradesExodus[[#This Row],[Resultado]]&gt;0,0,TbTradesExodus[[#This Row],[Taxa]]),0),0))</f>
        <v>0</v>
      </c>
      <c r="P2" s="41">
        <f t="shared" ref="P2:P4" si="0">IF(N2=0,0,O2/N2)</f>
        <v>0</v>
      </c>
      <c r="Q2" s="42">
        <f>IF(AND(IF(TbTradesExodus[[#This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Row],[Tipo]]="DROP"),Q1+TbTradesExodus[[#This Row],[Qtt]],Q1-TbTradesExodus[[#This Row],[Qtt]]),IF(TbTradesExodus[[#This Row],[Tipo]]="BUY",Q1-TbTradesExodus[[#This Row],[Qtt]]*TbTradesExodus[[#This Row],[Preço]],Q1+TbTradesExodus[[#This Row],[Qtt]]*TbTradesExodus[[#This Row],[Preço]])),Q1)-IF(TbTradesExodus[[#This Row],[Moeda da Taxa]]=MID(Q$1,9,5),TbTradesExodus[[#This Row],[Taxa]],0),8))&lt;0.0000001,IF(TbTradesExodus[[#This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Row],[Tipo]]="DROP"),Q1+TbTradesExodus[[#This Row],[Qtt]],Q1-TbTradesExodus[[#This Row],[Qtt]]),IF(TbTradesExodus[[#This Row],[Tipo]]="BUY",Q1-TbTradesExodus[[#This Row],[Qtt]]*TbTradesExodus[[#This Row],[Preço]],Q1+TbTradesExodus[[#This Row],[Qtt]]*TbTradesExodus[[#This Row],[Preço]])),Q1)-IF(TbTradesExodus[[#This Row],[Moeda da Taxa]]=MID(Q$1,9,5),TbTradesExodus[[#This Row],[Taxa]],0),8))&gt;-0.0000001),0,IF(TbTradesExodus[[#This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Row],[Tipo]]="DROP"),Q1+TbTradesExodus[[#This Row],[Qtt]],Q1-TbTradesExodus[[#This Row],[Qtt]]),IF(TbTradesExodus[[#This Row],[Tipo]]="BUY",Q1-TbTradesExodus[[#This Row],[Qtt]]*TbTradesExodus[[#This Row],[Preço]],Q1+TbTradesExodus[[#This Row],[Qtt]]*TbTradesExodus[[#This Row],[Preço]])),Q1)-IF(TbTradesExodus[[#This Row],[Moeda da Taxa]]=MID(Q$1,9,5),TbTradesExodus[[#This Row],[Taxa]],0),8)))</f>
        <v>0</v>
      </c>
      <c r="R2" s="50" cm="1">
        <f t="array" ref="R2">IF(TbTradesExodus[[#This Row],[Tipo]]="EMPTY",0,R1+IF(TbTradesExodus[[#This Row],[Tipo]]="DROP",0,0)+IF(TbTradesExodus[[#This Row],[Tipo]]="BURN",0,0)+IF(TbTradesExodus[[#This Row],[Tipo]]="BUY",IF(ISNUMBER(FIND(MID(R$1,10,5),TbTradesExodus[[#This Row],[Par]])),IF(FIND(MID(R$1,10,5),TbTradesExodus[[#This Row],[Par]])=1, (INDEX($1:$1048576,ROW(TbTradesExodus[[#This Row],[Par]])-1,MATCH(CONCATENATE("Estoque ",MID(TbTradesExodus[[#This Row],[Par]],LEN(MID(Q$1,9,5))+1,LEN(TbTradesExodus[[#This Row],[Par]]))),$1:$1,0))-INDEX($1:$1048576,ROW(TbTradesExodus[[#This Row],[Par]]),MATCH(CONCATENATE("Estoque ",MID(TbTradesExodus[[#This Row],[Par]],LEN(MID(Q$1,9,5))+1,LEN(TbTradesExodus[[#This Row],[Par]]))),$1:$1,0)))/ INDEX($1:$1048576,ROW(TbTradesExodus[[#This Row],[Par]])-1,MATCH(CONCATENATE("Estoque ",MID(TbTradesExodus[[#This Row],[Par]],LEN(MID(Q$1,9,5))+1,LEN(TbTradesExodus[[#This Row],[Par]]))),$1:$1,0))*INDEX($1:$1048576,ROW(TbTradesExodus[[#This Row],[Par]])-1,MATCH(CONCATENATE("Custo de ",MID(TbTradesExodus[[#This Row],[Par]],LEN(MID(Q$1,9,5))+1,LEN(TbTradesExodus[[#This Row],[Par]]))),$1:$1,0)),-(Q1-Q2)/Q1*R1),0),0)+IF(TbTradesExodus[[#This Row],[Tipo]]="SELL",IF(ISNUMBER(FIND(MID(R$1,10,5),TbTradesExodus[[#This Row],[Par]])),IF(FIND(MID(R$1,10,5),TbTradesExodus[[#This Row],[Par]])=1, -(Q1-Q2)/Q1*R1, (INDEX($1:$1048576,ROW(TbTradesExodus[[#This Row],[Par]])-1,MATCH(CONCATENATE("Estoque ",MID(TbTradesExodus[[#This Row],[Par]],1,FIND(MID(Q$1,9,5),TbTradesExodus[[#This Row],[Par]])-1)),$1:$1,0))-INDEX($1:$1048576,ROW(TbTradesExodus[[#This Row],[Par]]),MATCH(CONCATENATE("Estoque ",MID(TbTradesExodus[[#This Row],[Par]],1,FIND(MID(Q$1,9,5),TbTradesExodus[[#This Row],[Par]])-1)),$1:$1,0)))/ INDEX($1:$1048576,ROW(TbTradesExodus[[#This Row],[Par]])-1,MATCH(CONCATENATE("Estoque ",MID(TbTradesExodus[[#This Row],[Par]],1,FIND(MID(Q$1,9,5),TbTradesExodus[[#This Row],[Par]])-1)),$1:$1,0))*INDEX($1:$1048576,ROW(TbTradesExodus[[#This Row],[Par]])-1,MATCH(CONCATENATE("Custo de ",MID(TbTradesExodus[[#This Row],[Par]],1,FIND(MID(Q$1,9,5),TbTradesExodus[[#This Row],[Par]])-1)),$1:$1,0))),0),0)+IF(TbTradesExodus[[#This Row],[Tipo]]="RECEIVE",IF(ISNUMBER(FIND(MID(R$1,10,5),TbTradesExodus[[#This Row],[Par]])), TbTradesExodus[[#This Row],[Qtt]]*TbTradesExodus[[#This Row],[Cotação BRL]],0),0)+IF(TbTradesExodus[[#This Row],[Tipo]]="SEND",IF(ISNUMBER(FIND(MID(R$1,10,5),TbTradesExodus[[#This Row],[Par]])),(-(Q1-Q2)/Q1*R1)+IF(TbTradesExodus[[#This Row],[Resultado]]&gt;0,0,TbTradesExodus[[#This Row],[Taxa]]),0),0))</f>
        <v>0</v>
      </c>
      <c r="S2" s="41">
        <f t="shared" ref="S2:S4" si="1">IF(Q2=0,0,R2/Q2)</f>
        <v>0</v>
      </c>
      <c r="T2" s="43">
        <f>IF(AND(IF(TbTradesExodus[[#This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Row],[Tipo]]="DROP"),T1+TbTradesExodus[[#This Row],[Qtt]],T1-TbTradesExodus[[#This Row],[Qtt]]),IF(TbTradesExodus[[#This Row],[Tipo]]="BUY",T1-TbTradesExodus[[#This Row],[Qtt]]*TbTradesExodus[[#This Row],[Preço]],T1+TbTradesExodus[[#This Row],[Qtt]]*TbTradesExodus[[#This Row],[Preço]])),T1)-IF(TbTradesExodus[[#This Row],[Moeda da Taxa]]=MID(T$1,9,5),TbTradesExodus[[#This Row],[Taxa]],0),8))&lt;0.0000001,IF(TbTradesExodus[[#This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Row],[Tipo]]="DROP"),T1+TbTradesExodus[[#This Row],[Qtt]],T1-TbTradesExodus[[#This Row],[Qtt]]),IF(TbTradesExodus[[#This Row],[Tipo]]="BUY",T1-TbTradesExodus[[#This Row],[Qtt]]*TbTradesExodus[[#This Row],[Preço]],T1+TbTradesExodus[[#This Row],[Qtt]]*TbTradesExodus[[#This Row],[Preço]])),T1)-IF(TbTradesExodus[[#This Row],[Moeda da Taxa]]=MID(T$1,9,5),TbTradesExodus[[#This Row],[Taxa]],0),8))&gt;-0.0000001),0,IF(TbTradesExodus[[#This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Row],[Tipo]]="DROP"),T1+TbTradesExodus[[#This Row],[Qtt]],T1-TbTradesExodus[[#This Row],[Qtt]]),IF(TbTradesExodus[[#This Row],[Tipo]]="BUY",T1-TbTradesExodus[[#This Row],[Qtt]]*TbTradesExodus[[#This Row],[Preço]],T1+TbTradesExodus[[#This Row],[Qtt]]*TbTradesExodus[[#This Row],[Preço]])),T1)-IF(TbTradesExodus[[#This Row],[Moeda da Taxa]]=MID(T$1,9,5),TbTradesExodus[[#This Row],[Taxa]],0),8)))</f>
        <v>0</v>
      </c>
      <c r="U2" s="50" cm="1">
        <f t="array" ref="U2">IF(TbTradesExodus[[#This Row],[Tipo]]="EMPTY",0,U1+IF(TbTradesExodus[[#This Row],[Tipo]]="DROP",0,0)+IF(TbTradesExodus[[#This Row],[Tipo]]="BURN",0,0)+IF(TbTradesExodus[[#This Row],[Tipo]]="BUY",IF(ISNUMBER(FIND(MID(U$1,10,5),TbTradesExodus[[#This Row],[Par]])),IF(FIND(MID(U$1,10,5),TbTradesExodus[[#This Row],[Par]])=1, (INDEX($1:$1048576,ROW(TbTradesExodus[[#This Row],[Par]])-1,MATCH(CONCATENATE("Estoque ",MID(TbTradesExodus[[#This Row],[Par]],LEN(MID(T$1,9,5))+1,LEN(TbTradesExodus[[#This Row],[Par]]))),$1:$1,0))-INDEX($1:$1048576,ROW(TbTradesExodus[[#This Row],[Par]]),MATCH(CONCATENATE("Estoque ",MID(TbTradesExodus[[#This Row],[Par]],LEN(MID(T$1,9,5))+1,LEN(TbTradesExodus[[#This Row],[Par]]))),$1:$1,0)))/ INDEX($1:$1048576,ROW(TbTradesExodus[[#This Row],[Par]])-1,MATCH(CONCATENATE("Estoque ",MID(TbTradesExodus[[#This Row],[Par]],LEN(MID(T$1,9,5))+1,LEN(TbTradesExodus[[#This Row],[Par]]))),$1:$1,0))*INDEX($1:$1048576,ROW(TbTradesExodus[[#This Row],[Par]])-1,MATCH(CONCATENATE("Custo de ",MID(TbTradesExodus[[#This Row],[Par]],LEN(MID(T$1,9,5))+1,LEN(TbTradesExodus[[#This Row],[Par]]))),$1:$1,0)),-(T1-T2)/T1*U1),0),0)+IF(TbTradesExodus[[#This Row],[Tipo]]="SELL",IF(ISNUMBER(FIND(MID(U$1,10,5),TbTradesExodus[[#This Row],[Par]])),IF(FIND(MID(U$1,10,5),TbTradesExodus[[#This Row],[Par]])=1, -(T1-T2)/T1*U1, (INDEX($1:$1048576,ROW(TbTradesExodus[[#This Row],[Par]])-1,MATCH(CONCATENATE("Estoque ",MID(TbTradesExodus[[#This Row],[Par]],1,FIND(MID(T$1,9,5),TbTradesExodus[[#This Row],[Par]])-1)),$1:$1,0))-INDEX($1:$1048576,ROW(TbTradesExodus[[#This Row],[Par]]),MATCH(CONCATENATE("Estoque ",MID(TbTradesExodus[[#This Row],[Par]],1,FIND(MID(T$1,9,5),TbTradesExodus[[#This Row],[Par]])-1)),$1:$1,0)))/ INDEX($1:$1048576,ROW(TbTradesExodus[[#This Row],[Par]])-1,MATCH(CONCATENATE("Estoque ",MID(TbTradesExodus[[#This Row],[Par]],1,FIND(MID(T$1,9,5),TbTradesExodus[[#This Row],[Par]])-1)),$1:$1,0))*INDEX($1:$1048576,ROW(TbTradesExodus[[#This Row],[Par]])-1,MATCH(CONCATENATE("Custo de ",MID(TbTradesExodus[[#This Row],[Par]],1,FIND(MID(T$1,9,5),TbTradesExodus[[#This Row],[Par]])-1)),$1:$1,0))),0),0)+IF(TbTradesExodus[[#This Row],[Tipo]]="RECEIVE",IF(ISNUMBER(FIND(MID(U$1,10,5),TbTradesExodus[[#This Row],[Par]])), TbTradesExodus[[#This Row],[Qtt]]*TbTradesExodus[[#This Row],[Cotação BRL]],0),0)+IF(TbTradesExodus[[#This Row],[Tipo]]="SEND",IF(ISNUMBER(FIND(MID(U$1,10,5),TbTradesExodus[[#This Row],[Par]])),(-(T1-T2)/T1*U1)+IF(TbTradesExodus[[#This Row],[Resultado]]&gt;0,0,TbTradesExodus[[#This Row],[Taxa]]),0),0))</f>
        <v>0</v>
      </c>
      <c r="V2" s="41">
        <f t="shared" ref="V2:V4" si="2">IF(T2=0,0,U2/T2)</f>
        <v>0</v>
      </c>
      <c r="W2" s="43">
        <f>IF(AND(IF(TbTradesExodus[[#This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Row],[Tipo]]="DROP"),W1+TbTradesExodus[[#This Row],[Qtt]],W1-TbTradesExodus[[#This Row],[Qtt]]),IF(TbTradesExodus[[#This Row],[Tipo]]="BUY",W1-TbTradesExodus[[#This Row],[Qtt]]*TbTradesExodus[[#This Row],[Preço]],W1+TbTradesExodus[[#This Row],[Qtt]]*TbTradesExodus[[#This Row],[Preço]])),W1)-IF(TbTradesExodus[[#This Row],[Moeda da Taxa]]=MID(W$1,9,5),TbTradesExodus[[#This Row],[Taxa]],0),8))&lt;0.0000001,IF(TbTradesExodus[[#This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Row],[Tipo]]="DROP"),W1+TbTradesExodus[[#This Row],[Qtt]],W1-TbTradesExodus[[#This Row],[Qtt]]),IF(TbTradesExodus[[#This Row],[Tipo]]="BUY",W1-TbTradesExodus[[#This Row],[Qtt]]*TbTradesExodus[[#This Row],[Preço]],W1+TbTradesExodus[[#This Row],[Qtt]]*TbTradesExodus[[#This Row],[Preço]])),W1)-IF(TbTradesExodus[[#This Row],[Moeda da Taxa]]=MID(W$1,9,5),TbTradesExodus[[#This Row],[Taxa]],0),8))&gt;-0.0000001),0,IF(TbTradesExodus[[#This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Row],[Tipo]]="DROP"),W1+TbTradesExodus[[#This Row],[Qtt]],W1-TbTradesExodus[[#This Row],[Qtt]]),IF(TbTradesExodus[[#This Row],[Tipo]]="BUY",W1-TbTradesExodus[[#This Row],[Qtt]]*TbTradesExodus[[#This Row],[Preço]],W1+TbTradesExodus[[#This Row],[Qtt]]*TbTradesExodus[[#This Row],[Preço]])),W1)-IF(TbTradesExodus[[#This Row],[Moeda da Taxa]]=MID(W$1,9,5),TbTradesExodus[[#This Row],[Taxa]],0),8)))</f>
        <v>0</v>
      </c>
      <c r="X2" s="50" cm="1">
        <f t="array" ref="X2">IF(TbTradesExodus[[#This Row],[Tipo]]="EMPTY",0,X1+IF(TbTradesExodus[[#This Row],[Tipo]]="DROP",0,0)+IF(TbTradesExodus[[#This Row],[Tipo]]="BURN",0,0)+IF(TbTradesExodus[[#This Row],[Tipo]]="BUY",IF(ISNUMBER(FIND(MID(X$1,10,5),TbTradesExodus[[#This Row],[Par]])),IF(FIND(MID(X$1,10,5),TbTradesExodus[[#This Row],[Par]])=1, (INDEX($1:$1048576,ROW(TbTradesExodus[[#This Row],[Par]])-1,MATCH(CONCATENATE("Estoque ",MID(TbTradesExodus[[#This Row],[Par]],LEN(MID(W$1,9,5))+1,LEN(TbTradesExodus[[#This Row],[Par]]))),$1:$1,0))-INDEX($1:$1048576,ROW(TbTradesExodus[[#This Row],[Par]]),MATCH(CONCATENATE("Estoque ",MID(TbTradesExodus[[#This Row],[Par]],LEN(MID(W$1,9,5))+1,LEN(TbTradesExodus[[#This Row],[Par]]))),$1:$1,0)))/ INDEX($1:$1048576,ROW(TbTradesExodus[[#This Row],[Par]])-1,MATCH(CONCATENATE("Estoque ",MID(TbTradesExodus[[#This Row],[Par]],LEN(MID(W$1,9,5))+1,LEN(TbTradesExodus[[#This Row],[Par]]))),$1:$1,0))*INDEX($1:$1048576,ROW(TbTradesExodus[[#This Row],[Par]])-1,MATCH(CONCATENATE("Custo de ",MID(TbTradesExodus[[#This Row],[Par]],LEN(MID(W$1,9,5))+1,LEN(TbTradesExodus[[#This Row],[Par]]))),$1:$1,0)),-(W1-W2)/W1*X1),0),0)+IF(TbTradesExodus[[#This Row],[Tipo]]="SELL",IF(ISNUMBER(FIND(MID(X$1,10,5),TbTradesExodus[[#This Row],[Par]])),IF(FIND(MID(X$1,10,5),TbTradesExodus[[#This Row],[Par]])=1, -(W1-W2)/W1*X1, (INDEX($1:$1048576,ROW(TbTradesExodus[[#This Row],[Par]])-1,MATCH(CONCATENATE("Estoque ",MID(TbTradesExodus[[#This Row],[Par]],1,FIND(MID(W$1,9,5),TbTradesExodus[[#This Row],[Par]])-1)),$1:$1,0))-INDEX($1:$1048576,ROW(TbTradesExodus[[#This Row],[Par]]),MATCH(CONCATENATE("Estoque ",MID(TbTradesExodus[[#This Row],[Par]],1,FIND(MID(W$1,9,5),TbTradesExodus[[#This Row],[Par]])-1)),$1:$1,0)))/ INDEX($1:$1048576,ROW(TbTradesExodus[[#This Row],[Par]])-1,MATCH(CONCATENATE("Estoque ",MID(TbTradesExodus[[#This Row],[Par]],1,FIND(MID(W$1,9,5),TbTradesExodus[[#This Row],[Par]])-1)),$1:$1,0))*INDEX($1:$1048576,ROW(TbTradesExodus[[#This Row],[Par]])-1,MATCH(CONCATENATE("Custo de ",MID(TbTradesExodus[[#This Row],[Par]],1,FIND(MID(W$1,9,5),TbTradesExodus[[#This Row],[Par]])-1)),$1:$1,0))),0),0)+IF(TbTradesExodus[[#This Row],[Tipo]]="RECEIVE",IF(ISNUMBER(FIND(MID(X$1,10,5),TbTradesExodus[[#This Row],[Par]])), TbTradesExodus[[#This Row],[Qtt]]*TbTradesExodus[[#This Row],[Cotação BRL]],0),0)+IF(TbTradesExodus[[#This Row],[Tipo]]="SEND",IF(ISNUMBER(FIND(MID(X$1,10,5),TbTradesExodus[[#This Row],[Par]])),(-(W1-W2)/W1*X1)+IF(TbTradesExodus[[#This Row],[Resultado]]&gt;0,0,TbTradesExodus[[#This Row],[Taxa]]),0),0))</f>
        <v>0</v>
      </c>
      <c r="Y2" s="41">
        <f t="shared" ref="Y2:Y4" si="3">IF(W2=0,0,X2/W2)</f>
        <v>0</v>
      </c>
      <c r="Z2" s="43">
        <f>IF(AND(IF(TbTradesExodus[[#This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Row],[Tipo]]="DROP"),Z1+TbTradesExodus[[#This Row],[Qtt]],Z1-TbTradesExodus[[#This Row],[Qtt]]),IF(TbTradesExodus[[#This Row],[Tipo]]="BUY",Z1-TbTradesExodus[[#This Row],[Qtt]]*TbTradesExodus[[#This Row],[Preço]],Z1+TbTradesExodus[[#This Row],[Qtt]]*TbTradesExodus[[#This Row],[Preço]])),Z1)-IF(TbTradesExodus[[#This Row],[Moeda da Taxa]]=MID(Z$1,9,5),TbTradesExodus[[#This Row],[Taxa]],0),8))&lt;0.0000001,IF(TbTradesExodus[[#This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Row],[Tipo]]="DROP"),Z1+TbTradesExodus[[#This Row],[Qtt]],Z1-TbTradesExodus[[#This Row],[Qtt]]),IF(TbTradesExodus[[#This Row],[Tipo]]="BUY",Z1-TbTradesExodus[[#This Row],[Qtt]]*TbTradesExodus[[#This Row],[Preço]],Z1+TbTradesExodus[[#This Row],[Qtt]]*TbTradesExodus[[#This Row],[Preço]])),Z1)-IF(TbTradesExodus[[#This Row],[Moeda da Taxa]]=MID(Z$1,9,5),TbTradesExodus[[#This Row],[Taxa]],0),8))&gt;-0.0000001),0,IF(TbTradesExodus[[#This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Row],[Tipo]]="DROP"),Z1+TbTradesExodus[[#This Row],[Qtt]],Z1-TbTradesExodus[[#This Row],[Qtt]]),IF(TbTradesExodus[[#This Row],[Tipo]]="BUY",Z1-TbTradesExodus[[#This Row],[Qtt]]*TbTradesExodus[[#This Row],[Preço]],Z1+TbTradesExodus[[#This Row],[Qtt]]*TbTradesExodus[[#This Row],[Preço]])),Z1)-IF(TbTradesExodus[[#This Row],[Moeda da Taxa]]=MID(Z$1,9,5),TbTradesExodus[[#This Row],[Taxa]],0),8)))</f>
        <v>0</v>
      </c>
      <c r="AA2" s="50" cm="1">
        <f t="array" ref="AA2">IF(TbTradesExodus[[#This Row],[Tipo]]="EMPTY",0,AA1+IF(TbTradesExodus[[#This Row],[Tipo]]="DROP",0,0)+IF(TbTradesExodus[[#This Row],[Tipo]]="BURN",0,0)+IF(TbTradesExodus[[#This Row],[Tipo]]="BUY",IF(ISNUMBER(FIND(MID(AA$1,10,5),TbTradesExodus[[#This Row],[Par]])),IF(FIND(MID(AA$1,10,5),TbTradesExodus[[#This Row],[Par]])=1, (INDEX($1:$1048576,ROW(TbTradesExodus[[#This Row],[Par]])-1,MATCH(CONCATENATE("Estoque ",MID(TbTradesExodus[[#This Row],[Par]],LEN(MID(Z$1,9,5))+1,LEN(TbTradesExodus[[#This Row],[Par]]))),$1:$1,0))-INDEX($1:$1048576,ROW(TbTradesExodus[[#This Row],[Par]]),MATCH(CONCATENATE("Estoque ",MID(TbTradesExodus[[#This Row],[Par]],LEN(MID(Z$1,9,5))+1,LEN(TbTradesExodus[[#This Row],[Par]]))),$1:$1,0)))/ INDEX($1:$1048576,ROW(TbTradesExodus[[#This Row],[Par]])-1,MATCH(CONCATENATE("Estoque ",MID(TbTradesExodus[[#This Row],[Par]],LEN(MID(Z$1,9,5))+1,LEN(TbTradesExodus[[#This Row],[Par]]))),$1:$1,0))*INDEX($1:$1048576,ROW(TbTradesExodus[[#This Row],[Par]])-1,MATCH(CONCATENATE("Custo de ",MID(TbTradesExodus[[#This Row],[Par]],LEN(MID(Z$1,9,5))+1,LEN(TbTradesExodus[[#This Row],[Par]]))),$1:$1,0)),-(Z1-Z2)/Z1*AA1),0),0)+IF(TbTradesExodus[[#This Row],[Tipo]]="SELL",IF(ISNUMBER(FIND(MID(AA$1,10,5),TbTradesExodus[[#This Row],[Par]])),IF(FIND(MID(AA$1,10,5),TbTradesExodus[[#This Row],[Par]])=1, -(Z1-Z2)/Z1*AA1, (INDEX($1:$1048576,ROW(TbTradesExodus[[#This Row],[Par]])-1,MATCH(CONCATENATE("Estoque ",MID(TbTradesExodus[[#This Row],[Par]],1,FIND(MID(Z$1,9,5),TbTradesExodus[[#This Row],[Par]])-1)),$1:$1,0))-INDEX($1:$1048576,ROW(TbTradesExodus[[#This Row],[Par]]),MATCH(CONCATENATE("Estoque ",MID(TbTradesExodus[[#This Row],[Par]],1,FIND(MID(Z$1,9,5),TbTradesExodus[[#This Row],[Par]])-1)),$1:$1,0)))/ INDEX($1:$1048576,ROW(TbTradesExodus[[#This Row],[Par]])-1,MATCH(CONCATENATE("Estoque ",MID(TbTradesExodus[[#This Row],[Par]],1,FIND(MID(Z$1,9,5),TbTradesExodus[[#This Row],[Par]])-1)),$1:$1,0))*INDEX($1:$1048576,ROW(TbTradesExodus[[#This Row],[Par]])-1,MATCH(CONCATENATE("Custo de ",MID(TbTradesExodus[[#This Row],[Par]],1,FIND(MID(Z$1,9,5),TbTradesExodus[[#This Row],[Par]])-1)),$1:$1,0))),0),0)+IF(TbTradesExodus[[#This Row],[Tipo]]="RECEIVE",IF(ISNUMBER(FIND(MID(AA$1,10,5),TbTradesExodus[[#This Row],[Par]])), TbTradesExodus[[#This Row],[Qtt]]*TbTradesExodus[[#This Row],[Cotação BRL]],0),0)+IF(TbTradesExodus[[#This Row],[Tipo]]="SEND",IF(ISNUMBER(FIND(MID(AA$1,10,5),TbTradesExodus[[#This Row],[Par]])),(-(Z1-Z2)/Z1*AA1)+IF(TbTradesExodus[[#This Row],[Resultado]]&gt;0,0,TbTradesExodus[[#This Row],[Taxa]]),0),0))</f>
        <v>0</v>
      </c>
      <c r="AB2" s="41">
        <f t="shared" ref="AB2:AB4" si="4">IF(Z2=0,0,AA2/Z2)</f>
        <v>0</v>
      </c>
      <c r="AC2" s="43">
        <f>IF(AND(IF(TbTradesExodus[[#This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Row],[Tipo]]="DROP"),AC1+TbTradesExodus[[#This Row],[Qtt]],AC1-TbTradesExodus[[#This Row],[Qtt]]),IF(TbTradesExodus[[#This Row],[Tipo]]="BUY",AC1-TbTradesExodus[[#This Row],[Qtt]]*TbTradesExodus[[#This Row],[Preço]],AC1+TbTradesExodus[[#This Row],[Qtt]]*TbTradesExodus[[#This Row],[Preço]])),AC1)-IF(TbTradesExodus[[#This Row],[Moeda da Taxa]]=MID(AC$1,9,5),TbTradesExodus[[#This Row],[Taxa]],0),8))&lt;0.0000001,IF(TbTradesExodus[[#This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Row],[Tipo]]="DROP"),AC1+TbTradesExodus[[#This Row],[Qtt]],AC1-TbTradesExodus[[#This Row],[Qtt]]),IF(TbTradesExodus[[#This Row],[Tipo]]="BUY",AC1-TbTradesExodus[[#This Row],[Qtt]]*TbTradesExodus[[#This Row],[Preço]],AC1+TbTradesExodus[[#This Row],[Qtt]]*TbTradesExodus[[#This Row],[Preço]])),AC1)-IF(TbTradesExodus[[#This Row],[Moeda da Taxa]]=MID(AC$1,9,5),TbTradesExodus[[#This Row],[Taxa]],0),8))&gt;-0.0000001),0,IF(TbTradesExodus[[#This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Row],[Tipo]]="DROP"),AC1+TbTradesExodus[[#This Row],[Qtt]],AC1-TbTradesExodus[[#This Row],[Qtt]]),IF(TbTradesExodus[[#This Row],[Tipo]]="BUY",AC1-TbTradesExodus[[#This Row],[Qtt]]*TbTradesExodus[[#This Row],[Preço]],AC1+TbTradesExodus[[#This Row],[Qtt]]*TbTradesExodus[[#This Row],[Preço]])),AC1)-IF(TbTradesExodus[[#This Row],[Moeda da Taxa]]=MID(AC$1,9,5),TbTradesExodus[[#This Row],[Taxa]],0),8)))</f>
        <v>0</v>
      </c>
      <c r="AD2" s="50" cm="1">
        <f t="array" ref="AD2">IF(TbTradesExodus[[#This Row],[Tipo]]="EMPTY",0,AD1+IF(TbTradesExodus[[#This Row],[Tipo]]="DROP",0,0)+IF(TbTradesExodus[[#This Row],[Tipo]]="BURN",0,0)+IF(TbTradesExodus[[#This Row],[Tipo]]="BUY",IF(ISNUMBER(FIND(MID(AD$1,10,5),TbTradesExodus[[#This Row],[Par]])),IF(FIND(MID(AD$1,10,5),TbTradesExodus[[#This Row],[Par]])=1, (INDEX($1:$1048576,ROW(TbTradesExodus[[#This Row],[Par]])-1,MATCH(CONCATENATE("Estoque ",MID(TbTradesExodus[[#This Row],[Par]],LEN(MID(AC$1,9,5))+1,LEN(TbTradesExodus[[#This Row],[Par]]))),$1:$1,0))-INDEX($1:$1048576,ROW(TbTradesExodus[[#This Row],[Par]]),MATCH(CONCATENATE("Estoque ",MID(TbTradesExodus[[#This Row],[Par]],LEN(MID(AC$1,9,5))+1,LEN(TbTradesExodus[[#This Row],[Par]]))),$1:$1,0)))/ INDEX($1:$1048576,ROW(TbTradesExodus[[#This Row],[Par]])-1,MATCH(CONCATENATE("Estoque ",MID(TbTradesExodus[[#This Row],[Par]],LEN(MID(AC$1,9,5))+1,LEN(TbTradesExodus[[#This Row],[Par]]))),$1:$1,0))*INDEX($1:$1048576,ROW(TbTradesExodus[[#This Row],[Par]])-1,MATCH(CONCATENATE("Custo de ",MID(TbTradesExodus[[#This Row],[Par]],LEN(MID(AC$1,9,5))+1,LEN(TbTradesExodus[[#This Row],[Par]]))),$1:$1,0)),-(AC1-AC2)/AC1*AD1),0),0)+IF(TbTradesExodus[[#This Row],[Tipo]]="SELL",IF(ISNUMBER(FIND(MID(AD$1,10,5),TbTradesExodus[[#This Row],[Par]])),IF(FIND(MID(AD$1,10,5),TbTradesExodus[[#This Row],[Par]])=1, -(AC1-AC2)/AC1*AD1, (INDEX($1:$1048576,ROW(TbTradesExodus[[#This Row],[Par]])-1,MATCH(CONCATENATE("Estoque ",MID(TbTradesExodus[[#This Row],[Par]],1,FIND(MID(AC$1,9,5),TbTradesExodus[[#This Row],[Par]])-1)),$1:$1,0))-INDEX($1:$1048576,ROW(TbTradesExodus[[#This Row],[Par]]),MATCH(CONCATENATE("Estoque ",MID(TbTradesExodus[[#This Row],[Par]],1,FIND(MID(AC$1,9,5),TbTradesExodus[[#This Row],[Par]])-1)),$1:$1,0)))/ INDEX($1:$1048576,ROW(TbTradesExodus[[#This Row],[Par]])-1,MATCH(CONCATENATE("Estoque ",MID(TbTradesExodus[[#This Row],[Par]],1,FIND(MID(AC$1,9,5),TbTradesExodus[[#This Row],[Par]])-1)),$1:$1,0))*INDEX($1:$1048576,ROW(TbTradesExodus[[#This Row],[Par]])-1,MATCH(CONCATENATE("Custo de ",MID(TbTradesExodus[[#This Row],[Par]],1,FIND(MID(AC$1,9,5),TbTradesExodus[[#This Row],[Par]])-1)),$1:$1,0))),0),0)+IF(TbTradesExodus[[#This Row],[Tipo]]="RECEIVE",IF(ISNUMBER(FIND(MID(AD$1,10,5),TbTradesExodus[[#This Row],[Par]])), TbTradesExodus[[#This Row],[Qtt]]*TbTradesExodus[[#This Row],[Cotação BRL]],0),0)+IF(TbTradesExodus[[#This Row],[Tipo]]="SEND",IF(ISNUMBER(FIND(MID(AD$1,10,5),TbTradesExodus[[#This Row],[Par]])),(-(AC1-AC2)/AC1*AD1)+IF(TbTradesExodus[[#This Row],[Resultado]]&gt;0,0,TbTradesExodus[[#This Row],[Taxa]]),0),0))</f>
        <v>0</v>
      </c>
      <c r="AE2" s="41">
        <f t="shared" ref="AE2:AE4" si="5">IF(AC2=0,0,AD2/AC2)</f>
        <v>0</v>
      </c>
    </row>
    <row r="3" spans="1:31" x14ac:dyDescent="0.3">
      <c r="B3" s="121" t="s">
        <v>162</v>
      </c>
      <c r="C3" s="67">
        <f>TRUNC(IF(AND(TbTradesExodus[[#This Row],[Tipo]]="SEND",TbTradesExodus[[#This Row],[Par]]="BRL"),TbTradesExodus[[#This Row],[Qtt]]*(1-P2)-IF(TbTradesExodus[[#This Row],[Moeda da Taxa]]="BRL",TbTradesExodus[[#This Row],[Taxa]],0),0)+IF(AND(TbTradesExodus[[#This Row],[Tipo]]="BURN",TbTradesExodus[[#This Row],[Par]]="BRL"),-TbTradesExodus[[#This Row],[Qtt]]*P2,0),2)</f>
        <v>0</v>
      </c>
      <c r="D3" s="65">
        <v>44263.765277777777</v>
      </c>
      <c r="E3" s="77" t="s">
        <v>43</v>
      </c>
      <c r="F3" s="77" t="s">
        <v>137</v>
      </c>
      <c r="G3" s="78">
        <v>5.897848329415206</v>
      </c>
      <c r="H3" s="78">
        <v>14.984999999999999</v>
      </c>
      <c r="I3" s="78">
        <v>1</v>
      </c>
      <c r="J3" s="77" t="s">
        <v>43</v>
      </c>
      <c r="K3" s="75">
        <v>1</v>
      </c>
      <c r="L3" s="67">
        <f>TRUNC(K3*G3,2)</f>
        <v>5.89</v>
      </c>
      <c r="M3" s="67">
        <f>IF(OR(TbTradesExodus[[#This Row],[Tipo]]="BUY",TbTradesExodus[[#This Row],[Tipo]]="RECEIVE",TbTradesExodus[[#This Row],[Tipo]]="DROP"),L3*H3,-L3*H3)</f>
        <v>88.261649999999989</v>
      </c>
      <c r="N3" s="41">
        <f>IF(AND(IF(TbTradesExodus[[#This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Row],[Tipo]]="DROP"),N2+TbTradesExodus[[#This Row],[Qtt]],N2-TbTradesExodus[[#This Row],[Qtt]]),IF(TbTradesExodus[[#This Row],[Tipo]]="BUY",N2-TbTradesExodus[[#This Row],[Qtt]]*TbTradesExodus[[#This Row],[Preço]],N2+TbTradesExodus[[#This Row],[Qtt]]*TbTradesExodus[[#This Row],[Preço]])),N2)-IF(TbTradesExodus[[#This Row],[Moeda da Taxa]]=MID(N$1,9,5),TbTradesExodus[[#This Row],[Taxa]],0),8))&lt;0.0000001,IF(TbTradesExodus[[#This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Row],[Tipo]]="DROP"),N2+TbTradesExodus[[#This Row],[Qtt]],N2-TbTradesExodus[[#This Row],[Qtt]]),IF(TbTradesExodus[[#This Row],[Tipo]]="BUY",N2-TbTradesExodus[[#This Row],[Qtt]]*TbTradesExodus[[#This Row],[Preço]],N2+TbTradesExodus[[#This Row],[Qtt]]*TbTradesExodus[[#This Row],[Preço]])),N2)-IF(TbTradesExodus[[#This Row],[Moeda da Taxa]]=MID(N$1,9,5),TbTradesExodus[[#This Row],[Taxa]],0),8))&gt;-0.0000001),0,IF(TbTradesExodus[[#This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Row],[Tipo]]="DROP"),N2+TbTradesExodus[[#This Row],[Qtt]],N2-TbTradesExodus[[#This Row],[Qtt]]),IF(TbTradesExodus[[#This Row],[Tipo]]="BUY",N2-TbTradesExodus[[#This Row],[Qtt]]*TbTradesExodus[[#This Row],[Preço]],N2+TbTradesExodus[[#This Row],[Qtt]]*TbTradesExodus[[#This Row],[Preço]])),N2)-IF(TbTradesExodus[[#This Row],[Moeda da Taxa]]=MID(N$1,9,5),TbTradesExodus[[#This Row],[Taxa]],0),8)))</f>
        <v>0</v>
      </c>
      <c r="O3" s="50" cm="1">
        <f t="array" ref="O3">IF(TbTradesExodus[[#This Row],[Tipo]]="EMPTY",0,O2+IF(TbTradesExodus[[#This Row],[Tipo]]="DROP",0,0)+IF(TbTradesExodus[[#This Row],[Tipo]]="BURN",0,0)+IF(TbTradesExodus[[#This Row],[Tipo]]="BUY",IF(ISNUMBER(FIND(MID(O$1,10,5),TbTradesExodus[[#This Row],[Par]])),IF(FIND(MID(O$1,10,5),TbTradesExodus[[#This Row],[Par]])=1, (INDEX($1:$1048576,ROW(TbTradesExodus[[#This Row],[Par]])-1,MATCH(CONCATENATE("Estoque ",MID(TbTradesExodus[[#This Row],[Par]],LEN(MID(N$1,9,5))+1,LEN(TbTradesExodus[[#This Row],[Par]]))),$1:$1,0))-INDEX($1:$1048576,ROW(TbTradesExodus[[#This Row],[Par]]),MATCH(CONCATENATE("Estoque ",MID(TbTradesExodus[[#This Row],[Par]],LEN(MID(N$1,9,5))+1,LEN(TbTradesExodus[[#This Row],[Par]]))),$1:$1,0)))/ INDEX($1:$1048576,ROW(TbTradesExodus[[#This Row],[Par]])-1,MATCH(CONCATENATE("Estoque ",MID(TbTradesExodus[[#This Row],[Par]],LEN(MID(N$1,9,5))+1,LEN(TbTradesExodus[[#This Row],[Par]]))),$1:$1,0))*INDEX($1:$1048576,ROW(TbTradesExodus[[#This Row],[Par]])-1,MATCH(CONCATENATE("Custo de ",MID(TbTradesExodus[[#This Row],[Par]],LEN(MID(N$1,9,5))+1,LEN(TbTradesExodus[[#This Row],[Par]]))),$1:$1,0)),-(N2-N3)/N2*O2),0),0)+IF(TbTradesExodus[[#This Row],[Tipo]]="SELL",IF(ISNUMBER(FIND(MID(O$1,10,5),TbTradesExodus[[#This Row],[Par]])),IF(FIND(MID(O$1,10,5),TbTradesExodus[[#This Row],[Par]])=1, -(N2-N3)/N2*O2, (INDEX($1:$1048576,ROW(TbTradesExodus[[#This Row],[Par]])-1,MATCH(CONCATENATE("Estoque ",MID(TbTradesExodus[[#This Row],[Par]],1,FIND(MID(N$1,9,5),TbTradesExodus[[#This Row],[Par]])-1)),$1:$1,0))-INDEX($1:$1048576,ROW(TbTradesExodus[[#This Row],[Par]]),MATCH(CONCATENATE("Estoque ",MID(TbTradesExodus[[#This Row],[Par]],1,FIND(MID(N$1,9,5),TbTradesExodus[[#This Row],[Par]])-1)),$1:$1,0)))/ INDEX($1:$1048576,ROW(TbTradesExodus[[#This Row],[Par]])-1,MATCH(CONCATENATE("Estoque ",MID(TbTradesExodus[[#This Row],[Par]],1,FIND(MID(N$1,9,5),TbTradesExodus[[#This Row],[Par]])-1)),$1:$1,0))*INDEX($1:$1048576,ROW(TbTradesExodus[[#This Row],[Par]])-1,MATCH(CONCATENATE("Custo de ",MID(TbTradesExodus[[#This Row],[Par]],1,FIND(MID(N$1,9,5),TbTradesExodus[[#This Row],[Par]])-1)),$1:$1,0))),0),0)+IF(TbTradesExodus[[#This Row],[Tipo]]="RECEIVE",IF(ISNUMBER(FIND(MID(O$1,10,5),TbTradesExodus[[#This Row],[Par]])), TbTradesExodus[[#This Row],[Qtt]]*TbTradesExodus[[#This Row],[Cotação BRL]],0),0)+IF(TbTradesExodus[[#This Row],[Tipo]]="SEND",IF(ISNUMBER(FIND(MID(O$1,10,5),TbTradesExodus[[#This Row],[Par]])),(-(N2-N3)/N2*O2)+IF(TbTradesExodus[[#This Row],[Resultado]]&gt;0,0,TbTradesExodus[[#This Row],[Taxa]]),0),0))</f>
        <v>0</v>
      </c>
      <c r="P3" s="41">
        <f t="shared" si="0"/>
        <v>0</v>
      </c>
      <c r="Q3" s="42">
        <f>IF(AND(IF(TbTradesExodus[[#This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Row],[Tipo]]="DROP"),Q2+TbTradesExodus[[#This Row],[Qtt]],Q2-TbTradesExodus[[#This Row],[Qtt]]),IF(TbTradesExodus[[#This Row],[Tipo]]="BUY",Q2-TbTradesExodus[[#This Row],[Qtt]]*TbTradesExodus[[#This Row],[Preço]],Q2+TbTradesExodus[[#This Row],[Qtt]]*TbTradesExodus[[#This Row],[Preço]])),Q2)-IF(TbTradesExodus[[#This Row],[Moeda da Taxa]]=MID(Q$1,9,5),TbTradesExodus[[#This Row],[Taxa]],0),8))&lt;0.0000001,IF(TbTradesExodus[[#This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Row],[Tipo]]="DROP"),Q2+TbTradesExodus[[#This Row],[Qtt]],Q2-TbTradesExodus[[#This Row],[Qtt]]),IF(TbTradesExodus[[#This Row],[Tipo]]="BUY",Q2-TbTradesExodus[[#This Row],[Qtt]]*TbTradesExodus[[#This Row],[Preço]],Q2+TbTradesExodus[[#This Row],[Qtt]]*TbTradesExodus[[#This Row],[Preço]])),Q2)-IF(TbTradesExodus[[#This Row],[Moeda da Taxa]]=MID(Q$1,9,5),TbTradesExodus[[#This Row],[Taxa]],0),8))&gt;-0.0000001),0,IF(TbTradesExodus[[#This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Row],[Tipo]]="DROP"),Q2+TbTradesExodus[[#This Row],[Qtt]],Q2-TbTradesExodus[[#This Row],[Qtt]]),IF(TbTradesExodus[[#This Row],[Tipo]]="BUY",Q2-TbTradesExodus[[#This Row],[Qtt]]*TbTradesExodus[[#This Row],[Preço]],Q2+TbTradesExodus[[#This Row],[Qtt]]*TbTradesExodus[[#This Row],[Preço]])),Q2)-IF(TbTradesExodus[[#This Row],[Moeda da Taxa]]=MID(Q$1,9,5),TbTradesExodus[[#This Row],[Taxa]],0),8)))</f>
        <v>0</v>
      </c>
      <c r="R3" s="50" cm="1">
        <f t="array" ref="R3">IF(TbTradesExodus[[#This Row],[Tipo]]="EMPTY",0,R2+IF(TbTradesExodus[[#This Row],[Tipo]]="DROP",0,0)+IF(TbTradesExodus[[#This Row],[Tipo]]="BURN",0,0)+IF(TbTradesExodus[[#This Row],[Tipo]]="BUY",IF(ISNUMBER(FIND(MID(R$1,10,5),TbTradesExodus[[#This Row],[Par]])),IF(FIND(MID(R$1,10,5),TbTradesExodus[[#This Row],[Par]])=1, (INDEX($1:$1048576,ROW(TbTradesExodus[[#This Row],[Par]])-1,MATCH(CONCATENATE("Estoque ",MID(TbTradesExodus[[#This Row],[Par]],LEN(MID(Q$1,9,5))+1,LEN(TbTradesExodus[[#This Row],[Par]]))),$1:$1,0))-INDEX($1:$1048576,ROW(TbTradesExodus[[#This Row],[Par]]),MATCH(CONCATENATE("Estoque ",MID(TbTradesExodus[[#This Row],[Par]],LEN(MID(Q$1,9,5))+1,LEN(TbTradesExodus[[#This Row],[Par]]))),$1:$1,0)))/ INDEX($1:$1048576,ROW(TbTradesExodus[[#This Row],[Par]])-1,MATCH(CONCATENATE("Estoque ",MID(TbTradesExodus[[#This Row],[Par]],LEN(MID(Q$1,9,5))+1,LEN(TbTradesExodus[[#This Row],[Par]]))),$1:$1,0))*INDEX($1:$1048576,ROW(TbTradesExodus[[#This Row],[Par]])-1,MATCH(CONCATENATE("Custo de ",MID(TbTradesExodus[[#This Row],[Par]],LEN(MID(Q$1,9,5))+1,LEN(TbTradesExodus[[#This Row],[Par]]))),$1:$1,0)),-(Q2-Q3)/Q2*R2),0),0)+IF(TbTradesExodus[[#This Row],[Tipo]]="SELL",IF(ISNUMBER(FIND(MID(R$1,10,5),TbTradesExodus[[#This Row],[Par]])),IF(FIND(MID(R$1,10,5),TbTradesExodus[[#This Row],[Par]])=1, -(Q2-Q3)/Q2*R2, (INDEX($1:$1048576,ROW(TbTradesExodus[[#This Row],[Par]])-1,MATCH(CONCATENATE("Estoque ",MID(TbTradesExodus[[#This Row],[Par]],1,FIND(MID(Q$1,9,5),TbTradesExodus[[#This Row],[Par]])-1)),$1:$1,0))-INDEX($1:$1048576,ROW(TbTradesExodus[[#This Row],[Par]]),MATCH(CONCATENATE("Estoque ",MID(TbTradesExodus[[#This Row],[Par]],1,FIND(MID(Q$1,9,5),TbTradesExodus[[#This Row],[Par]])-1)),$1:$1,0)))/ INDEX($1:$1048576,ROW(TbTradesExodus[[#This Row],[Par]])-1,MATCH(CONCATENATE("Estoque ",MID(TbTradesExodus[[#This Row],[Par]],1,FIND(MID(Q$1,9,5),TbTradesExodus[[#This Row],[Par]])-1)),$1:$1,0))*INDEX($1:$1048576,ROW(TbTradesExodus[[#This Row],[Par]])-1,MATCH(CONCATENATE("Custo de ",MID(TbTradesExodus[[#This Row],[Par]],1,FIND(MID(Q$1,9,5),TbTradesExodus[[#This Row],[Par]])-1)),$1:$1,0))),0),0)+IF(TbTradesExodus[[#This Row],[Tipo]]="RECEIVE",IF(ISNUMBER(FIND(MID(R$1,10,5),TbTradesExodus[[#This Row],[Par]])), TbTradesExodus[[#This Row],[Qtt]]*TbTradesExodus[[#This Row],[Cotação BRL]],0),0)+IF(TbTradesExodus[[#This Row],[Tipo]]="SEND",IF(ISNUMBER(FIND(MID(R$1,10,5),TbTradesExodus[[#This Row],[Par]])),(-(Q2-Q3)/Q2*R2)+IF(TbTradesExodus[[#This Row],[Resultado]]&gt;0,0,TbTradesExodus[[#This Row],[Taxa]]),0),0))</f>
        <v>0</v>
      </c>
      <c r="S3" s="41">
        <f t="shared" si="1"/>
        <v>0</v>
      </c>
      <c r="T3" s="43">
        <f>IF(AND(IF(TbTradesExodus[[#This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Row],[Tipo]]="DROP"),T2+TbTradesExodus[[#This Row],[Qtt]],T2-TbTradesExodus[[#This Row],[Qtt]]),IF(TbTradesExodus[[#This Row],[Tipo]]="BUY",T2-TbTradesExodus[[#This Row],[Qtt]]*TbTradesExodus[[#This Row],[Preço]],T2+TbTradesExodus[[#This Row],[Qtt]]*TbTradesExodus[[#This Row],[Preço]])),T2)-IF(TbTradesExodus[[#This Row],[Moeda da Taxa]]=MID(T$1,9,5),TbTradesExodus[[#This Row],[Taxa]],0),8))&lt;0.0000001,IF(TbTradesExodus[[#This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Row],[Tipo]]="DROP"),T2+TbTradesExodus[[#This Row],[Qtt]],T2-TbTradesExodus[[#This Row],[Qtt]]),IF(TbTradesExodus[[#This Row],[Tipo]]="BUY",T2-TbTradesExodus[[#This Row],[Qtt]]*TbTradesExodus[[#This Row],[Preço]],T2+TbTradesExodus[[#This Row],[Qtt]]*TbTradesExodus[[#This Row],[Preço]])),T2)-IF(TbTradesExodus[[#This Row],[Moeda da Taxa]]=MID(T$1,9,5),TbTradesExodus[[#This Row],[Taxa]],0),8))&gt;-0.0000001),0,IF(TbTradesExodus[[#This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Row],[Tipo]]="DROP"),T2+TbTradesExodus[[#This Row],[Qtt]],T2-TbTradesExodus[[#This Row],[Qtt]]),IF(TbTradesExodus[[#This Row],[Tipo]]="BUY",T2-TbTradesExodus[[#This Row],[Qtt]]*TbTradesExodus[[#This Row],[Preço]],T2+TbTradesExodus[[#This Row],[Qtt]]*TbTradesExodus[[#This Row],[Preço]])),T2)-IF(TbTradesExodus[[#This Row],[Moeda da Taxa]]=MID(T$1,9,5),TbTradesExodus[[#This Row],[Taxa]],0),8)))</f>
        <v>0</v>
      </c>
      <c r="U3" s="50" cm="1">
        <f t="array" ref="U3">IF(TbTradesExodus[[#This Row],[Tipo]]="EMPTY",0,U2+IF(TbTradesExodus[[#This Row],[Tipo]]="DROP",0,0)+IF(TbTradesExodus[[#This Row],[Tipo]]="BURN",0,0)+IF(TbTradesExodus[[#This Row],[Tipo]]="BUY",IF(ISNUMBER(FIND(MID(U$1,10,5),TbTradesExodus[[#This Row],[Par]])),IF(FIND(MID(U$1,10,5),TbTradesExodus[[#This Row],[Par]])=1, (INDEX($1:$1048576,ROW(TbTradesExodus[[#This Row],[Par]])-1,MATCH(CONCATENATE("Estoque ",MID(TbTradesExodus[[#This Row],[Par]],LEN(MID(T$1,9,5))+1,LEN(TbTradesExodus[[#This Row],[Par]]))),$1:$1,0))-INDEX($1:$1048576,ROW(TbTradesExodus[[#This Row],[Par]]),MATCH(CONCATENATE("Estoque ",MID(TbTradesExodus[[#This Row],[Par]],LEN(MID(T$1,9,5))+1,LEN(TbTradesExodus[[#This Row],[Par]]))),$1:$1,0)))/ INDEX($1:$1048576,ROW(TbTradesExodus[[#This Row],[Par]])-1,MATCH(CONCATENATE("Estoque ",MID(TbTradesExodus[[#This Row],[Par]],LEN(MID(T$1,9,5))+1,LEN(TbTradesExodus[[#This Row],[Par]]))),$1:$1,0))*INDEX($1:$1048576,ROW(TbTradesExodus[[#This Row],[Par]])-1,MATCH(CONCATENATE("Custo de ",MID(TbTradesExodus[[#This Row],[Par]],LEN(MID(T$1,9,5))+1,LEN(TbTradesExodus[[#This Row],[Par]]))),$1:$1,0)),-(T2-T3)/T2*U2),0),0)+IF(TbTradesExodus[[#This Row],[Tipo]]="SELL",IF(ISNUMBER(FIND(MID(U$1,10,5),TbTradesExodus[[#This Row],[Par]])),IF(FIND(MID(U$1,10,5),TbTradesExodus[[#This Row],[Par]])=1, -(T2-T3)/T2*U2, (INDEX($1:$1048576,ROW(TbTradesExodus[[#This Row],[Par]])-1,MATCH(CONCATENATE("Estoque ",MID(TbTradesExodus[[#This Row],[Par]],1,FIND(MID(T$1,9,5),TbTradesExodus[[#This Row],[Par]])-1)),$1:$1,0))-INDEX($1:$1048576,ROW(TbTradesExodus[[#This Row],[Par]]),MATCH(CONCATENATE("Estoque ",MID(TbTradesExodus[[#This Row],[Par]],1,FIND(MID(T$1,9,5),TbTradesExodus[[#This Row],[Par]])-1)),$1:$1,0)))/ INDEX($1:$1048576,ROW(TbTradesExodus[[#This Row],[Par]])-1,MATCH(CONCATENATE("Estoque ",MID(TbTradesExodus[[#This Row],[Par]],1,FIND(MID(T$1,9,5),TbTradesExodus[[#This Row],[Par]])-1)),$1:$1,0))*INDEX($1:$1048576,ROW(TbTradesExodus[[#This Row],[Par]])-1,MATCH(CONCATENATE("Custo de ",MID(TbTradesExodus[[#This Row],[Par]],1,FIND(MID(T$1,9,5),TbTradesExodus[[#This Row],[Par]])-1)),$1:$1,0))),0),0)+IF(TbTradesExodus[[#This Row],[Tipo]]="RECEIVE",IF(ISNUMBER(FIND(MID(U$1,10,5),TbTradesExodus[[#This Row],[Par]])), TbTradesExodus[[#This Row],[Qtt]]*TbTradesExodus[[#This Row],[Cotação BRL]],0),0)+IF(TbTradesExodus[[#This Row],[Tipo]]="SEND",IF(ISNUMBER(FIND(MID(U$1,10,5),TbTradesExodus[[#This Row],[Par]])),(-(T2-T3)/T2*U2)+IF(TbTradesExodus[[#This Row],[Resultado]]&gt;0,0,TbTradesExodus[[#This Row],[Taxa]]),0),0))</f>
        <v>0</v>
      </c>
      <c r="V3" s="41">
        <f t="shared" si="2"/>
        <v>0</v>
      </c>
      <c r="W3" s="43">
        <f>IF(AND(IF(TbTradesExodus[[#This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Row],[Tipo]]="DROP"),W2+TbTradesExodus[[#This Row],[Qtt]],W2-TbTradesExodus[[#This Row],[Qtt]]),IF(TbTradesExodus[[#This Row],[Tipo]]="BUY",W2-TbTradesExodus[[#This Row],[Qtt]]*TbTradesExodus[[#This Row],[Preço]],W2+TbTradesExodus[[#This Row],[Qtt]]*TbTradesExodus[[#This Row],[Preço]])),W2)-IF(TbTradesExodus[[#This Row],[Moeda da Taxa]]=MID(W$1,9,5),TbTradesExodus[[#This Row],[Taxa]],0),8))&lt;0.0000001,IF(TbTradesExodus[[#This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Row],[Tipo]]="DROP"),W2+TbTradesExodus[[#This Row],[Qtt]],W2-TbTradesExodus[[#This Row],[Qtt]]),IF(TbTradesExodus[[#This Row],[Tipo]]="BUY",W2-TbTradesExodus[[#This Row],[Qtt]]*TbTradesExodus[[#This Row],[Preço]],W2+TbTradesExodus[[#This Row],[Qtt]]*TbTradesExodus[[#This Row],[Preço]])),W2)-IF(TbTradesExodus[[#This Row],[Moeda da Taxa]]=MID(W$1,9,5),TbTradesExodus[[#This Row],[Taxa]],0),8))&gt;-0.0000001),0,IF(TbTradesExodus[[#This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Row],[Tipo]]="DROP"),W2+TbTradesExodus[[#This Row],[Qtt]],W2-TbTradesExodus[[#This Row],[Qtt]]),IF(TbTradesExodus[[#This Row],[Tipo]]="BUY",W2-TbTradesExodus[[#This Row],[Qtt]]*TbTradesExodus[[#This Row],[Preço]],W2+TbTradesExodus[[#This Row],[Qtt]]*TbTradesExodus[[#This Row],[Preço]])),W2)-IF(TbTradesExodus[[#This Row],[Moeda da Taxa]]=MID(W$1,9,5),TbTradesExodus[[#This Row],[Taxa]],0),8)))</f>
        <v>0</v>
      </c>
      <c r="X3" s="50" cm="1">
        <f t="array" ref="X3">IF(TbTradesExodus[[#This Row],[Tipo]]="EMPTY",0,X2+IF(TbTradesExodus[[#This Row],[Tipo]]="DROP",0,0)+IF(TbTradesExodus[[#This Row],[Tipo]]="BURN",0,0)+IF(TbTradesExodus[[#This Row],[Tipo]]="BUY",IF(ISNUMBER(FIND(MID(X$1,10,5),TbTradesExodus[[#This Row],[Par]])),IF(FIND(MID(X$1,10,5),TbTradesExodus[[#This Row],[Par]])=1, (INDEX($1:$1048576,ROW(TbTradesExodus[[#This Row],[Par]])-1,MATCH(CONCATENATE("Estoque ",MID(TbTradesExodus[[#This Row],[Par]],LEN(MID(W$1,9,5))+1,LEN(TbTradesExodus[[#This Row],[Par]]))),$1:$1,0))-INDEX($1:$1048576,ROW(TbTradesExodus[[#This Row],[Par]]),MATCH(CONCATENATE("Estoque ",MID(TbTradesExodus[[#This Row],[Par]],LEN(MID(W$1,9,5))+1,LEN(TbTradesExodus[[#This Row],[Par]]))),$1:$1,0)))/ INDEX($1:$1048576,ROW(TbTradesExodus[[#This Row],[Par]])-1,MATCH(CONCATENATE("Estoque ",MID(TbTradesExodus[[#This Row],[Par]],LEN(MID(W$1,9,5))+1,LEN(TbTradesExodus[[#This Row],[Par]]))),$1:$1,0))*INDEX($1:$1048576,ROW(TbTradesExodus[[#This Row],[Par]])-1,MATCH(CONCATENATE("Custo de ",MID(TbTradesExodus[[#This Row],[Par]],LEN(MID(W$1,9,5))+1,LEN(TbTradesExodus[[#This Row],[Par]]))),$1:$1,0)),-(W2-W3)/W2*X2),0),0)+IF(TbTradesExodus[[#This Row],[Tipo]]="SELL",IF(ISNUMBER(FIND(MID(X$1,10,5),TbTradesExodus[[#This Row],[Par]])),IF(FIND(MID(X$1,10,5),TbTradesExodus[[#This Row],[Par]])=1, -(W2-W3)/W2*X2, (INDEX($1:$1048576,ROW(TbTradesExodus[[#This Row],[Par]])-1,MATCH(CONCATENATE("Estoque ",MID(TbTradesExodus[[#This Row],[Par]],1,FIND(MID(W$1,9,5),TbTradesExodus[[#This Row],[Par]])-1)),$1:$1,0))-INDEX($1:$1048576,ROW(TbTradesExodus[[#This Row],[Par]]),MATCH(CONCATENATE("Estoque ",MID(TbTradesExodus[[#This Row],[Par]],1,FIND(MID(W$1,9,5),TbTradesExodus[[#This Row],[Par]])-1)),$1:$1,0)))/ INDEX($1:$1048576,ROW(TbTradesExodus[[#This Row],[Par]])-1,MATCH(CONCATENATE("Estoque ",MID(TbTradesExodus[[#This Row],[Par]],1,FIND(MID(W$1,9,5),TbTradesExodus[[#This Row],[Par]])-1)),$1:$1,0))*INDEX($1:$1048576,ROW(TbTradesExodus[[#This Row],[Par]])-1,MATCH(CONCATENATE("Custo de ",MID(TbTradesExodus[[#This Row],[Par]],1,FIND(MID(W$1,9,5),TbTradesExodus[[#This Row],[Par]])-1)),$1:$1,0))),0),0)+IF(TbTradesExodus[[#This Row],[Tipo]]="RECEIVE",IF(ISNUMBER(FIND(MID(X$1,10,5),TbTradesExodus[[#This Row],[Par]])), TbTradesExodus[[#This Row],[Qtt]]*TbTradesExodus[[#This Row],[Cotação BRL]],0),0)+IF(TbTradesExodus[[#This Row],[Tipo]]="SEND",IF(ISNUMBER(FIND(MID(X$1,10,5),TbTradesExodus[[#This Row],[Par]])),(-(W2-W3)/W2*X2)+IF(TbTradesExodus[[#This Row],[Resultado]]&gt;0,0,TbTradesExodus[[#This Row],[Taxa]]),0),0))</f>
        <v>0</v>
      </c>
      <c r="Y3" s="41">
        <f t="shared" si="3"/>
        <v>0</v>
      </c>
      <c r="Z3" s="43">
        <f>IF(AND(IF(TbTradesExodus[[#This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Row],[Tipo]]="DROP"),Z2+TbTradesExodus[[#This Row],[Qtt]],Z2-TbTradesExodus[[#This Row],[Qtt]]),IF(TbTradesExodus[[#This Row],[Tipo]]="BUY",Z2-TbTradesExodus[[#This Row],[Qtt]]*TbTradesExodus[[#This Row],[Preço]],Z2+TbTradesExodus[[#This Row],[Qtt]]*TbTradesExodus[[#This Row],[Preço]])),Z2)-IF(TbTradesExodus[[#This Row],[Moeda da Taxa]]=MID(Z$1,9,5),TbTradesExodus[[#This Row],[Taxa]],0),8))&lt;0.0000001,IF(TbTradesExodus[[#This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Row],[Tipo]]="DROP"),Z2+TbTradesExodus[[#This Row],[Qtt]],Z2-TbTradesExodus[[#This Row],[Qtt]]),IF(TbTradesExodus[[#This Row],[Tipo]]="BUY",Z2-TbTradesExodus[[#This Row],[Qtt]]*TbTradesExodus[[#This Row],[Preço]],Z2+TbTradesExodus[[#This Row],[Qtt]]*TbTradesExodus[[#This Row],[Preço]])),Z2)-IF(TbTradesExodus[[#This Row],[Moeda da Taxa]]=MID(Z$1,9,5),TbTradesExodus[[#This Row],[Taxa]],0),8))&gt;-0.0000001),0,IF(TbTradesExodus[[#This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Row],[Tipo]]="DROP"),Z2+TbTradesExodus[[#This Row],[Qtt]],Z2-TbTradesExodus[[#This Row],[Qtt]]),IF(TbTradesExodus[[#This Row],[Tipo]]="BUY",Z2-TbTradesExodus[[#This Row],[Qtt]]*TbTradesExodus[[#This Row],[Preço]],Z2+TbTradesExodus[[#This Row],[Qtt]]*TbTradesExodus[[#This Row],[Preço]])),Z2)-IF(TbTradesExodus[[#This Row],[Moeda da Taxa]]=MID(Z$1,9,5),TbTradesExodus[[#This Row],[Taxa]],0),8)))</f>
        <v>13.984999999999999</v>
      </c>
      <c r="AA3" s="50" cm="1">
        <f t="array" ref="AA3">IF(TbTradesExodus[[#This Row],[Tipo]]="EMPTY",0,AA2+IF(TbTradesExodus[[#This Row],[Tipo]]="DROP",0,0)+IF(TbTradesExodus[[#This Row],[Tipo]]="BURN",0,0)+IF(TbTradesExodus[[#This Row],[Tipo]]="BUY",IF(ISNUMBER(FIND(MID(AA$1,10,5),TbTradesExodus[[#This Row],[Par]])),IF(FIND(MID(AA$1,10,5),TbTradesExodus[[#This Row],[Par]])=1, (INDEX($1:$1048576,ROW(TbTradesExodus[[#This Row],[Par]])-1,MATCH(CONCATENATE("Estoque ",MID(TbTradesExodus[[#This Row],[Par]],LEN(MID(Z$1,9,5))+1,LEN(TbTradesExodus[[#This Row],[Par]]))),$1:$1,0))-INDEX($1:$1048576,ROW(TbTradesExodus[[#This Row],[Par]]),MATCH(CONCATENATE("Estoque ",MID(TbTradesExodus[[#This Row],[Par]],LEN(MID(Z$1,9,5))+1,LEN(TbTradesExodus[[#This Row],[Par]]))),$1:$1,0)))/ INDEX($1:$1048576,ROW(TbTradesExodus[[#This Row],[Par]])-1,MATCH(CONCATENATE("Estoque ",MID(TbTradesExodus[[#This Row],[Par]],LEN(MID(Z$1,9,5))+1,LEN(TbTradesExodus[[#This Row],[Par]]))),$1:$1,0))*INDEX($1:$1048576,ROW(TbTradesExodus[[#This Row],[Par]])-1,MATCH(CONCATENATE("Custo de ",MID(TbTradesExodus[[#This Row],[Par]],LEN(MID(Z$1,9,5))+1,LEN(TbTradesExodus[[#This Row],[Par]]))),$1:$1,0)),-(Z2-Z3)/Z2*AA2),0),0)+IF(TbTradesExodus[[#This Row],[Tipo]]="SELL",IF(ISNUMBER(FIND(MID(AA$1,10,5),TbTradesExodus[[#This Row],[Par]])),IF(FIND(MID(AA$1,10,5),TbTradesExodus[[#This Row],[Par]])=1, -(Z2-Z3)/Z2*AA2, (INDEX($1:$1048576,ROW(TbTradesExodus[[#This Row],[Par]])-1,MATCH(CONCATENATE("Estoque ",MID(TbTradesExodus[[#This Row],[Par]],1,FIND(MID(Z$1,9,5),TbTradesExodus[[#This Row],[Par]])-1)),$1:$1,0))-INDEX($1:$1048576,ROW(TbTradesExodus[[#This Row],[Par]]),MATCH(CONCATENATE("Estoque ",MID(TbTradesExodus[[#This Row],[Par]],1,FIND(MID(Z$1,9,5),TbTradesExodus[[#This Row],[Par]])-1)),$1:$1,0)))/ INDEX($1:$1048576,ROW(TbTradesExodus[[#This Row],[Par]])-1,MATCH(CONCATENATE("Estoque ",MID(TbTradesExodus[[#This Row],[Par]],1,FIND(MID(Z$1,9,5),TbTradesExodus[[#This Row],[Par]])-1)),$1:$1,0))*INDEX($1:$1048576,ROW(TbTradesExodus[[#This Row],[Par]])-1,MATCH(CONCATENATE("Custo de ",MID(TbTradesExodus[[#This Row],[Par]],1,FIND(MID(Z$1,9,5),TbTradesExodus[[#This Row],[Par]])-1)),$1:$1,0))),0),0)+IF(TbTradesExodus[[#This Row],[Tipo]]="RECEIVE",IF(ISNUMBER(FIND(MID(AA$1,10,5),TbTradesExodus[[#This Row],[Par]])), TbTradesExodus[[#This Row],[Qtt]]*TbTradesExodus[[#This Row],[Cotação BRL]],0),0)+IF(TbTradesExodus[[#This Row],[Tipo]]="SEND",IF(ISNUMBER(FIND(MID(AA$1,10,5),TbTradesExodus[[#This Row],[Par]])),(-(Z2-Z3)/Z2*AA2)+IF(TbTradesExodus[[#This Row],[Resultado]]&gt;0,0,TbTradesExodus[[#This Row],[Taxa]]),0),0))</f>
        <v>88.261649999999989</v>
      </c>
      <c r="AB3" s="41">
        <f t="shared" si="4"/>
        <v>6.3111655345012512</v>
      </c>
      <c r="AC3" s="43">
        <f>IF(AND(IF(TbTradesExodus[[#This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Row],[Tipo]]="DROP"),AC2+TbTradesExodus[[#This Row],[Qtt]],AC2-TbTradesExodus[[#This Row],[Qtt]]),IF(TbTradesExodus[[#This Row],[Tipo]]="BUY",AC2-TbTradesExodus[[#This Row],[Qtt]]*TbTradesExodus[[#This Row],[Preço]],AC2+TbTradesExodus[[#This Row],[Qtt]]*TbTradesExodus[[#This Row],[Preço]])),AC2)-IF(TbTradesExodus[[#This Row],[Moeda da Taxa]]=MID(AC$1,9,5),TbTradesExodus[[#This Row],[Taxa]],0),8))&lt;0.0000001,IF(TbTradesExodus[[#This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Row],[Tipo]]="DROP"),AC2+TbTradesExodus[[#This Row],[Qtt]],AC2-TbTradesExodus[[#This Row],[Qtt]]),IF(TbTradesExodus[[#This Row],[Tipo]]="BUY",AC2-TbTradesExodus[[#This Row],[Qtt]]*TbTradesExodus[[#This Row],[Preço]],AC2+TbTradesExodus[[#This Row],[Qtt]]*TbTradesExodus[[#This Row],[Preço]])),AC2)-IF(TbTradesExodus[[#This Row],[Moeda da Taxa]]=MID(AC$1,9,5),TbTradesExodus[[#This Row],[Taxa]],0),8))&gt;-0.0000001),0,IF(TbTradesExodus[[#This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Row],[Tipo]]="DROP"),AC2+TbTradesExodus[[#This Row],[Qtt]],AC2-TbTradesExodus[[#This Row],[Qtt]]),IF(TbTradesExodus[[#This Row],[Tipo]]="BUY",AC2-TbTradesExodus[[#This Row],[Qtt]]*TbTradesExodus[[#This Row],[Preço]],AC2+TbTradesExodus[[#This Row],[Qtt]]*TbTradesExodus[[#This Row],[Preço]])),AC2)-IF(TbTradesExodus[[#This Row],[Moeda da Taxa]]=MID(AC$1,9,5),TbTradesExodus[[#This Row],[Taxa]],0),8)))</f>
        <v>0</v>
      </c>
      <c r="AD3" s="50" cm="1">
        <f t="array" ref="AD3">IF(TbTradesExodus[[#This Row],[Tipo]]="EMPTY",0,AD2+IF(TbTradesExodus[[#This Row],[Tipo]]="DROP",0,0)+IF(TbTradesExodus[[#This Row],[Tipo]]="BURN",0,0)+IF(TbTradesExodus[[#This Row],[Tipo]]="BUY",IF(ISNUMBER(FIND(MID(AD$1,10,5),TbTradesExodus[[#This Row],[Par]])),IF(FIND(MID(AD$1,10,5),TbTradesExodus[[#This Row],[Par]])=1, (INDEX($1:$1048576,ROW(TbTradesExodus[[#This Row],[Par]])-1,MATCH(CONCATENATE("Estoque ",MID(TbTradesExodus[[#This Row],[Par]],LEN(MID(AC$1,9,5))+1,LEN(TbTradesExodus[[#This Row],[Par]]))),$1:$1,0))-INDEX($1:$1048576,ROW(TbTradesExodus[[#This Row],[Par]]),MATCH(CONCATENATE("Estoque ",MID(TbTradesExodus[[#This Row],[Par]],LEN(MID(AC$1,9,5))+1,LEN(TbTradesExodus[[#This Row],[Par]]))),$1:$1,0)))/ INDEX($1:$1048576,ROW(TbTradesExodus[[#This Row],[Par]])-1,MATCH(CONCATENATE("Estoque ",MID(TbTradesExodus[[#This Row],[Par]],LEN(MID(AC$1,9,5))+1,LEN(TbTradesExodus[[#This Row],[Par]]))),$1:$1,0))*INDEX($1:$1048576,ROW(TbTradesExodus[[#This Row],[Par]])-1,MATCH(CONCATENATE("Custo de ",MID(TbTradesExodus[[#This Row],[Par]],LEN(MID(AC$1,9,5))+1,LEN(TbTradesExodus[[#This Row],[Par]]))),$1:$1,0)),-(AC2-AC3)/AC2*AD2),0),0)+IF(TbTradesExodus[[#This Row],[Tipo]]="SELL",IF(ISNUMBER(FIND(MID(AD$1,10,5),TbTradesExodus[[#This Row],[Par]])),IF(FIND(MID(AD$1,10,5),TbTradesExodus[[#This Row],[Par]])=1, -(AC2-AC3)/AC2*AD2, (INDEX($1:$1048576,ROW(TbTradesExodus[[#This Row],[Par]])-1,MATCH(CONCATENATE("Estoque ",MID(TbTradesExodus[[#This Row],[Par]],1,FIND(MID(AC$1,9,5),TbTradesExodus[[#This Row],[Par]])-1)),$1:$1,0))-INDEX($1:$1048576,ROW(TbTradesExodus[[#This Row],[Par]]),MATCH(CONCATENATE("Estoque ",MID(TbTradesExodus[[#This Row],[Par]],1,FIND(MID(AC$1,9,5),TbTradesExodus[[#This Row],[Par]])-1)),$1:$1,0)))/ INDEX($1:$1048576,ROW(TbTradesExodus[[#This Row],[Par]])-1,MATCH(CONCATENATE("Estoque ",MID(TbTradesExodus[[#This Row],[Par]],1,FIND(MID(AC$1,9,5),TbTradesExodus[[#This Row],[Par]])-1)),$1:$1,0))*INDEX($1:$1048576,ROW(TbTradesExodus[[#This Row],[Par]])-1,MATCH(CONCATENATE("Custo de ",MID(TbTradesExodus[[#This Row],[Par]],1,FIND(MID(AC$1,9,5),TbTradesExodus[[#This Row],[Par]])-1)),$1:$1,0))),0),0)+IF(TbTradesExodus[[#This Row],[Tipo]]="RECEIVE",IF(ISNUMBER(FIND(MID(AD$1,10,5),TbTradesExodus[[#This Row],[Par]])), TbTradesExodus[[#This Row],[Qtt]]*TbTradesExodus[[#This Row],[Cotação BRL]],0),0)+IF(TbTradesExodus[[#This Row],[Tipo]]="SEND",IF(ISNUMBER(FIND(MID(AD$1,10,5),TbTradesExodus[[#This Row],[Par]])),(-(AC2-AC3)/AC2*AD2)+IF(TbTradesExodus[[#This Row],[Resultado]]&gt;0,0,TbTradesExodus[[#This Row],[Taxa]]),0),0))</f>
        <v>0</v>
      </c>
      <c r="AE3" s="41">
        <f t="shared" si="5"/>
        <v>0</v>
      </c>
    </row>
    <row r="4" spans="1:31" x14ac:dyDescent="0.3">
      <c r="B4" s="121" t="s">
        <v>162</v>
      </c>
      <c r="C4" s="67">
        <f>TRUNC(IF(AND(TbTradesExodus[[#This Row],[Tipo]]="SEND",TbTradesExodus[[#This Row],[Par]]="BRL"),TbTradesExodus[[#This Row],[Qtt]]*(1-P3)-IF(TbTradesExodus[[#This Row],[Moeda da Taxa]]="BRL",TbTradesExodus[[#This Row],[Taxa]],0),0)+IF(AND(TbTradesExodus[[#This Row],[Tipo]]="BURN",TbTradesExodus[[#This Row],[Par]]="BRL"),-TbTradesExodus[[#This Row],[Qtt]]*P3,0),2)</f>
        <v>0</v>
      </c>
      <c r="D4" s="65">
        <v>44263.765277777777</v>
      </c>
      <c r="E4" s="77" t="s">
        <v>44</v>
      </c>
      <c r="F4" s="77" t="s">
        <v>137</v>
      </c>
      <c r="G4" s="78">
        <v>99.343447927054513</v>
      </c>
      <c r="H4" s="78">
        <v>0.3</v>
      </c>
      <c r="I4" s="78">
        <v>5.0000000000000001E-3</v>
      </c>
      <c r="J4" s="77" t="s">
        <v>44</v>
      </c>
      <c r="K4" s="75">
        <v>1</v>
      </c>
      <c r="L4" s="67">
        <f>TRUNC(K4*G4,2)</f>
        <v>99.34</v>
      </c>
      <c r="M4" s="67">
        <f>IF(OR(TbTradesExodus[[#This Row],[Tipo]]="BUY",TbTradesExodus[[#This Row],[Tipo]]="RECEIVE",TbTradesExodus[[#This Row],[Tipo]]="DROP"),L4*H4,-L4*H4)</f>
        <v>29.802</v>
      </c>
      <c r="N4" s="41">
        <f>IF(AND(IF(TbTradesExodus[[#This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Row],[Tipo]]="DROP"),N3+TbTradesExodus[[#This Row],[Qtt]],N3-TbTradesExodus[[#This Row],[Qtt]]),IF(TbTradesExodus[[#This Row],[Tipo]]="BUY",N3-TbTradesExodus[[#This Row],[Qtt]]*TbTradesExodus[[#This Row],[Preço]],N3+TbTradesExodus[[#This Row],[Qtt]]*TbTradesExodus[[#This Row],[Preço]])),N3)-IF(TbTradesExodus[[#This Row],[Moeda da Taxa]]=MID(N$1,9,5),TbTradesExodus[[#This Row],[Taxa]],0),8))&lt;0.0000001,IF(TbTradesExodus[[#This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Row],[Tipo]]="DROP"),N3+TbTradesExodus[[#This Row],[Qtt]],N3-TbTradesExodus[[#This Row],[Qtt]]),IF(TbTradesExodus[[#This Row],[Tipo]]="BUY",N3-TbTradesExodus[[#This Row],[Qtt]]*TbTradesExodus[[#This Row],[Preço]],N3+TbTradesExodus[[#This Row],[Qtt]]*TbTradesExodus[[#This Row],[Preço]])),N3)-IF(TbTradesExodus[[#This Row],[Moeda da Taxa]]=MID(N$1,9,5),TbTradesExodus[[#This Row],[Taxa]],0),8))&gt;-0.0000001),0,IF(TbTradesExodus[[#This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Row],[Tipo]]="DROP"),N3+TbTradesExodus[[#This Row],[Qtt]],N3-TbTradesExodus[[#This Row],[Qtt]]),IF(TbTradesExodus[[#This Row],[Tipo]]="BUY",N3-TbTradesExodus[[#This Row],[Qtt]]*TbTradesExodus[[#This Row],[Preço]],N3+TbTradesExodus[[#This Row],[Qtt]]*TbTradesExodus[[#This Row],[Preço]])),N3)-IF(TbTradesExodus[[#This Row],[Moeda da Taxa]]=MID(N$1,9,5),TbTradesExodus[[#This Row],[Taxa]],0),8)))</f>
        <v>0</v>
      </c>
      <c r="O4" s="50" cm="1">
        <f t="array" ref="O4">IF(TbTradesExodus[[#This Row],[Tipo]]="EMPTY",0,O3+IF(TbTradesExodus[[#This Row],[Tipo]]="DROP",0,0)+IF(TbTradesExodus[[#This Row],[Tipo]]="BURN",0,0)+IF(TbTradesExodus[[#This Row],[Tipo]]="BUY",IF(ISNUMBER(FIND(MID(O$1,10,5),TbTradesExodus[[#This Row],[Par]])),IF(FIND(MID(O$1,10,5),TbTradesExodus[[#This Row],[Par]])=1, (INDEX($1:$1048576,ROW(TbTradesExodus[[#This Row],[Par]])-1,MATCH(CONCATENATE("Estoque ",MID(TbTradesExodus[[#This Row],[Par]],LEN(MID(N$1,9,5))+1,LEN(TbTradesExodus[[#This Row],[Par]]))),$1:$1,0))-INDEX($1:$1048576,ROW(TbTradesExodus[[#This Row],[Par]]),MATCH(CONCATENATE("Estoque ",MID(TbTradesExodus[[#This Row],[Par]],LEN(MID(N$1,9,5))+1,LEN(TbTradesExodus[[#This Row],[Par]]))),$1:$1,0)))/ INDEX($1:$1048576,ROW(TbTradesExodus[[#This Row],[Par]])-1,MATCH(CONCATENATE("Estoque ",MID(TbTradesExodus[[#This Row],[Par]],LEN(MID(N$1,9,5))+1,LEN(TbTradesExodus[[#This Row],[Par]]))),$1:$1,0))*INDEX($1:$1048576,ROW(TbTradesExodus[[#This Row],[Par]])-1,MATCH(CONCATENATE("Custo de ",MID(TbTradesExodus[[#This Row],[Par]],LEN(MID(N$1,9,5))+1,LEN(TbTradesExodus[[#This Row],[Par]]))),$1:$1,0)),-(N3-N4)/N3*O3),0),0)+IF(TbTradesExodus[[#This Row],[Tipo]]="SELL",IF(ISNUMBER(FIND(MID(O$1,10,5),TbTradesExodus[[#This Row],[Par]])),IF(FIND(MID(O$1,10,5),TbTradesExodus[[#This Row],[Par]])=1, -(N3-N4)/N3*O3, (INDEX($1:$1048576,ROW(TbTradesExodus[[#This Row],[Par]])-1,MATCH(CONCATENATE("Estoque ",MID(TbTradesExodus[[#This Row],[Par]],1,FIND(MID(N$1,9,5),TbTradesExodus[[#This Row],[Par]])-1)),$1:$1,0))-INDEX($1:$1048576,ROW(TbTradesExodus[[#This Row],[Par]]),MATCH(CONCATENATE("Estoque ",MID(TbTradesExodus[[#This Row],[Par]],1,FIND(MID(N$1,9,5),TbTradesExodus[[#This Row],[Par]])-1)),$1:$1,0)))/ INDEX($1:$1048576,ROW(TbTradesExodus[[#This Row],[Par]])-1,MATCH(CONCATENATE("Estoque ",MID(TbTradesExodus[[#This Row],[Par]],1,FIND(MID(N$1,9,5),TbTradesExodus[[#This Row],[Par]])-1)),$1:$1,0))*INDEX($1:$1048576,ROW(TbTradesExodus[[#This Row],[Par]])-1,MATCH(CONCATENATE("Custo de ",MID(TbTradesExodus[[#This Row],[Par]],1,FIND(MID(N$1,9,5),TbTradesExodus[[#This Row],[Par]])-1)),$1:$1,0))),0),0)+IF(TbTradesExodus[[#This Row],[Tipo]]="RECEIVE",IF(ISNUMBER(FIND(MID(O$1,10,5),TbTradesExodus[[#This Row],[Par]])), TbTradesExodus[[#This Row],[Qtt]]*TbTradesExodus[[#This Row],[Cotação BRL]],0),0)+IF(TbTradesExodus[[#This Row],[Tipo]]="SEND",IF(ISNUMBER(FIND(MID(O$1,10,5),TbTradesExodus[[#This Row],[Par]])),(-(N3-N4)/N3*O3)+IF(TbTradesExodus[[#This Row],[Resultado]]&gt;0,0,TbTradesExodus[[#This Row],[Taxa]]),0),0))</f>
        <v>0</v>
      </c>
      <c r="P4" s="41">
        <f t="shared" si="0"/>
        <v>0</v>
      </c>
      <c r="Q4" s="42">
        <f>IF(AND(IF(TbTradesExodus[[#This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Row],[Tipo]]="DROP"),Q3+TbTradesExodus[[#This Row],[Qtt]],Q3-TbTradesExodus[[#This Row],[Qtt]]),IF(TbTradesExodus[[#This Row],[Tipo]]="BUY",Q3-TbTradesExodus[[#This Row],[Qtt]]*TbTradesExodus[[#This Row],[Preço]],Q3+TbTradesExodus[[#This Row],[Qtt]]*TbTradesExodus[[#This Row],[Preço]])),Q3)-IF(TbTradesExodus[[#This Row],[Moeda da Taxa]]=MID(Q$1,9,5),TbTradesExodus[[#This Row],[Taxa]],0),8))&lt;0.0000001,IF(TbTradesExodus[[#This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Row],[Tipo]]="DROP"),Q3+TbTradesExodus[[#This Row],[Qtt]],Q3-TbTradesExodus[[#This Row],[Qtt]]),IF(TbTradesExodus[[#This Row],[Tipo]]="BUY",Q3-TbTradesExodus[[#This Row],[Qtt]]*TbTradesExodus[[#This Row],[Preço]],Q3+TbTradesExodus[[#This Row],[Qtt]]*TbTradesExodus[[#This Row],[Preço]])),Q3)-IF(TbTradesExodus[[#This Row],[Moeda da Taxa]]=MID(Q$1,9,5),TbTradesExodus[[#This Row],[Taxa]],0),8))&gt;-0.0000001),0,IF(TbTradesExodus[[#This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Row],[Tipo]]="DROP"),Q3+TbTradesExodus[[#This Row],[Qtt]],Q3-TbTradesExodus[[#This Row],[Qtt]]),IF(TbTradesExodus[[#This Row],[Tipo]]="BUY",Q3-TbTradesExodus[[#This Row],[Qtt]]*TbTradesExodus[[#This Row],[Preço]],Q3+TbTradesExodus[[#This Row],[Qtt]]*TbTradesExodus[[#This Row],[Preço]])),Q3)-IF(TbTradesExodus[[#This Row],[Moeda da Taxa]]=MID(Q$1,9,5),TbTradesExodus[[#This Row],[Taxa]],0),8)))</f>
        <v>0</v>
      </c>
      <c r="R4" s="50" cm="1">
        <f t="array" ref="R4">IF(TbTradesExodus[[#This Row],[Tipo]]="EMPTY",0,R3+IF(TbTradesExodus[[#This Row],[Tipo]]="DROP",0,0)+IF(TbTradesExodus[[#This Row],[Tipo]]="BURN",0,0)+IF(TbTradesExodus[[#This Row],[Tipo]]="BUY",IF(ISNUMBER(FIND(MID(R$1,10,5),TbTradesExodus[[#This Row],[Par]])),IF(FIND(MID(R$1,10,5),TbTradesExodus[[#This Row],[Par]])=1, (INDEX($1:$1048576,ROW(TbTradesExodus[[#This Row],[Par]])-1,MATCH(CONCATENATE("Estoque ",MID(TbTradesExodus[[#This Row],[Par]],LEN(MID(Q$1,9,5))+1,LEN(TbTradesExodus[[#This Row],[Par]]))),$1:$1,0))-INDEX($1:$1048576,ROW(TbTradesExodus[[#This Row],[Par]]),MATCH(CONCATENATE("Estoque ",MID(TbTradesExodus[[#This Row],[Par]],LEN(MID(Q$1,9,5))+1,LEN(TbTradesExodus[[#This Row],[Par]]))),$1:$1,0)))/ INDEX($1:$1048576,ROW(TbTradesExodus[[#This Row],[Par]])-1,MATCH(CONCATENATE("Estoque ",MID(TbTradesExodus[[#This Row],[Par]],LEN(MID(Q$1,9,5))+1,LEN(TbTradesExodus[[#This Row],[Par]]))),$1:$1,0))*INDEX($1:$1048576,ROW(TbTradesExodus[[#This Row],[Par]])-1,MATCH(CONCATENATE("Custo de ",MID(TbTradesExodus[[#This Row],[Par]],LEN(MID(Q$1,9,5))+1,LEN(TbTradesExodus[[#This Row],[Par]]))),$1:$1,0)),-(Q3-Q4)/Q3*R3),0),0)+IF(TbTradesExodus[[#This Row],[Tipo]]="SELL",IF(ISNUMBER(FIND(MID(R$1,10,5),TbTradesExodus[[#This Row],[Par]])),IF(FIND(MID(R$1,10,5),TbTradesExodus[[#This Row],[Par]])=1, -(Q3-Q4)/Q3*R3, (INDEX($1:$1048576,ROW(TbTradesExodus[[#This Row],[Par]])-1,MATCH(CONCATENATE("Estoque ",MID(TbTradesExodus[[#This Row],[Par]],1,FIND(MID(Q$1,9,5),TbTradesExodus[[#This Row],[Par]])-1)),$1:$1,0))-INDEX($1:$1048576,ROW(TbTradesExodus[[#This Row],[Par]]),MATCH(CONCATENATE("Estoque ",MID(TbTradesExodus[[#This Row],[Par]],1,FIND(MID(Q$1,9,5),TbTradesExodus[[#This Row],[Par]])-1)),$1:$1,0)))/ INDEX($1:$1048576,ROW(TbTradesExodus[[#This Row],[Par]])-1,MATCH(CONCATENATE("Estoque ",MID(TbTradesExodus[[#This Row],[Par]],1,FIND(MID(Q$1,9,5),TbTradesExodus[[#This Row],[Par]])-1)),$1:$1,0))*INDEX($1:$1048576,ROW(TbTradesExodus[[#This Row],[Par]])-1,MATCH(CONCATENATE("Custo de ",MID(TbTradesExodus[[#This Row],[Par]],1,FIND(MID(Q$1,9,5),TbTradesExodus[[#This Row],[Par]])-1)),$1:$1,0))),0),0)+IF(TbTradesExodus[[#This Row],[Tipo]]="RECEIVE",IF(ISNUMBER(FIND(MID(R$1,10,5),TbTradesExodus[[#This Row],[Par]])), TbTradesExodus[[#This Row],[Qtt]]*TbTradesExodus[[#This Row],[Cotação BRL]],0),0)+IF(TbTradesExodus[[#This Row],[Tipo]]="SEND",IF(ISNUMBER(FIND(MID(R$1,10,5),TbTradesExodus[[#This Row],[Par]])),(-(Q3-Q4)/Q3*R3)+IF(TbTradesExodus[[#This Row],[Resultado]]&gt;0,0,TbTradesExodus[[#This Row],[Taxa]]),0),0))</f>
        <v>0</v>
      </c>
      <c r="S4" s="41">
        <f t="shared" si="1"/>
        <v>0</v>
      </c>
      <c r="T4" s="43">
        <f>IF(AND(IF(TbTradesExodus[[#This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Row],[Tipo]]="DROP"),T3+TbTradesExodus[[#This Row],[Qtt]],T3-TbTradesExodus[[#This Row],[Qtt]]),IF(TbTradesExodus[[#This Row],[Tipo]]="BUY",T3-TbTradesExodus[[#This Row],[Qtt]]*TbTradesExodus[[#This Row],[Preço]],T3+TbTradesExodus[[#This Row],[Qtt]]*TbTradesExodus[[#This Row],[Preço]])),T3)-IF(TbTradesExodus[[#This Row],[Moeda da Taxa]]=MID(T$1,9,5),TbTradesExodus[[#This Row],[Taxa]],0),8))&lt;0.0000001,IF(TbTradesExodus[[#This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Row],[Tipo]]="DROP"),T3+TbTradesExodus[[#This Row],[Qtt]],T3-TbTradesExodus[[#This Row],[Qtt]]),IF(TbTradesExodus[[#This Row],[Tipo]]="BUY",T3-TbTradesExodus[[#This Row],[Qtt]]*TbTradesExodus[[#This Row],[Preço]],T3+TbTradesExodus[[#This Row],[Qtt]]*TbTradesExodus[[#This Row],[Preço]])),T3)-IF(TbTradesExodus[[#This Row],[Moeda da Taxa]]=MID(T$1,9,5),TbTradesExodus[[#This Row],[Taxa]],0),8))&gt;-0.0000001),0,IF(TbTradesExodus[[#This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Row],[Tipo]]="DROP"),T3+TbTradesExodus[[#This Row],[Qtt]],T3-TbTradesExodus[[#This Row],[Qtt]]),IF(TbTradesExodus[[#This Row],[Tipo]]="BUY",T3-TbTradesExodus[[#This Row],[Qtt]]*TbTradesExodus[[#This Row],[Preço]],T3+TbTradesExodus[[#This Row],[Qtt]]*TbTradesExodus[[#This Row],[Preço]])),T3)-IF(TbTradesExodus[[#This Row],[Moeda da Taxa]]=MID(T$1,9,5),TbTradesExodus[[#This Row],[Taxa]],0),8)))</f>
        <v>0</v>
      </c>
      <c r="U4" s="50" cm="1">
        <f t="array" ref="U4">IF(TbTradesExodus[[#This Row],[Tipo]]="EMPTY",0,U3+IF(TbTradesExodus[[#This Row],[Tipo]]="DROP",0,0)+IF(TbTradesExodus[[#This Row],[Tipo]]="BURN",0,0)+IF(TbTradesExodus[[#This Row],[Tipo]]="BUY",IF(ISNUMBER(FIND(MID(U$1,10,5),TbTradesExodus[[#This Row],[Par]])),IF(FIND(MID(U$1,10,5),TbTradesExodus[[#This Row],[Par]])=1, (INDEX($1:$1048576,ROW(TbTradesExodus[[#This Row],[Par]])-1,MATCH(CONCATENATE("Estoque ",MID(TbTradesExodus[[#This Row],[Par]],LEN(MID(T$1,9,5))+1,LEN(TbTradesExodus[[#This Row],[Par]]))),$1:$1,0))-INDEX($1:$1048576,ROW(TbTradesExodus[[#This Row],[Par]]),MATCH(CONCATENATE("Estoque ",MID(TbTradesExodus[[#This Row],[Par]],LEN(MID(T$1,9,5))+1,LEN(TbTradesExodus[[#This Row],[Par]]))),$1:$1,0)))/ INDEX($1:$1048576,ROW(TbTradesExodus[[#This Row],[Par]])-1,MATCH(CONCATENATE("Estoque ",MID(TbTradesExodus[[#This Row],[Par]],LEN(MID(T$1,9,5))+1,LEN(TbTradesExodus[[#This Row],[Par]]))),$1:$1,0))*INDEX($1:$1048576,ROW(TbTradesExodus[[#This Row],[Par]])-1,MATCH(CONCATENATE("Custo de ",MID(TbTradesExodus[[#This Row],[Par]],LEN(MID(T$1,9,5))+1,LEN(TbTradesExodus[[#This Row],[Par]]))),$1:$1,0)),-(T3-T4)/T3*U3),0),0)+IF(TbTradesExodus[[#This Row],[Tipo]]="SELL",IF(ISNUMBER(FIND(MID(U$1,10,5),TbTradesExodus[[#This Row],[Par]])),IF(FIND(MID(U$1,10,5),TbTradesExodus[[#This Row],[Par]])=1, -(T3-T4)/T3*U3, (INDEX($1:$1048576,ROW(TbTradesExodus[[#This Row],[Par]])-1,MATCH(CONCATENATE("Estoque ",MID(TbTradesExodus[[#This Row],[Par]],1,FIND(MID(T$1,9,5),TbTradesExodus[[#This Row],[Par]])-1)),$1:$1,0))-INDEX($1:$1048576,ROW(TbTradesExodus[[#This Row],[Par]]),MATCH(CONCATENATE("Estoque ",MID(TbTradesExodus[[#This Row],[Par]],1,FIND(MID(T$1,9,5),TbTradesExodus[[#This Row],[Par]])-1)),$1:$1,0)))/ INDEX($1:$1048576,ROW(TbTradesExodus[[#This Row],[Par]])-1,MATCH(CONCATENATE("Estoque ",MID(TbTradesExodus[[#This Row],[Par]],1,FIND(MID(T$1,9,5),TbTradesExodus[[#This Row],[Par]])-1)),$1:$1,0))*INDEX($1:$1048576,ROW(TbTradesExodus[[#This Row],[Par]])-1,MATCH(CONCATENATE("Custo de ",MID(TbTradesExodus[[#This Row],[Par]],1,FIND(MID(T$1,9,5),TbTradesExodus[[#This Row],[Par]])-1)),$1:$1,0))),0),0)+IF(TbTradesExodus[[#This Row],[Tipo]]="RECEIVE",IF(ISNUMBER(FIND(MID(U$1,10,5),TbTradesExodus[[#This Row],[Par]])), TbTradesExodus[[#This Row],[Qtt]]*TbTradesExodus[[#This Row],[Cotação BRL]],0),0)+IF(TbTradesExodus[[#This Row],[Tipo]]="SEND",IF(ISNUMBER(FIND(MID(U$1,10,5),TbTradesExodus[[#This Row],[Par]])),(-(T3-T4)/T3*U3)+IF(TbTradesExodus[[#This Row],[Resultado]]&gt;0,0,TbTradesExodus[[#This Row],[Taxa]]),0),0))</f>
        <v>0</v>
      </c>
      <c r="V4" s="41">
        <f t="shared" si="2"/>
        <v>0</v>
      </c>
      <c r="W4" s="43">
        <f>IF(AND(IF(TbTradesExodus[[#This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Row],[Tipo]]="DROP"),W3+TbTradesExodus[[#This Row],[Qtt]],W3-TbTradesExodus[[#This Row],[Qtt]]),IF(TbTradesExodus[[#This Row],[Tipo]]="BUY",W3-TbTradesExodus[[#This Row],[Qtt]]*TbTradesExodus[[#This Row],[Preço]],W3+TbTradesExodus[[#This Row],[Qtt]]*TbTradesExodus[[#This Row],[Preço]])),W3)-IF(TbTradesExodus[[#This Row],[Moeda da Taxa]]=MID(W$1,9,5),TbTradesExodus[[#This Row],[Taxa]],0),8))&lt;0.0000001,IF(TbTradesExodus[[#This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Row],[Tipo]]="DROP"),W3+TbTradesExodus[[#This Row],[Qtt]],W3-TbTradesExodus[[#This Row],[Qtt]]),IF(TbTradesExodus[[#This Row],[Tipo]]="BUY",W3-TbTradesExodus[[#This Row],[Qtt]]*TbTradesExodus[[#This Row],[Preço]],W3+TbTradesExodus[[#This Row],[Qtt]]*TbTradesExodus[[#This Row],[Preço]])),W3)-IF(TbTradesExodus[[#This Row],[Moeda da Taxa]]=MID(W$1,9,5),TbTradesExodus[[#This Row],[Taxa]],0),8))&gt;-0.0000001),0,IF(TbTradesExodus[[#This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Row],[Tipo]]="DROP"),W3+TbTradesExodus[[#This Row],[Qtt]],W3-TbTradesExodus[[#This Row],[Qtt]]),IF(TbTradesExodus[[#This Row],[Tipo]]="BUY",W3-TbTradesExodus[[#This Row],[Qtt]]*TbTradesExodus[[#This Row],[Preço]],W3+TbTradesExodus[[#This Row],[Qtt]]*TbTradesExodus[[#This Row],[Preço]])),W3)-IF(TbTradesExodus[[#This Row],[Moeda da Taxa]]=MID(W$1,9,5),TbTradesExodus[[#This Row],[Taxa]],0),8)))</f>
        <v>0</v>
      </c>
      <c r="X4" s="50" cm="1">
        <f t="array" ref="X4">IF(TbTradesExodus[[#This Row],[Tipo]]="EMPTY",0,X3+IF(TbTradesExodus[[#This Row],[Tipo]]="DROP",0,0)+IF(TbTradesExodus[[#This Row],[Tipo]]="BURN",0,0)+IF(TbTradesExodus[[#This Row],[Tipo]]="BUY",IF(ISNUMBER(FIND(MID(X$1,10,5),TbTradesExodus[[#This Row],[Par]])),IF(FIND(MID(X$1,10,5),TbTradesExodus[[#This Row],[Par]])=1, (INDEX($1:$1048576,ROW(TbTradesExodus[[#This Row],[Par]])-1,MATCH(CONCATENATE("Estoque ",MID(TbTradesExodus[[#This Row],[Par]],LEN(MID(W$1,9,5))+1,LEN(TbTradesExodus[[#This Row],[Par]]))),$1:$1,0))-INDEX($1:$1048576,ROW(TbTradesExodus[[#This Row],[Par]]),MATCH(CONCATENATE("Estoque ",MID(TbTradesExodus[[#This Row],[Par]],LEN(MID(W$1,9,5))+1,LEN(TbTradesExodus[[#This Row],[Par]]))),$1:$1,0)))/ INDEX($1:$1048576,ROW(TbTradesExodus[[#This Row],[Par]])-1,MATCH(CONCATENATE("Estoque ",MID(TbTradesExodus[[#This Row],[Par]],LEN(MID(W$1,9,5))+1,LEN(TbTradesExodus[[#This Row],[Par]]))),$1:$1,0))*INDEX($1:$1048576,ROW(TbTradesExodus[[#This Row],[Par]])-1,MATCH(CONCATENATE("Custo de ",MID(TbTradesExodus[[#This Row],[Par]],LEN(MID(W$1,9,5))+1,LEN(TbTradesExodus[[#This Row],[Par]]))),$1:$1,0)),-(W3-W4)/W3*X3),0),0)+IF(TbTradesExodus[[#This Row],[Tipo]]="SELL",IF(ISNUMBER(FIND(MID(X$1,10,5),TbTradesExodus[[#This Row],[Par]])),IF(FIND(MID(X$1,10,5),TbTradesExodus[[#This Row],[Par]])=1, -(W3-W4)/W3*X3, (INDEX($1:$1048576,ROW(TbTradesExodus[[#This Row],[Par]])-1,MATCH(CONCATENATE("Estoque ",MID(TbTradesExodus[[#This Row],[Par]],1,FIND(MID(W$1,9,5),TbTradesExodus[[#This Row],[Par]])-1)),$1:$1,0))-INDEX($1:$1048576,ROW(TbTradesExodus[[#This Row],[Par]]),MATCH(CONCATENATE("Estoque ",MID(TbTradesExodus[[#This Row],[Par]],1,FIND(MID(W$1,9,5),TbTradesExodus[[#This Row],[Par]])-1)),$1:$1,0)))/ INDEX($1:$1048576,ROW(TbTradesExodus[[#This Row],[Par]])-1,MATCH(CONCATENATE("Estoque ",MID(TbTradesExodus[[#This Row],[Par]],1,FIND(MID(W$1,9,5),TbTradesExodus[[#This Row],[Par]])-1)),$1:$1,0))*INDEX($1:$1048576,ROW(TbTradesExodus[[#This Row],[Par]])-1,MATCH(CONCATENATE("Custo de ",MID(TbTradesExodus[[#This Row],[Par]],1,FIND(MID(W$1,9,5),TbTradesExodus[[#This Row],[Par]])-1)),$1:$1,0))),0),0)+IF(TbTradesExodus[[#This Row],[Tipo]]="RECEIVE",IF(ISNUMBER(FIND(MID(X$1,10,5),TbTradesExodus[[#This Row],[Par]])), TbTradesExodus[[#This Row],[Qtt]]*TbTradesExodus[[#This Row],[Cotação BRL]],0),0)+IF(TbTradesExodus[[#This Row],[Tipo]]="SEND",IF(ISNUMBER(FIND(MID(X$1,10,5),TbTradesExodus[[#This Row],[Par]])),(-(W3-W4)/W3*X3)+IF(TbTradesExodus[[#This Row],[Resultado]]&gt;0,0,TbTradesExodus[[#This Row],[Taxa]]),0),0))</f>
        <v>0</v>
      </c>
      <c r="Y4" s="41">
        <f t="shared" si="3"/>
        <v>0</v>
      </c>
      <c r="Z4" s="43">
        <f>IF(AND(IF(TbTradesExodus[[#This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Row],[Tipo]]="DROP"),Z3+TbTradesExodus[[#This Row],[Qtt]],Z3-TbTradesExodus[[#This Row],[Qtt]]),IF(TbTradesExodus[[#This Row],[Tipo]]="BUY",Z3-TbTradesExodus[[#This Row],[Qtt]]*TbTradesExodus[[#This Row],[Preço]],Z3+TbTradesExodus[[#This Row],[Qtt]]*TbTradesExodus[[#This Row],[Preço]])),Z3)-IF(TbTradesExodus[[#This Row],[Moeda da Taxa]]=MID(Z$1,9,5),TbTradesExodus[[#This Row],[Taxa]],0),8))&lt;0.0000001,IF(TbTradesExodus[[#This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Row],[Tipo]]="DROP"),Z3+TbTradesExodus[[#This Row],[Qtt]],Z3-TbTradesExodus[[#This Row],[Qtt]]),IF(TbTradesExodus[[#This Row],[Tipo]]="BUY",Z3-TbTradesExodus[[#This Row],[Qtt]]*TbTradesExodus[[#This Row],[Preço]],Z3+TbTradesExodus[[#This Row],[Qtt]]*TbTradesExodus[[#This Row],[Preço]])),Z3)-IF(TbTradesExodus[[#This Row],[Moeda da Taxa]]=MID(Z$1,9,5),TbTradesExodus[[#This Row],[Taxa]],0),8))&gt;-0.0000001),0,IF(TbTradesExodus[[#This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Row],[Tipo]]="DROP"),Z3+TbTradesExodus[[#This Row],[Qtt]],Z3-TbTradesExodus[[#This Row],[Qtt]]),IF(TbTradesExodus[[#This Row],[Tipo]]="BUY",Z3-TbTradesExodus[[#This Row],[Qtt]]*TbTradesExodus[[#This Row],[Preço]],Z3+TbTradesExodus[[#This Row],[Qtt]]*TbTradesExodus[[#This Row],[Preço]])),Z3)-IF(TbTradesExodus[[#This Row],[Moeda da Taxa]]=MID(Z$1,9,5),TbTradesExodus[[#This Row],[Taxa]],0),8)))</f>
        <v>13.984999999999999</v>
      </c>
      <c r="AA4" s="50" cm="1">
        <f t="array" ref="AA4">IF(TbTradesExodus[[#This Row],[Tipo]]="EMPTY",0,AA3+IF(TbTradesExodus[[#This Row],[Tipo]]="DROP",0,0)+IF(TbTradesExodus[[#This Row],[Tipo]]="BURN",0,0)+IF(TbTradesExodus[[#This Row],[Tipo]]="BUY",IF(ISNUMBER(FIND(MID(AA$1,10,5),TbTradesExodus[[#This Row],[Par]])),IF(FIND(MID(AA$1,10,5),TbTradesExodus[[#This Row],[Par]])=1, (INDEX($1:$1048576,ROW(TbTradesExodus[[#This Row],[Par]])-1,MATCH(CONCATENATE("Estoque ",MID(TbTradesExodus[[#This Row],[Par]],LEN(MID(Z$1,9,5))+1,LEN(TbTradesExodus[[#This Row],[Par]]))),$1:$1,0))-INDEX($1:$1048576,ROW(TbTradesExodus[[#This Row],[Par]]),MATCH(CONCATENATE("Estoque ",MID(TbTradesExodus[[#This Row],[Par]],LEN(MID(Z$1,9,5))+1,LEN(TbTradesExodus[[#This Row],[Par]]))),$1:$1,0)))/ INDEX($1:$1048576,ROW(TbTradesExodus[[#This Row],[Par]])-1,MATCH(CONCATENATE("Estoque ",MID(TbTradesExodus[[#This Row],[Par]],LEN(MID(Z$1,9,5))+1,LEN(TbTradesExodus[[#This Row],[Par]]))),$1:$1,0))*INDEX($1:$1048576,ROW(TbTradesExodus[[#This Row],[Par]])-1,MATCH(CONCATENATE("Custo de ",MID(TbTradesExodus[[#This Row],[Par]],LEN(MID(Z$1,9,5))+1,LEN(TbTradesExodus[[#This Row],[Par]]))),$1:$1,0)),-(Z3-Z4)/Z3*AA3),0),0)+IF(TbTradesExodus[[#This Row],[Tipo]]="SELL",IF(ISNUMBER(FIND(MID(AA$1,10,5),TbTradesExodus[[#This Row],[Par]])),IF(FIND(MID(AA$1,10,5),TbTradesExodus[[#This Row],[Par]])=1, -(Z3-Z4)/Z3*AA3, (INDEX($1:$1048576,ROW(TbTradesExodus[[#This Row],[Par]])-1,MATCH(CONCATENATE("Estoque ",MID(TbTradesExodus[[#This Row],[Par]],1,FIND(MID(Z$1,9,5),TbTradesExodus[[#This Row],[Par]])-1)),$1:$1,0))-INDEX($1:$1048576,ROW(TbTradesExodus[[#This Row],[Par]]),MATCH(CONCATENATE("Estoque ",MID(TbTradesExodus[[#This Row],[Par]],1,FIND(MID(Z$1,9,5),TbTradesExodus[[#This Row],[Par]])-1)),$1:$1,0)))/ INDEX($1:$1048576,ROW(TbTradesExodus[[#This Row],[Par]])-1,MATCH(CONCATENATE("Estoque ",MID(TbTradesExodus[[#This Row],[Par]],1,FIND(MID(Z$1,9,5),TbTradesExodus[[#This Row],[Par]])-1)),$1:$1,0))*INDEX($1:$1048576,ROW(TbTradesExodus[[#This Row],[Par]])-1,MATCH(CONCATENATE("Custo de ",MID(TbTradesExodus[[#This Row],[Par]],1,FIND(MID(Z$1,9,5),TbTradesExodus[[#This Row],[Par]])-1)),$1:$1,0))),0),0)+IF(TbTradesExodus[[#This Row],[Tipo]]="RECEIVE",IF(ISNUMBER(FIND(MID(AA$1,10,5),TbTradesExodus[[#This Row],[Par]])), TbTradesExodus[[#This Row],[Qtt]]*TbTradesExodus[[#This Row],[Cotação BRL]],0),0)+IF(TbTradesExodus[[#This Row],[Tipo]]="SEND",IF(ISNUMBER(FIND(MID(AA$1,10,5),TbTradesExodus[[#This Row],[Par]])),(-(Z3-Z4)/Z3*AA3)+IF(TbTradesExodus[[#This Row],[Resultado]]&gt;0,0,TbTradesExodus[[#This Row],[Taxa]]),0),0))</f>
        <v>88.261649999999989</v>
      </c>
      <c r="AB4" s="41">
        <f t="shared" si="4"/>
        <v>6.3111655345012512</v>
      </c>
      <c r="AC4" s="43">
        <f>IF(AND(IF(TbTradesExodus[[#This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Row],[Tipo]]="DROP"),AC3+TbTradesExodus[[#This Row],[Qtt]],AC3-TbTradesExodus[[#This Row],[Qtt]]),IF(TbTradesExodus[[#This Row],[Tipo]]="BUY",AC3-TbTradesExodus[[#This Row],[Qtt]]*TbTradesExodus[[#This Row],[Preço]],AC3+TbTradesExodus[[#This Row],[Qtt]]*TbTradesExodus[[#This Row],[Preço]])),AC3)-IF(TbTradesExodus[[#This Row],[Moeda da Taxa]]=MID(AC$1,9,5),TbTradesExodus[[#This Row],[Taxa]],0),8))&lt;0.0000001,IF(TbTradesExodus[[#This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Row],[Tipo]]="DROP"),AC3+TbTradesExodus[[#This Row],[Qtt]],AC3-TbTradesExodus[[#This Row],[Qtt]]),IF(TbTradesExodus[[#This Row],[Tipo]]="BUY",AC3-TbTradesExodus[[#This Row],[Qtt]]*TbTradesExodus[[#This Row],[Preço]],AC3+TbTradesExodus[[#This Row],[Qtt]]*TbTradesExodus[[#This Row],[Preço]])),AC3)-IF(TbTradesExodus[[#This Row],[Moeda da Taxa]]=MID(AC$1,9,5),TbTradesExodus[[#This Row],[Taxa]],0),8))&gt;-0.0000001),0,IF(TbTradesExodus[[#This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Row],[Tipo]]="DROP"),AC3+TbTradesExodus[[#This Row],[Qtt]],AC3-TbTradesExodus[[#This Row],[Qtt]]),IF(TbTradesExodus[[#This Row],[Tipo]]="BUY",AC3-TbTradesExodus[[#This Row],[Qtt]]*TbTradesExodus[[#This Row],[Preço]],AC3+TbTradesExodus[[#This Row],[Qtt]]*TbTradesExodus[[#This Row],[Preço]])),AC3)-IF(TbTradesExodus[[#This Row],[Moeda da Taxa]]=MID(AC$1,9,5),TbTradesExodus[[#This Row],[Taxa]],0),8)))</f>
        <v>0.29499999999999998</v>
      </c>
      <c r="AD4" s="50" cm="1">
        <f t="array" ref="AD4">IF(TbTradesExodus[[#This Row],[Tipo]]="EMPTY",0,AD3+IF(TbTradesExodus[[#This Row],[Tipo]]="DROP",0,0)+IF(TbTradesExodus[[#This Row],[Tipo]]="BURN",0,0)+IF(TbTradesExodus[[#This Row],[Tipo]]="BUY",IF(ISNUMBER(FIND(MID(AD$1,10,5),TbTradesExodus[[#This Row],[Par]])),IF(FIND(MID(AD$1,10,5),TbTradesExodus[[#This Row],[Par]])=1, (INDEX($1:$1048576,ROW(TbTradesExodus[[#This Row],[Par]])-1,MATCH(CONCATENATE("Estoque ",MID(TbTradesExodus[[#This Row],[Par]],LEN(MID(AC$1,9,5))+1,LEN(TbTradesExodus[[#This Row],[Par]]))),$1:$1,0))-INDEX($1:$1048576,ROW(TbTradesExodus[[#This Row],[Par]]),MATCH(CONCATENATE("Estoque ",MID(TbTradesExodus[[#This Row],[Par]],LEN(MID(AC$1,9,5))+1,LEN(TbTradesExodus[[#This Row],[Par]]))),$1:$1,0)))/ INDEX($1:$1048576,ROW(TbTradesExodus[[#This Row],[Par]])-1,MATCH(CONCATENATE("Estoque ",MID(TbTradesExodus[[#This Row],[Par]],LEN(MID(AC$1,9,5))+1,LEN(TbTradesExodus[[#This Row],[Par]]))),$1:$1,0))*INDEX($1:$1048576,ROW(TbTradesExodus[[#This Row],[Par]])-1,MATCH(CONCATENATE("Custo de ",MID(TbTradesExodus[[#This Row],[Par]],LEN(MID(AC$1,9,5))+1,LEN(TbTradesExodus[[#This Row],[Par]]))),$1:$1,0)),-(AC3-AC4)/AC3*AD3),0),0)+IF(TbTradesExodus[[#This Row],[Tipo]]="SELL",IF(ISNUMBER(FIND(MID(AD$1,10,5),TbTradesExodus[[#This Row],[Par]])),IF(FIND(MID(AD$1,10,5),TbTradesExodus[[#This Row],[Par]])=1, -(AC3-AC4)/AC3*AD3, (INDEX($1:$1048576,ROW(TbTradesExodus[[#This Row],[Par]])-1,MATCH(CONCATENATE("Estoque ",MID(TbTradesExodus[[#This Row],[Par]],1,FIND(MID(AC$1,9,5),TbTradesExodus[[#This Row],[Par]])-1)),$1:$1,0))-INDEX($1:$1048576,ROW(TbTradesExodus[[#This Row],[Par]]),MATCH(CONCATENATE("Estoque ",MID(TbTradesExodus[[#This Row],[Par]],1,FIND(MID(AC$1,9,5),TbTradesExodus[[#This Row],[Par]])-1)),$1:$1,0)))/ INDEX($1:$1048576,ROW(TbTradesExodus[[#This Row],[Par]])-1,MATCH(CONCATENATE("Estoque ",MID(TbTradesExodus[[#This Row],[Par]],1,FIND(MID(AC$1,9,5),TbTradesExodus[[#This Row],[Par]])-1)),$1:$1,0))*INDEX($1:$1048576,ROW(TbTradesExodus[[#This Row],[Par]])-1,MATCH(CONCATENATE("Custo de ",MID(TbTradesExodus[[#This Row],[Par]],1,FIND(MID(AC$1,9,5),TbTradesExodus[[#This Row],[Par]])-1)),$1:$1,0))),0),0)+IF(TbTradesExodus[[#This Row],[Tipo]]="RECEIVE",IF(ISNUMBER(FIND(MID(AD$1,10,5),TbTradesExodus[[#This Row],[Par]])), TbTradesExodus[[#This Row],[Qtt]]*TbTradesExodus[[#This Row],[Cotação BRL]],0),0)+IF(TbTradesExodus[[#This Row],[Tipo]]="SEND",IF(ISNUMBER(FIND(MID(AD$1,10,5),TbTradesExodus[[#This Row],[Par]])),(-(AC3-AC4)/AC3*AD3)+IF(TbTradesExodus[[#This Row],[Resultado]]&gt;0,0,TbTradesExodus[[#This Row],[Taxa]]),0),0))</f>
        <v>29.802</v>
      </c>
      <c r="AE4" s="41">
        <f t="shared" si="5"/>
        <v>101.02372881355933</v>
      </c>
    </row>
    <row r="5" spans="1:31" x14ac:dyDescent="0.3">
      <c r="B5" s="79" t="s">
        <v>149</v>
      </c>
      <c r="C5" s="58">
        <f>SUBTOTAL(109,TbTradesExodus[Resultado])</f>
        <v>0</v>
      </c>
      <c r="D5" s="80"/>
      <c r="E5" s="80"/>
      <c r="F5" s="80"/>
      <c r="G5" s="80"/>
      <c r="H5" s="80"/>
      <c r="I5" s="80"/>
      <c r="J5" s="80"/>
      <c r="K5" s="81"/>
      <c r="L5" s="82"/>
      <c r="M5" s="83">
        <f>SUBTOTAL(107,TbTradesExodus[Volume])</f>
        <v>44.899533670267651</v>
      </c>
      <c r="N5" s="54"/>
      <c r="O5" s="54"/>
      <c r="P5" s="54"/>
      <c r="Q5" s="84"/>
      <c r="R5" s="54"/>
      <c r="S5" s="54"/>
      <c r="T5" s="85"/>
      <c r="U5" s="86"/>
      <c r="V5" s="86"/>
      <c r="W5" s="87"/>
      <c r="X5" s="79"/>
      <c r="Y5" s="79"/>
      <c r="Z5" s="87"/>
      <c r="AA5" s="79"/>
      <c r="AB5" s="79"/>
      <c r="AC5" s="87"/>
      <c r="AD5" s="79"/>
      <c r="AE5" s="79"/>
    </row>
    <row r="6" spans="1:31" x14ac:dyDescent="0.3">
      <c r="B6" s="61" t="s">
        <v>74</v>
      </c>
    </row>
    <row r="7" spans="1:31" x14ac:dyDescent="0.3">
      <c r="B7" s="119" t="s">
        <v>90</v>
      </c>
    </row>
    <row r="37" ht="13.95" customHeight="1" x14ac:dyDescent="0.3"/>
  </sheetData>
  <conditionalFormatting sqref="C2:C5">
    <cfRule type="cellIs" dxfId="1744" priority="19" operator="greaterThan">
      <formula>0</formula>
    </cfRule>
    <cfRule type="cellIs" dxfId="1743" priority="20" operator="lessThan">
      <formula>0</formula>
    </cfRule>
  </conditionalFormatting>
  <conditionalFormatting sqref="D3:D4">
    <cfRule type="cellIs" dxfId="1742" priority="57" operator="lessThan">
      <formula>$D$2</formula>
    </cfRule>
  </conditionalFormatting>
  <conditionalFormatting sqref="F1:F4">
    <cfRule type="containsText" dxfId="1741" priority="51" operator="containsText" text="DROP">
      <formula>NOT(ISERROR(SEARCH("DROP",F1)))</formula>
    </cfRule>
    <cfRule type="containsText" dxfId="1740" priority="54" operator="containsText" text="SELL">
      <formula>NOT(ISERROR(SEARCH("SELL",F1)))</formula>
    </cfRule>
    <cfRule type="containsText" dxfId="1739" priority="55" operator="containsText" text="BUY">
      <formula>NOT(ISERROR(SEARCH("BUY",F1)))</formula>
    </cfRule>
  </conditionalFormatting>
  <conditionalFormatting sqref="F2:F4">
    <cfRule type="containsText" dxfId="1738" priority="52" operator="containsText" text="RECEIVE">
      <formula>NOT(ISERROR(SEARCH("RECEIVE",F2)))</formula>
    </cfRule>
    <cfRule type="containsText" dxfId="1737" priority="53" operator="containsText" text="SEND">
      <formula>NOT(ISERROR(SEARCH("SEND",F2)))</formula>
    </cfRule>
  </conditionalFormatting>
  <conditionalFormatting sqref="M2:M4">
    <cfRule type="cellIs" dxfId="1736" priority="63" operator="greaterThan">
      <formula>0</formula>
    </cfRule>
    <cfRule type="cellIs" dxfId="1735" priority="64" operator="lessThan">
      <formula>0</formula>
    </cfRule>
  </conditionalFormatting>
  <conditionalFormatting sqref="N2:N4">
    <cfRule type="cellIs" dxfId="1734" priority="13" operator="lessThan">
      <formula>0</formula>
    </cfRule>
  </conditionalFormatting>
  <conditionalFormatting sqref="P2:P4">
    <cfRule type="expression" dxfId="1733" priority="11">
      <formula>P2&gt;P1</formula>
    </cfRule>
    <cfRule type="expression" dxfId="1732" priority="12">
      <formula>P2&lt;P1</formula>
    </cfRule>
  </conditionalFormatting>
  <conditionalFormatting sqref="Q2:Q4">
    <cfRule type="cellIs" dxfId="1731" priority="14" operator="lessThan">
      <formula>0</formula>
    </cfRule>
  </conditionalFormatting>
  <conditionalFormatting sqref="S2:S4">
    <cfRule type="expression" dxfId="1730" priority="9">
      <formula>S2&gt;S1</formula>
    </cfRule>
    <cfRule type="expression" dxfId="1729" priority="10">
      <formula>S2&lt;S1</formula>
    </cfRule>
  </conditionalFormatting>
  <conditionalFormatting sqref="T2:T4">
    <cfRule type="cellIs" dxfId="1728" priority="15" operator="lessThan">
      <formula>0</formula>
    </cfRule>
  </conditionalFormatting>
  <conditionalFormatting sqref="V2:V4">
    <cfRule type="expression" dxfId="1727" priority="7">
      <formula>V2&gt;V1</formula>
    </cfRule>
    <cfRule type="expression" dxfId="1726" priority="8">
      <formula>V2&lt;V1</formula>
    </cfRule>
  </conditionalFormatting>
  <conditionalFormatting sqref="W2:W4">
    <cfRule type="cellIs" dxfId="1725" priority="16" operator="lessThan">
      <formula>0</formula>
    </cfRule>
  </conditionalFormatting>
  <conditionalFormatting sqref="Z2:Z4">
    <cfRule type="cellIs" dxfId="1724" priority="17" operator="lessThan">
      <formula>0</formula>
    </cfRule>
  </conditionalFormatting>
  <conditionalFormatting sqref="AC2:AC4">
    <cfRule type="cellIs" dxfId="1723" priority="18" operator="lessThan">
      <formula>0</formula>
    </cfRule>
  </conditionalFormatting>
  <hyperlinks>
    <hyperlink ref="A1" location="Sumário!A1" display="SUMÁRIO" xr:uid="{DE98EC3C-1572-452E-9FA1-60D5F6EBF2A0}"/>
    <hyperlink ref="B6" location="Sumário!A1" display="SUMÁRIO" xr:uid="{4493BCE4-18EE-412A-A6B1-C9F43281FC14}"/>
    <hyperlink ref="A2" location="'ARCA Exodus'!A1" display="ARCA" xr:uid="{61ADEA3E-B7F9-41D5-9965-B3449575A006}"/>
    <hyperlink ref="B7" location="'ARCA Exodus'!A1" display="ARCA" xr:uid="{08467C4A-902F-430B-B925-3110BDB7B16C}"/>
    <hyperlink ref="B3" location="'Trades Binance'!D50" display="Transf da Binance" xr:uid="{DF3DECEE-5337-45E0-9465-292EC2A1ECC3}"/>
    <hyperlink ref="B4" location="'Trades Binance'!D51" display="Transf da Binance" xr:uid="{79424D4E-3412-4B56-B070-EE96D3991A0D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F289-5613-48D0-AC2D-16AD9A8AAC2F}">
  <dimension ref="A1:AQ37"/>
  <sheetViews>
    <sheetView zoomScale="115" zoomScaleNormal="115" workbookViewId="0"/>
  </sheetViews>
  <sheetFormatPr defaultColWidth="11.109375" defaultRowHeight="15" x14ac:dyDescent="0.3"/>
  <cols>
    <col min="1" max="1" width="10.88671875" style="35" bestFit="1" customWidth="1"/>
    <col min="2" max="2" width="17.33203125" style="90" bestFit="1" customWidth="1"/>
    <col min="3" max="3" width="15.88671875" style="76" bestFit="1" customWidth="1"/>
    <col min="4" max="4" width="16.6640625" style="65" bestFit="1" customWidth="1"/>
    <col min="5" max="5" width="9.5546875" style="77" bestFit="1" customWidth="1"/>
    <col min="6" max="6" width="9.44140625" style="77" bestFit="1" customWidth="1"/>
    <col min="7" max="7" width="17.44140625" style="78" bestFit="1" customWidth="1"/>
    <col min="8" max="8" width="14" style="78" bestFit="1" customWidth="1"/>
    <col min="9" max="9" width="12.88671875" style="78" bestFit="1" customWidth="1"/>
    <col min="10" max="10" width="19" style="77" bestFit="1" customWidth="1"/>
    <col min="11" max="11" width="16.33203125" style="75" bestFit="1" customWidth="1"/>
    <col min="12" max="12" width="17.6640625" style="67" bestFit="1" customWidth="1"/>
    <col min="13" max="13" width="14" style="67" bestFit="1" customWidth="1"/>
    <col min="14" max="14" width="15.5546875" style="41" bestFit="1" customWidth="1"/>
    <col min="15" max="15" width="16.44140625" style="41" bestFit="1" customWidth="1"/>
    <col min="16" max="16" width="19.33203125" style="41" bestFit="1" customWidth="1"/>
    <col min="17" max="17" width="16.5546875" style="42" bestFit="1" customWidth="1"/>
    <col min="18" max="18" width="17.88671875" style="41" bestFit="1" customWidth="1"/>
    <col min="19" max="19" width="20.5546875" style="41" bestFit="1" customWidth="1"/>
    <col min="20" max="20" width="18" style="25" bestFit="1" customWidth="1"/>
    <col min="21" max="21" width="18.5546875" style="67" bestFit="1" customWidth="1"/>
    <col min="22" max="22" width="22.33203125" style="67" bestFit="1" customWidth="1"/>
    <col min="23" max="23" width="18" style="25" bestFit="1" customWidth="1"/>
    <col min="24" max="24" width="18.5546875" style="76" bestFit="1" customWidth="1"/>
    <col min="25" max="25" width="22.33203125" style="76" bestFit="1" customWidth="1"/>
    <col min="26" max="26" width="18.33203125" style="92" bestFit="1" customWidth="1"/>
    <col min="27" max="27" width="18.88671875" style="76" bestFit="1" customWidth="1"/>
    <col min="28" max="28" width="22.5546875" style="76" bestFit="1" customWidth="1"/>
    <col min="29" max="29" width="18.44140625" style="92" bestFit="1" customWidth="1"/>
    <col min="30" max="30" width="19" style="76" bestFit="1" customWidth="1"/>
    <col min="31" max="31" width="22.6640625" style="76" bestFit="1" customWidth="1"/>
    <col min="32" max="32" width="17.88671875" style="92" bestFit="1" customWidth="1"/>
    <col min="33" max="33" width="18.44140625" style="76" bestFit="1" customWidth="1"/>
    <col min="34" max="34" width="22.109375" style="76" bestFit="1" customWidth="1"/>
    <col min="35" max="35" width="19" style="92" bestFit="1" customWidth="1"/>
    <col min="36" max="36" width="19.5546875" style="76" bestFit="1" customWidth="1"/>
    <col min="37" max="37" width="23.33203125" style="76" bestFit="1" customWidth="1"/>
    <col min="38" max="38" width="18.33203125" style="92" bestFit="1" customWidth="1"/>
    <col min="39" max="39" width="18.88671875" style="76" bestFit="1" customWidth="1"/>
    <col min="40" max="40" width="22.5546875" style="76" bestFit="1" customWidth="1"/>
    <col min="41" max="41" width="18.6640625" style="92" bestFit="1" customWidth="1"/>
    <col min="42" max="42" width="19.33203125" style="76" bestFit="1" customWidth="1"/>
    <col min="43" max="43" width="23" style="76" bestFit="1" customWidth="1"/>
    <col min="44" max="16384" width="11.109375" style="35"/>
  </cols>
  <sheetData>
    <row r="1" spans="1:43" x14ac:dyDescent="0.3">
      <c r="A1" s="61" t="s">
        <v>74</v>
      </c>
      <c r="B1" s="64" t="s">
        <v>98</v>
      </c>
      <c r="C1" s="15" t="s">
        <v>99</v>
      </c>
      <c r="D1" s="65" t="s">
        <v>100</v>
      </c>
      <c r="E1" s="77" t="s">
        <v>101</v>
      </c>
      <c r="F1" s="77" t="s">
        <v>102</v>
      </c>
      <c r="G1" s="77" t="s">
        <v>103</v>
      </c>
      <c r="H1" s="78" t="s">
        <v>104</v>
      </c>
      <c r="I1" s="78" t="s">
        <v>105</v>
      </c>
      <c r="J1" s="77" t="s">
        <v>106</v>
      </c>
      <c r="K1" s="66" t="s">
        <v>107</v>
      </c>
      <c r="L1" s="67" t="s">
        <v>108</v>
      </c>
      <c r="M1" s="67" t="s">
        <v>109</v>
      </c>
      <c r="N1" s="41" t="s">
        <v>110</v>
      </c>
      <c r="O1" s="40" t="s">
        <v>111</v>
      </c>
      <c r="P1" s="40" t="s">
        <v>112</v>
      </c>
      <c r="Q1" s="42" t="s">
        <v>113</v>
      </c>
      <c r="R1" s="40" t="s">
        <v>114</v>
      </c>
      <c r="S1" s="40" t="s">
        <v>115</v>
      </c>
      <c r="T1" s="25" t="s">
        <v>116</v>
      </c>
      <c r="U1" s="67" t="s">
        <v>117</v>
      </c>
      <c r="V1" s="67" t="s">
        <v>118</v>
      </c>
      <c r="W1" s="25" t="s">
        <v>128</v>
      </c>
      <c r="X1" s="15" t="s">
        <v>129</v>
      </c>
      <c r="Y1" s="15" t="s">
        <v>130</v>
      </c>
      <c r="Z1" s="25" t="s">
        <v>153</v>
      </c>
      <c r="AA1" s="15" t="s">
        <v>154</v>
      </c>
      <c r="AB1" s="15" t="s">
        <v>155</v>
      </c>
      <c r="AC1" s="25" t="s">
        <v>125</v>
      </c>
      <c r="AD1" s="15" t="s">
        <v>126</v>
      </c>
      <c r="AE1" s="15" t="s">
        <v>127</v>
      </c>
      <c r="AF1" s="25" t="s">
        <v>163</v>
      </c>
      <c r="AG1" s="15" t="s">
        <v>164</v>
      </c>
      <c r="AH1" s="15" t="s">
        <v>165</v>
      </c>
      <c r="AI1" s="25" t="s">
        <v>166</v>
      </c>
      <c r="AJ1" s="15" t="s">
        <v>167</v>
      </c>
      <c r="AK1" s="15" t="s">
        <v>168</v>
      </c>
      <c r="AL1" s="25" t="s">
        <v>169</v>
      </c>
      <c r="AM1" s="15" t="s">
        <v>170</v>
      </c>
      <c r="AN1" s="15" t="s">
        <v>171</v>
      </c>
      <c r="AO1" s="25" t="s">
        <v>131</v>
      </c>
      <c r="AP1" s="15" t="s">
        <v>132</v>
      </c>
      <c r="AQ1" s="15" t="s">
        <v>133</v>
      </c>
    </row>
    <row r="2" spans="1:43" x14ac:dyDescent="0.3">
      <c r="A2" s="119" t="s">
        <v>90</v>
      </c>
      <c r="B2" s="69" t="s">
        <v>134</v>
      </c>
      <c r="C2" s="67">
        <f>TRUNC(IF(AND(TbTradesNovaDAX[[#This Row],[Tipo]]="SEND",TbTradesNovaDAX[[#This Row],[Par]]="BRL"),TbTradesNovaDAX[[#This Row],[Qtt]]*(1-P1)-IF(TbTradesNovaDAX[[#This Row],[Moeda da Taxa]]="BRL",TbTradesNovaDAX[[#This Row],[Taxa]],0),0)+IF(AND(TbTradesNovaDAX[[#This Row],[Tipo]]="BURN",TbTradesNovaDAX[[#This Row],[Par]]="BRL"),-TbTradesNovaDAX[[#This Row],[Qtt]]*P1,0),2)</f>
        <v>0</v>
      </c>
      <c r="D2" s="70"/>
      <c r="E2" s="71"/>
      <c r="F2" s="71" t="s">
        <v>135</v>
      </c>
      <c r="G2" s="72"/>
      <c r="H2" s="72"/>
      <c r="I2" s="72"/>
      <c r="J2" s="71"/>
      <c r="K2" s="73"/>
      <c r="L2" s="67">
        <f>TRUNC(K2*G2,2)</f>
        <v>0</v>
      </c>
      <c r="M2" s="67">
        <f>IF(OR(TbTradesNovaDAX[[#This Row],[Tipo]]="BUY",TbTradesNovaDAX[[#This Row],[Tipo]]="RECEIVE"),L2*H2,-L2*H2)</f>
        <v>0</v>
      </c>
      <c r="N2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Row],[Tipo]]="DROP"),N1+TbTradesNovaDAX[[#This Row],[Qtt]],N1-TbTradesNovaDAX[[#This Row],[Qtt]]),IF(TbTradesNovaDAX[[#This Row],[Tipo]]="BUY",N1-TbTradesNovaDAX[[#This Row],[Qtt]]*TbTradesNovaDAX[[#This Row],[Preço]],N1+TbTradesNovaDAX[[#This Row],[Qtt]]*TbTradesNovaDAX[[#This Row],[Preço]])),N1)-IF(TbTradesNovaDAX[[#This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Row],[Tipo]]="DROP"),N1+TbTradesNovaDAX[[#This Row],[Qtt]],N1-TbTradesNovaDAX[[#This Row],[Qtt]]),IF(TbTradesNovaDAX[[#This Row],[Tipo]]="BUY",N1-TbTradesNovaDAX[[#This Row],[Qtt]]*TbTradesNovaDAX[[#This Row],[Preço]],N1+TbTradesNovaDAX[[#This Row],[Qtt]]*TbTradesNovaDAX[[#This Row],[Preço]])),N1)-IF(TbTradesNovaDAX[[#This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Row],[Tipo]]="DROP"),N1+TbTradesNovaDAX[[#This Row],[Qtt]],N1-TbTradesNovaDAX[[#This Row],[Qtt]]),IF(TbTradesNovaDAX[[#This Row],[Tipo]]="BUY",N1-TbTradesNovaDAX[[#This Row],[Qtt]]*TbTradesNovaDAX[[#This Row],[Preço]],N1+TbTradesNovaDAX[[#This Row],[Qtt]]*TbTradesNovaDAX[[#This Row],[Preço]])),N1)-IF(TbTradesNovaDAX[[#This Row],[Moeda da Taxa]]=MID(N$1,9,5),TbTradesNovaDAX[[#This Row],[Taxa]],0),8)))</f>
        <v>0</v>
      </c>
      <c r="O2" s="50" cm="1">
        <f t="array" ref="O2">IF(TbTradesNovaDAX[[#This Row],[Tipo]]="EMPTY",0,O1+IF(TbTradesNovaDAX[[#This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Row],[Par]]))),$1:$1,0)),-(N1-N2)/N1*O1),0),0)+IF(TbTradesNovaDAX[[#This Row],[Tipo]]="SELL",IF(ISNUMBER(FIND(MID(O$1,10,5),TbTradesNovaDAX[[#This Row],[Par]])),IF(FIND(MID(O$1,10,5),TbTradesNovaDAX[[#This Row],[Par]])=1, -(N1-N2)/N1*O1,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Row],[Par]])),(-(N1-N2)/N1*O1)+IF(TbTradesNovaDAX[[#This Row],[Resultado]]&gt;0,0,TbTradesNovaDAX[[#This Row],[Taxa]]),0),0))</f>
        <v>0</v>
      </c>
      <c r="P2" s="41">
        <f t="shared" ref="P2:P27" si="0">IF(N2=0,0,O2/N2)</f>
        <v>0</v>
      </c>
      <c r="Q2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Row],[Tipo]]="DROP"),Q1+TbTradesNovaDAX[[#This Row],[Qtt]],Q1-TbTradesNovaDAX[[#This Row],[Qtt]]),IF(TbTradesNovaDAX[[#This Row],[Tipo]]="BUY",Q1-TbTradesNovaDAX[[#This Row],[Qtt]]*TbTradesNovaDAX[[#This Row],[Preço]],Q1+TbTradesNovaDAX[[#This Row],[Qtt]]*TbTradesNovaDAX[[#This Row],[Preço]])),Q1)-IF(TbTradesNovaDAX[[#This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Row],[Tipo]]="DROP"),Q1+TbTradesNovaDAX[[#This Row],[Qtt]],Q1-TbTradesNovaDAX[[#This Row],[Qtt]]),IF(TbTradesNovaDAX[[#This Row],[Tipo]]="BUY",Q1-TbTradesNovaDAX[[#This Row],[Qtt]]*TbTradesNovaDAX[[#This Row],[Preço]],Q1+TbTradesNovaDAX[[#This Row],[Qtt]]*TbTradesNovaDAX[[#This Row],[Preço]])),Q1)-IF(TbTradesNovaDAX[[#This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Row],[Tipo]]="DROP"),Q1+TbTradesNovaDAX[[#This Row],[Qtt]],Q1-TbTradesNovaDAX[[#This Row],[Qtt]]),IF(TbTradesNovaDAX[[#This Row],[Tipo]]="BUY",Q1-TbTradesNovaDAX[[#This Row],[Qtt]]*TbTradesNovaDAX[[#This Row],[Preço]],Q1+TbTradesNovaDAX[[#This Row],[Qtt]]*TbTradesNovaDAX[[#This Row],[Preço]])),Q1)-IF(TbTradesNovaDAX[[#This Row],[Moeda da Taxa]]=MID(Q$1,9,5),TbTradesNovaDAX[[#This Row],[Taxa]],0),8)))</f>
        <v>0</v>
      </c>
      <c r="R2" s="50" cm="1">
        <f t="array" ref="R2">IF(TbTradesNovaDAX[[#This Row],[Tipo]]="EMPTY",0,R1+IF(TbTradesNovaDAX[[#This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Row],[Par]]))),$1:$1,0)),-(Q1-Q2)/Q1*R1),0),0)+IF(TbTradesNovaDAX[[#This Row],[Tipo]]="SELL",IF(ISNUMBER(FIND(MID(R$1,10,5),TbTradesNovaDAX[[#This Row],[Par]])),IF(FIND(MID(R$1,10,5),TbTradesNovaDAX[[#This Row],[Par]])=1, -(Q1-Q2)/Q1*R1,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Row],[Par]])),(-(Q1-Q2)/Q1*R1)+IF(TbTradesNovaDAX[[#This Row],[Resultado]]&gt;0,0,TbTradesNovaDAX[[#This Row],[Taxa]]),0),0))</f>
        <v>0</v>
      </c>
      <c r="S2" s="41">
        <f t="shared" ref="S2:S27" si="1">IF(Q2=0,0,R2/Q2)</f>
        <v>0</v>
      </c>
      <c r="T2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Row],[Tipo]]="DROP"),T1+TbTradesNovaDAX[[#This Row],[Qtt]],T1-TbTradesNovaDAX[[#This Row],[Qtt]]),IF(TbTradesNovaDAX[[#This Row],[Tipo]]="BUY",T1-TbTradesNovaDAX[[#This Row],[Qtt]]*TbTradesNovaDAX[[#This Row],[Preço]],T1+TbTradesNovaDAX[[#This Row],[Qtt]]*TbTradesNovaDAX[[#This Row],[Preço]])),T1)-IF(TbTradesNovaDAX[[#This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Row],[Tipo]]="DROP"),T1+TbTradesNovaDAX[[#This Row],[Qtt]],T1-TbTradesNovaDAX[[#This Row],[Qtt]]),IF(TbTradesNovaDAX[[#This Row],[Tipo]]="BUY",T1-TbTradesNovaDAX[[#This Row],[Qtt]]*TbTradesNovaDAX[[#This Row],[Preço]],T1+TbTradesNovaDAX[[#This Row],[Qtt]]*TbTradesNovaDAX[[#This Row],[Preço]])),T1)-IF(TbTradesNovaDAX[[#This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Row],[Tipo]]="DROP"),T1+TbTradesNovaDAX[[#This Row],[Qtt]],T1-TbTradesNovaDAX[[#This Row],[Qtt]]),IF(TbTradesNovaDAX[[#This Row],[Tipo]]="BUY",T1-TbTradesNovaDAX[[#This Row],[Qtt]]*TbTradesNovaDAX[[#This Row],[Preço]],T1+TbTradesNovaDAX[[#This Row],[Qtt]]*TbTradesNovaDAX[[#This Row],[Preço]])),T1)-IF(TbTradesNovaDAX[[#This Row],[Moeda da Taxa]]=MID(T$1,9,5),TbTradesNovaDAX[[#This Row],[Taxa]],0),8)))</f>
        <v>0</v>
      </c>
      <c r="U2" s="50" cm="1">
        <f t="array" ref="U2">IF(TbTradesNovaDAX[[#This Row],[Tipo]]="EMPTY",0,U1+IF(TbTradesNovaDAX[[#This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Row],[Par]]))),$1:$1,0)),-(T1-T2)/T1*U1),0),0)+IF(TbTradesNovaDAX[[#This Row],[Tipo]]="SELL",IF(ISNUMBER(FIND(MID(U$1,10,5),TbTradesNovaDAX[[#This Row],[Par]])),IF(FIND(MID(U$1,10,5),TbTradesNovaDAX[[#This Row],[Par]])=1, -(T1-T2)/T1*U1,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Row],[Par]])),(-(T1-T2)/T1*U1)+IF(TbTradesNovaDAX[[#This Row],[Resultado]]&gt;0,0,TbTradesNovaDAX[[#This Row],[Taxa]]),0),0))</f>
        <v>0</v>
      </c>
      <c r="V2" s="41">
        <f t="shared" ref="V2:V27" si="2">IF(T2=0,0,U2/T2)</f>
        <v>0</v>
      </c>
      <c r="W2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Row],[Tipo]]="DROP"),W1+TbTradesNovaDAX[[#This Row],[Qtt]],W1-TbTradesNovaDAX[[#This Row],[Qtt]]),IF(TbTradesNovaDAX[[#This Row],[Tipo]]="BUY",W1-TbTradesNovaDAX[[#This Row],[Qtt]]*TbTradesNovaDAX[[#This Row],[Preço]],W1+TbTradesNovaDAX[[#This Row],[Qtt]]*TbTradesNovaDAX[[#This Row],[Preço]])),W1)-IF(TbTradesNovaDAX[[#This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Row],[Tipo]]="DROP"),W1+TbTradesNovaDAX[[#This Row],[Qtt]],W1-TbTradesNovaDAX[[#This Row],[Qtt]]),IF(TbTradesNovaDAX[[#This Row],[Tipo]]="BUY",W1-TbTradesNovaDAX[[#This Row],[Qtt]]*TbTradesNovaDAX[[#This Row],[Preço]],W1+TbTradesNovaDAX[[#This Row],[Qtt]]*TbTradesNovaDAX[[#This Row],[Preço]])),W1)-IF(TbTradesNovaDAX[[#This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Row],[Tipo]]="DROP"),W1+TbTradesNovaDAX[[#This Row],[Qtt]],W1-TbTradesNovaDAX[[#This Row],[Qtt]]),IF(TbTradesNovaDAX[[#This Row],[Tipo]]="BUY",W1-TbTradesNovaDAX[[#This Row],[Qtt]]*TbTradesNovaDAX[[#This Row],[Preço]],W1+TbTradesNovaDAX[[#This Row],[Qtt]]*TbTradesNovaDAX[[#This Row],[Preço]])),W1)-IF(TbTradesNovaDAX[[#This Row],[Moeda da Taxa]]=MID(W$1,9,5),TbTradesNovaDAX[[#This Row],[Taxa]],0),8)))</f>
        <v>0</v>
      </c>
      <c r="X2" s="50" cm="1">
        <f t="array" ref="X2">IF(TbTradesNovaDAX[[#This Row],[Tipo]]="EMPTY",0,X1+IF(TbTradesNovaDAX[[#This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Row],[Par]]))),$1:$1,0)),-(W1-W2)/W1*X1),0),0)+IF(TbTradesNovaDAX[[#This Row],[Tipo]]="SELL",IF(ISNUMBER(FIND(MID(X$1,10,5),TbTradesNovaDAX[[#This Row],[Par]])),IF(FIND(MID(X$1,10,5),TbTradesNovaDAX[[#This Row],[Par]])=1, -(W1-W2)/W1*X1,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Row],[Par]])),(-(W1-W2)/W1*X1)+IF(TbTradesNovaDAX[[#This Row],[Resultado]]&gt;0,0,TbTradesNovaDAX[[#This Row],[Taxa]]),0),0))</f>
        <v>0</v>
      </c>
      <c r="Y2" s="41">
        <f t="shared" ref="Y2:Y27" si="3">IF(W2=0,0,X2/W2)</f>
        <v>0</v>
      </c>
      <c r="Z2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Row],[Tipo]]="DROP"),Z1+TbTradesNovaDAX[[#This Row],[Qtt]],Z1-TbTradesNovaDAX[[#This Row],[Qtt]]),IF(TbTradesNovaDAX[[#This Row],[Tipo]]="BUY",Z1-TbTradesNovaDAX[[#This Row],[Qtt]]*TbTradesNovaDAX[[#This Row],[Preço]],Z1+TbTradesNovaDAX[[#This Row],[Qtt]]*TbTradesNovaDAX[[#This Row],[Preço]])),Z1)-IF(TbTradesNovaDAX[[#This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Row],[Tipo]]="DROP"),Z1+TbTradesNovaDAX[[#This Row],[Qtt]],Z1-TbTradesNovaDAX[[#This Row],[Qtt]]),IF(TbTradesNovaDAX[[#This Row],[Tipo]]="BUY",Z1-TbTradesNovaDAX[[#This Row],[Qtt]]*TbTradesNovaDAX[[#This Row],[Preço]],Z1+TbTradesNovaDAX[[#This Row],[Qtt]]*TbTradesNovaDAX[[#This Row],[Preço]])),Z1)-IF(TbTradesNovaDAX[[#This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Row],[Tipo]]="DROP"),Z1+TbTradesNovaDAX[[#This Row],[Qtt]],Z1-TbTradesNovaDAX[[#This Row],[Qtt]]),IF(TbTradesNovaDAX[[#This Row],[Tipo]]="BUY",Z1-TbTradesNovaDAX[[#This Row],[Qtt]]*TbTradesNovaDAX[[#This Row],[Preço]],Z1+TbTradesNovaDAX[[#This Row],[Qtt]]*TbTradesNovaDAX[[#This Row],[Preço]])),Z1)-IF(TbTradesNovaDAX[[#This Row],[Moeda da Taxa]]=MID(Z$1,9,5),TbTradesNovaDAX[[#This Row],[Taxa]],0),8)))</f>
        <v>0</v>
      </c>
      <c r="AA2" s="50" cm="1">
        <f t="array" ref="AA2">IF(TbTradesNovaDAX[[#This Row],[Tipo]]="EMPTY",0,AA1+IF(TbTradesNovaDAX[[#This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Row],[Par]]))),$1:$1,0)),-(Z1-Z2)/Z1*AA1),0),0)+IF(TbTradesNovaDAX[[#This Row],[Tipo]]="SELL",IF(ISNUMBER(FIND(MID(AA$1,10,5),TbTradesNovaDAX[[#This Row],[Par]])),IF(FIND(MID(AA$1,10,5),TbTradesNovaDAX[[#This Row],[Par]])=1, -(Z1-Z2)/Z1*AA1,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Row],[Par]])),(-(Z1-Z2)/Z1*AA1)+IF(TbTradesNovaDAX[[#This Row],[Resultado]]&gt;0,0,TbTradesNovaDAX[[#This Row],[Taxa]]),0),0))</f>
        <v>0</v>
      </c>
      <c r="AB2" s="41">
        <f t="shared" ref="AB2:AB27" si="4">IF(Z2=0,0,AA2/Z2)</f>
        <v>0</v>
      </c>
      <c r="AC2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Row],[Tipo]]="DROP"),AC1+TbTradesNovaDAX[[#This Row],[Qtt]],AC1-TbTradesNovaDAX[[#This Row],[Qtt]]),IF(TbTradesNovaDAX[[#This Row],[Tipo]]="BUY",AC1-TbTradesNovaDAX[[#This Row],[Qtt]]*TbTradesNovaDAX[[#This Row],[Preço]],AC1+TbTradesNovaDAX[[#This Row],[Qtt]]*TbTradesNovaDAX[[#This Row],[Preço]])),AC1)-IF(TbTradesNovaDAX[[#This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Row],[Tipo]]="DROP"),AC1+TbTradesNovaDAX[[#This Row],[Qtt]],AC1-TbTradesNovaDAX[[#This Row],[Qtt]]),IF(TbTradesNovaDAX[[#This Row],[Tipo]]="BUY",AC1-TbTradesNovaDAX[[#This Row],[Qtt]]*TbTradesNovaDAX[[#This Row],[Preço]],AC1+TbTradesNovaDAX[[#This Row],[Qtt]]*TbTradesNovaDAX[[#This Row],[Preço]])),AC1)-IF(TbTradesNovaDAX[[#This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Row],[Tipo]]="DROP"),AC1+TbTradesNovaDAX[[#This Row],[Qtt]],AC1-TbTradesNovaDAX[[#This Row],[Qtt]]),IF(TbTradesNovaDAX[[#This Row],[Tipo]]="BUY",AC1-TbTradesNovaDAX[[#This Row],[Qtt]]*TbTradesNovaDAX[[#This Row],[Preço]],AC1+TbTradesNovaDAX[[#This Row],[Qtt]]*TbTradesNovaDAX[[#This Row],[Preço]])),AC1)-IF(TbTradesNovaDAX[[#This Row],[Moeda da Taxa]]=MID(AC$1,9,5),TbTradesNovaDAX[[#This Row],[Taxa]],0),8)))</f>
        <v>0</v>
      </c>
      <c r="AD2" s="50" cm="1">
        <f t="array" ref="AD2">IF(TbTradesNovaDAX[[#This Row],[Tipo]]="EMPTY",0,AD1+IF(TbTradesNovaDAX[[#This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Row],[Par]]))),$1:$1,0)),-(AC1-AC2)/AC1*AD1),0),0)+IF(TbTradesNovaDAX[[#This Row],[Tipo]]="SELL",IF(ISNUMBER(FIND(MID(AD$1,10,5),TbTradesNovaDAX[[#This Row],[Par]])),IF(FIND(MID(AD$1,10,5),TbTradesNovaDAX[[#This Row],[Par]])=1, -(AC1-AC2)/AC1*AD1,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Row],[Par]])),(-(AC1-AC2)/AC1*AD1)+IF(TbTradesNovaDAX[[#This Row],[Resultado]]&gt;0,0,TbTradesNovaDAX[[#This Row],[Taxa]]),0),0))</f>
        <v>0</v>
      </c>
      <c r="AE2" s="41">
        <f t="shared" ref="AE2:AE27" si="5">IF(AC2=0,0,AD2/AC2)</f>
        <v>0</v>
      </c>
      <c r="AF2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Row],[Tipo]]="DROP"),AF1+TbTradesNovaDAX[[#This Row],[Qtt]],AF1-TbTradesNovaDAX[[#This Row],[Qtt]]),IF(TbTradesNovaDAX[[#This Row],[Tipo]]="BUY",AF1-TbTradesNovaDAX[[#This Row],[Qtt]]*TbTradesNovaDAX[[#This Row],[Preço]],AF1+TbTradesNovaDAX[[#This Row],[Qtt]]*TbTradesNovaDAX[[#This Row],[Preço]])),AF1)-IF(TbTradesNovaDAX[[#This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Row],[Tipo]]="DROP"),AF1+TbTradesNovaDAX[[#This Row],[Qtt]],AF1-TbTradesNovaDAX[[#This Row],[Qtt]]),IF(TbTradesNovaDAX[[#This Row],[Tipo]]="BUY",AF1-TbTradesNovaDAX[[#This Row],[Qtt]]*TbTradesNovaDAX[[#This Row],[Preço]],AF1+TbTradesNovaDAX[[#This Row],[Qtt]]*TbTradesNovaDAX[[#This Row],[Preço]])),AF1)-IF(TbTradesNovaDAX[[#This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Row],[Tipo]]="DROP"),AF1+TbTradesNovaDAX[[#This Row],[Qtt]],AF1-TbTradesNovaDAX[[#This Row],[Qtt]]),IF(TbTradesNovaDAX[[#This Row],[Tipo]]="BUY",AF1-TbTradesNovaDAX[[#This Row],[Qtt]]*TbTradesNovaDAX[[#This Row],[Preço]],AF1+TbTradesNovaDAX[[#This Row],[Qtt]]*TbTradesNovaDAX[[#This Row],[Preço]])),AF1)-IF(TbTradesNovaDAX[[#This Row],[Moeda da Taxa]]=MID(AF$1,9,5),TbTradesNovaDAX[[#This Row],[Taxa]],0),8)))</f>
        <v>0</v>
      </c>
      <c r="AG2" s="50" cm="1">
        <f t="array" ref="AG2">IF(TbTradesNovaDAX[[#This Row],[Tipo]]="EMPTY",0,AG1+IF(TbTradesNovaDAX[[#This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Row],[Par]]))),$1:$1,0)),-(AF1-AF2)/AF1*AG1),0),0)+IF(TbTradesNovaDAX[[#This Row],[Tipo]]="SELL",IF(ISNUMBER(FIND(MID(AG$1,10,5),TbTradesNovaDAX[[#This Row],[Par]])),IF(FIND(MID(AG$1,10,5),TbTradesNovaDAX[[#This Row],[Par]])=1, -(AF1-AF2)/AF1*AG1,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Row],[Par]])),(-(AF1-AF2)/AF1*AG1)+IF(TbTradesNovaDAX[[#This Row],[Resultado]]&gt;0,0,TbTradesNovaDAX[[#This Row],[Taxa]]),0),0))</f>
        <v>0</v>
      </c>
      <c r="AH2" s="41">
        <f t="shared" ref="AH2:AH27" si="6">IF(AF2=0,0,AG2/AF2)</f>
        <v>0</v>
      </c>
      <c r="AI2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Row],[Tipo]]="DROP"),AI1+TbTradesNovaDAX[[#This Row],[Qtt]],AI1-TbTradesNovaDAX[[#This Row],[Qtt]]),IF(TbTradesNovaDAX[[#This Row],[Tipo]]="BUY",AI1-TbTradesNovaDAX[[#This Row],[Qtt]]*TbTradesNovaDAX[[#This Row],[Preço]],AI1+TbTradesNovaDAX[[#This Row],[Qtt]]*TbTradesNovaDAX[[#This Row],[Preço]])),AI1)-IF(TbTradesNovaDAX[[#This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Row],[Tipo]]="DROP"),AI1+TbTradesNovaDAX[[#This Row],[Qtt]],AI1-TbTradesNovaDAX[[#This Row],[Qtt]]),IF(TbTradesNovaDAX[[#This Row],[Tipo]]="BUY",AI1-TbTradesNovaDAX[[#This Row],[Qtt]]*TbTradesNovaDAX[[#This Row],[Preço]],AI1+TbTradesNovaDAX[[#This Row],[Qtt]]*TbTradesNovaDAX[[#This Row],[Preço]])),AI1)-IF(TbTradesNovaDAX[[#This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Row],[Tipo]]="DROP"),AI1+TbTradesNovaDAX[[#This Row],[Qtt]],AI1-TbTradesNovaDAX[[#This Row],[Qtt]]),IF(TbTradesNovaDAX[[#This Row],[Tipo]]="BUY",AI1-TbTradesNovaDAX[[#This Row],[Qtt]]*TbTradesNovaDAX[[#This Row],[Preço]],AI1+TbTradesNovaDAX[[#This Row],[Qtt]]*TbTradesNovaDAX[[#This Row],[Preço]])),AI1)-IF(TbTradesNovaDAX[[#This Row],[Moeda da Taxa]]=MID(AI$1,9,5),TbTradesNovaDAX[[#This Row],[Taxa]],0),8)))</f>
        <v>0</v>
      </c>
      <c r="AJ2" s="50" cm="1">
        <f t="array" ref="AJ2">IF(TbTradesNovaDAX[[#This Row],[Tipo]]="EMPTY",0,AJ1+IF(TbTradesNovaDAX[[#This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Row],[Par]]))),$1:$1,0)),-(AI1-AI2)/AI1*AJ1),0),0)+IF(TbTradesNovaDAX[[#This Row],[Tipo]]="SELL",IF(ISNUMBER(FIND(MID(AJ$1,10,5),TbTradesNovaDAX[[#This Row],[Par]])),IF(FIND(MID(AJ$1,10,5),TbTradesNovaDAX[[#This Row],[Par]])=1, -(AI1-AI2)/AI1*AJ1,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Row],[Par]])),(-(AI1-AI2)/AI1*AJ1)+IF(TbTradesNovaDAX[[#This Row],[Resultado]]&gt;0,0,TbTradesNovaDAX[[#This Row],[Taxa]]),0),0))</f>
        <v>0</v>
      </c>
      <c r="AK2" s="41">
        <f t="shared" ref="AK2:AK27" si="7">IF(AI2=0,0,AJ2/AI2)</f>
        <v>0</v>
      </c>
      <c r="AL2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Row],[Tipo]]="DROP"),AL1+TbTradesNovaDAX[[#This Row],[Qtt]],AL1-TbTradesNovaDAX[[#This Row],[Qtt]]),IF(TbTradesNovaDAX[[#This Row],[Tipo]]="BUY",AL1-TbTradesNovaDAX[[#This Row],[Qtt]]*TbTradesNovaDAX[[#This Row],[Preço]],AL1+TbTradesNovaDAX[[#This Row],[Qtt]]*TbTradesNovaDAX[[#This Row],[Preço]])),AL1)-IF(TbTradesNovaDAX[[#This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Row],[Tipo]]="DROP"),AL1+TbTradesNovaDAX[[#This Row],[Qtt]],AL1-TbTradesNovaDAX[[#This Row],[Qtt]]),IF(TbTradesNovaDAX[[#This Row],[Tipo]]="BUY",AL1-TbTradesNovaDAX[[#This Row],[Qtt]]*TbTradesNovaDAX[[#This Row],[Preço]],AL1+TbTradesNovaDAX[[#This Row],[Qtt]]*TbTradesNovaDAX[[#This Row],[Preço]])),AL1)-IF(TbTradesNovaDAX[[#This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Row],[Tipo]]="DROP"),AL1+TbTradesNovaDAX[[#This Row],[Qtt]],AL1-TbTradesNovaDAX[[#This Row],[Qtt]]),IF(TbTradesNovaDAX[[#This Row],[Tipo]]="BUY",AL1-TbTradesNovaDAX[[#This Row],[Qtt]]*TbTradesNovaDAX[[#This Row],[Preço]],AL1+TbTradesNovaDAX[[#This Row],[Qtt]]*TbTradesNovaDAX[[#This Row],[Preço]])),AL1)-IF(TbTradesNovaDAX[[#This Row],[Moeda da Taxa]]=MID(AL$1,9,5),TbTradesNovaDAX[[#This Row],[Taxa]],0),8)))</f>
        <v>0</v>
      </c>
      <c r="AM2" s="50" cm="1">
        <f t="array" ref="AM2">IF(TbTradesNovaDAX[[#This Row],[Tipo]]="EMPTY",0,AM1+IF(TbTradesNovaDAX[[#This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Row],[Par]]))),$1:$1,0)),-(AL1-AL2)/AL1*AM1),0),0)+IF(TbTradesNovaDAX[[#This Row],[Tipo]]="SELL",IF(ISNUMBER(FIND(MID(AM$1,10,5),TbTradesNovaDAX[[#This Row],[Par]])),IF(FIND(MID(AM$1,10,5),TbTradesNovaDAX[[#This Row],[Par]])=1, -(AL1-AL2)/AL1*AM1,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Row],[Par]])),(-(AL1-AL2)/AL1*AM1)+IF(TbTradesNovaDAX[[#This Row],[Resultado]]&gt;0,0,TbTradesNovaDAX[[#This Row],[Taxa]]),0),0))</f>
        <v>0</v>
      </c>
      <c r="AN2" s="41">
        <f t="shared" ref="AN2:AN27" si="8">IF(AL2=0,0,AM2/AL2)</f>
        <v>0</v>
      </c>
      <c r="AO2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Row],[Tipo]]="DROP"),AO1+TbTradesNovaDAX[[#This Row],[Qtt]],AO1-TbTradesNovaDAX[[#This Row],[Qtt]]),IF(TbTradesNovaDAX[[#This Row],[Tipo]]="BUY",AO1-TbTradesNovaDAX[[#This Row],[Qtt]]*TbTradesNovaDAX[[#This Row],[Preço]],AO1+TbTradesNovaDAX[[#This Row],[Qtt]]*TbTradesNovaDAX[[#This Row],[Preço]])),AO1)-IF(TbTradesNovaDAX[[#This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Row],[Tipo]]="DROP"),AO1+TbTradesNovaDAX[[#This Row],[Qtt]],AO1-TbTradesNovaDAX[[#This Row],[Qtt]]),IF(TbTradesNovaDAX[[#This Row],[Tipo]]="BUY",AO1-TbTradesNovaDAX[[#This Row],[Qtt]]*TbTradesNovaDAX[[#This Row],[Preço]],AO1+TbTradesNovaDAX[[#This Row],[Qtt]]*TbTradesNovaDAX[[#This Row],[Preço]])),AO1)-IF(TbTradesNovaDAX[[#This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Row],[Tipo]]="DROP"),AO1+TbTradesNovaDAX[[#This Row],[Qtt]],AO1-TbTradesNovaDAX[[#This Row],[Qtt]]),IF(TbTradesNovaDAX[[#This Row],[Tipo]]="BUY",AO1-TbTradesNovaDAX[[#This Row],[Qtt]]*TbTradesNovaDAX[[#This Row],[Preço]],AO1+TbTradesNovaDAX[[#This Row],[Qtt]]*TbTradesNovaDAX[[#This Row],[Preço]])),AO1)-IF(TbTradesNovaDAX[[#This Row],[Moeda da Taxa]]=MID(AO$1,9,5),TbTradesNovaDAX[[#This Row],[Taxa]],0),8)))</f>
        <v>0</v>
      </c>
      <c r="AP2" s="50" cm="1">
        <f t="array" ref="AP2">IF(TbTradesNovaDAX[[#This Row],[Tipo]]="EMPTY",0,AP1+IF(TbTradesNovaDAX[[#This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Row],[Par]]))),$1:$1,0)),-(AO1-AO2)/AO1*AP1),0),0)+IF(TbTradesNovaDAX[[#This Row],[Tipo]]="SELL",IF(ISNUMBER(FIND(MID(AP$1,10,5),TbTradesNovaDAX[[#This Row],[Par]])),IF(FIND(MID(AP$1,10,5),TbTradesNovaDAX[[#This Row],[Par]])=1, -(AO1-AO2)/AO1*AP1,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Row],[Par]])),(-(AO1-AO2)/AO1*AP1)+IF(TbTradesNovaDAX[[#This Row],[Resultado]]&gt;0,0,TbTradesNovaDAX[[#This Row],[Taxa]]),0),0))</f>
        <v>0</v>
      </c>
      <c r="AQ2" s="41">
        <f t="shared" ref="AQ2:AQ27" si="9">IF(AO2=0,0,AP2/AO2)</f>
        <v>0</v>
      </c>
    </row>
    <row r="3" spans="1:43" x14ac:dyDescent="0.3">
      <c r="B3" s="65" t="s">
        <v>136</v>
      </c>
      <c r="C3" s="67">
        <f>TRUNC(IF(AND(TbTradesNovaDAX[[#This Row],[Tipo]]="SEND",TbTradesNovaDAX[[#This Row],[Par]]="BRL"),TbTradesNovaDAX[[#This Row],[Qtt]]*(1-P2)-IF(TbTradesNovaDAX[[#This Row],[Moeda da Taxa]]="BRL",TbTradesNovaDAX[[#This Row],[Taxa]],0),0)+IF(AND(TbTradesNovaDAX[[#This Row],[Tipo]]="BURN",TbTradesNovaDAX[[#This Row],[Par]]="BRL"),-TbTradesNovaDAX[[#This Row],[Qtt]]*P2,0),2)</f>
        <v>0</v>
      </c>
      <c r="D3" s="65">
        <v>44234.673807870371</v>
      </c>
      <c r="E3" s="77" t="s">
        <v>50</v>
      </c>
      <c r="F3" s="77" t="s">
        <v>137</v>
      </c>
      <c r="G3" s="78">
        <v>1</v>
      </c>
      <c r="H3" s="78">
        <v>66</v>
      </c>
      <c r="I3" s="78">
        <v>0</v>
      </c>
      <c r="J3" s="77" t="s">
        <v>50</v>
      </c>
      <c r="K3" s="75">
        <v>1</v>
      </c>
      <c r="L3" s="67">
        <f>TRUNC(K3*G3,2)</f>
        <v>1</v>
      </c>
      <c r="M3" s="67">
        <f>IF(OR(TbTradesNovaDAX[[#This Row],[Tipo]]="BUY",TbTradesNovaDAX[[#This Row],[Tipo]]="RECEIVE"),L3*H3,-L3*H3)</f>
        <v>66</v>
      </c>
      <c r="N3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Row],[Tipo]]="DROP"),N2+TbTradesNovaDAX[[#This Row],[Qtt]],N2-TbTradesNovaDAX[[#This Row],[Qtt]]),IF(TbTradesNovaDAX[[#This Row],[Tipo]]="BUY",N2-TbTradesNovaDAX[[#This Row],[Qtt]]*TbTradesNovaDAX[[#This Row],[Preço]],N2+TbTradesNovaDAX[[#This Row],[Qtt]]*TbTradesNovaDAX[[#This Row],[Preço]])),N2)-IF(TbTradesNovaDAX[[#This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Row],[Tipo]]="DROP"),N2+TbTradesNovaDAX[[#This Row],[Qtt]],N2-TbTradesNovaDAX[[#This Row],[Qtt]]),IF(TbTradesNovaDAX[[#This Row],[Tipo]]="BUY",N2-TbTradesNovaDAX[[#This Row],[Qtt]]*TbTradesNovaDAX[[#This Row],[Preço]],N2+TbTradesNovaDAX[[#This Row],[Qtt]]*TbTradesNovaDAX[[#This Row],[Preço]])),N2)-IF(TbTradesNovaDAX[[#This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Row],[Tipo]]="DROP"),N2+TbTradesNovaDAX[[#This Row],[Qtt]],N2-TbTradesNovaDAX[[#This Row],[Qtt]]),IF(TbTradesNovaDAX[[#This Row],[Tipo]]="BUY",N2-TbTradesNovaDAX[[#This Row],[Qtt]]*TbTradesNovaDAX[[#This Row],[Preço]],N2+TbTradesNovaDAX[[#This Row],[Qtt]]*TbTradesNovaDAX[[#This Row],[Preço]])),N2)-IF(TbTradesNovaDAX[[#This Row],[Moeda da Taxa]]=MID(N$1,9,5),TbTradesNovaDAX[[#This Row],[Taxa]],0),8)))</f>
        <v>66</v>
      </c>
      <c r="O3" s="50" cm="1">
        <f t="array" ref="O3">IF(TbTradesNovaDAX[[#This Row],[Tipo]]="EMPTY",0,O2+IF(TbTradesNovaDAX[[#This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Row],[Par]]))),$1:$1,0)),-(N2-N3)/N2*O2),0),0)+IF(TbTradesNovaDAX[[#This Row],[Tipo]]="SELL",IF(ISNUMBER(FIND(MID(O$1,10,5),TbTradesNovaDAX[[#This Row],[Par]])),IF(FIND(MID(O$1,10,5),TbTradesNovaDAX[[#This Row],[Par]])=1, -(N2-N3)/N2*O2,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Row],[Par]])),(-(N2-N3)/N2*O2)+IF(TbTradesNovaDAX[[#This Row],[Resultado]]&gt;0,0,TbTradesNovaDAX[[#This Row],[Taxa]]),0),0))</f>
        <v>66</v>
      </c>
      <c r="P3" s="41">
        <f t="shared" si="0"/>
        <v>1</v>
      </c>
      <c r="Q3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Row],[Tipo]]="DROP"),Q2+TbTradesNovaDAX[[#This Row],[Qtt]],Q2-TbTradesNovaDAX[[#This Row],[Qtt]]),IF(TbTradesNovaDAX[[#This Row],[Tipo]]="BUY",Q2-TbTradesNovaDAX[[#This Row],[Qtt]]*TbTradesNovaDAX[[#This Row],[Preço]],Q2+TbTradesNovaDAX[[#This Row],[Qtt]]*TbTradesNovaDAX[[#This Row],[Preço]])),Q2)-IF(TbTradesNovaDAX[[#This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Row],[Tipo]]="DROP"),Q2+TbTradesNovaDAX[[#This Row],[Qtt]],Q2-TbTradesNovaDAX[[#This Row],[Qtt]]),IF(TbTradesNovaDAX[[#This Row],[Tipo]]="BUY",Q2-TbTradesNovaDAX[[#This Row],[Qtt]]*TbTradesNovaDAX[[#This Row],[Preço]],Q2+TbTradesNovaDAX[[#This Row],[Qtt]]*TbTradesNovaDAX[[#This Row],[Preço]])),Q2)-IF(TbTradesNovaDAX[[#This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Row],[Tipo]]="DROP"),Q2+TbTradesNovaDAX[[#This Row],[Qtt]],Q2-TbTradesNovaDAX[[#This Row],[Qtt]]),IF(TbTradesNovaDAX[[#This Row],[Tipo]]="BUY",Q2-TbTradesNovaDAX[[#This Row],[Qtt]]*TbTradesNovaDAX[[#This Row],[Preço]],Q2+TbTradesNovaDAX[[#This Row],[Qtt]]*TbTradesNovaDAX[[#This Row],[Preço]])),Q2)-IF(TbTradesNovaDAX[[#This Row],[Moeda da Taxa]]=MID(Q$1,9,5),TbTradesNovaDAX[[#This Row],[Taxa]],0),8)))</f>
        <v>0</v>
      </c>
      <c r="R3" s="50" cm="1">
        <f t="array" ref="R3">IF(TbTradesNovaDAX[[#This Row],[Tipo]]="EMPTY",0,R2+IF(TbTradesNovaDAX[[#This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Row],[Par]]))),$1:$1,0)),-(Q2-Q3)/Q2*R2),0),0)+IF(TbTradesNovaDAX[[#This Row],[Tipo]]="SELL",IF(ISNUMBER(FIND(MID(R$1,10,5),TbTradesNovaDAX[[#This Row],[Par]])),IF(FIND(MID(R$1,10,5),TbTradesNovaDAX[[#This Row],[Par]])=1, -(Q2-Q3)/Q2*R2,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Row],[Par]])),(-(Q2-Q3)/Q2*R2)+IF(TbTradesNovaDAX[[#This Row],[Resultado]]&gt;0,0,TbTradesNovaDAX[[#This Row],[Taxa]]),0),0))</f>
        <v>0</v>
      </c>
      <c r="S3" s="41">
        <f t="shared" si="1"/>
        <v>0</v>
      </c>
      <c r="T3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Row],[Tipo]]="DROP"),T2+TbTradesNovaDAX[[#This Row],[Qtt]],T2-TbTradesNovaDAX[[#This Row],[Qtt]]),IF(TbTradesNovaDAX[[#This Row],[Tipo]]="BUY",T2-TbTradesNovaDAX[[#This Row],[Qtt]]*TbTradesNovaDAX[[#This Row],[Preço]],T2+TbTradesNovaDAX[[#This Row],[Qtt]]*TbTradesNovaDAX[[#This Row],[Preço]])),T2)-IF(TbTradesNovaDAX[[#This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Row],[Tipo]]="DROP"),T2+TbTradesNovaDAX[[#This Row],[Qtt]],T2-TbTradesNovaDAX[[#This Row],[Qtt]]),IF(TbTradesNovaDAX[[#This Row],[Tipo]]="BUY",T2-TbTradesNovaDAX[[#This Row],[Qtt]]*TbTradesNovaDAX[[#This Row],[Preço]],T2+TbTradesNovaDAX[[#This Row],[Qtt]]*TbTradesNovaDAX[[#This Row],[Preço]])),T2)-IF(TbTradesNovaDAX[[#This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Row],[Tipo]]="DROP"),T2+TbTradesNovaDAX[[#This Row],[Qtt]],T2-TbTradesNovaDAX[[#This Row],[Qtt]]),IF(TbTradesNovaDAX[[#This Row],[Tipo]]="BUY",T2-TbTradesNovaDAX[[#This Row],[Qtt]]*TbTradesNovaDAX[[#This Row],[Preço]],T2+TbTradesNovaDAX[[#This Row],[Qtt]]*TbTradesNovaDAX[[#This Row],[Preço]])),T2)-IF(TbTradesNovaDAX[[#This Row],[Moeda da Taxa]]=MID(T$1,9,5),TbTradesNovaDAX[[#This Row],[Taxa]],0),8)))</f>
        <v>0</v>
      </c>
      <c r="U3" s="50" cm="1">
        <f t="array" ref="U3">IF(TbTradesNovaDAX[[#This Row],[Tipo]]="EMPTY",0,U2+IF(TbTradesNovaDAX[[#This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Row],[Par]]))),$1:$1,0)),-(T2-T3)/T2*U2),0),0)+IF(TbTradesNovaDAX[[#This Row],[Tipo]]="SELL",IF(ISNUMBER(FIND(MID(U$1,10,5),TbTradesNovaDAX[[#This Row],[Par]])),IF(FIND(MID(U$1,10,5),TbTradesNovaDAX[[#This Row],[Par]])=1, -(T2-T3)/T2*U2,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Row],[Par]])),(-(T2-T3)/T2*U2)+IF(TbTradesNovaDAX[[#This Row],[Resultado]]&gt;0,0,TbTradesNovaDAX[[#This Row],[Taxa]]),0),0))</f>
        <v>0</v>
      </c>
      <c r="V3" s="41">
        <f t="shared" si="2"/>
        <v>0</v>
      </c>
      <c r="W3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Row],[Tipo]]="DROP"),W2+TbTradesNovaDAX[[#This Row],[Qtt]],W2-TbTradesNovaDAX[[#This Row],[Qtt]]),IF(TbTradesNovaDAX[[#This Row],[Tipo]]="BUY",W2-TbTradesNovaDAX[[#This Row],[Qtt]]*TbTradesNovaDAX[[#This Row],[Preço]],W2+TbTradesNovaDAX[[#This Row],[Qtt]]*TbTradesNovaDAX[[#This Row],[Preço]])),W2)-IF(TbTradesNovaDAX[[#This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Row],[Tipo]]="DROP"),W2+TbTradesNovaDAX[[#This Row],[Qtt]],W2-TbTradesNovaDAX[[#This Row],[Qtt]]),IF(TbTradesNovaDAX[[#This Row],[Tipo]]="BUY",W2-TbTradesNovaDAX[[#This Row],[Qtt]]*TbTradesNovaDAX[[#This Row],[Preço]],W2+TbTradesNovaDAX[[#This Row],[Qtt]]*TbTradesNovaDAX[[#This Row],[Preço]])),W2)-IF(TbTradesNovaDAX[[#This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Row],[Tipo]]="DROP"),W2+TbTradesNovaDAX[[#This Row],[Qtt]],W2-TbTradesNovaDAX[[#This Row],[Qtt]]),IF(TbTradesNovaDAX[[#This Row],[Tipo]]="BUY",W2-TbTradesNovaDAX[[#This Row],[Qtt]]*TbTradesNovaDAX[[#This Row],[Preço]],W2+TbTradesNovaDAX[[#This Row],[Qtt]]*TbTradesNovaDAX[[#This Row],[Preço]])),W2)-IF(TbTradesNovaDAX[[#This Row],[Moeda da Taxa]]=MID(W$1,9,5),TbTradesNovaDAX[[#This Row],[Taxa]],0),8)))</f>
        <v>0</v>
      </c>
      <c r="X3" s="50" cm="1">
        <f t="array" ref="X3">IF(TbTradesNovaDAX[[#This Row],[Tipo]]="EMPTY",0,X2+IF(TbTradesNovaDAX[[#This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Row],[Par]]))),$1:$1,0)),-(W2-W3)/W2*X2),0),0)+IF(TbTradesNovaDAX[[#This Row],[Tipo]]="SELL",IF(ISNUMBER(FIND(MID(X$1,10,5),TbTradesNovaDAX[[#This Row],[Par]])),IF(FIND(MID(X$1,10,5),TbTradesNovaDAX[[#This Row],[Par]])=1, -(W2-W3)/W2*X2,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Row],[Par]])),(-(W2-W3)/W2*X2)+IF(TbTradesNovaDAX[[#This Row],[Resultado]]&gt;0,0,TbTradesNovaDAX[[#This Row],[Taxa]]),0),0))</f>
        <v>0</v>
      </c>
      <c r="Y3" s="41">
        <f t="shared" si="3"/>
        <v>0</v>
      </c>
      <c r="Z3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Row],[Tipo]]="DROP"),Z2+TbTradesNovaDAX[[#This Row],[Qtt]],Z2-TbTradesNovaDAX[[#This Row],[Qtt]]),IF(TbTradesNovaDAX[[#This Row],[Tipo]]="BUY",Z2-TbTradesNovaDAX[[#This Row],[Qtt]]*TbTradesNovaDAX[[#This Row],[Preço]],Z2+TbTradesNovaDAX[[#This Row],[Qtt]]*TbTradesNovaDAX[[#This Row],[Preço]])),Z2)-IF(TbTradesNovaDAX[[#This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Row],[Tipo]]="DROP"),Z2+TbTradesNovaDAX[[#This Row],[Qtt]],Z2-TbTradesNovaDAX[[#This Row],[Qtt]]),IF(TbTradesNovaDAX[[#This Row],[Tipo]]="BUY",Z2-TbTradesNovaDAX[[#This Row],[Qtt]]*TbTradesNovaDAX[[#This Row],[Preço]],Z2+TbTradesNovaDAX[[#This Row],[Qtt]]*TbTradesNovaDAX[[#This Row],[Preço]])),Z2)-IF(TbTradesNovaDAX[[#This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Row],[Tipo]]="DROP"),Z2+TbTradesNovaDAX[[#This Row],[Qtt]],Z2-TbTradesNovaDAX[[#This Row],[Qtt]]),IF(TbTradesNovaDAX[[#This Row],[Tipo]]="BUY",Z2-TbTradesNovaDAX[[#This Row],[Qtt]]*TbTradesNovaDAX[[#This Row],[Preço]],Z2+TbTradesNovaDAX[[#This Row],[Qtt]]*TbTradesNovaDAX[[#This Row],[Preço]])),Z2)-IF(TbTradesNovaDAX[[#This Row],[Moeda da Taxa]]=MID(Z$1,9,5),TbTradesNovaDAX[[#This Row],[Taxa]],0),8)))</f>
        <v>0</v>
      </c>
      <c r="AA3" s="50" cm="1">
        <f t="array" ref="AA3">IF(TbTradesNovaDAX[[#This Row],[Tipo]]="EMPTY",0,AA2+IF(TbTradesNovaDAX[[#This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Row],[Par]]))),$1:$1,0)),-(Z2-Z3)/Z2*AA2),0),0)+IF(TbTradesNovaDAX[[#This Row],[Tipo]]="SELL",IF(ISNUMBER(FIND(MID(AA$1,10,5),TbTradesNovaDAX[[#This Row],[Par]])),IF(FIND(MID(AA$1,10,5),TbTradesNovaDAX[[#This Row],[Par]])=1, -(Z2-Z3)/Z2*AA2,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Row],[Par]])),(-(Z2-Z3)/Z2*AA2)+IF(TbTradesNovaDAX[[#This Row],[Resultado]]&gt;0,0,TbTradesNovaDAX[[#This Row],[Taxa]]),0),0))</f>
        <v>0</v>
      </c>
      <c r="AB3" s="41">
        <f t="shared" si="4"/>
        <v>0</v>
      </c>
      <c r="AC3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Row],[Tipo]]="DROP"),AC2+TbTradesNovaDAX[[#This Row],[Qtt]],AC2-TbTradesNovaDAX[[#This Row],[Qtt]]),IF(TbTradesNovaDAX[[#This Row],[Tipo]]="BUY",AC2-TbTradesNovaDAX[[#This Row],[Qtt]]*TbTradesNovaDAX[[#This Row],[Preço]],AC2+TbTradesNovaDAX[[#This Row],[Qtt]]*TbTradesNovaDAX[[#This Row],[Preço]])),AC2)-IF(TbTradesNovaDAX[[#This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Row],[Tipo]]="DROP"),AC2+TbTradesNovaDAX[[#This Row],[Qtt]],AC2-TbTradesNovaDAX[[#This Row],[Qtt]]),IF(TbTradesNovaDAX[[#This Row],[Tipo]]="BUY",AC2-TbTradesNovaDAX[[#This Row],[Qtt]]*TbTradesNovaDAX[[#This Row],[Preço]],AC2+TbTradesNovaDAX[[#This Row],[Qtt]]*TbTradesNovaDAX[[#This Row],[Preço]])),AC2)-IF(TbTradesNovaDAX[[#This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Row],[Tipo]]="DROP"),AC2+TbTradesNovaDAX[[#This Row],[Qtt]],AC2-TbTradesNovaDAX[[#This Row],[Qtt]]),IF(TbTradesNovaDAX[[#This Row],[Tipo]]="BUY",AC2-TbTradesNovaDAX[[#This Row],[Qtt]]*TbTradesNovaDAX[[#This Row],[Preço]],AC2+TbTradesNovaDAX[[#This Row],[Qtt]]*TbTradesNovaDAX[[#This Row],[Preço]])),AC2)-IF(TbTradesNovaDAX[[#This Row],[Moeda da Taxa]]=MID(AC$1,9,5),TbTradesNovaDAX[[#This Row],[Taxa]],0),8)))</f>
        <v>0</v>
      </c>
      <c r="AD3" s="50" cm="1">
        <f t="array" ref="AD3">IF(TbTradesNovaDAX[[#This Row],[Tipo]]="EMPTY",0,AD2+IF(TbTradesNovaDAX[[#This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Row],[Par]]))),$1:$1,0)),-(AC2-AC3)/AC2*AD2),0),0)+IF(TbTradesNovaDAX[[#This Row],[Tipo]]="SELL",IF(ISNUMBER(FIND(MID(AD$1,10,5),TbTradesNovaDAX[[#This Row],[Par]])),IF(FIND(MID(AD$1,10,5),TbTradesNovaDAX[[#This Row],[Par]])=1, -(AC2-AC3)/AC2*AD2,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Row],[Par]])),(-(AC2-AC3)/AC2*AD2)+IF(TbTradesNovaDAX[[#This Row],[Resultado]]&gt;0,0,TbTradesNovaDAX[[#This Row],[Taxa]]),0),0))</f>
        <v>0</v>
      </c>
      <c r="AE3" s="41">
        <f t="shared" si="5"/>
        <v>0</v>
      </c>
      <c r="AF3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Row],[Tipo]]="DROP"),AF2+TbTradesNovaDAX[[#This Row],[Qtt]],AF2-TbTradesNovaDAX[[#This Row],[Qtt]]),IF(TbTradesNovaDAX[[#This Row],[Tipo]]="BUY",AF2-TbTradesNovaDAX[[#This Row],[Qtt]]*TbTradesNovaDAX[[#This Row],[Preço]],AF2+TbTradesNovaDAX[[#This Row],[Qtt]]*TbTradesNovaDAX[[#This Row],[Preço]])),AF2)-IF(TbTradesNovaDAX[[#This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Row],[Tipo]]="DROP"),AF2+TbTradesNovaDAX[[#This Row],[Qtt]],AF2-TbTradesNovaDAX[[#This Row],[Qtt]]),IF(TbTradesNovaDAX[[#This Row],[Tipo]]="BUY",AF2-TbTradesNovaDAX[[#This Row],[Qtt]]*TbTradesNovaDAX[[#This Row],[Preço]],AF2+TbTradesNovaDAX[[#This Row],[Qtt]]*TbTradesNovaDAX[[#This Row],[Preço]])),AF2)-IF(TbTradesNovaDAX[[#This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Row],[Tipo]]="DROP"),AF2+TbTradesNovaDAX[[#This Row],[Qtt]],AF2-TbTradesNovaDAX[[#This Row],[Qtt]]),IF(TbTradesNovaDAX[[#This Row],[Tipo]]="BUY",AF2-TbTradesNovaDAX[[#This Row],[Qtt]]*TbTradesNovaDAX[[#This Row],[Preço]],AF2+TbTradesNovaDAX[[#This Row],[Qtt]]*TbTradesNovaDAX[[#This Row],[Preço]])),AF2)-IF(TbTradesNovaDAX[[#This Row],[Moeda da Taxa]]=MID(AF$1,9,5),TbTradesNovaDAX[[#This Row],[Taxa]],0),8)))</f>
        <v>0</v>
      </c>
      <c r="AG3" s="50" cm="1">
        <f t="array" ref="AG3">IF(TbTradesNovaDAX[[#This Row],[Tipo]]="EMPTY",0,AG2+IF(TbTradesNovaDAX[[#This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Row],[Par]]))),$1:$1,0)),-(AF2-AF3)/AF2*AG2),0),0)+IF(TbTradesNovaDAX[[#This Row],[Tipo]]="SELL",IF(ISNUMBER(FIND(MID(AG$1,10,5),TbTradesNovaDAX[[#This Row],[Par]])),IF(FIND(MID(AG$1,10,5),TbTradesNovaDAX[[#This Row],[Par]])=1, -(AF2-AF3)/AF2*AG2,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Row],[Par]])),(-(AF2-AF3)/AF2*AG2)+IF(TbTradesNovaDAX[[#This Row],[Resultado]]&gt;0,0,TbTradesNovaDAX[[#This Row],[Taxa]]),0),0))</f>
        <v>0</v>
      </c>
      <c r="AH3" s="41">
        <f t="shared" si="6"/>
        <v>0</v>
      </c>
      <c r="AI3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Row],[Tipo]]="DROP"),AI2+TbTradesNovaDAX[[#This Row],[Qtt]],AI2-TbTradesNovaDAX[[#This Row],[Qtt]]),IF(TbTradesNovaDAX[[#This Row],[Tipo]]="BUY",AI2-TbTradesNovaDAX[[#This Row],[Qtt]]*TbTradesNovaDAX[[#This Row],[Preço]],AI2+TbTradesNovaDAX[[#This Row],[Qtt]]*TbTradesNovaDAX[[#This Row],[Preço]])),AI2)-IF(TbTradesNovaDAX[[#This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Row],[Tipo]]="DROP"),AI2+TbTradesNovaDAX[[#This Row],[Qtt]],AI2-TbTradesNovaDAX[[#This Row],[Qtt]]),IF(TbTradesNovaDAX[[#This Row],[Tipo]]="BUY",AI2-TbTradesNovaDAX[[#This Row],[Qtt]]*TbTradesNovaDAX[[#This Row],[Preço]],AI2+TbTradesNovaDAX[[#This Row],[Qtt]]*TbTradesNovaDAX[[#This Row],[Preço]])),AI2)-IF(TbTradesNovaDAX[[#This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Row],[Tipo]]="DROP"),AI2+TbTradesNovaDAX[[#This Row],[Qtt]],AI2-TbTradesNovaDAX[[#This Row],[Qtt]]),IF(TbTradesNovaDAX[[#This Row],[Tipo]]="BUY",AI2-TbTradesNovaDAX[[#This Row],[Qtt]]*TbTradesNovaDAX[[#This Row],[Preço]],AI2+TbTradesNovaDAX[[#This Row],[Qtt]]*TbTradesNovaDAX[[#This Row],[Preço]])),AI2)-IF(TbTradesNovaDAX[[#This Row],[Moeda da Taxa]]=MID(AI$1,9,5),TbTradesNovaDAX[[#This Row],[Taxa]],0),8)))</f>
        <v>0</v>
      </c>
      <c r="AJ3" s="50" cm="1">
        <f t="array" ref="AJ3">IF(TbTradesNovaDAX[[#This Row],[Tipo]]="EMPTY",0,AJ2+IF(TbTradesNovaDAX[[#This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Row],[Par]]))),$1:$1,0)),-(AI2-AI3)/AI2*AJ2),0),0)+IF(TbTradesNovaDAX[[#This Row],[Tipo]]="SELL",IF(ISNUMBER(FIND(MID(AJ$1,10,5),TbTradesNovaDAX[[#This Row],[Par]])),IF(FIND(MID(AJ$1,10,5),TbTradesNovaDAX[[#This Row],[Par]])=1, -(AI2-AI3)/AI2*AJ2,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Row],[Par]])),(-(AI2-AI3)/AI2*AJ2)+IF(TbTradesNovaDAX[[#This Row],[Resultado]]&gt;0,0,TbTradesNovaDAX[[#This Row],[Taxa]]),0),0))</f>
        <v>0</v>
      </c>
      <c r="AK3" s="41">
        <f t="shared" si="7"/>
        <v>0</v>
      </c>
      <c r="AL3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Row],[Tipo]]="DROP"),AL2+TbTradesNovaDAX[[#This Row],[Qtt]],AL2-TbTradesNovaDAX[[#This Row],[Qtt]]),IF(TbTradesNovaDAX[[#This Row],[Tipo]]="BUY",AL2-TbTradesNovaDAX[[#This Row],[Qtt]]*TbTradesNovaDAX[[#This Row],[Preço]],AL2+TbTradesNovaDAX[[#This Row],[Qtt]]*TbTradesNovaDAX[[#This Row],[Preço]])),AL2)-IF(TbTradesNovaDAX[[#This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Row],[Tipo]]="DROP"),AL2+TbTradesNovaDAX[[#This Row],[Qtt]],AL2-TbTradesNovaDAX[[#This Row],[Qtt]]),IF(TbTradesNovaDAX[[#This Row],[Tipo]]="BUY",AL2-TbTradesNovaDAX[[#This Row],[Qtt]]*TbTradesNovaDAX[[#This Row],[Preço]],AL2+TbTradesNovaDAX[[#This Row],[Qtt]]*TbTradesNovaDAX[[#This Row],[Preço]])),AL2)-IF(TbTradesNovaDAX[[#This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Row],[Tipo]]="DROP"),AL2+TbTradesNovaDAX[[#This Row],[Qtt]],AL2-TbTradesNovaDAX[[#This Row],[Qtt]]),IF(TbTradesNovaDAX[[#This Row],[Tipo]]="BUY",AL2-TbTradesNovaDAX[[#This Row],[Qtt]]*TbTradesNovaDAX[[#This Row],[Preço]],AL2+TbTradesNovaDAX[[#This Row],[Qtt]]*TbTradesNovaDAX[[#This Row],[Preço]])),AL2)-IF(TbTradesNovaDAX[[#This Row],[Moeda da Taxa]]=MID(AL$1,9,5),TbTradesNovaDAX[[#This Row],[Taxa]],0),8)))</f>
        <v>0</v>
      </c>
      <c r="AM3" s="50" cm="1">
        <f t="array" ref="AM3">IF(TbTradesNovaDAX[[#This Row],[Tipo]]="EMPTY",0,AM2+IF(TbTradesNovaDAX[[#This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Row],[Par]]))),$1:$1,0)),-(AL2-AL3)/AL2*AM2),0),0)+IF(TbTradesNovaDAX[[#This Row],[Tipo]]="SELL",IF(ISNUMBER(FIND(MID(AM$1,10,5),TbTradesNovaDAX[[#This Row],[Par]])),IF(FIND(MID(AM$1,10,5),TbTradesNovaDAX[[#This Row],[Par]])=1, -(AL2-AL3)/AL2*AM2,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Row],[Par]])),(-(AL2-AL3)/AL2*AM2)+IF(TbTradesNovaDAX[[#This Row],[Resultado]]&gt;0,0,TbTradesNovaDAX[[#This Row],[Taxa]]),0),0))</f>
        <v>0</v>
      </c>
      <c r="AN3" s="41">
        <f t="shared" si="8"/>
        <v>0</v>
      </c>
      <c r="AO3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Row],[Tipo]]="DROP"),AO2+TbTradesNovaDAX[[#This Row],[Qtt]],AO2-TbTradesNovaDAX[[#This Row],[Qtt]]),IF(TbTradesNovaDAX[[#This Row],[Tipo]]="BUY",AO2-TbTradesNovaDAX[[#This Row],[Qtt]]*TbTradesNovaDAX[[#This Row],[Preço]],AO2+TbTradesNovaDAX[[#This Row],[Qtt]]*TbTradesNovaDAX[[#This Row],[Preço]])),AO2)-IF(TbTradesNovaDAX[[#This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Row],[Tipo]]="DROP"),AO2+TbTradesNovaDAX[[#This Row],[Qtt]],AO2-TbTradesNovaDAX[[#This Row],[Qtt]]),IF(TbTradesNovaDAX[[#This Row],[Tipo]]="BUY",AO2-TbTradesNovaDAX[[#This Row],[Qtt]]*TbTradesNovaDAX[[#This Row],[Preço]],AO2+TbTradesNovaDAX[[#This Row],[Qtt]]*TbTradesNovaDAX[[#This Row],[Preço]])),AO2)-IF(TbTradesNovaDAX[[#This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Row],[Tipo]]="DROP"),AO2+TbTradesNovaDAX[[#This Row],[Qtt]],AO2-TbTradesNovaDAX[[#This Row],[Qtt]]),IF(TbTradesNovaDAX[[#This Row],[Tipo]]="BUY",AO2-TbTradesNovaDAX[[#This Row],[Qtt]]*TbTradesNovaDAX[[#This Row],[Preço]],AO2+TbTradesNovaDAX[[#This Row],[Qtt]]*TbTradesNovaDAX[[#This Row],[Preço]])),AO2)-IF(TbTradesNovaDAX[[#This Row],[Moeda da Taxa]]=MID(AO$1,9,5),TbTradesNovaDAX[[#This Row],[Taxa]],0),8)))</f>
        <v>0</v>
      </c>
      <c r="AP3" s="50" cm="1">
        <f t="array" ref="AP3">IF(TbTradesNovaDAX[[#This Row],[Tipo]]="EMPTY",0,AP2+IF(TbTradesNovaDAX[[#This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Row],[Par]]))),$1:$1,0)),-(AO2-AO3)/AO2*AP2),0),0)+IF(TbTradesNovaDAX[[#This Row],[Tipo]]="SELL",IF(ISNUMBER(FIND(MID(AP$1,10,5),TbTradesNovaDAX[[#This Row],[Par]])),IF(FIND(MID(AP$1,10,5),TbTradesNovaDAX[[#This Row],[Par]])=1, -(AO2-AO3)/AO2*AP2,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Row],[Par]])),(-(AO2-AO3)/AO2*AP2)+IF(TbTradesNovaDAX[[#This Row],[Resultado]]&gt;0,0,TbTradesNovaDAX[[#This Row],[Taxa]]),0),0))</f>
        <v>0</v>
      </c>
      <c r="AQ3" s="41">
        <f t="shared" si="9"/>
        <v>0</v>
      </c>
    </row>
    <row r="4" spans="1:43" x14ac:dyDescent="0.3">
      <c r="B4" s="65"/>
      <c r="C4" s="67">
        <f>TRUNC(IF(AND(TbTradesNovaDAX[[#This Row],[Tipo]]="SEND",TbTradesNovaDAX[[#This Row],[Par]]="BRL"),TbTradesNovaDAX[[#This Row],[Qtt]]*(1-P3)-IF(TbTradesNovaDAX[[#This Row],[Moeda da Taxa]]="BRL",TbTradesNovaDAX[[#This Row],[Taxa]],0),0)+IF(AND(TbTradesNovaDAX[[#This Row],[Tipo]]="BURN",TbTradesNovaDAX[[#This Row],[Par]]="BRL"),-TbTradesNovaDAX[[#This Row],[Qtt]]*P3,0),2)</f>
        <v>0</v>
      </c>
      <c r="D4" s="65">
        <v>44234.692476851851</v>
      </c>
      <c r="E4" s="77" t="s">
        <v>172</v>
      </c>
      <c r="F4" s="77" t="s">
        <v>139</v>
      </c>
      <c r="G4" s="78">
        <v>2436.4</v>
      </c>
      <c r="H4" s="78">
        <v>1.083565E-2</v>
      </c>
      <c r="I4" s="78">
        <v>5.418E-5</v>
      </c>
      <c r="J4" s="77" t="s">
        <v>161</v>
      </c>
      <c r="K4" s="75">
        <v>1</v>
      </c>
      <c r="L4" s="67">
        <f t="shared" ref="L4:L27" si="10">TRUNC(K4*G4,2)</f>
        <v>2436.4</v>
      </c>
      <c r="M4" s="67">
        <f>IF(OR(TbTradesNovaDAX[[#This Row],[Tipo]]="BUY",TbTradesNovaDAX[[#This Row],[Tipo]]="RECEIVE"),L4*H4,-L4*H4)</f>
        <v>26.399977660000001</v>
      </c>
      <c r="N4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Row],[Tipo]]="DROP"),N3+TbTradesNovaDAX[[#This Row],[Qtt]],N3-TbTradesNovaDAX[[#This Row],[Qtt]]),IF(TbTradesNovaDAX[[#This Row],[Tipo]]="BUY",N3-TbTradesNovaDAX[[#This Row],[Qtt]]*TbTradesNovaDAX[[#This Row],[Preço]],N3+TbTradesNovaDAX[[#This Row],[Qtt]]*TbTradesNovaDAX[[#This Row],[Preço]])),N3)-IF(TbTradesNovaDAX[[#This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Row],[Tipo]]="DROP"),N3+TbTradesNovaDAX[[#This Row],[Qtt]],N3-TbTradesNovaDAX[[#This Row],[Qtt]]),IF(TbTradesNovaDAX[[#This Row],[Tipo]]="BUY",N3-TbTradesNovaDAX[[#This Row],[Qtt]]*TbTradesNovaDAX[[#This Row],[Preço]],N3+TbTradesNovaDAX[[#This Row],[Qtt]]*TbTradesNovaDAX[[#This Row],[Preço]])),N3)-IF(TbTradesNovaDAX[[#This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Row],[Tipo]]="DROP"),N3+TbTradesNovaDAX[[#This Row],[Qtt]],N3-TbTradesNovaDAX[[#This Row],[Qtt]]),IF(TbTradesNovaDAX[[#This Row],[Tipo]]="BUY",N3-TbTradesNovaDAX[[#This Row],[Qtt]]*TbTradesNovaDAX[[#This Row],[Preço]],N3+TbTradesNovaDAX[[#This Row],[Qtt]]*TbTradesNovaDAX[[#This Row],[Preço]])),N3)-IF(TbTradesNovaDAX[[#This Row],[Moeda da Taxa]]=MID(N$1,9,5),TbTradesNovaDAX[[#This Row],[Taxa]],0),8)))</f>
        <v>39.600022340000002</v>
      </c>
      <c r="O4" s="50" cm="1">
        <f t="array" ref="O4">IF(TbTradesNovaDAX[[#This Row],[Tipo]]="EMPTY",0,O3+IF(TbTradesNovaDAX[[#This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Row],[Par]]))),$1:$1,0)),-(N3-N4)/N3*O3),0),0)+IF(TbTradesNovaDAX[[#This Row],[Tipo]]="SELL",IF(ISNUMBER(FIND(MID(O$1,10,5),TbTradesNovaDAX[[#This Row],[Par]])),IF(FIND(MID(O$1,10,5),TbTradesNovaDAX[[#This Row],[Par]])=1, -(N3-N4)/N3*O3,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Row],[Par]])),(-(N3-N4)/N3*O3)+IF(TbTradesNovaDAX[[#This Row],[Resultado]]&gt;0,0,TbTradesNovaDAX[[#This Row],[Taxa]]),0),0))</f>
        <v>39.600022340000002</v>
      </c>
      <c r="P4" s="41">
        <f t="shared" si="0"/>
        <v>1</v>
      </c>
      <c r="Q4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Row],[Tipo]]="DROP"),Q3+TbTradesNovaDAX[[#This Row],[Qtt]],Q3-TbTradesNovaDAX[[#This Row],[Qtt]]),IF(TbTradesNovaDAX[[#This Row],[Tipo]]="BUY",Q3-TbTradesNovaDAX[[#This Row],[Qtt]]*TbTradesNovaDAX[[#This Row],[Preço]],Q3+TbTradesNovaDAX[[#This Row],[Qtt]]*TbTradesNovaDAX[[#This Row],[Preço]])),Q3)-IF(TbTradesNovaDAX[[#This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Row],[Tipo]]="DROP"),Q3+TbTradesNovaDAX[[#This Row],[Qtt]],Q3-TbTradesNovaDAX[[#This Row],[Qtt]]),IF(TbTradesNovaDAX[[#This Row],[Tipo]]="BUY",Q3-TbTradesNovaDAX[[#This Row],[Qtt]]*TbTradesNovaDAX[[#This Row],[Preço]],Q3+TbTradesNovaDAX[[#This Row],[Qtt]]*TbTradesNovaDAX[[#This Row],[Preço]])),Q3)-IF(TbTradesNovaDAX[[#This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Row],[Tipo]]="DROP"),Q3+TbTradesNovaDAX[[#This Row],[Qtt]],Q3-TbTradesNovaDAX[[#This Row],[Qtt]]),IF(TbTradesNovaDAX[[#This Row],[Tipo]]="BUY",Q3-TbTradesNovaDAX[[#This Row],[Qtt]]*TbTradesNovaDAX[[#This Row],[Preço]],Q3+TbTradesNovaDAX[[#This Row],[Qtt]]*TbTradesNovaDAX[[#This Row],[Preço]])),Q3)-IF(TbTradesNovaDAX[[#This Row],[Moeda da Taxa]]=MID(Q$1,9,5),TbTradesNovaDAX[[#This Row],[Taxa]],0),8)))</f>
        <v>0</v>
      </c>
      <c r="R4" s="50" cm="1">
        <f t="array" ref="R4">IF(TbTradesNovaDAX[[#This Row],[Tipo]]="EMPTY",0,R3+IF(TbTradesNovaDAX[[#This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Row],[Par]]))),$1:$1,0)),-(Q3-Q4)/Q3*R3),0),0)+IF(TbTradesNovaDAX[[#This Row],[Tipo]]="SELL",IF(ISNUMBER(FIND(MID(R$1,10,5),TbTradesNovaDAX[[#This Row],[Par]])),IF(FIND(MID(R$1,10,5),TbTradesNovaDAX[[#This Row],[Par]])=1, -(Q3-Q4)/Q3*R3,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Row],[Par]])),(-(Q3-Q4)/Q3*R3)+IF(TbTradesNovaDAX[[#This Row],[Resultado]]&gt;0,0,TbTradesNovaDAX[[#This Row],[Taxa]]),0),0))</f>
        <v>0</v>
      </c>
      <c r="S4" s="41">
        <f t="shared" si="1"/>
        <v>0</v>
      </c>
      <c r="T4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Row],[Tipo]]="DROP"),T3+TbTradesNovaDAX[[#This Row],[Qtt]],T3-TbTradesNovaDAX[[#This Row],[Qtt]]),IF(TbTradesNovaDAX[[#This Row],[Tipo]]="BUY",T3-TbTradesNovaDAX[[#This Row],[Qtt]]*TbTradesNovaDAX[[#This Row],[Preço]],T3+TbTradesNovaDAX[[#This Row],[Qtt]]*TbTradesNovaDAX[[#This Row],[Preço]])),T3)-IF(TbTradesNovaDAX[[#This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Row],[Tipo]]="DROP"),T3+TbTradesNovaDAX[[#This Row],[Qtt]],T3-TbTradesNovaDAX[[#This Row],[Qtt]]),IF(TbTradesNovaDAX[[#This Row],[Tipo]]="BUY",T3-TbTradesNovaDAX[[#This Row],[Qtt]]*TbTradesNovaDAX[[#This Row],[Preço]],T3+TbTradesNovaDAX[[#This Row],[Qtt]]*TbTradesNovaDAX[[#This Row],[Preço]])),T3)-IF(TbTradesNovaDAX[[#This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Row],[Tipo]]="DROP"),T3+TbTradesNovaDAX[[#This Row],[Qtt]],T3-TbTradesNovaDAX[[#This Row],[Qtt]]),IF(TbTradesNovaDAX[[#This Row],[Tipo]]="BUY",T3-TbTradesNovaDAX[[#This Row],[Qtt]]*TbTradesNovaDAX[[#This Row],[Preço]],T3+TbTradesNovaDAX[[#This Row],[Qtt]]*TbTradesNovaDAX[[#This Row],[Preço]])),T3)-IF(TbTradesNovaDAX[[#This Row],[Moeda da Taxa]]=MID(T$1,9,5),TbTradesNovaDAX[[#This Row],[Taxa]],0),8)))</f>
        <v>0</v>
      </c>
      <c r="U4" s="50" cm="1">
        <f t="array" ref="U4">IF(TbTradesNovaDAX[[#This Row],[Tipo]]="EMPTY",0,U3+IF(TbTradesNovaDAX[[#This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Row],[Par]]))),$1:$1,0)),-(T3-T4)/T3*U3),0),0)+IF(TbTradesNovaDAX[[#This Row],[Tipo]]="SELL",IF(ISNUMBER(FIND(MID(U$1,10,5),TbTradesNovaDAX[[#This Row],[Par]])),IF(FIND(MID(U$1,10,5),TbTradesNovaDAX[[#This Row],[Par]])=1, -(T3-T4)/T3*U3,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Row],[Par]])),(-(T3-T4)/T3*U3)+IF(TbTradesNovaDAX[[#This Row],[Resultado]]&gt;0,0,TbTradesNovaDAX[[#This Row],[Taxa]]),0),0))</f>
        <v>0</v>
      </c>
      <c r="V4" s="41">
        <f t="shared" si="2"/>
        <v>0</v>
      </c>
      <c r="W4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Row],[Tipo]]="DROP"),W3+TbTradesNovaDAX[[#This Row],[Qtt]],W3-TbTradesNovaDAX[[#This Row],[Qtt]]),IF(TbTradesNovaDAX[[#This Row],[Tipo]]="BUY",W3-TbTradesNovaDAX[[#This Row],[Qtt]]*TbTradesNovaDAX[[#This Row],[Preço]],W3+TbTradesNovaDAX[[#This Row],[Qtt]]*TbTradesNovaDAX[[#This Row],[Preço]])),W3)-IF(TbTradesNovaDAX[[#This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Row],[Tipo]]="DROP"),W3+TbTradesNovaDAX[[#This Row],[Qtt]],W3-TbTradesNovaDAX[[#This Row],[Qtt]]),IF(TbTradesNovaDAX[[#This Row],[Tipo]]="BUY",W3-TbTradesNovaDAX[[#This Row],[Qtt]]*TbTradesNovaDAX[[#This Row],[Preço]],W3+TbTradesNovaDAX[[#This Row],[Qtt]]*TbTradesNovaDAX[[#This Row],[Preço]])),W3)-IF(TbTradesNovaDAX[[#This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Row],[Tipo]]="DROP"),W3+TbTradesNovaDAX[[#This Row],[Qtt]],W3-TbTradesNovaDAX[[#This Row],[Qtt]]),IF(TbTradesNovaDAX[[#This Row],[Tipo]]="BUY",W3-TbTradesNovaDAX[[#This Row],[Qtt]]*TbTradesNovaDAX[[#This Row],[Preço]],W3+TbTradesNovaDAX[[#This Row],[Qtt]]*TbTradesNovaDAX[[#This Row],[Preço]])),W3)-IF(TbTradesNovaDAX[[#This Row],[Moeda da Taxa]]=MID(W$1,9,5),TbTradesNovaDAX[[#This Row],[Taxa]],0),8)))</f>
        <v>0</v>
      </c>
      <c r="X4" s="50" cm="1">
        <f t="array" ref="X4">IF(TbTradesNovaDAX[[#This Row],[Tipo]]="EMPTY",0,X3+IF(TbTradesNovaDAX[[#This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Row],[Par]]))),$1:$1,0)),-(W3-W4)/W3*X3),0),0)+IF(TbTradesNovaDAX[[#This Row],[Tipo]]="SELL",IF(ISNUMBER(FIND(MID(X$1,10,5),TbTradesNovaDAX[[#This Row],[Par]])),IF(FIND(MID(X$1,10,5),TbTradesNovaDAX[[#This Row],[Par]])=1, -(W3-W4)/W3*X3,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Row],[Par]])),(-(W3-W4)/W3*X3)+IF(TbTradesNovaDAX[[#This Row],[Resultado]]&gt;0,0,TbTradesNovaDAX[[#This Row],[Taxa]]),0),0))</f>
        <v>0</v>
      </c>
      <c r="Y4" s="41">
        <f t="shared" si="3"/>
        <v>0</v>
      </c>
      <c r="Z4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Row],[Tipo]]="DROP"),Z3+TbTradesNovaDAX[[#This Row],[Qtt]],Z3-TbTradesNovaDAX[[#This Row],[Qtt]]),IF(TbTradesNovaDAX[[#This Row],[Tipo]]="BUY",Z3-TbTradesNovaDAX[[#This Row],[Qtt]]*TbTradesNovaDAX[[#This Row],[Preço]],Z3+TbTradesNovaDAX[[#This Row],[Qtt]]*TbTradesNovaDAX[[#This Row],[Preço]])),Z3)-IF(TbTradesNovaDAX[[#This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Row],[Tipo]]="DROP"),Z3+TbTradesNovaDAX[[#This Row],[Qtt]],Z3-TbTradesNovaDAX[[#This Row],[Qtt]]),IF(TbTradesNovaDAX[[#This Row],[Tipo]]="BUY",Z3-TbTradesNovaDAX[[#This Row],[Qtt]]*TbTradesNovaDAX[[#This Row],[Preço]],Z3+TbTradesNovaDAX[[#This Row],[Qtt]]*TbTradesNovaDAX[[#This Row],[Preço]])),Z3)-IF(TbTradesNovaDAX[[#This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Row],[Tipo]]="DROP"),Z3+TbTradesNovaDAX[[#This Row],[Qtt]],Z3-TbTradesNovaDAX[[#This Row],[Qtt]]),IF(TbTradesNovaDAX[[#This Row],[Tipo]]="BUY",Z3-TbTradesNovaDAX[[#This Row],[Qtt]]*TbTradesNovaDAX[[#This Row],[Preço]],Z3+TbTradesNovaDAX[[#This Row],[Qtt]]*TbTradesNovaDAX[[#This Row],[Preço]])),Z3)-IF(TbTradesNovaDAX[[#This Row],[Moeda da Taxa]]=MID(Z$1,9,5),TbTradesNovaDAX[[#This Row],[Taxa]],0),8)))</f>
        <v>1.078147E-2</v>
      </c>
      <c r="AA4" s="50" cm="1">
        <f t="array" ref="AA4">IF(TbTradesNovaDAX[[#This Row],[Tipo]]="EMPTY",0,AA3+IF(TbTradesNovaDAX[[#This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Row],[Par]]))),$1:$1,0)),-(Z3-Z4)/Z3*AA3),0),0)+IF(TbTradesNovaDAX[[#This Row],[Tipo]]="SELL",IF(ISNUMBER(FIND(MID(AA$1,10,5),TbTradesNovaDAX[[#This Row],[Par]])),IF(FIND(MID(AA$1,10,5),TbTradesNovaDAX[[#This Row],[Par]])=1, -(Z3-Z4)/Z3*AA3,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Row],[Par]])),(-(Z3-Z4)/Z3*AA3)+IF(TbTradesNovaDAX[[#This Row],[Resultado]]&gt;0,0,TbTradesNovaDAX[[#This Row],[Taxa]]),0),0))</f>
        <v>26.399977659999998</v>
      </c>
      <c r="AB4" s="41">
        <f t="shared" si="4"/>
        <v>2448.6436135332192</v>
      </c>
      <c r="AC4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Row],[Tipo]]="DROP"),AC3+TbTradesNovaDAX[[#This Row],[Qtt]],AC3-TbTradesNovaDAX[[#This Row],[Qtt]]),IF(TbTradesNovaDAX[[#This Row],[Tipo]]="BUY",AC3-TbTradesNovaDAX[[#This Row],[Qtt]]*TbTradesNovaDAX[[#This Row],[Preço]],AC3+TbTradesNovaDAX[[#This Row],[Qtt]]*TbTradesNovaDAX[[#This Row],[Preço]])),AC3)-IF(TbTradesNovaDAX[[#This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Row],[Tipo]]="DROP"),AC3+TbTradesNovaDAX[[#This Row],[Qtt]],AC3-TbTradesNovaDAX[[#This Row],[Qtt]]),IF(TbTradesNovaDAX[[#This Row],[Tipo]]="BUY",AC3-TbTradesNovaDAX[[#This Row],[Qtt]]*TbTradesNovaDAX[[#This Row],[Preço]],AC3+TbTradesNovaDAX[[#This Row],[Qtt]]*TbTradesNovaDAX[[#This Row],[Preço]])),AC3)-IF(TbTradesNovaDAX[[#This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Row],[Tipo]]="DROP"),AC3+TbTradesNovaDAX[[#This Row],[Qtt]],AC3-TbTradesNovaDAX[[#This Row],[Qtt]]),IF(TbTradesNovaDAX[[#This Row],[Tipo]]="BUY",AC3-TbTradesNovaDAX[[#This Row],[Qtt]]*TbTradesNovaDAX[[#This Row],[Preço]],AC3+TbTradesNovaDAX[[#This Row],[Qtt]]*TbTradesNovaDAX[[#This Row],[Preço]])),AC3)-IF(TbTradesNovaDAX[[#This Row],[Moeda da Taxa]]=MID(AC$1,9,5),TbTradesNovaDAX[[#This Row],[Taxa]],0),8)))</f>
        <v>0</v>
      </c>
      <c r="AD4" s="50" cm="1">
        <f t="array" ref="AD4">IF(TbTradesNovaDAX[[#This Row],[Tipo]]="EMPTY",0,AD3+IF(TbTradesNovaDAX[[#This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Row],[Par]]))),$1:$1,0)),-(AC3-AC4)/AC3*AD3),0),0)+IF(TbTradesNovaDAX[[#This Row],[Tipo]]="SELL",IF(ISNUMBER(FIND(MID(AD$1,10,5),TbTradesNovaDAX[[#This Row],[Par]])),IF(FIND(MID(AD$1,10,5),TbTradesNovaDAX[[#This Row],[Par]])=1, -(AC3-AC4)/AC3*AD3,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Row],[Par]])),(-(AC3-AC4)/AC3*AD3)+IF(TbTradesNovaDAX[[#This Row],[Resultado]]&gt;0,0,TbTradesNovaDAX[[#This Row],[Taxa]]),0),0))</f>
        <v>0</v>
      </c>
      <c r="AE4" s="41">
        <f t="shared" si="5"/>
        <v>0</v>
      </c>
      <c r="AF4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Row],[Tipo]]="DROP"),AF3+TbTradesNovaDAX[[#This Row],[Qtt]],AF3-TbTradesNovaDAX[[#This Row],[Qtt]]),IF(TbTradesNovaDAX[[#This Row],[Tipo]]="BUY",AF3-TbTradesNovaDAX[[#This Row],[Qtt]]*TbTradesNovaDAX[[#This Row],[Preço]],AF3+TbTradesNovaDAX[[#This Row],[Qtt]]*TbTradesNovaDAX[[#This Row],[Preço]])),AF3)-IF(TbTradesNovaDAX[[#This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Row],[Tipo]]="DROP"),AF3+TbTradesNovaDAX[[#This Row],[Qtt]],AF3-TbTradesNovaDAX[[#This Row],[Qtt]]),IF(TbTradesNovaDAX[[#This Row],[Tipo]]="BUY",AF3-TbTradesNovaDAX[[#This Row],[Qtt]]*TbTradesNovaDAX[[#This Row],[Preço]],AF3+TbTradesNovaDAX[[#This Row],[Qtt]]*TbTradesNovaDAX[[#This Row],[Preço]])),AF3)-IF(TbTradesNovaDAX[[#This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Row],[Tipo]]="DROP"),AF3+TbTradesNovaDAX[[#This Row],[Qtt]],AF3-TbTradesNovaDAX[[#This Row],[Qtt]]),IF(TbTradesNovaDAX[[#This Row],[Tipo]]="BUY",AF3-TbTradesNovaDAX[[#This Row],[Qtt]]*TbTradesNovaDAX[[#This Row],[Preço]],AF3+TbTradesNovaDAX[[#This Row],[Qtt]]*TbTradesNovaDAX[[#This Row],[Preço]])),AF3)-IF(TbTradesNovaDAX[[#This Row],[Moeda da Taxa]]=MID(AF$1,9,5),TbTradesNovaDAX[[#This Row],[Taxa]],0),8)))</f>
        <v>0</v>
      </c>
      <c r="AG4" s="50" cm="1">
        <f t="array" ref="AG4">IF(TbTradesNovaDAX[[#This Row],[Tipo]]="EMPTY",0,AG3+IF(TbTradesNovaDAX[[#This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Row],[Par]]))),$1:$1,0)),-(AF3-AF4)/AF3*AG3),0),0)+IF(TbTradesNovaDAX[[#This Row],[Tipo]]="SELL",IF(ISNUMBER(FIND(MID(AG$1,10,5),TbTradesNovaDAX[[#This Row],[Par]])),IF(FIND(MID(AG$1,10,5),TbTradesNovaDAX[[#This Row],[Par]])=1, -(AF3-AF4)/AF3*AG3,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Row],[Par]])),(-(AF3-AF4)/AF3*AG3)+IF(TbTradesNovaDAX[[#This Row],[Resultado]]&gt;0,0,TbTradesNovaDAX[[#This Row],[Taxa]]),0),0))</f>
        <v>0</v>
      </c>
      <c r="AH4" s="41">
        <f t="shared" si="6"/>
        <v>0</v>
      </c>
      <c r="AI4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Row],[Tipo]]="DROP"),AI3+TbTradesNovaDAX[[#This Row],[Qtt]],AI3-TbTradesNovaDAX[[#This Row],[Qtt]]),IF(TbTradesNovaDAX[[#This Row],[Tipo]]="BUY",AI3-TbTradesNovaDAX[[#This Row],[Qtt]]*TbTradesNovaDAX[[#This Row],[Preço]],AI3+TbTradesNovaDAX[[#This Row],[Qtt]]*TbTradesNovaDAX[[#This Row],[Preço]])),AI3)-IF(TbTradesNovaDAX[[#This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Row],[Tipo]]="DROP"),AI3+TbTradesNovaDAX[[#This Row],[Qtt]],AI3-TbTradesNovaDAX[[#This Row],[Qtt]]),IF(TbTradesNovaDAX[[#This Row],[Tipo]]="BUY",AI3-TbTradesNovaDAX[[#This Row],[Qtt]]*TbTradesNovaDAX[[#This Row],[Preço]],AI3+TbTradesNovaDAX[[#This Row],[Qtt]]*TbTradesNovaDAX[[#This Row],[Preço]])),AI3)-IF(TbTradesNovaDAX[[#This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Row],[Tipo]]="DROP"),AI3+TbTradesNovaDAX[[#This Row],[Qtt]],AI3-TbTradesNovaDAX[[#This Row],[Qtt]]),IF(TbTradesNovaDAX[[#This Row],[Tipo]]="BUY",AI3-TbTradesNovaDAX[[#This Row],[Qtt]]*TbTradesNovaDAX[[#This Row],[Preço]],AI3+TbTradesNovaDAX[[#This Row],[Qtt]]*TbTradesNovaDAX[[#This Row],[Preço]])),AI3)-IF(TbTradesNovaDAX[[#This Row],[Moeda da Taxa]]=MID(AI$1,9,5),TbTradesNovaDAX[[#This Row],[Taxa]],0),8)))</f>
        <v>0</v>
      </c>
      <c r="AJ4" s="50" cm="1">
        <f t="array" ref="AJ4">IF(TbTradesNovaDAX[[#This Row],[Tipo]]="EMPTY",0,AJ3+IF(TbTradesNovaDAX[[#This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Row],[Par]]))),$1:$1,0)),-(AI3-AI4)/AI3*AJ3),0),0)+IF(TbTradesNovaDAX[[#This Row],[Tipo]]="SELL",IF(ISNUMBER(FIND(MID(AJ$1,10,5),TbTradesNovaDAX[[#This Row],[Par]])),IF(FIND(MID(AJ$1,10,5),TbTradesNovaDAX[[#This Row],[Par]])=1, -(AI3-AI4)/AI3*AJ3,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Row],[Par]])),(-(AI3-AI4)/AI3*AJ3)+IF(TbTradesNovaDAX[[#This Row],[Resultado]]&gt;0,0,TbTradesNovaDAX[[#This Row],[Taxa]]),0),0))</f>
        <v>0</v>
      </c>
      <c r="AK4" s="41">
        <f t="shared" si="7"/>
        <v>0</v>
      </c>
      <c r="AL4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Row],[Tipo]]="DROP"),AL3+TbTradesNovaDAX[[#This Row],[Qtt]],AL3-TbTradesNovaDAX[[#This Row],[Qtt]]),IF(TbTradesNovaDAX[[#This Row],[Tipo]]="BUY",AL3-TbTradesNovaDAX[[#This Row],[Qtt]]*TbTradesNovaDAX[[#This Row],[Preço]],AL3+TbTradesNovaDAX[[#This Row],[Qtt]]*TbTradesNovaDAX[[#This Row],[Preço]])),AL3)-IF(TbTradesNovaDAX[[#This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Row],[Tipo]]="DROP"),AL3+TbTradesNovaDAX[[#This Row],[Qtt]],AL3-TbTradesNovaDAX[[#This Row],[Qtt]]),IF(TbTradesNovaDAX[[#This Row],[Tipo]]="BUY",AL3-TbTradesNovaDAX[[#This Row],[Qtt]]*TbTradesNovaDAX[[#This Row],[Preço]],AL3+TbTradesNovaDAX[[#This Row],[Qtt]]*TbTradesNovaDAX[[#This Row],[Preço]])),AL3)-IF(TbTradesNovaDAX[[#This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Row],[Tipo]]="DROP"),AL3+TbTradesNovaDAX[[#This Row],[Qtt]],AL3-TbTradesNovaDAX[[#This Row],[Qtt]]),IF(TbTradesNovaDAX[[#This Row],[Tipo]]="BUY",AL3-TbTradesNovaDAX[[#This Row],[Qtt]]*TbTradesNovaDAX[[#This Row],[Preço]],AL3+TbTradesNovaDAX[[#This Row],[Qtt]]*TbTradesNovaDAX[[#This Row],[Preço]])),AL3)-IF(TbTradesNovaDAX[[#This Row],[Moeda da Taxa]]=MID(AL$1,9,5),TbTradesNovaDAX[[#This Row],[Taxa]],0),8)))</f>
        <v>0</v>
      </c>
      <c r="AM4" s="50" cm="1">
        <f t="array" ref="AM4">IF(TbTradesNovaDAX[[#This Row],[Tipo]]="EMPTY",0,AM3+IF(TbTradesNovaDAX[[#This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Row],[Par]]))),$1:$1,0)),-(AL3-AL4)/AL3*AM3),0),0)+IF(TbTradesNovaDAX[[#This Row],[Tipo]]="SELL",IF(ISNUMBER(FIND(MID(AM$1,10,5),TbTradesNovaDAX[[#This Row],[Par]])),IF(FIND(MID(AM$1,10,5),TbTradesNovaDAX[[#This Row],[Par]])=1, -(AL3-AL4)/AL3*AM3,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Row],[Par]])),(-(AL3-AL4)/AL3*AM3)+IF(TbTradesNovaDAX[[#This Row],[Resultado]]&gt;0,0,TbTradesNovaDAX[[#This Row],[Taxa]]),0),0))</f>
        <v>0</v>
      </c>
      <c r="AN4" s="41">
        <f t="shared" si="8"/>
        <v>0</v>
      </c>
      <c r="AO4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Row],[Tipo]]="DROP"),AO3+TbTradesNovaDAX[[#This Row],[Qtt]],AO3-TbTradesNovaDAX[[#This Row],[Qtt]]),IF(TbTradesNovaDAX[[#This Row],[Tipo]]="BUY",AO3-TbTradesNovaDAX[[#This Row],[Qtt]]*TbTradesNovaDAX[[#This Row],[Preço]],AO3+TbTradesNovaDAX[[#This Row],[Qtt]]*TbTradesNovaDAX[[#This Row],[Preço]])),AO3)-IF(TbTradesNovaDAX[[#This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Row],[Tipo]]="DROP"),AO3+TbTradesNovaDAX[[#This Row],[Qtt]],AO3-TbTradesNovaDAX[[#This Row],[Qtt]]),IF(TbTradesNovaDAX[[#This Row],[Tipo]]="BUY",AO3-TbTradesNovaDAX[[#This Row],[Qtt]]*TbTradesNovaDAX[[#This Row],[Preço]],AO3+TbTradesNovaDAX[[#This Row],[Qtt]]*TbTradesNovaDAX[[#This Row],[Preço]])),AO3)-IF(TbTradesNovaDAX[[#This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Row],[Tipo]]="DROP"),AO3+TbTradesNovaDAX[[#This Row],[Qtt]],AO3-TbTradesNovaDAX[[#This Row],[Qtt]]),IF(TbTradesNovaDAX[[#This Row],[Tipo]]="BUY",AO3-TbTradesNovaDAX[[#This Row],[Qtt]]*TbTradesNovaDAX[[#This Row],[Preço]],AO3+TbTradesNovaDAX[[#This Row],[Qtt]]*TbTradesNovaDAX[[#This Row],[Preço]])),AO3)-IF(TbTradesNovaDAX[[#This Row],[Moeda da Taxa]]=MID(AO$1,9,5),TbTradesNovaDAX[[#This Row],[Taxa]],0),8)))</f>
        <v>0</v>
      </c>
      <c r="AP4" s="50" cm="1">
        <f t="array" ref="AP4">IF(TbTradesNovaDAX[[#This Row],[Tipo]]="EMPTY",0,AP3+IF(TbTradesNovaDAX[[#This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Row],[Par]]))),$1:$1,0)),-(AO3-AO4)/AO3*AP3),0),0)+IF(TbTradesNovaDAX[[#This Row],[Tipo]]="SELL",IF(ISNUMBER(FIND(MID(AP$1,10,5),TbTradesNovaDAX[[#This Row],[Par]])),IF(FIND(MID(AP$1,10,5),TbTradesNovaDAX[[#This Row],[Par]])=1, -(AO3-AO4)/AO3*AP3,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Row],[Par]])),(-(AO3-AO4)/AO3*AP3)+IF(TbTradesNovaDAX[[#This Row],[Resultado]]&gt;0,0,TbTradesNovaDAX[[#This Row],[Taxa]]),0),0))</f>
        <v>0</v>
      </c>
      <c r="AQ4" s="41">
        <f t="shared" si="9"/>
        <v>0</v>
      </c>
    </row>
    <row r="5" spans="1:43" x14ac:dyDescent="0.3">
      <c r="B5" s="65"/>
      <c r="C5" s="67">
        <f>TRUNC(IF(AND(TbTradesNovaDAX[[#This Row],[Tipo]]="SEND",TbTradesNovaDAX[[#This Row],[Par]]="BRL"),TbTradesNovaDAX[[#This Row],[Qtt]]*(1-P4)-IF(TbTradesNovaDAX[[#This Row],[Moeda da Taxa]]="BRL",TbTradesNovaDAX[[#This Row],[Taxa]],0),0)+IF(AND(TbTradesNovaDAX[[#This Row],[Tipo]]="BURN",TbTradesNovaDAX[[#This Row],[Par]]="BRL"),-TbTradesNovaDAX[[#This Row],[Qtt]]*P4,0),2)</f>
        <v>0</v>
      </c>
      <c r="D5" s="65">
        <v>44234.693749999999</v>
      </c>
      <c r="E5" s="77" t="s">
        <v>144</v>
      </c>
      <c r="F5" s="77" t="s">
        <v>139</v>
      </c>
      <c r="G5" s="78">
        <v>107.3171</v>
      </c>
      <c r="H5" s="78">
        <v>0.36899999999999999</v>
      </c>
      <c r="I5" s="78">
        <v>1.8450000000000001E-3</v>
      </c>
      <c r="J5" s="77" t="s">
        <v>9</v>
      </c>
      <c r="K5" s="75">
        <v>1</v>
      </c>
      <c r="L5" s="67">
        <f t="shared" si="10"/>
        <v>107.31</v>
      </c>
      <c r="M5" s="67">
        <f>IF(OR(TbTradesNovaDAX[[#This Row],[Tipo]]="BUY",TbTradesNovaDAX[[#This Row],[Tipo]]="RECEIVE"),L5*H5,-L5*H5)</f>
        <v>39.597389999999997</v>
      </c>
      <c r="N5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Row],[Tipo]]="DROP"),N4+TbTradesNovaDAX[[#This Row],[Qtt]],N4-TbTradesNovaDAX[[#This Row],[Qtt]]),IF(TbTradesNovaDAX[[#This Row],[Tipo]]="BUY",N4-TbTradesNovaDAX[[#This Row],[Qtt]]*TbTradesNovaDAX[[#This Row],[Preço]],N4+TbTradesNovaDAX[[#This Row],[Qtt]]*TbTradesNovaDAX[[#This Row],[Preço]])),N4)-IF(TbTradesNovaDAX[[#This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Row],[Tipo]]="DROP"),N4+TbTradesNovaDAX[[#This Row],[Qtt]],N4-TbTradesNovaDAX[[#This Row],[Qtt]]),IF(TbTradesNovaDAX[[#This Row],[Tipo]]="BUY",N4-TbTradesNovaDAX[[#This Row],[Qtt]]*TbTradesNovaDAX[[#This Row],[Preço]],N4+TbTradesNovaDAX[[#This Row],[Qtt]]*TbTradesNovaDAX[[#This Row],[Preço]])),N4)-IF(TbTradesNovaDAX[[#This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Row],[Tipo]]="DROP"),N4+TbTradesNovaDAX[[#This Row],[Qtt]],N4-TbTradesNovaDAX[[#This Row],[Qtt]]),IF(TbTradesNovaDAX[[#This Row],[Tipo]]="BUY",N4-TbTradesNovaDAX[[#This Row],[Qtt]]*TbTradesNovaDAX[[#This Row],[Preço]],N4+TbTradesNovaDAX[[#This Row],[Qtt]]*TbTradesNovaDAX[[#This Row],[Preço]])),N4)-IF(TbTradesNovaDAX[[#This Row],[Moeda da Taxa]]=MID(N$1,9,5),TbTradesNovaDAX[[#This Row],[Taxa]],0),8)))</f>
        <v>1.2439999999999999E-5</v>
      </c>
      <c r="O5" s="50" cm="1">
        <f t="array" ref="O5">IF(TbTradesNovaDAX[[#This Row],[Tipo]]="EMPTY",0,O4+IF(TbTradesNovaDAX[[#This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Row],[Par]]))),$1:$1,0)),-(N4-N5)/N4*O4),0),0)+IF(TbTradesNovaDAX[[#This Row],[Tipo]]="SELL",IF(ISNUMBER(FIND(MID(O$1,10,5),TbTradesNovaDAX[[#This Row],[Par]])),IF(FIND(MID(O$1,10,5),TbTradesNovaDAX[[#This Row],[Par]])=1, -(N4-N5)/N4*O4,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Row],[Par]])),(-(N4-N5)/N4*O4)+IF(TbTradesNovaDAX[[#This Row],[Resultado]]&gt;0,0,TbTradesNovaDAX[[#This Row],[Taxa]]),0),0))</f>
        <v>1.2439999999003248E-5</v>
      </c>
      <c r="P5" s="41">
        <f t="shared" si="0"/>
        <v>0.99999999991987532</v>
      </c>
      <c r="Q5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Row],[Tipo]]="DROP"),Q4+TbTradesNovaDAX[[#This Row],[Qtt]],Q4-TbTradesNovaDAX[[#This Row],[Qtt]]),IF(TbTradesNovaDAX[[#This Row],[Tipo]]="BUY",Q4-TbTradesNovaDAX[[#This Row],[Qtt]]*TbTradesNovaDAX[[#This Row],[Preço]],Q4+TbTradesNovaDAX[[#This Row],[Qtt]]*TbTradesNovaDAX[[#This Row],[Preço]])),Q4)-IF(TbTradesNovaDAX[[#This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Row],[Tipo]]="DROP"),Q4+TbTradesNovaDAX[[#This Row],[Qtt]],Q4-TbTradesNovaDAX[[#This Row],[Qtt]]),IF(TbTradesNovaDAX[[#This Row],[Tipo]]="BUY",Q4-TbTradesNovaDAX[[#This Row],[Qtt]]*TbTradesNovaDAX[[#This Row],[Preço]],Q4+TbTradesNovaDAX[[#This Row],[Qtt]]*TbTradesNovaDAX[[#This Row],[Preço]])),Q4)-IF(TbTradesNovaDAX[[#This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Row],[Tipo]]="DROP"),Q4+TbTradesNovaDAX[[#This Row],[Qtt]],Q4-TbTradesNovaDAX[[#This Row],[Qtt]]),IF(TbTradesNovaDAX[[#This Row],[Tipo]]="BUY",Q4-TbTradesNovaDAX[[#This Row],[Qtt]]*TbTradesNovaDAX[[#This Row],[Preço]],Q4+TbTradesNovaDAX[[#This Row],[Qtt]]*TbTradesNovaDAX[[#This Row],[Preço]])),Q4)-IF(TbTradesNovaDAX[[#This Row],[Moeda da Taxa]]=MID(Q$1,9,5),TbTradesNovaDAX[[#This Row],[Taxa]],0),8)))</f>
        <v>0</v>
      </c>
      <c r="R5" s="50" cm="1">
        <f t="array" ref="R5">IF(TbTradesNovaDAX[[#This Row],[Tipo]]="EMPTY",0,R4+IF(TbTradesNovaDAX[[#This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Row],[Par]]))),$1:$1,0)),-(Q4-Q5)/Q4*R4),0),0)+IF(TbTradesNovaDAX[[#This Row],[Tipo]]="SELL",IF(ISNUMBER(FIND(MID(R$1,10,5),TbTradesNovaDAX[[#This Row],[Par]])),IF(FIND(MID(R$1,10,5),TbTradesNovaDAX[[#This Row],[Par]])=1, -(Q4-Q5)/Q4*R4,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Row],[Par]])),(-(Q4-Q5)/Q4*R4)+IF(TbTradesNovaDAX[[#This Row],[Resultado]]&gt;0,0,TbTradesNovaDAX[[#This Row],[Taxa]]),0),0))</f>
        <v>0</v>
      </c>
      <c r="S5" s="41">
        <f t="shared" si="1"/>
        <v>0</v>
      </c>
      <c r="T5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Row],[Tipo]]="DROP"),T4+TbTradesNovaDAX[[#This Row],[Qtt]],T4-TbTradesNovaDAX[[#This Row],[Qtt]]),IF(TbTradesNovaDAX[[#This Row],[Tipo]]="BUY",T4-TbTradesNovaDAX[[#This Row],[Qtt]]*TbTradesNovaDAX[[#This Row],[Preço]],T4+TbTradesNovaDAX[[#This Row],[Qtt]]*TbTradesNovaDAX[[#This Row],[Preço]])),T4)-IF(TbTradesNovaDAX[[#This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Row],[Tipo]]="DROP"),T4+TbTradesNovaDAX[[#This Row],[Qtt]],T4-TbTradesNovaDAX[[#This Row],[Qtt]]),IF(TbTradesNovaDAX[[#This Row],[Tipo]]="BUY",T4-TbTradesNovaDAX[[#This Row],[Qtt]]*TbTradesNovaDAX[[#This Row],[Preço]],T4+TbTradesNovaDAX[[#This Row],[Qtt]]*TbTradesNovaDAX[[#This Row],[Preço]])),T4)-IF(TbTradesNovaDAX[[#This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Row],[Tipo]]="DROP"),T4+TbTradesNovaDAX[[#This Row],[Qtt]],T4-TbTradesNovaDAX[[#This Row],[Qtt]]),IF(TbTradesNovaDAX[[#This Row],[Tipo]]="BUY",T4-TbTradesNovaDAX[[#This Row],[Qtt]]*TbTradesNovaDAX[[#This Row],[Preço]],T4+TbTradesNovaDAX[[#This Row],[Qtt]]*TbTradesNovaDAX[[#This Row],[Preço]])),T4)-IF(TbTradesNovaDAX[[#This Row],[Moeda da Taxa]]=MID(T$1,9,5),TbTradesNovaDAX[[#This Row],[Taxa]],0),8)))</f>
        <v>0</v>
      </c>
      <c r="U5" s="50" cm="1">
        <f t="array" ref="U5">IF(TbTradesNovaDAX[[#This Row],[Tipo]]="EMPTY",0,U4+IF(TbTradesNovaDAX[[#This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Row],[Par]]))),$1:$1,0)),-(T4-T5)/T4*U4),0),0)+IF(TbTradesNovaDAX[[#This Row],[Tipo]]="SELL",IF(ISNUMBER(FIND(MID(U$1,10,5),TbTradesNovaDAX[[#This Row],[Par]])),IF(FIND(MID(U$1,10,5),TbTradesNovaDAX[[#This Row],[Par]])=1, -(T4-T5)/T4*U4,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Row],[Par]])),(-(T4-T5)/T4*U4)+IF(TbTradesNovaDAX[[#This Row],[Resultado]]&gt;0,0,TbTradesNovaDAX[[#This Row],[Taxa]]),0),0))</f>
        <v>0</v>
      </c>
      <c r="V5" s="41">
        <f t="shared" si="2"/>
        <v>0</v>
      </c>
      <c r="W5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Row],[Tipo]]="DROP"),W4+TbTradesNovaDAX[[#This Row],[Qtt]],W4-TbTradesNovaDAX[[#This Row],[Qtt]]),IF(TbTradesNovaDAX[[#This Row],[Tipo]]="BUY",W4-TbTradesNovaDAX[[#This Row],[Qtt]]*TbTradesNovaDAX[[#This Row],[Preço]],W4+TbTradesNovaDAX[[#This Row],[Qtt]]*TbTradesNovaDAX[[#This Row],[Preço]])),W4)-IF(TbTradesNovaDAX[[#This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Row],[Tipo]]="DROP"),W4+TbTradesNovaDAX[[#This Row],[Qtt]],W4-TbTradesNovaDAX[[#This Row],[Qtt]]),IF(TbTradesNovaDAX[[#This Row],[Tipo]]="BUY",W4-TbTradesNovaDAX[[#This Row],[Qtt]]*TbTradesNovaDAX[[#This Row],[Preço]],W4+TbTradesNovaDAX[[#This Row],[Qtt]]*TbTradesNovaDAX[[#This Row],[Preço]])),W4)-IF(TbTradesNovaDAX[[#This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Row],[Tipo]]="DROP"),W4+TbTradesNovaDAX[[#This Row],[Qtt]],W4-TbTradesNovaDAX[[#This Row],[Qtt]]),IF(TbTradesNovaDAX[[#This Row],[Tipo]]="BUY",W4-TbTradesNovaDAX[[#This Row],[Qtt]]*TbTradesNovaDAX[[#This Row],[Preço]],W4+TbTradesNovaDAX[[#This Row],[Qtt]]*TbTradesNovaDAX[[#This Row],[Preço]])),W4)-IF(TbTradesNovaDAX[[#This Row],[Moeda da Taxa]]=MID(W$1,9,5),TbTradesNovaDAX[[#This Row],[Taxa]],0),8)))</f>
        <v>0</v>
      </c>
      <c r="X5" s="50" cm="1">
        <f t="array" ref="X5">IF(TbTradesNovaDAX[[#This Row],[Tipo]]="EMPTY",0,X4+IF(TbTradesNovaDAX[[#This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Row],[Par]]))),$1:$1,0)),-(W4-W5)/W4*X4),0),0)+IF(TbTradesNovaDAX[[#This Row],[Tipo]]="SELL",IF(ISNUMBER(FIND(MID(X$1,10,5),TbTradesNovaDAX[[#This Row],[Par]])),IF(FIND(MID(X$1,10,5),TbTradesNovaDAX[[#This Row],[Par]])=1, -(W4-W5)/W4*X4,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Row],[Par]])),(-(W4-W5)/W4*X4)+IF(TbTradesNovaDAX[[#This Row],[Resultado]]&gt;0,0,TbTradesNovaDAX[[#This Row],[Taxa]]),0),0))</f>
        <v>0</v>
      </c>
      <c r="Y5" s="41">
        <f t="shared" si="3"/>
        <v>0</v>
      </c>
      <c r="Z5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Row],[Tipo]]="DROP"),Z4+TbTradesNovaDAX[[#This Row],[Qtt]],Z4-TbTradesNovaDAX[[#This Row],[Qtt]]),IF(TbTradesNovaDAX[[#This Row],[Tipo]]="BUY",Z4-TbTradesNovaDAX[[#This Row],[Qtt]]*TbTradesNovaDAX[[#This Row],[Preço]],Z4+TbTradesNovaDAX[[#This Row],[Qtt]]*TbTradesNovaDAX[[#This Row],[Preço]])),Z4)-IF(TbTradesNovaDAX[[#This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Row],[Tipo]]="DROP"),Z4+TbTradesNovaDAX[[#This Row],[Qtt]],Z4-TbTradesNovaDAX[[#This Row],[Qtt]]),IF(TbTradesNovaDAX[[#This Row],[Tipo]]="BUY",Z4-TbTradesNovaDAX[[#This Row],[Qtt]]*TbTradesNovaDAX[[#This Row],[Preço]],Z4+TbTradesNovaDAX[[#This Row],[Qtt]]*TbTradesNovaDAX[[#This Row],[Preço]])),Z4)-IF(TbTradesNovaDAX[[#This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Row],[Tipo]]="DROP"),Z4+TbTradesNovaDAX[[#This Row],[Qtt]],Z4-TbTradesNovaDAX[[#This Row],[Qtt]]),IF(TbTradesNovaDAX[[#This Row],[Tipo]]="BUY",Z4-TbTradesNovaDAX[[#This Row],[Qtt]]*TbTradesNovaDAX[[#This Row],[Preço]],Z4+TbTradesNovaDAX[[#This Row],[Qtt]]*TbTradesNovaDAX[[#This Row],[Preço]])),Z4)-IF(TbTradesNovaDAX[[#This Row],[Moeda da Taxa]]=MID(Z$1,9,5),TbTradesNovaDAX[[#This Row],[Taxa]],0),8)))</f>
        <v>1.078147E-2</v>
      </c>
      <c r="AA5" s="50" cm="1">
        <f t="array" ref="AA5">IF(TbTradesNovaDAX[[#This Row],[Tipo]]="EMPTY",0,AA4+IF(TbTradesNovaDAX[[#This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Row],[Par]]))),$1:$1,0)),-(Z4-Z5)/Z4*AA4),0),0)+IF(TbTradesNovaDAX[[#This Row],[Tipo]]="SELL",IF(ISNUMBER(FIND(MID(AA$1,10,5),TbTradesNovaDAX[[#This Row],[Par]])),IF(FIND(MID(AA$1,10,5),TbTradesNovaDAX[[#This Row],[Par]])=1, -(Z4-Z5)/Z4*AA4,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Row],[Par]])),(-(Z4-Z5)/Z4*AA4)+IF(TbTradesNovaDAX[[#This Row],[Resultado]]&gt;0,0,TbTradesNovaDAX[[#This Row],[Taxa]]),0),0))</f>
        <v>26.399977659999998</v>
      </c>
      <c r="AB5" s="41">
        <f t="shared" si="4"/>
        <v>2448.6436135332192</v>
      </c>
      <c r="AC5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Row],[Tipo]]="DROP"),AC4+TbTradesNovaDAX[[#This Row],[Qtt]],AC4-TbTradesNovaDAX[[#This Row],[Qtt]]),IF(TbTradesNovaDAX[[#This Row],[Tipo]]="BUY",AC4-TbTradesNovaDAX[[#This Row],[Qtt]]*TbTradesNovaDAX[[#This Row],[Preço]],AC4+TbTradesNovaDAX[[#This Row],[Qtt]]*TbTradesNovaDAX[[#This Row],[Preço]])),AC4)-IF(TbTradesNovaDAX[[#This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Row],[Tipo]]="DROP"),AC4+TbTradesNovaDAX[[#This Row],[Qtt]],AC4-TbTradesNovaDAX[[#This Row],[Qtt]]),IF(TbTradesNovaDAX[[#This Row],[Tipo]]="BUY",AC4-TbTradesNovaDAX[[#This Row],[Qtt]]*TbTradesNovaDAX[[#This Row],[Preço]],AC4+TbTradesNovaDAX[[#This Row],[Qtt]]*TbTradesNovaDAX[[#This Row],[Preço]])),AC4)-IF(TbTradesNovaDAX[[#This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Row],[Tipo]]="DROP"),AC4+TbTradesNovaDAX[[#This Row],[Qtt]],AC4-TbTradesNovaDAX[[#This Row],[Qtt]]),IF(TbTradesNovaDAX[[#This Row],[Tipo]]="BUY",AC4-TbTradesNovaDAX[[#This Row],[Qtt]]*TbTradesNovaDAX[[#This Row],[Preço]],AC4+TbTradesNovaDAX[[#This Row],[Qtt]]*TbTradesNovaDAX[[#This Row],[Preço]])),AC4)-IF(TbTradesNovaDAX[[#This Row],[Moeda da Taxa]]=MID(AC$1,9,5),TbTradesNovaDAX[[#This Row],[Taxa]],0),8)))</f>
        <v>0.36715500000000001</v>
      </c>
      <c r="AD5" s="50" cm="1">
        <f t="array" ref="AD5">IF(TbTradesNovaDAX[[#This Row],[Tipo]]="EMPTY",0,AD4+IF(TbTradesNovaDAX[[#This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Row],[Par]]))),$1:$1,0)),-(AC4-AC5)/AC4*AD4),0),0)+IF(TbTradesNovaDAX[[#This Row],[Tipo]]="SELL",IF(ISNUMBER(FIND(MID(AD$1,10,5),TbTradesNovaDAX[[#This Row],[Par]])),IF(FIND(MID(AD$1,10,5),TbTradesNovaDAX[[#This Row],[Par]])=1, -(AC4-AC5)/AC4*AD4,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Row],[Par]])),(-(AC4-AC5)/AC4*AD4)+IF(TbTradesNovaDAX[[#This Row],[Resultado]]&gt;0,0,TbTradesNovaDAX[[#This Row],[Taxa]]),0),0))</f>
        <v>39.600009900000003</v>
      </c>
      <c r="AE5" s="41">
        <f t="shared" si="5"/>
        <v>107.85638190954775</v>
      </c>
      <c r="AF5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Row],[Tipo]]="DROP"),AF4+TbTradesNovaDAX[[#This Row],[Qtt]],AF4-TbTradesNovaDAX[[#This Row],[Qtt]]),IF(TbTradesNovaDAX[[#This Row],[Tipo]]="BUY",AF4-TbTradesNovaDAX[[#This Row],[Qtt]]*TbTradesNovaDAX[[#This Row],[Preço]],AF4+TbTradesNovaDAX[[#This Row],[Qtt]]*TbTradesNovaDAX[[#This Row],[Preço]])),AF4)-IF(TbTradesNovaDAX[[#This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Row],[Tipo]]="DROP"),AF4+TbTradesNovaDAX[[#This Row],[Qtt]],AF4-TbTradesNovaDAX[[#This Row],[Qtt]]),IF(TbTradesNovaDAX[[#This Row],[Tipo]]="BUY",AF4-TbTradesNovaDAX[[#This Row],[Qtt]]*TbTradesNovaDAX[[#This Row],[Preço]],AF4+TbTradesNovaDAX[[#This Row],[Qtt]]*TbTradesNovaDAX[[#This Row],[Preço]])),AF4)-IF(TbTradesNovaDAX[[#This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Row],[Tipo]]="DROP"),AF4+TbTradesNovaDAX[[#This Row],[Qtt]],AF4-TbTradesNovaDAX[[#This Row],[Qtt]]),IF(TbTradesNovaDAX[[#This Row],[Tipo]]="BUY",AF4-TbTradesNovaDAX[[#This Row],[Qtt]]*TbTradesNovaDAX[[#This Row],[Preço]],AF4+TbTradesNovaDAX[[#This Row],[Qtt]]*TbTradesNovaDAX[[#This Row],[Preço]])),AF4)-IF(TbTradesNovaDAX[[#This Row],[Moeda da Taxa]]=MID(AF$1,9,5),TbTradesNovaDAX[[#This Row],[Taxa]],0),8)))</f>
        <v>0</v>
      </c>
      <c r="AG5" s="50" cm="1">
        <f t="array" ref="AG5">IF(TbTradesNovaDAX[[#This Row],[Tipo]]="EMPTY",0,AG4+IF(TbTradesNovaDAX[[#This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Row],[Par]]))),$1:$1,0)),-(AF4-AF5)/AF4*AG4),0),0)+IF(TbTradesNovaDAX[[#This Row],[Tipo]]="SELL",IF(ISNUMBER(FIND(MID(AG$1,10,5),TbTradesNovaDAX[[#This Row],[Par]])),IF(FIND(MID(AG$1,10,5),TbTradesNovaDAX[[#This Row],[Par]])=1, -(AF4-AF5)/AF4*AG4,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Row],[Par]])),(-(AF4-AF5)/AF4*AG4)+IF(TbTradesNovaDAX[[#This Row],[Resultado]]&gt;0,0,TbTradesNovaDAX[[#This Row],[Taxa]]),0),0))</f>
        <v>0</v>
      </c>
      <c r="AH5" s="41">
        <f t="shared" si="6"/>
        <v>0</v>
      </c>
      <c r="AI5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Row],[Tipo]]="DROP"),AI4+TbTradesNovaDAX[[#This Row],[Qtt]],AI4-TbTradesNovaDAX[[#This Row],[Qtt]]),IF(TbTradesNovaDAX[[#This Row],[Tipo]]="BUY",AI4-TbTradesNovaDAX[[#This Row],[Qtt]]*TbTradesNovaDAX[[#This Row],[Preço]],AI4+TbTradesNovaDAX[[#This Row],[Qtt]]*TbTradesNovaDAX[[#This Row],[Preço]])),AI4)-IF(TbTradesNovaDAX[[#This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Row],[Tipo]]="DROP"),AI4+TbTradesNovaDAX[[#This Row],[Qtt]],AI4-TbTradesNovaDAX[[#This Row],[Qtt]]),IF(TbTradesNovaDAX[[#This Row],[Tipo]]="BUY",AI4-TbTradesNovaDAX[[#This Row],[Qtt]]*TbTradesNovaDAX[[#This Row],[Preço]],AI4+TbTradesNovaDAX[[#This Row],[Qtt]]*TbTradesNovaDAX[[#This Row],[Preço]])),AI4)-IF(TbTradesNovaDAX[[#This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Row],[Tipo]]="DROP"),AI4+TbTradesNovaDAX[[#This Row],[Qtt]],AI4-TbTradesNovaDAX[[#This Row],[Qtt]]),IF(TbTradesNovaDAX[[#This Row],[Tipo]]="BUY",AI4-TbTradesNovaDAX[[#This Row],[Qtt]]*TbTradesNovaDAX[[#This Row],[Preço]],AI4+TbTradesNovaDAX[[#This Row],[Qtt]]*TbTradesNovaDAX[[#This Row],[Preço]])),AI4)-IF(TbTradesNovaDAX[[#This Row],[Moeda da Taxa]]=MID(AI$1,9,5),TbTradesNovaDAX[[#This Row],[Taxa]],0),8)))</f>
        <v>0</v>
      </c>
      <c r="AJ5" s="50" cm="1">
        <f t="array" ref="AJ5">IF(TbTradesNovaDAX[[#This Row],[Tipo]]="EMPTY",0,AJ4+IF(TbTradesNovaDAX[[#This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Row],[Par]]))),$1:$1,0)),-(AI4-AI5)/AI4*AJ4),0),0)+IF(TbTradesNovaDAX[[#This Row],[Tipo]]="SELL",IF(ISNUMBER(FIND(MID(AJ$1,10,5),TbTradesNovaDAX[[#This Row],[Par]])),IF(FIND(MID(AJ$1,10,5),TbTradesNovaDAX[[#This Row],[Par]])=1, -(AI4-AI5)/AI4*AJ4,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Row],[Par]])),(-(AI4-AI5)/AI4*AJ4)+IF(TbTradesNovaDAX[[#This Row],[Resultado]]&gt;0,0,TbTradesNovaDAX[[#This Row],[Taxa]]),0),0))</f>
        <v>0</v>
      </c>
      <c r="AK5" s="41">
        <f t="shared" si="7"/>
        <v>0</v>
      </c>
      <c r="AL5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Row],[Tipo]]="DROP"),AL4+TbTradesNovaDAX[[#This Row],[Qtt]],AL4-TbTradesNovaDAX[[#This Row],[Qtt]]),IF(TbTradesNovaDAX[[#This Row],[Tipo]]="BUY",AL4-TbTradesNovaDAX[[#This Row],[Qtt]]*TbTradesNovaDAX[[#This Row],[Preço]],AL4+TbTradesNovaDAX[[#This Row],[Qtt]]*TbTradesNovaDAX[[#This Row],[Preço]])),AL4)-IF(TbTradesNovaDAX[[#This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Row],[Tipo]]="DROP"),AL4+TbTradesNovaDAX[[#This Row],[Qtt]],AL4-TbTradesNovaDAX[[#This Row],[Qtt]]),IF(TbTradesNovaDAX[[#This Row],[Tipo]]="BUY",AL4-TbTradesNovaDAX[[#This Row],[Qtt]]*TbTradesNovaDAX[[#This Row],[Preço]],AL4+TbTradesNovaDAX[[#This Row],[Qtt]]*TbTradesNovaDAX[[#This Row],[Preço]])),AL4)-IF(TbTradesNovaDAX[[#This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Row],[Tipo]]="DROP"),AL4+TbTradesNovaDAX[[#This Row],[Qtt]],AL4-TbTradesNovaDAX[[#This Row],[Qtt]]),IF(TbTradesNovaDAX[[#This Row],[Tipo]]="BUY",AL4-TbTradesNovaDAX[[#This Row],[Qtt]]*TbTradesNovaDAX[[#This Row],[Preço]],AL4+TbTradesNovaDAX[[#This Row],[Qtt]]*TbTradesNovaDAX[[#This Row],[Preço]])),AL4)-IF(TbTradesNovaDAX[[#This Row],[Moeda da Taxa]]=MID(AL$1,9,5),TbTradesNovaDAX[[#This Row],[Taxa]],0),8)))</f>
        <v>0</v>
      </c>
      <c r="AM5" s="50" cm="1">
        <f t="array" ref="AM5">IF(TbTradesNovaDAX[[#This Row],[Tipo]]="EMPTY",0,AM4+IF(TbTradesNovaDAX[[#This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Row],[Par]]))),$1:$1,0)),-(AL4-AL5)/AL4*AM4),0),0)+IF(TbTradesNovaDAX[[#This Row],[Tipo]]="SELL",IF(ISNUMBER(FIND(MID(AM$1,10,5),TbTradesNovaDAX[[#This Row],[Par]])),IF(FIND(MID(AM$1,10,5),TbTradesNovaDAX[[#This Row],[Par]])=1, -(AL4-AL5)/AL4*AM4,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Row],[Par]])),(-(AL4-AL5)/AL4*AM4)+IF(TbTradesNovaDAX[[#This Row],[Resultado]]&gt;0,0,TbTradesNovaDAX[[#This Row],[Taxa]]),0),0))</f>
        <v>0</v>
      </c>
      <c r="AN5" s="41">
        <f t="shared" si="8"/>
        <v>0</v>
      </c>
      <c r="AO5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Row],[Tipo]]="DROP"),AO4+TbTradesNovaDAX[[#This Row],[Qtt]],AO4-TbTradesNovaDAX[[#This Row],[Qtt]]),IF(TbTradesNovaDAX[[#This Row],[Tipo]]="BUY",AO4-TbTradesNovaDAX[[#This Row],[Qtt]]*TbTradesNovaDAX[[#This Row],[Preço]],AO4+TbTradesNovaDAX[[#This Row],[Qtt]]*TbTradesNovaDAX[[#This Row],[Preço]])),AO4)-IF(TbTradesNovaDAX[[#This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Row],[Tipo]]="DROP"),AO4+TbTradesNovaDAX[[#This Row],[Qtt]],AO4-TbTradesNovaDAX[[#This Row],[Qtt]]),IF(TbTradesNovaDAX[[#This Row],[Tipo]]="BUY",AO4-TbTradesNovaDAX[[#This Row],[Qtt]]*TbTradesNovaDAX[[#This Row],[Preço]],AO4+TbTradesNovaDAX[[#This Row],[Qtt]]*TbTradesNovaDAX[[#This Row],[Preço]])),AO4)-IF(TbTradesNovaDAX[[#This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Row],[Tipo]]="DROP"),AO4+TbTradesNovaDAX[[#This Row],[Qtt]],AO4-TbTradesNovaDAX[[#This Row],[Qtt]]),IF(TbTradesNovaDAX[[#This Row],[Tipo]]="BUY",AO4-TbTradesNovaDAX[[#This Row],[Qtt]]*TbTradesNovaDAX[[#This Row],[Preço]],AO4+TbTradesNovaDAX[[#This Row],[Qtt]]*TbTradesNovaDAX[[#This Row],[Preço]])),AO4)-IF(TbTradesNovaDAX[[#This Row],[Moeda da Taxa]]=MID(AO$1,9,5),TbTradesNovaDAX[[#This Row],[Taxa]],0),8)))</f>
        <v>0</v>
      </c>
      <c r="AP5" s="50" cm="1">
        <f t="array" ref="AP5">IF(TbTradesNovaDAX[[#This Row],[Tipo]]="EMPTY",0,AP4+IF(TbTradesNovaDAX[[#This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Row],[Par]]))),$1:$1,0)),-(AO4-AO5)/AO4*AP4),0),0)+IF(TbTradesNovaDAX[[#This Row],[Tipo]]="SELL",IF(ISNUMBER(FIND(MID(AP$1,10,5),TbTradesNovaDAX[[#This Row],[Par]])),IF(FIND(MID(AP$1,10,5),TbTradesNovaDAX[[#This Row],[Par]])=1, -(AO4-AO5)/AO4*AP4,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Row],[Par]])),(-(AO4-AO5)/AO4*AP4)+IF(TbTradesNovaDAX[[#This Row],[Resultado]]&gt;0,0,TbTradesNovaDAX[[#This Row],[Taxa]]),0),0))</f>
        <v>0</v>
      </c>
      <c r="AQ5" s="41">
        <f t="shared" si="9"/>
        <v>0</v>
      </c>
    </row>
    <row r="6" spans="1:43" x14ac:dyDescent="0.3">
      <c r="B6" s="65" t="s">
        <v>136</v>
      </c>
      <c r="C6" s="67">
        <f>TRUNC(IF(AND(TbTradesNovaDAX[[#This Row],[Tipo]]="SEND",TbTradesNovaDAX[[#This Row],[Par]]="BRL"),TbTradesNovaDAX[[#This Row],[Qtt]]*(1-P5)-IF(TbTradesNovaDAX[[#This Row],[Moeda da Taxa]]="BRL",TbTradesNovaDAX[[#This Row],[Taxa]],0),0)+IF(AND(TbTradesNovaDAX[[#This Row],[Tipo]]="BURN",TbTradesNovaDAX[[#This Row],[Par]]="BRL"),-TbTradesNovaDAX[[#This Row],[Qtt]]*P5,0),2)</f>
        <v>0</v>
      </c>
      <c r="D6" s="65">
        <v>44241.5078587963</v>
      </c>
      <c r="E6" s="77" t="s">
        <v>50</v>
      </c>
      <c r="F6" s="77" t="s">
        <v>137</v>
      </c>
      <c r="G6" s="78">
        <v>1</v>
      </c>
      <c r="H6" s="78">
        <v>400</v>
      </c>
      <c r="I6" s="78">
        <v>0</v>
      </c>
      <c r="J6" s="77" t="s">
        <v>50</v>
      </c>
      <c r="K6" s="75">
        <v>1</v>
      </c>
      <c r="L6" s="67">
        <f t="shared" si="10"/>
        <v>1</v>
      </c>
      <c r="M6" s="67">
        <f>IF(OR(TbTradesNovaDAX[[#This Row],[Tipo]]="BUY",TbTradesNovaDAX[[#This Row],[Tipo]]="RECEIVE"),L6*H6,-L6*H6)</f>
        <v>400</v>
      </c>
      <c r="N6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Row],[Tipo]]="DROP"),N5+TbTradesNovaDAX[[#This Row],[Qtt]],N5-TbTradesNovaDAX[[#This Row],[Qtt]]),IF(TbTradesNovaDAX[[#This Row],[Tipo]]="BUY",N5-TbTradesNovaDAX[[#This Row],[Qtt]]*TbTradesNovaDAX[[#This Row],[Preço]],N5+TbTradesNovaDAX[[#This Row],[Qtt]]*TbTradesNovaDAX[[#This Row],[Preço]])),N5)-IF(TbTradesNovaDAX[[#This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Row],[Tipo]]="DROP"),N5+TbTradesNovaDAX[[#This Row],[Qtt]],N5-TbTradesNovaDAX[[#This Row],[Qtt]]),IF(TbTradesNovaDAX[[#This Row],[Tipo]]="BUY",N5-TbTradesNovaDAX[[#This Row],[Qtt]]*TbTradesNovaDAX[[#This Row],[Preço]],N5+TbTradesNovaDAX[[#This Row],[Qtt]]*TbTradesNovaDAX[[#This Row],[Preço]])),N5)-IF(TbTradesNovaDAX[[#This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Row],[Tipo]]="DROP"),N5+TbTradesNovaDAX[[#This Row],[Qtt]],N5-TbTradesNovaDAX[[#This Row],[Qtt]]),IF(TbTradesNovaDAX[[#This Row],[Tipo]]="BUY",N5-TbTradesNovaDAX[[#This Row],[Qtt]]*TbTradesNovaDAX[[#This Row],[Preço]],N5+TbTradesNovaDAX[[#This Row],[Qtt]]*TbTradesNovaDAX[[#This Row],[Preço]])),N5)-IF(TbTradesNovaDAX[[#This Row],[Moeda da Taxa]]=MID(N$1,9,5),TbTradesNovaDAX[[#This Row],[Taxa]],0),8)))</f>
        <v>400.00001243999998</v>
      </c>
      <c r="O6" s="50" cm="1">
        <f t="array" ref="O6">IF(TbTradesNovaDAX[[#This Row],[Tipo]]="EMPTY",0,O5+IF(TbTradesNovaDAX[[#This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Row],[Par]]))),$1:$1,0)),-(N5-N6)/N5*O5),0),0)+IF(TbTradesNovaDAX[[#This Row],[Tipo]]="SELL",IF(ISNUMBER(FIND(MID(O$1,10,5),TbTradesNovaDAX[[#This Row],[Par]])),IF(FIND(MID(O$1,10,5),TbTradesNovaDAX[[#This Row],[Par]])=1, -(N5-N6)/N5*O5,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Row],[Par]])),(-(N5-N6)/N5*O5)+IF(TbTradesNovaDAX[[#This Row],[Resultado]]&gt;0,0,TbTradesNovaDAX[[#This Row],[Taxa]]),0),0))</f>
        <v>400.00001243999998</v>
      </c>
      <c r="P6" s="41">
        <f t="shared" si="0"/>
        <v>1</v>
      </c>
      <c r="Q6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Row],[Tipo]]="DROP"),Q5+TbTradesNovaDAX[[#This Row],[Qtt]],Q5-TbTradesNovaDAX[[#This Row],[Qtt]]),IF(TbTradesNovaDAX[[#This Row],[Tipo]]="BUY",Q5-TbTradesNovaDAX[[#This Row],[Qtt]]*TbTradesNovaDAX[[#This Row],[Preço]],Q5+TbTradesNovaDAX[[#This Row],[Qtt]]*TbTradesNovaDAX[[#This Row],[Preço]])),Q5)-IF(TbTradesNovaDAX[[#This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Row],[Tipo]]="DROP"),Q5+TbTradesNovaDAX[[#This Row],[Qtt]],Q5-TbTradesNovaDAX[[#This Row],[Qtt]]),IF(TbTradesNovaDAX[[#This Row],[Tipo]]="BUY",Q5-TbTradesNovaDAX[[#This Row],[Qtt]]*TbTradesNovaDAX[[#This Row],[Preço]],Q5+TbTradesNovaDAX[[#This Row],[Qtt]]*TbTradesNovaDAX[[#This Row],[Preço]])),Q5)-IF(TbTradesNovaDAX[[#This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Row],[Tipo]]="DROP"),Q5+TbTradesNovaDAX[[#This Row],[Qtt]],Q5-TbTradesNovaDAX[[#This Row],[Qtt]]),IF(TbTradesNovaDAX[[#This Row],[Tipo]]="BUY",Q5-TbTradesNovaDAX[[#This Row],[Qtt]]*TbTradesNovaDAX[[#This Row],[Preço]],Q5+TbTradesNovaDAX[[#This Row],[Qtt]]*TbTradesNovaDAX[[#This Row],[Preço]])),Q5)-IF(TbTradesNovaDAX[[#This Row],[Moeda da Taxa]]=MID(Q$1,9,5),TbTradesNovaDAX[[#This Row],[Taxa]],0),8)))</f>
        <v>0</v>
      </c>
      <c r="R6" s="50" cm="1">
        <f t="array" ref="R6">IF(TbTradesNovaDAX[[#This Row],[Tipo]]="EMPTY",0,R5+IF(TbTradesNovaDAX[[#This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Row],[Par]]))),$1:$1,0)),-(Q5-Q6)/Q5*R5),0),0)+IF(TbTradesNovaDAX[[#This Row],[Tipo]]="SELL",IF(ISNUMBER(FIND(MID(R$1,10,5),TbTradesNovaDAX[[#This Row],[Par]])),IF(FIND(MID(R$1,10,5),TbTradesNovaDAX[[#This Row],[Par]])=1, -(Q5-Q6)/Q5*R5,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Row],[Par]])),(-(Q5-Q6)/Q5*R5)+IF(TbTradesNovaDAX[[#This Row],[Resultado]]&gt;0,0,TbTradesNovaDAX[[#This Row],[Taxa]]),0),0))</f>
        <v>0</v>
      </c>
      <c r="S6" s="41">
        <f t="shared" si="1"/>
        <v>0</v>
      </c>
      <c r="T6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Row],[Tipo]]="DROP"),T5+TbTradesNovaDAX[[#This Row],[Qtt]],T5-TbTradesNovaDAX[[#This Row],[Qtt]]),IF(TbTradesNovaDAX[[#This Row],[Tipo]]="BUY",T5-TbTradesNovaDAX[[#This Row],[Qtt]]*TbTradesNovaDAX[[#This Row],[Preço]],T5+TbTradesNovaDAX[[#This Row],[Qtt]]*TbTradesNovaDAX[[#This Row],[Preço]])),T5)-IF(TbTradesNovaDAX[[#This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Row],[Tipo]]="DROP"),T5+TbTradesNovaDAX[[#This Row],[Qtt]],T5-TbTradesNovaDAX[[#This Row],[Qtt]]),IF(TbTradesNovaDAX[[#This Row],[Tipo]]="BUY",T5-TbTradesNovaDAX[[#This Row],[Qtt]]*TbTradesNovaDAX[[#This Row],[Preço]],T5+TbTradesNovaDAX[[#This Row],[Qtt]]*TbTradesNovaDAX[[#This Row],[Preço]])),T5)-IF(TbTradesNovaDAX[[#This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Row],[Tipo]]="DROP"),T5+TbTradesNovaDAX[[#This Row],[Qtt]],T5-TbTradesNovaDAX[[#This Row],[Qtt]]),IF(TbTradesNovaDAX[[#This Row],[Tipo]]="BUY",T5-TbTradesNovaDAX[[#This Row],[Qtt]]*TbTradesNovaDAX[[#This Row],[Preço]],T5+TbTradesNovaDAX[[#This Row],[Qtt]]*TbTradesNovaDAX[[#This Row],[Preço]])),T5)-IF(TbTradesNovaDAX[[#This Row],[Moeda da Taxa]]=MID(T$1,9,5),TbTradesNovaDAX[[#This Row],[Taxa]],0),8)))</f>
        <v>0</v>
      </c>
      <c r="U6" s="50" cm="1">
        <f t="array" ref="U6">IF(TbTradesNovaDAX[[#This Row],[Tipo]]="EMPTY",0,U5+IF(TbTradesNovaDAX[[#This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Row],[Par]]))),$1:$1,0)),-(T5-T6)/T5*U5),0),0)+IF(TbTradesNovaDAX[[#This Row],[Tipo]]="SELL",IF(ISNUMBER(FIND(MID(U$1,10,5),TbTradesNovaDAX[[#This Row],[Par]])),IF(FIND(MID(U$1,10,5),TbTradesNovaDAX[[#This Row],[Par]])=1, -(T5-T6)/T5*U5,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Row],[Par]])),(-(T5-T6)/T5*U5)+IF(TbTradesNovaDAX[[#This Row],[Resultado]]&gt;0,0,TbTradesNovaDAX[[#This Row],[Taxa]]),0),0))</f>
        <v>0</v>
      </c>
      <c r="V6" s="41">
        <f t="shared" si="2"/>
        <v>0</v>
      </c>
      <c r="W6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Row],[Tipo]]="DROP"),W5+TbTradesNovaDAX[[#This Row],[Qtt]],W5-TbTradesNovaDAX[[#This Row],[Qtt]]),IF(TbTradesNovaDAX[[#This Row],[Tipo]]="BUY",W5-TbTradesNovaDAX[[#This Row],[Qtt]]*TbTradesNovaDAX[[#This Row],[Preço]],W5+TbTradesNovaDAX[[#This Row],[Qtt]]*TbTradesNovaDAX[[#This Row],[Preço]])),W5)-IF(TbTradesNovaDAX[[#This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Row],[Tipo]]="DROP"),W5+TbTradesNovaDAX[[#This Row],[Qtt]],W5-TbTradesNovaDAX[[#This Row],[Qtt]]),IF(TbTradesNovaDAX[[#This Row],[Tipo]]="BUY",W5-TbTradesNovaDAX[[#This Row],[Qtt]]*TbTradesNovaDAX[[#This Row],[Preço]],W5+TbTradesNovaDAX[[#This Row],[Qtt]]*TbTradesNovaDAX[[#This Row],[Preço]])),W5)-IF(TbTradesNovaDAX[[#This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Row],[Tipo]]="DROP"),W5+TbTradesNovaDAX[[#This Row],[Qtt]],W5-TbTradesNovaDAX[[#This Row],[Qtt]]),IF(TbTradesNovaDAX[[#This Row],[Tipo]]="BUY",W5-TbTradesNovaDAX[[#This Row],[Qtt]]*TbTradesNovaDAX[[#This Row],[Preço]],W5+TbTradesNovaDAX[[#This Row],[Qtt]]*TbTradesNovaDAX[[#This Row],[Preço]])),W5)-IF(TbTradesNovaDAX[[#This Row],[Moeda da Taxa]]=MID(W$1,9,5),TbTradesNovaDAX[[#This Row],[Taxa]],0),8)))</f>
        <v>0</v>
      </c>
      <c r="X6" s="50" cm="1">
        <f t="array" ref="X6">IF(TbTradesNovaDAX[[#This Row],[Tipo]]="EMPTY",0,X5+IF(TbTradesNovaDAX[[#This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Row],[Par]]))),$1:$1,0)),-(W5-W6)/W5*X5),0),0)+IF(TbTradesNovaDAX[[#This Row],[Tipo]]="SELL",IF(ISNUMBER(FIND(MID(X$1,10,5),TbTradesNovaDAX[[#This Row],[Par]])),IF(FIND(MID(X$1,10,5),TbTradesNovaDAX[[#This Row],[Par]])=1, -(W5-W6)/W5*X5,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Row],[Par]])),(-(W5-W6)/W5*X5)+IF(TbTradesNovaDAX[[#This Row],[Resultado]]&gt;0,0,TbTradesNovaDAX[[#This Row],[Taxa]]),0),0))</f>
        <v>0</v>
      </c>
      <c r="Y6" s="41">
        <f t="shared" si="3"/>
        <v>0</v>
      </c>
      <c r="Z6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Row],[Tipo]]="DROP"),Z5+TbTradesNovaDAX[[#This Row],[Qtt]],Z5-TbTradesNovaDAX[[#This Row],[Qtt]]),IF(TbTradesNovaDAX[[#This Row],[Tipo]]="BUY",Z5-TbTradesNovaDAX[[#This Row],[Qtt]]*TbTradesNovaDAX[[#This Row],[Preço]],Z5+TbTradesNovaDAX[[#This Row],[Qtt]]*TbTradesNovaDAX[[#This Row],[Preço]])),Z5)-IF(TbTradesNovaDAX[[#This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Row],[Tipo]]="DROP"),Z5+TbTradesNovaDAX[[#This Row],[Qtt]],Z5-TbTradesNovaDAX[[#This Row],[Qtt]]),IF(TbTradesNovaDAX[[#This Row],[Tipo]]="BUY",Z5-TbTradesNovaDAX[[#This Row],[Qtt]]*TbTradesNovaDAX[[#This Row],[Preço]],Z5+TbTradesNovaDAX[[#This Row],[Qtt]]*TbTradesNovaDAX[[#This Row],[Preço]])),Z5)-IF(TbTradesNovaDAX[[#This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Row],[Tipo]]="DROP"),Z5+TbTradesNovaDAX[[#This Row],[Qtt]],Z5-TbTradesNovaDAX[[#This Row],[Qtt]]),IF(TbTradesNovaDAX[[#This Row],[Tipo]]="BUY",Z5-TbTradesNovaDAX[[#This Row],[Qtt]]*TbTradesNovaDAX[[#This Row],[Preço]],Z5+TbTradesNovaDAX[[#This Row],[Qtt]]*TbTradesNovaDAX[[#This Row],[Preço]])),Z5)-IF(TbTradesNovaDAX[[#This Row],[Moeda da Taxa]]=MID(Z$1,9,5),TbTradesNovaDAX[[#This Row],[Taxa]],0),8)))</f>
        <v>1.078147E-2</v>
      </c>
      <c r="AA6" s="50" cm="1">
        <f t="array" ref="AA6">IF(TbTradesNovaDAX[[#This Row],[Tipo]]="EMPTY",0,AA5+IF(TbTradesNovaDAX[[#This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Row],[Par]]))),$1:$1,0)),-(Z5-Z6)/Z5*AA5),0),0)+IF(TbTradesNovaDAX[[#This Row],[Tipo]]="SELL",IF(ISNUMBER(FIND(MID(AA$1,10,5),TbTradesNovaDAX[[#This Row],[Par]])),IF(FIND(MID(AA$1,10,5),TbTradesNovaDAX[[#This Row],[Par]])=1, -(Z5-Z6)/Z5*AA5,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Row],[Par]])),(-(Z5-Z6)/Z5*AA5)+IF(TbTradesNovaDAX[[#This Row],[Resultado]]&gt;0,0,TbTradesNovaDAX[[#This Row],[Taxa]]),0),0))</f>
        <v>26.399977659999998</v>
      </c>
      <c r="AB6" s="41">
        <f t="shared" si="4"/>
        <v>2448.6436135332192</v>
      </c>
      <c r="AC6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Row],[Tipo]]="DROP"),AC5+TbTradesNovaDAX[[#This Row],[Qtt]],AC5-TbTradesNovaDAX[[#This Row],[Qtt]]),IF(TbTradesNovaDAX[[#This Row],[Tipo]]="BUY",AC5-TbTradesNovaDAX[[#This Row],[Qtt]]*TbTradesNovaDAX[[#This Row],[Preço]],AC5+TbTradesNovaDAX[[#This Row],[Qtt]]*TbTradesNovaDAX[[#This Row],[Preço]])),AC5)-IF(TbTradesNovaDAX[[#This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Row],[Tipo]]="DROP"),AC5+TbTradesNovaDAX[[#This Row],[Qtt]],AC5-TbTradesNovaDAX[[#This Row],[Qtt]]),IF(TbTradesNovaDAX[[#This Row],[Tipo]]="BUY",AC5-TbTradesNovaDAX[[#This Row],[Qtt]]*TbTradesNovaDAX[[#This Row],[Preço]],AC5+TbTradesNovaDAX[[#This Row],[Qtt]]*TbTradesNovaDAX[[#This Row],[Preço]])),AC5)-IF(TbTradesNovaDAX[[#This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Row],[Tipo]]="DROP"),AC5+TbTradesNovaDAX[[#This Row],[Qtt]],AC5-TbTradesNovaDAX[[#This Row],[Qtt]]),IF(TbTradesNovaDAX[[#This Row],[Tipo]]="BUY",AC5-TbTradesNovaDAX[[#This Row],[Qtt]]*TbTradesNovaDAX[[#This Row],[Preço]],AC5+TbTradesNovaDAX[[#This Row],[Qtt]]*TbTradesNovaDAX[[#This Row],[Preço]])),AC5)-IF(TbTradesNovaDAX[[#This Row],[Moeda da Taxa]]=MID(AC$1,9,5),TbTradesNovaDAX[[#This Row],[Taxa]],0),8)))</f>
        <v>0.36715500000000001</v>
      </c>
      <c r="AD6" s="50" cm="1">
        <f t="array" ref="AD6">IF(TbTradesNovaDAX[[#This Row],[Tipo]]="EMPTY",0,AD5+IF(TbTradesNovaDAX[[#This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Row],[Par]]))),$1:$1,0)),-(AC5-AC6)/AC5*AD5),0),0)+IF(TbTradesNovaDAX[[#This Row],[Tipo]]="SELL",IF(ISNUMBER(FIND(MID(AD$1,10,5),TbTradesNovaDAX[[#This Row],[Par]])),IF(FIND(MID(AD$1,10,5),TbTradesNovaDAX[[#This Row],[Par]])=1, -(AC5-AC6)/AC5*AD5,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Row],[Par]])),(-(AC5-AC6)/AC5*AD5)+IF(TbTradesNovaDAX[[#This Row],[Resultado]]&gt;0,0,TbTradesNovaDAX[[#This Row],[Taxa]]),0),0))</f>
        <v>39.600009900000003</v>
      </c>
      <c r="AE6" s="41">
        <f t="shared" si="5"/>
        <v>107.85638190954775</v>
      </c>
      <c r="AF6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Row],[Tipo]]="DROP"),AF5+TbTradesNovaDAX[[#This Row],[Qtt]],AF5-TbTradesNovaDAX[[#This Row],[Qtt]]),IF(TbTradesNovaDAX[[#This Row],[Tipo]]="BUY",AF5-TbTradesNovaDAX[[#This Row],[Qtt]]*TbTradesNovaDAX[[#This Row],[Preço]],AF5+TbTradesNovaDAX[[#This Row],[Qtt]]*TbTradesNovaDAX[[#This Row],[Preço]])),AF5)-IF(TbTradesNovaDAX[[#This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Row],[Tipo]]="DROP"),AF5+TbTradesNovaDAX[[#This Row],[Qtt]],AF5-TbTradesNovaDAX[[#This Row],[Qtt]]),IF(TbTradesNovaDAX[[#This Row],[Tipo]]="BUY",AF5-TbTradesNovaDAX[[#This Row],[Qtt]]*TbTradesNovaDAX[[#This Row],[Preço]],AF5+TbTradesNovaDAX[[#This Row],[Qtt]]*TbTradesNovaDAX[[#This Row],[Preço]])),AF5)-IF(TbTradesNovaDAX[[#This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Row],[Tipo]]="DROP"),AF5+TbTradesNovaDAX[[#This Row],[Qtt]],AF5-TbTradesNovaDAX[[#This Row],[Qtt]]),IF(TbTradesNovaDAX[[#This Row],[Tipo]]="BUY",AF5-TbTradesNovaDAX[[#This Row],[Qtt]]*TbTradesNovaDAX[[#This Row],[Preço]],AF5+TbTradesNovaDAX[[#This Row],[Qtt]]*TbTradesNovaDAX[[#This Row],[Preço]])),AF5)-IF(TbTradesNovaDAX[[#This Row],[Moeda da Taxa]]=MID(AF$1,9,5),TbTradesNovaDAX[[#This Row],[Taxa]],0),8)))</f>
        <v>0</v>
      </c>
      <c r="AG6" s="50" cm="1">
        <f t="array" ref="AG6">IF(TbTradesNovaDAX[[#This Row],[Tipo]]="EMPTY",0,AG5+IF(TbTradesNovaDAX[[#This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Row],[Par]]))),$1:$1,0)),-(AF5-AF6)/AF5*AG5),0),0)+IF(TbTradesNovaDAX[[#This Row],[Tipo]]="SELL",IF(ISNUMBER(FIND(MID(AG$1,10,5),TbTradesNovaDAX[[#This Row],[Par]])),IF(FIND(MID(AG$1,10,5),TbTradesNovaDAX[[#This Row],[Par]])=1, -(AF5-AF6)/AF5*AG5,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Row],[Par]])),(-(AF5-AF6)/AF5*AG5)+IF(TbTradesNovaDAX[[#This Row],[Resultado]]&gt;0,0,TbTradesNovaDAX[[#This Row],[Taxa]]),0),0))</f>
        <v>0</v>
      </c>
      <c r="AH6" s="41">
        <f t="shared" si="6"/>
        <v>0</v>
      </c>
      <c r="AI6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Row],[Tipo]]="DROP"),AI5+TbTradesNovaDAX[[#This Row],[Qtt]],AI5-TbTradesNovaDAX[[#This Row],[Qtt]]),IF(TbTradesNovaDAX[[#This Row],[Tipo]]="BUY",AI5-TbTradesNovaDAX[[#This Row],[Qtt]]*TbTradesNovaDAX[[#This Row],[Preço]],AI5+TbTradesNovaDAX[[#This Row],[Qtt]]*TbTradesNovaDAX[[#This Row],[Preço]])),AI5)-IF(TbTradesNovaDAX[[#This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Row],[Tipo]]="DROP"),AI5+TbTradesNovaDAX[[#This Row],[Qtt]],AI5-TbTradesNovaDAX[[#This Row],[Qtt]]),IF(TbTradesNovaDAX[[#This Row],[Tipo]]="BUY",AI5-TbTradesNovaDAX[[#This Row],[Qtt]]*TbTradesNovaDAX[[#This Row],[Preço]],AI5+TbTradesNovaDAX[[#This Row],[Qtt]]*TbTradesNovaDAX[[#This Row],[Preço]])),AI5)-IF(TbTradesNovaDAX[[#This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Row],[Tipo]]="DROP"),AI5+TbTradesNovaDAX[[#This Row],[Qtt]],AI5-TbTradesNovaDAX[[#This Row],[Qtt]]),IF(TbTradesNovaDAX[[#This Row],[Tipo]]="BUY",AI5-TbTradesNovaDAX[[#This Row],[Qtt]]*TbTradesNovaDAX[[#This Row],[Preço]],AI5+TbTradesNovaDAX[[#This Row],[Qtt]]*TbTradesNovaDAX[[#This Row],[Preço]])),AI5)-IF(TbTradesNovaDAX[[#This Row],[Moeda da Taxa]]=MID(AI$1,9,5),TbTradesNovaDAX[[#This Row],[Taxa]],0),8)))</f>
        <v>0</v>
      </c>
      <c r="AJ6" s="50" cm="1">
        <f t="array" ref="AJ6">IF(TbTradesNovaDAX[[#This Row],[Tipo]]="EMPTY",0,AJ5+IF(TbTradesNovaDAX[[#This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Row],[Par]]))),$1:$1,0)),-(AI5-AI6)/AI5*AJ5),0),0)+IF(TbTradesNovaDAX[[#This Row],[Tipo]]="SELL",IF(ISNUMBER(FIND(MID(AJ$1,10,5),TbTradesNovaDAX[[#This Row],[Par]])),IF(FIND(MID(AJ$1,10,5),TbTradesNovaDAX[[#This Row],[Par]])=1, -(AI5-AI6)/AI5*AJ5,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Row],[Par]])),(-(AI5-AI6)/AI5*AJ5)+IF(TbTradesNovaDAX[[#This Row],[Resultado]]&gt;0,0,TbTradesNovaDAX[[#This Row],[Taxa]]),0),0))</f>
        <v>0</v>
      </c>
      <c r="AK6" s="41">
        <f t="shared" si="7"/>
        <v>0</v>
      </c>
      <c r="AL6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Row],[Tipo]]="DROP"),AL5+TbTradesNovaDAX[[#This Row],[Qtt]],AL5-TbTradesNovaDAX[[#This Row],[Qtt]]),IF(TbTradesNovaDAX[[#This Row],[Tipo]]="BUY",AL5-TbTradesNovaDAX[[#This Row],[Qtt]]*TbTradesNovaDAX[[#This Row],[Preço]],AL5+TbTradesNovaDAX[[#This Row],[Qtt]]*TbTradesNovaDAX[[#This Row],[Preço]])),AL5)-IF(TbTradesNovaDAX[[#This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Row],[Tipo]]="DROP"),AL5+TbTradesNovaDAX[[#This Row],[Qtt]],AL5-TbTradesNovaDAX[[#This Row],[Qtt]]),IF(TbTradesNovaDAX[[#This Row],[Tipo]]="BUY",AL5-TbTradesNovaDAX[[#This Row],[Qtt]]*TbTradesNovaDAX[[#This Row],[Preço]],AL5+TbTradesNovaDAX[[#This Row],[Qtt]]*TbTradesNovaDAX[[#This Row],[Preço]])),AL5)-IF(TbTradesNovaDAX[[#This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Row],[Tipo]]="DROP"),AL5+TbTradesNovaDAX[[#This Row],[Qtt]],AL5-TbTradesNovaDAX[[#This Row],[Qtt]]),IF(TbTradesNovaDAX[[#This Row],[Tipo]]="BUY",AL5-TbTradesNovaDAX[[#This Row],[Qtt]]*TbTradesNovaDAX[[#This Row],[Preço]],AL5+TbTradesNovaDAX[[#This Row],[Qtt]]*TbTradesNovaDAX[[#This Row],[Preço]])),AL5)-IF(TbTradesNovaDAX[[#This Row],[Moeda da Taxa]]=MID(AL$1,9,5),TbTradesNovaDAX[[#This Row],[Taxa]],0),8)))</f>
        <v>0</v>
      </c>
      <c r="AM6" s="50" cm="1">
        <f t="array" ref="AM6">IF(TbTradesNovaDAX[[#This Row],[Tipo]]="EMPTY",0,AM5+IF(TbTradesNovaDAX[[#This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Row],[Par]]))),$1:$1,0)),-(AL5-AL6)/AL5*AM5),0),0)+IF(TbTradesNovaDAX[[#This Row],[Tipo]]="SELL",IF(ISNUMBER(FIND(MID(AM$1,10,5),TbTradesNovaDAX[[#This Row],[Par]])),IF(FIND(MID(AM$1,10,5),TbTradesNovaDAX[[#This Row],[Par]])=1, -(AL5-AL6)/AL5*AM5,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Row],[Par]])),(-(AL5-AL6)/AL5*AM5)+IF(TbTradesNovaDAX[[#This Row],[Resultado]]&gt;0,0,TbTradesNovaDAX[[#This Row],[Taxa]]),0),0))</f>
        <v>0</v>
      </c>
      <c r="AN6" s="41">
        <f t="shared" si="8"/>
        <v>0</v>
      </c>
      <c r="AO6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Row],[Tipo]]="DROP"),AO5+TbTradesNovaDAX[[#This Row],[Qtt]],AO5-TbTradesNovaDAX[[#This Row],[Qtt]]),IF(TbTradesNovaDAX[[#This Row],[Tipo]]="BUY",AO5-TbTradesNovaDAX[[#This Row],[Qtt]]*TbTradesNovaDAX[[#This Row],[Preço]],AO5+TbTradesNovaDAX[[#This Row],[Qtt]]*TbTradesNovaDAX[[#This Row],[Preço]])),AO5)-IF(TbTradesNovaDAX[[#This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Row],[Tipo]]="DROP"),AO5+TbTradesNovaDAX[[#This Row],[Qtt]],AO5-TbTradesNovaDAX[[#This Row],[Qtt]]),IF(TbTradesNovaDAX[[#This Row],[Tipo]]="BUY",AO5-TbTradesNovaDAX[[#This Row],[Qtt]]*TbTradesNovaDAX[[#This Row],[Preço]],AO5+TbTradesNovaDAX[[#This Row],[Qtt]]*TbTradesNovaDAX[[#This Row],[Preço]])),AO5)-IF(TbTradesNovaDAX[[#This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Row],[Tipo]]="DROP"),AO5+TbTradesNovaDAX[[#This Row],[Qtt]],AO5-TbTradesNovaDAX[[#This Row],[Qtt]]),IF(TbTradesNovaDAX[[#This Row],[Tipo]]="BUY",AO5-TbTradesNovaDAX[[#This Row],[Qtt]]*TbTradesNovaDAX[[#This Row],[Preço]],AO5+TbTradesNovaDAX[[#This Row],[Qtt]]*TbTradesNovaDAX[[#This Row],[Preço]])),AO5)-IF(TbTradesNovaDAX[[#This Row],[Moeda da Taxa]]=MID(AO$1,9,5),TbTradesNovaDAX[[#This Row],[Taxa]],0),8)))</f>
        <v>0</v>
      </c>
      <c r="AP6" s="50" cm="1">
        <f t="array" ref="AP6">IF(TbTradesNovaDAX[[#This Row],[Tipo]]="EMPTY",0,AP5+IF(TbTradesNovaDAX[[#This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Row],[Par]]))),$1:$1,0)),-(AO5-AO6)/AO5*AP5),0),0)+IF(TbTradesNovaDAX[[#This Row],[Tipo]]="SELL",IF(ISNUMBER(FIND(MID(AP$1,10,5),TbTradesNovaDAX[[#This Row],[Par]])),IF(FIND(MID(AP$1,10,5),TbTradesNovaDAX[[#This Row],[Par]])=1, -(AO5-AO6)/AO5*AP5,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Row],[Par]])),(-(AO5-AO6)/AO5*AP5)+IF(TbTradesNovaDAX[[#This Row],[Resultado]]&gt;0,0,TbTradesNovaDAX[[#This Row],[Taxa]]),0),0))</f>
        <v>0</v>
      </c>
      <c r="AQ6" s="41">
        <f t="shared" si="9"/>
        <v>0</v>
      </c>
    </row>
    <row r="7" spans="1:43" x14ac:dyDescent="0.3">
      <c r="B7" s="65"/>
      <c r="C7" s="67">
        <f>TRUNC(IF(AND(TbTradesNovaDAX[[#This Row],[Tipo]]="SEND",TbTradesNovaDAX[[#This Row],[Par]]="BRL"),TbTradesNovaDAX[[#This Row],[Qtt]]*(1-P6)-IF(TbTradesNovaDAX[[#This Row],[Moeda da Taxa]]="BRL",TbTradesNovaDAX[[#This Row],[Taxa]],0),0)+IF(AND(TbTradesNovaDAX[[#This Row],[Tipo]]="BURN",TbTradesNovaDAX[[#This Row],[Par]]="BRL"),-TbTradesNovaDAX[[#This Row],[Qtt]]*P6,0),2)</f>
        <v>0</v>
      </c>
      <c r="D7" s="65">
        <v>44241.514386574076</v>
      </c>
      <c r="E7" s="77" t="s">
        <v>173</v>
      </c>
      <c r="F7" s="77" t="s">
        <v>139</v>
      </c>
      <c r="G7" s="78">
        <v>88.665599999999998</v>
      </c>
      <c r="H7" s="78">
        <v>0.67669999999999997</v>
      </c>
      <c r="I7" s="78">
        <v>3.3834999999999998E-3</v>
      </c>
      <c r="J7" s="77" t="s">
        <v>52</v>
      </c>
      <c r="K7" s="75">
        <v>1</v>
      </c>
      <c r="L7" s="67">
        <f t="shared" si="10"/>
        <v>88.66</v>
      </c>
      <c r="M7" s="67">
        <f>IF(OR(TbTradesNovaDAX[[#This Row],[Tipo]]="BUY",TbTradesNovaDAX[[#This Row],[Tipo]]="RECEIVE"),L7*H7,-L7*H7)</f>
        <v>59.996221999999996</v>
      </c>
      <c r="N7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Row],[Tipo]]="DROP"),N6+TbTradesNovaDAX[[#This Row],[Qtt]],N6-TbTradesNovaDAX[[#This Row],[Qtt]]),IF(TbTradesNovaDAX[[#This Row],[Tipo]]="BUY",N6-TbTradesNovaDAX[[#This Row],[Qtt]]*TbTradesNovaDAX[[#This Row],[Preço]],N6+TbTradesNovaDAX[[#This Row],[Qtt]]*TbTradesNovaDAX[[#This Row],[Preço]])),N6)-IF(TbTradesNovaDAX[[#This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Row],[Tipo]]="DROP"),N6+TbTradesNovaDAX[[#This Row],[Qtt]],N6-TbTradesNovaDAX[[#This Row],[Qtt]]),IF(TbTradesNovaDAX[[#This Row],[Tipo]]="BUY",N6-TbTradesNovaDAX[[#This Row],[Qtt]]*TbTradesNovaDAX[[#This Row],[Preço]],N6+TbTradesNovaDAX[[#This Row],[Qtt]]*TbTradesNovaDAX[[#This Row],[Preço]])),N6)-IF(TbTradesNovaDAX[[#This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Row],[Tipo]]="DROP"),N6+TbTradesNovaDAX[[#This Row],[Qtt]],N6-TbTradesNovaDAX[[#This Row],[Qtt]]),IF(TbTradesNovaDAX[[#This Row],[Tipo]]="BUY",N6-TbTradesNovaDAX[[#This Row],[Qtt]]*TbTradesNovaDAX[[#This Row],[Preço]],N6+TbTradesNovaDAX[[#This Row],[Qtt]]*TbTradesNovaDAX[[#This Row],[Preço]])),N6)-IF(TbTradesNovaDAX[[#This Row],[Moeda da Taxa]]=MID(N$1,9,5),TbTradesNovaDAX[[#This Row],[Taxa]],0),8)))</f>
        <v>340.00000091999999</v>
      </c>
      <c r="O7" s="50" cm="1">
        <f t="array" ref="O7">IF(TbTradesNovaDAX[[#This Row],[Tipo]]="EMPTY",0,O6+IF(TbTradesNovaDAX[[#This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Row],[Par]]))),$1:$1,0)),-(N6-N7)/N6*O6),0),0)+IF(TbTradesNovaDAX[[#This Row],[Tipo]]="SELL",IF(ISNUMBER(FIND(MID(O$1,10,5),TbTradesNovaDAX[[#This Row],[Par]])),IF(FIND(MID(O$1,10,5),TbTradesNovaDAX[[#This Row],[Par]])=1, -(N6-N7)/N6*O6,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Row],[Par]])),(-(N6-N7)/N6*O6)+IF(TbTradesNovaDAX[[#This Row],[Resultado]]&gt;0,0,TbTradesNovaDAX[[#This Row],[Taxa]]),0),0))</f>
        <v>340.00000091999999</v>
      </c>
      <c r="P7" s="41">
        <f t="shared" si="0"/>
        <v>1</v>
      </c>
      <c r="Q7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Row],[Tipo]]="DROP"),Q6+TbTradesNovaDAX[[#This Row],[Qtt]],Q6-TbTradesNovaDAX[[#This Row],[Qtt]]),IF(TbTradesNovaDAX[[#This Row],[Tipo]]="BUY",Q6-TbTradesNovaDAX[[#This Row],[Qtt]]*TbTradesNovaDAX[[#This Row],[Preço]],Q6+TbTradesNovaDAX[[#This Row],[Qtt]]*TbTradesNovaDAX[[#This Row],[Preço]])),Q6)-IF(TbTradesNovaDAX[[#This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Row],[Tipo]]="DROP"),Q6+TbTradesNovaDAX[[#This Row],[Qtt]],Q6-TbTradesNovaDAX[[#This Row],[Qtt]]),IF(TbTradesNovaDAX[[#This Row],[Tipo]]="BUY",Q6-TbTradesNovaDAX[[#This Row],[Qtt]]*TbTradesNovaDAX[[#This Row],[Preço]],Q6+TbTradesNovaDAX[[#This Row],[Qtt]]*TbTradesNovaDAX[[#This Row],[Preço]])),Q6)-IF(TbTradesNovaDAX[[#This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Row],[Tipo]]="DROP"),Q6+TbTradesNovaDAX[[#This Row],[Qtt]],Q6-TbTradesNovaDAX[[#This Row],[Qtt]]),IF(TbTradesNovaDAX[[#This Row],[Tipo]]="BUY",Q6-TbTradesNovaDAX[[#This Row],[Qtt]]*TbTradesNovaDAX[[#This Row],[Preço]],Q6+TbTradesNovaDAX[[#This Row],[Qtt]]*TbTradesNovaDAX[[#This Row],[Preço]])),Q6)-IF(TbTradesNovaDAX[[#This Row],[Moeda da Taxa]]=MID(Q$1,9,5),TbTradesNovaDAX[[#This Row],[Taxa]],0),8)))</f>
        <v>0</v>
      </c>
      <c r="R7" s="50" cm="1">
        <f t="array" ref="R7">IF(TbTradesNovaDAX[[#This Row],[Tipo]]="EMPTY",0,R6+IF(TbTradesNovaDAX[[#This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Row],[Par]]))),$1:$1,0)),-(Q6-Q7)/Q6*R6),0),0)+IF(TbTradesNovaDAX[[#This Row],[Tipo]]="SELL",IF(ISNUMBER(FIND(MID(R$1,10,5),TbTradesNovaDAX[[#This Row],[Par]])),IF(FIND(MID(R$1,10,5),TbTradesNovaDAX[[#This Row],[Par]])=1, -(Q6-Q7)/Q6*R6,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Row],[Par]])),(-(Q6-Q7)/Q6*R6)+IF(TbTradesNovaDAX[[#This Row],[Resultado]]&gt;0,0,TbTradesNovaDAX[[#This Row],[Taxa]]),0),0))</f>
        <v>0</v>
      </c>
      <c r="S7" s="41">
        <f t="shared" si="1"/>
        <v>0</v>
      </c>
      <c r="T7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Row],[Tipo]]="DROP"),T6+TbTradesNovaDAX[[#This Row],[Qtt]],T6-TbTradesNovaDAX[[#This Row],[Qtt]]),IF(TbTradesNovaDAX[[#This Row],[Tipo]]="BUY",T6-TbTradesNovaDAX[[#This Row],[Qtt]]*TbTradesNovaDAX[[#This Row],[Preço]],T6+TbTradesNovaDAX[[#This Row],[Qtt]]*TbTradesNovaDAX[[#This Row],[Preço]])),T6)-IF(TbTradesNovaDAX[[#This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Row],[Tipo]]="DROP"),T6+TbTradesNovaDAX[[#This Row],[Qtt]],T6-TbTradesNovaDAX[[#This Row],[Qtt]]),IF(TbTradesNovaDAX[[#This Row],[Tipo]]="BUY",T6-TbTradesNovaDAX[[#This Row],[Qtt]]*TbTradesNovaDAX[[#This Row],[Preço]],T6+TbTradesNovaDAX[[#This Row],[Qtt]]*TbTradesNovaDAX[[#This Row],[Preço]])),T6)-IF(TbTradesNovaDAX[[#This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Row],[Tipo]]="DROP"),T6+TbTradesNovaDAX[[#This Row],[Qtt]],T6-TbTradesNovaDAX[[#This Row],[Qtt]]),IF(TbTradesNovaDAX[[#This Row],[Tipo]]="BUY",T6-TbTradesNovaDAX[[#This Row],[Qtt]]*TbTradesNovaDAX[[#This Row],[Preço]],T6+TbTradesNovaDAX[[#This Row],[Qtt]]*TbTradesNovaDAX[[#This Row],[Preço]])),T6)-IF(TbTradesNovaDAX[[#This Row],[Moeda da Taxa]]=MID(T$1,9,5),TbTradesNovaDAX[[#This Row],[Taxa]],0),8)))</f>
        <v>0</v>
      </c>
      <c r="U7" s="50" cm="1">
        <f t="array" ref="U7">IF(TbTradesNovaDAX[[#This Row],[Tipo]]="EMPTY",0,U6+IF(TbTradesNovaDAX[[#This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Row],[Par]]))),$1:$1,0)),-(T6-T7)/T6*U6),0),0)+IF(TbTradesNovaDAX[[#This Row],[Tipo]]="SELL",IF(ISNUMBER(FIND(MID(U$1,10,5),TbTradesNovaDAX[[#This Row],[Par]])),IF(FIND(MID(U$1,10,5),TbTradesNovaDAX[[#This Row],[Par]])=1, -(T6-T7)/T6*U6,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Row],[Par]])),(-(T6-T7)/T6*U6)+IF(TbTradesNovaDAX[[#This Row],[Resultado]]&gt;0,0,TbTradesNovaDAX[[#This Row],[Taxa]]),0),0))</f>
        <v>0</v>
      </c>
      <c r="V7" s="41">
        <f t="shared" si="2"/>
        <v>0</v>
      </c>
      <c r="W7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Row],[Tipo]]="DROP"),W6+TbTradesNovaDAX[[#This Row],[Qtt]],W6-TbTradesNovaDAX[[#This Row],[Qtt]]),IF(TbTradesNovaDAX[[#This Row],[Tipo]]="BUY",W6-TbTradesNovaDAX[[#This Row],[Qtt]]*TbTradesNovaDAX[[#This Row],[Preço]],W6+TbTradesNovaDAX[[#This Row],[Qtt]]*TbTradesNovaDAX[[#This Row],[Preço]])),W6)-IF(TbTradesNovaDAX[[#This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Row],[Tipo]]="DROP"),W6+TbTradesNovaDAX[[#This Row],[Qtt]],W6-TbTradesNovaDAX[[#This Row],[Qtt]]),IF(TbTradesNovaDAX[[#This Row],[Tipo]]="BUY",W6-TbTradesNovaDAX[[#This Row],[Qtt]]*TbTradesNovaDAX[[#This Row],[Preço]],W6+TbTradesNovaDAX[[#This Row],[Qtt]]*TbTradesNovaDAX[[#This Row],[Preço]])),W6)-IF(TbTradesNovaDAX[[#This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Row],[Tipo]]="DROP"),W6+TbTradesNovaDAX[[#This Row],[Qtt]],W6-TbTradesNovaDAX[[#This Row],[Qtt]]),IF(TbTradesNovaDAX[[#This Row],[Tipo]]="BUY",W6-TbTradesNovaDAX[[#This Row],[Qtt]]*TbTradesNovaDAX[[#This Row],[Preço]],W6+TbTradesNovaDAX[[#This Row],[Qtt]]*TbTradesNovaDAX[[#This Row],[Preço]])),W6)-IF(TbTradesNovaDAX[[#This Row],[Moeda da Taxa]]=MID(W$1,9,5),TbTradesNovaDAX[[#This Row],[Taxa]],0),8)))</f>
        <v>0</v>
      </c>
      <c r="X7" s="50" cm="1">
        <f t="array" ref="X7">IF(TbTradesNovaDAX[[#This Row],[Tipo]]="EMPTY",0,X6+IF(TbTradesNovaDAX[[#This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Row],[Par]]))),$1:$1,0)),-(W6-W7)/W6*X6),0),0)+IF(TbTradesNovaDAX[[#This Row],[Tipo]]="SELL",IF(ISNUMBER(FIND(MID(X$1,10,5),TbTradesNovaDAX[[#This Row],[Par]])),IF(FIND(MID(X$1,10,5),TbTradesNovaDAX[[#This Row],[Par]])=1, -(W6-W7)/W6*X6,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Row],[Par]])),(-(W6-W7)/W6*X6)+IF(TbTradesNovaDAX[[#This Row],[Resultado]]&gt;0,0,TbTradesNovaDAX[[#This Row],[Taxa]]),0),0))</f>
        <v>0</v>
      </c>
      <c r="Y7" s="41">
        <f t="shared" si="3"/>
        <v>0</v>
      </c>
      <c r="Z7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Row],[Tipo]]="DROP"),Z6+TbTradesNovaDAX[[#This Row],[Qtt]],Z6-TbTradesNovaDAX[[#This Row],[Qtt]]),IF(TbTradesNovaDAX[[#This Row],[Tipo]]="BUY",Z6-TbTradesNovaDAX[[#This Row],[Qtt]]*TbTradesNovaDAX[[#This Row],[Preço]],Z6+TbTradesNovaDAX[[#This Row],[Qtt]]*TbTradesNovaDAX[[#This Row],[Preço]])),Z6)-IF(TbTradesNovaDAX[[#This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Row],[Tipo]]="DROP"),Z6+TbTradesNovaDAX[[#This Row],[Qtt]],Z6-TbTradesNovaDAX[[#This Row],[Qtt]]),IF(TbTradesNovaDAX[[#This Row],[Tipo]]="BUY",Z6-TbTradesNovaDAX[[#This Row],[Qtt]]*TbTradesNovaDAX[[#This Row],[Preço]],Z6+TbTradesNovaDAX[[#This Row],[Qtt]]*TbTradesNovaDAX[[#This Row],[Preço]])),Z6)-IF(TbTradesNovaDAX[[#This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Row],[Tipo]]="DROP"),Z6+TbTradesNovaDAX[[#This Row],[Qtt]],Z6-TbTradesNovaDAX[[#This Row],[Qtt]]),IF(TbTradesNovaDAX[[#This Row],[Tipo]]="BUY",Z6-TbTradesNovaDAX[[#This Row],[Qtt]]*TbTradesNovaDAX[[#This Row],[Preço]],Z6+TbTradesNovaDAX[[#This Row],[Qtt]]*TbTradesNovaDAX[[#This Row],[Preço]])),Z6)-IF(TbTradesNovaDAX[[#This Row],[Moeda da Taxa]]=MID(Z$1,9,5),TbTradesNovaDAX[[#This Row],[Taxa]],0),8)))</f>
        <v>1.078147E-2</v>
      </c>
      <c r="AA7" s="50" cm="1">
        <f t="array" ref="AA7">IF(TbTradesNovaDAX[[#This Row],[Tipo]]="EMPTY",0,AA6+IF(TbTradesNovaDAX[[#This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Row],[Par]]))),$1:$1,0)),-(Z6-Z7)/Z6*AA6),0),0)+IF(TbTradesNovaDAX[[#This Row],[Tipo]]="SELL",IF(ISNUMBER(FIND(MID(AA$1,10,5),TbTradesNovaDAX[[#This Row],[Par]])),IF(FIND(MID(AA$1,10,5),TbTradesNovaDAX[[#This Row],[Par]])=1, -(Z6-Z7)/Z6*AA6,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Row],[Par]])),(-(Z6-Z7)/Z6*AA6)+IF(TbTradesNovaDAX[[#This Row],[Resultado]]&gt;0,0,TbTradesNovaDAX[[#This Row],[Taxa]]),0),0))</f>
        <v>26.399977659999998</v>
      </c>
      <c r="AB7" s="41">
        <f t="shared" si="4"/>
        <v>2448.6436135332192</v>
      </c>
      <c r="AC7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Row],[Tipo]]="DROP"),AC6+TbTradesNovaDAX[[#This Row],[Qtt]],AC6-TbTradesNovaDAX[[#This Row],[Qtt]]),IF(TbTradesNovaDAX[[#This Row],[Tipo]]="BUY",AC6-TbTradesNovaDAX[[#This Row],[Qtt]]*TbTradesNovaDAX[[#This Row],[Preço]],AC6+TbTradesNovaDAX[[#This Row],[Qtt]]*TbTradesNovaDAX[[#This Row],[Preço]])),AC6)-IF(TbTradesNovaDAX[[#This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Row],[Tipo]]="DROP"),AC6+TbTradesNovaDAX[[#This Row],[Qtt]],AC6-TbTradesNovaDAX[[#This Row],[Qtt]]),IF(TbTradesNovaDAX[[#This Row],[Tipo]]="BUY",AC6-TbTradesNovaDAX[[#This Row],[Qtt]]*TbTradesNovaDAX[[#This Row],[Preço]],AC6+TbTradesNovaDAX[[#This Row],[Qtt]]*TbTradesNovaDAX[[#This Row],[Preço]])),AC6)-IF(TbTradesNovaDAX[[#This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Row],[Tipo]]="DROP"),AC6+TbTradesNovaDAX[[#This Row],[Qtt]],AC6-TbTradesNovaDAX[[#This Row],[Qtt]]),IF(TbTradesNovaDAX[[#This Row],[Tipo]]="BUY",AC6-TbTradesNovaDAX[[#This Row],[Qtt]]*TbTradesNovaDAX[[#This Row],[Preço]],AC6+TbTradesNovaDAX[[#This Row],[Qtt]]*TbTradesNovaDAX[[#This Row],[Preço]])),AC6)-IF(TbTradesNovaDAX[[#This Row],[Moeda da Taxa]]=MID(AC$1,9,5),TbTradesNovaDAX[[#This Row],[Taxa]],0),8)))</f>
        <v>0.36715500000000001</v>
      </c>
      <c r="AD7" s="50" cm="1">
        <f t="array" ref="AD7">IF(TbTradesNovaDAX[[#This Row],[Tipo]]="EMPTY",0,AD6+IF(TbTradesNovaDAX[[#This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Row],[Par]]))),$1:$1,0)),-(AC6-AC7)/AC6*AD6),0),0)+IF(TbTradesNovaDAX[[#This Row],[Tipo]]="SELL",IF(ISNUMBER(FIND(MID(AD$1,10,5),TbTradesNovaDAX[[#This Row],[Par]])),IF(FIND(MID(AD$1,10,5),TbTradesNovaDAX[[#This Row],[Par]])=1, -(AC6-AC7)/AC6*AD6,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Row],[Par]])),(-(AC6-AC7)/AC6*AD6)+IF(TbTradesNovaDAX[[#This Row],[Resultado]]&gt;0,0,TbTradesNovaDAX[[#This Row],[Taxa]]),0),0))</f>
        <v>39.600009900000003</v>
      </c>
      <c r="AE7" s="41">
        <f t="shared" si="5"/>
        <v>107.85638190954775</v>
      </c>
      <c r="AF7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Row],[Tipo]]="DROP"),AF6+TbTradesNovaDAX[[#This Row],[Qtt]],AF6-TbTradesNovaDAX[[#This Row],[Qtt]]),IF(TbTradesNovaDAX[[#This Row],[Tipo]]="BUY",AF6-TbTradesNovaDAX[[#This Row],[Qtt]]*TbTradesNovaDAX[[#This Row],[Preço]],AF6+TbTradesNovaDAX[[#This Row],[Qtt]]*TbTradesNovaDAX[[#This Row],[Preço]])),AF6)-IF(TbTradesNovaDAX[[#This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Row],[Tipo]]="DROP"),AF6+TbTradesNovaDAX[[#This Row],[Qtt]],AF6-TbTradesNovaDAX[[#This Row],[Qtt]]),IF(TbTradesNovaDAX[[#This Row],[Tipo]]="BUY",AF6-TbTradesNovaDAX[[#This Row],[Qtt]]*TbTradesNovaDAX[[#This Row],[Preço]],AF6+TbTradesNovaDAX[[#This Row],[Qtt]]*TbTradesNovaDAX[[#This Row],[Preço]])),AF6)-IF(TbTradesNovaDAX[[#This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Row],[Tipo]]="DROP"),AF6+TbTradesNovaDAX[[#This Row],[Qtt]],AF6-TbTradesNovaDAX[[#This Row],[Qtt]]),IF(TbTradesNovaDAX[[#This Row],[Tipo]]="BUY",AF6-TbTradesNovaDAX[[#This Row],[Qtt]]*TbTradesNovaDAX[[#This Row],[Preço]],AF6+TbTradesNovaDAX[[#This Row],[Qtt]]*TbTradesNovaDAX[[#This Row],[Preço]])),AF6)-IF(TbTradesNovaDAX[[#This Row],[Moeda da Taxa]]=MID(AF$1,9,5),TbTradesNovaDAX[[#This Row],[Taxa]],0),8)))</f>
        <v>0.67331649999999998</v>
      </c>
      <c r="AG7" s="50" cm="1">
        <f t="array" ref="AG7">IF(TbTradesNovaDAX[[#This Row],[Tipo]]="EMPTY",0,AG6+IF(TbTradesNovaDAX[[#This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Row],[Par]]))),$1:$1,0)),-(AF6-AF7)/AF6*AG6),0),0)+IF(TbTradesNovaDAX[[#This Row],[Tipo]]="SELL",IF(ISNUMBER(FIND(MID(AG$1,10,5),TbTradesNovaDAX[[#This Row],[Par]])),IF(FIND(MID(AG$1,10,5),TbTradesNovaDAX[[#This Row],[Par]])=1, -(AF6-AF7)/AF6*AG6,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Row],[Par]])),(-(AF6-AF7)/AF6*AG6)+IF(TbTradesNovaDAX[[#This Row],[Resultado]]&gt;0,0,TbTradesNovaDAX[[#This Row],[Taxa]]),0),0))</f>
        <v>60.00001151999998</v>
      </c>
      <c r="AH7" s="41">
        <f t="shared" si="6"/>
        <v>89.111155778894442</v>
      </c>
      <c r="AI7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Row],[Tipo]]="DROP"),AI6+TbTradesNovaDAX[[#This Row],[Qtt]],AI6-TbTradesNovaDAX[[#This Row],[Qtt]]),IF(TbTradesNovaDAX[[#This Row],[Tipo]]="BUY",AI6-TbTradesNovaDAX[[#This Row],[Qtt]]*TbTradesNovaDAX[[#This Row],[Preço]],AI6+TbTradesNovaDAX[[#This Row],[Qtt]]*TbTradesNovaDAX[[#This Row],[Preço]])),AI6)-IF(TbTradesNovaDAX[[#This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Row],[Tipo]]="DROP"),AI6+TbTradesNovaDAX[[#This Row],[Qtt]],AI6-TbTradesNovaDAX[[#This Row],[Qtt]]),IF(TbTradesNovaDAX[[#This Row],[Tipo]]="BUY",AI6-TbTradesNovaDAX[[#This Row],[Qtt]]*TbTradesNovaDAX[[#This Row],[Preço]],AI6+TbTradesNovaDAX[[#This Row],[Qtt]]*TbTradesNovaDAX[[#This Row],[Preço]])),AI6)-IF(TbTradesNovaDAX[[#This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Row],[Tipo]]="DROP"),AI6+TbTradesNovaDAX[[#This Row],[Qtt]],AI6-TbTradesNovaDAX[[#This Row],[Qtt]]),IF(TbTradesNovaDAX[[#This Row],[Tipo]]="BUY",AI6-TbTradesNovaDAX[[#This Row],[Qtt]]*TbTradesNovaDAX[[#This Row],[Preço]],AI6+TbTradesNovaDAX[[#This Row],[Qtt]]*TbTradesNovaDAX[[#This Row],[Preço]])),AI6)-IF(TbTradesNovaDAX[[#This Row],[Moeda da Taxa]]=MID(AI$1,9,5),TbTradesNovaDAX[[#This Row],[Taxa]],0),8)))</f>
        <v>0</v>
      </c>
      <c r="AJ7" s="50" cm="1">
        <f t="array" ref="AJ7">IF(TbTradesNovaDAX[[#This Row],[Tipo]]="EMPTY",0,AJ6+IF(TbTradesNovaDAX[[#This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Row],[Par]]))),$1:$1,0)),-(AI6-AI7)/AI6*AJ6),0),0)+IF(TbTradesNovaDAX[[#This Row],[Tipo]]="SELL",IF(ISNUMBER(FIND(MID(AJ$1,10,5),TbTradesNovaDAX[[#This Row],[Par]])),IF(FIND(MID(AJ$1,10,5),TbTradesNovaDAX[[#This Row],[Par]])=1, -(AI6-AI7)/AI6*AJ6,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Row],[Par]])),(-(AI6-AI7)/AI6*AJ6)+IF(TbTradesNovaDAX[[#This Row],[Resultado]]&gt;0,0,TbTradesNovaDAX[[#This Row],[Taxa]]),0),0))</f>
        <v>0</v>
      </c>
      <c r="AK7" s="41">
        <f t="shared" si="7"/>
        <v>0</v>
      </c>
      <c r="AL7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Row],[Tipo]]="DROP"),AL6+TbTradesNovaDAX[[#This Row],[Qtt]],AL6-TbTradesNovaDAX[[#This Row],[Qtt]]),IF(TbTradesNovaDAX[[#This Row],[Tipo]]="BUY",AL6-TbTradesNovaDAX[[#This Row],[Qtt]]*TbTradesNovaDAX[[#This Row],[Preço]],AL6+TbTradesNovaDAX[[#This Row],[Qtt]]*TbTradesNovaDAX[[#This Row],[Preço]])),AL6)-IF(TbTradesNovaDAX[[#This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Row],[Tipo]]="DROP"),AL6+TbTradesNovaDAX[[#This Row],[Qtt]],AL6-TbTradesNovaDAX[[#This Row],[Qtt]]),IF(TbTradesNovaDAX[[#This Row],[Tipo]]="BUY",AL6-TbTradesNovaDAX[[#This Row],[Qtt]]*TbTradesNovaDAX[[#This Row],[Preço]],AL6+TbTradesNovaDAX[[#This Row],[Qtt]]*TbTradesNovaDAX[[#This Row],[Preço]])),AL6)-IF(TbTradesNovaDAX[[#This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Row],[Tipo]]="DROP"),AL6+TbTradesNovaDAX[[#This Row],[Qtt]],AL6-TbTradesNovaDAX[[#This Row],[Qtt]]),IF(TbTradesNovaDAX[[#This Row],[Tipo]]="BUY",AL6-TbTradesNovaDAX[[#This Row],[Qtt]]*TbTradesNovaDAX[[#This Row],[Preço]],AL6+TbTradesNovaDAX[[#This Row],[Qtt]]*TbTradesNovaDAX[[#This Row],[Preço]])),AL6)-IF(TbTradesNovaDAX[[#This Row],[Moeda da Taxa]]=MID(AL$1,9,5),TbTradesNovaDAX[[#This Row],[Taxa]],0),8)))</f>
        <v>0</v>
      </c>
      <c r="AM7" s="50" cm="1">
        <f t="array" ref="AM7">IF(TbTradesNovaDAX[[#This Row],[Tipo]]="EMPTY",0,AM6+IF(TbTradesNovaDAX[[#This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Row],[Par]]))),$1:$1,0)),-(AL6-AL7)/AL6*AM6),0),0)+IF(TbTradesNovaDAX[[#This Row],[Tipo]]="SELL",IF(ISNUMBER(FIND(MID(AM$1,10,5),TbTradesNovaDAX[[#This Row],[Par]])),IF(FIND(MID(AM$1,10,5),TbTradesNovaDAX[[#This Row],[Par]])=1, -(AL6-AL7)/AL6*AM6,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Row],[Par]])),(-(AL6-AL7)/AL6*AM6)+IF(TbTradesNovaDAX[[#This Row],[Resultado]]&gt;0,0,TbTradesNovaDAX[[#This Row],[Taxa]]),0),0))</f>
        <v>0</v>
      </c>
      <c r="AN7" s="41">
        <f t="shared" si="8"/>
        <v>0</v>
      </c>
      <c r="AO7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Row],[Tipo]]="DROP"),AO6+TbTradesNovaDAX[[#This Row],[Qtt]],AO6-TbTradesNovaDAX[[#This Row],[Qtt]]),IF(TbTradesNovaDAX[[#This Row],[Tipo]]="BUY",AO6-TbTradesNovaDAX[[#This Row],[Qtt]]*TbTradesNovaDAX[[#This Row],[Preço]],AO6+TbTradesNovaDAX[[#This Row],[Qtt]]*TbTradesNovaDAX[[#This Row],[Preço]])),AO6)-IF(TbTradesNovaDAX[[#This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Row],[Tipo]]="DROP"),AO6+TbTradesNovaDAX[[#This Row],[Qtt]],AO6-TbTradesNovaDAX[[#This Row],[Qtt]]),IF(TbTradesNovaDAX[[#This Row],[Tipo]]="BUY",AO6-TbTradesNovaDAX[[#This Row],[Qtt]]*TbTradesNovaDAX[[#This Row],[Preço]],AO6+TbTradesNovaDAX[[#This Row],[Qtt]]*TbTradesNovaDAX[[#This Row],[Preço]])),AO6)-IF(TbTradesNovaDAX[[#This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Row],[Tipo]]="DROP"),AO6+TbTradesNovaDAX[[#This Row],[Qtt]],AO6-TbTradesNovaDAX[[#This Row],[Qtt]]),IF(TbTradesNovaDAX[[#This Row],[Tipo]]="BUY",AO6-TbTradesNovaDAX[[#This Row],[Qtt]]*TbTradesNovaDAX[[#This Row],[Preço]],AO6+TbTradesNovaDAX[[#This Row],[Qtt]]*TbTradesNovaDAX[[#This Row],[Preço]])),AO6)-IF(TbTradesNovaDAX[[#This Row],[Moeda da Taxa]]=MID(AO$1,9,5),TbTradesNovaDAX[[#This Row],[Taxa]],0),8)))</f>
        <v>0</v>
      </c>
      <c r="AP7" s="50" cm="1">
        <f t="array" ref="AP7">IF(TbTradesNovaDAX[[#This Row],[Tipo]]="EMPTY",0,AP6+IF(TbTradesNovaDAX[[#This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Row],[Par]]))),$1:$1,0)),-(AO6-AO7)/AO6*AP6),0),0)+IF(TbTradesNovaDAX[[#This Row],[Tipo]]="SELL",IF(ISNUMBER(FIND(MID(AP$1,10,5),TbTradesNovaDAX[[#This Row],[Par]])),IF(FIND(MID(AP$1,10,5),TbTradesNovaDAX[[#This Row],[Par]])=1, -(AO6-AO7)/AO6*AP6,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Row],[Par]])),(-(AO6-AO7)/AO6*AP6)+IF(TbTradesNovaDAX[[#This Row],[Resultado]]&gt;0,0,TbTradesNovaDAX[[#This Row],[Taxa]]),0),0))</f>
        <v>0</v>
      </c>
      <c r="AQ7" s="41">
        <f t="shared" si="9"/>
        <v>0</v>
      </c>
    </row>
    <row r="8" spans="1:43" x14ac:dyDescent="0.3">
      <c r="B8" s="65"/>
      <c r="C8" s="67">
        <f>TRUNC(IF(AND(TbTradesNovaDAX[[#This Row],[Tipo]]="SEND",TbTradesNovaDAX[[#This Row],[Par]]="BRL"),TbTradesNovaDAX[[#This Row],[Qtt]]*(1-P7)-IF(TbTradesNovaDAX[[#This Row],[Moeda da Taxa]]="BRL",TbTradesNovaDAX[[#This Row],[Taxa]],0),0)+IF(AND(TbTradesNovaDAX[[#This Row],[Tipo]]="BURN",TbTradesNovaDAX[[#This Row],[Par]]="BRL"),-TbTradesNovaDAX[[#This Row],[Qtt]]*P7,0),2)</f>
        <v>0</v>
      </c>
      <c r="D8" s="65">
        <v>44241.524351851855</v>
      </c>
      <c r="E8" s="77" t="s">
        <v>173</v>
      </c>
      <c r="F8" s="77" t="s">
        <v>140</v>
      </c>
      <c r="G8" s="78">
        <v>86.499300000000005</v>
      </c>
      <c r="H8" s="78">
        <v>0.67330000000000001</v>
      </c>
      <c r="I8" s="78">
        <v>0.3</v>
      </c>
      <c r="J8" s="77" t="s">
        <v>50</v>
      </c>
      <c r="K8" s="75">
        <v>1</v>
      </c>
      <c r="L8" s="67">
        <f t="shared" si="10"/>
        <v>86.49</v>
      </c>
      <c r="M8" s="67">
        <f>IF(OR(TbTradesNovaDAX[[#This Row],[Tipo]]="BUY",TbTradesNovaDAX[[#This Row],[Tipo]]="RECEIVE"),L8*H8,-L8*H8)</f>
        <v>-58.233716999999999</v>
      </c>
      <c r="N8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Row],[Tipo]]="DROP"),N7+TbTradesNovaDAX[[#This Row],[Qtt]],N7-TbTradesNovaDAX[[#This Row],[Qtt]]),IF(TbTradesNovaDAX[[#This Row],[Tipo]]="BUY",N7-TbTradesNovaDAX[[#This Row],[Qtt]]*TbTradesNovaDAX[[#This Row],[Preço]],N7+TbTradesNovaDAX[[#This Row],[Qtt]]*TbTradesNovaDAX[[#This Row],[Preço]])),N7)-IF(TbTradesNovaDAX[[#This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Row],[Tipo]]="DROP"),N7+TbTradesNovaDAX[[#This Row],[Qtt]],N7-TbTradesNovaDAX[[#This Row],[Qtt]]),IF(TbTradesNovaDAX[[#This Row],[Tipo]]="BUY",N7-TbTradesNovaDAX[[#This Row],[Qtt]]*TbTradesNovaDAX[[#This Row],[Preço]],N7+TbTradesNovaDAX[[#This Row],[Qtt]]*TbTradesNovaDAX[[#This Row],[Preço]])),N7)-IF(TbTradesNovaDAX[[#This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Row],[Tipo]]="DROP"),N7+TbTradesNovaDAX[[#This Row],[Qtt]],N7-TbTradesNovaDAX[[#This Row],[Qtt]]),IF(TbTradesNovaDAX[[#This Row],[Tipo]]="BUY",N7-TbTradesNovaDAX[[#This Row],[Qtt]]*TbTradesNovaDAX[[#This Row],[Preço]],N7+TbTradesNovaDAX[[#This Row],[Qtt]]*TbTradesNovaDAX[[#This Row],[Preço]])),N7)-IF(TbTradesNovaDAX[[#This Row],[Moeda da Taxa]]=MID(N$1,9,5),TbTradesNovaDAX[[#This Row],[Taxa]],0),8)))</f>
        <v>397.93997961000002</v>
      </c>
      <c r="O8" s="50" cm="1">
        <f t="array" ref="O8">IF(TbTradesNovaDAX[[#This Row],[Tipo]]="EMPTY",0,O7+IF(TbTradesNovaDAX[[#This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Row],[Par]]))),$1:$1,0)),-(N7-N8)/N7*O7),0),0)+IF(TbTradesNovaDAX[[#This Row],[Tipo]]="SELL",IF(ISNUMBER(FIND(MID(O$1,10,5),TbTradesNovaDAX[[#This Row],[Par]])),IF(FIND(MID(O$1,10,5),TbTradesNovaDAX[[#This Row],[Par]])=1, -(N7-N8)/N7*O7,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Row],[Par]])),(-(N7-N8)/N7*O7)+IF(TbTradesNovaDAX[[#This Row],[Resultado]]&gt;0,0,TbTradesNovaDAX[[#This Row],[Taxa]]),0),0))</f>
        <v>399.99854299704117</v>
      </c>
      <c r="P8" s="41">
        <f t="shared" si="0"/>
        <v>1.0051730499384823</v>
      </c>
      <c r="Q8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Row],[Tipo]]="DROP"),Q7+TbTradesNovaDAX[[#This Row],[Qtt]],Q7-TbTradesNovaDAX[[#This Row],[Qtt]]),IF(TbTradesNovaDAX[[#This Row],[Tipo]]="BUY",Q7-TbTradesNovaDAX[[#This Row],[Qtt]]*TbTradesNovaDAX[[#This Row],[Preço]],Q7+TbTradesNovaDAX[[#This Row],[Qtt]]*TbTradesNovaDAX[[#This Row],[Preço]])),Q7)-IF(TbTradesNovaDAX[[#This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Row],[Tipo]]="DROP"),Q7+TbTradesNovaDAX[[#This Row],[Qtt]],Q7-TbTradesNovaDAX[[#This Row],[Qtt]]),IF(TbTradesNovaDAX[[#This Row],[Tipo]]="BUY",Q7-TbTradesNovaDAX[[#This Row],[Qtt]]*TbTradesNovaDAX[[#This Row],[Preço]],Q7+TbTradesNovaDAX[[#This Row],[Qtt]]*TbTradesNovaDAX[[#This Row],[Preço]])),Q7)-IF(TbTradesNovaDAX[[#This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Row],[Tipo]]="DROP"),Q7+TbTradesNovaDAX[[#This Row],[Qtt]],Q7-TbTradesNovaDAX[[#This Row],[Qtt]]),IF(TbTradesNovaDAX[[#This Row],[Tipo]]="BUY",Q7-TbTradesNovaDAX[[#This Row],[Qtt]]*TbTradesNovaDAX[[#This Row],[Preço]],Q7+TbTradesNovaDAX[[#This Row],[Qtt]]*TbTradesNovaDAX[[#This Row],[Preço]])),Q7)-IF(TbTradesNovaDAX[[#This Row],[Moeda da Taxa]]=MID(Q$1,9,5),TbTradesNovaDAX[[#This Row],[Taxa]],0),8)))</f>
        <v>0</v>
      </c>
      <c r="R8" s="50" cm="1">
        <f t="array" ref="R8">IF(TbTradesNovaDAX[[#This Row],[Tipo]]="EMPTY",0,R7+IF(TbTradesNovaDAX[[#This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Row],[Par]]))),$1:$1,0)),-(Q7-Q8)/Q7*R7),0),0)+IF(TbTradesNovaDAX[[#This Row],[Tipo]]="SELL",IF(ISNUMBER(FIND(MID(R$1,10,5),TbTradesNovaDAX[[#This Row],[Par]])),IF(FIND(MID(R$1,10,5),TbTradesNovaDAX[[#This Row],[Par]])=1, -(Q7-Q8)/Q7*R7,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Row],[Par]])),(-(Q7-Q8)/Q7*R7)+IF(TbTradesNovaDAX[[#This Row],[Resultado]]&gt;0,0,TbTradesNovaDAX[[#This Row],[Taxa]]),0),0))</f>
        <v>0</v>
      </c>
      <c r="S8" s="41">
        <f t="shared" si="1"/>
        <v>0</v>
      </c>
      <c r="T8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Row],[Tipo]]="DROP"),T7+TbTradesNovaDAX[[#This Row],[Qtt]],T7-TbTradesNovaDAX[[#This Row],[Qtt]]),IF(TbTradesNovaDAX[[#This Row],[Tipo]]="BUY",T7-TbTradesNovaDAX[[#This Row],[Qtt]]*TbTradesNovaDAX[[#This Row],[Preço]],T7+TbTradesNovaDAX[[#This Row],[Qtt]]*TbTradesNovaDAX[[#This Row],[Preço]])),T7)-IF(TbTradesNovaDAX[[#This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Row],[Tipo]]="DROP"),T7+TbTradesNovaDAX[[#This Row],[Qtt]],T7-TbTradesNovaDAX[[#This Row],[Qtt]]),IF(TbTradesNovaDAX[[#This Row],[Tipo]]="BUY",T7-TbTradesNovaDAX[[#This Row],[Qtt]]*TbTradesNovaDAX[[#This Row],[Preço]],T7+TbTradesNovaDAX[[#This Row],[Qtt]]*TbTradesNovaDAX[[#This Row],[Preço]])),T7)-IF(TbTradesNovaDAX[[#This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Row],[Tipo]]="DROP"),T7+TbTradesNovaDAX[[#This Row],[Qtt]],T7-TbTradesNovaDAX[[#This Row],[Qtt]]),IF(TbTradesNovaDAX[[#This Row],[Tipo]]="BUY",T7-TbTradesNovaDAX[[#This Row],[Qtt]]*TbTradesNovaDAX[[#This Row],[Preço]],T7+TbTradesNovaDAX[[#This Row],[Qtt]]*TbTradesNovaDAX[[#This Row],[Preço]])),T7)-IF(TbTradesNovaDAX[[#This Row],[Moeda da Taxa]]=MID(T$1,9,5),TbTradesNovaDAX[[#This Row],[Taxa]],0),8)))</f>
        <v>0</v>
      </c>
      <c r="U8" s="50" cm="1">
        <f t="array" ref="U8">IF(TbTradesNovaDAX[[#This Row],[Tipo]]="EMPTY",0,U7+IF(TbTradesNovaDAX[[#This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Row],[Par]]))),$1:$1,0)),-(T7-T8)/T7*U7),0),0)+IF(TbTradesNovaDAX[[#This Row],[Tipo]]="SELL",IF(ISNUMBER(FIND(MID(U$1,10,5),TbTradesNovaDAX[[#This Row],[Par]])),IF(FIND(MID(U$1,10,5),TbTradesNovaDAX[[#This Row],[Par]])=1, -(T7-T8)/T7*U7,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Row],[Par]])),(-(T7-T8)/T7*U7)+IF(TbTradesNovaDAX[[#This Row],[Resultado]]&gt;0,0,TbTradesNovaDAX[[#This Row],[Taxa]]),0),0))</f>
        <v>0</v>
      </c>
      <c r="V8" s="41">
        <f t="shared" si="2"/>
        <v>0</v>
      </c>
      <c r="W8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Row],[Tipo]]="DROP"),W7+TbTradesNovaDAX[[#This Row],[Qtt]],W7-TbTradesNovaDAX[[#This Row],[Qtt]]),IF(TbTradesNovaDAX[[#This Row],[Tipo]]="BUY",W7-TbTradesNovaDAX[[#This Row],[Qtt]]*TbTradesNovaDAX[[#This Row],[Preço]],W7+TbTradesNovaDAX[[#This Row],[Qtt]]*TbTradesNovaDAX[[#This Row],[Preço]])),W7)-IF(TbTradesNovaDAX[[#This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Row],[Tipo]]="DROP"),W7+TbTradesNovaDAX[[#This Row],[Qtt]],W7-TbTradesNovaDAX[[#This Row],[Qtt]]),IF(TbTradesNovaDAX[[#This Row],[Tipo]]="BUY",W7-TbTradesNovaDAX[[#This Row],[Qtt]]*TbTradesNovaDAX[[#This Row],[Preço]],W7+TbTradesNovaDAX[[#This Row],[Qtt]]*TbTradesNovaDAX[[#This Row],[Preço]])),W7)-IF(TbTradesNovaDAX[[#This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Row],[Tipo]]="DROP"),W7+TbTradesNovaDAX[[#This Row],[Qtt]],W7-TbTradesNovaDAX[[#This Row],[Qtt]]),IF(TbTradesNovaDAX[[#This Row],[Tipo]]="BUY",W7-TbTradesNovaDAX[[#This Row],[Qtt]]*TbTradesNovaDAX[[#This Row],[Preço]],W7+TbTradesNovaDAX[[#This Row],[Qtt]]*TbTradesNovaDAX[[#This Row],[Preço]])),W7)-IF(TbTradesNovaDAX[[#This Row],[Moeda da Taxa]]=MID(W$1,9,5),TbTradesNovaDAX[[#This Row],[Taxa]],0),8)))</f>
        <v>0</v>
      </c>
      <c r="X8" s="50" cm="1">
        <f t="array" ref="X8">IF(TbTradesNovaDAX[[#This Row],[Tipo]]="EMPTY",0,X7+IF(TbTradesNovaDAX[[#This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Row],[Par]]))),$1:$1,0)),-(W7-W8)/W7*X7),0),0)+IF(TbTradesNovaDAX[[#This Row],[Tipo]]="SELL",IF(ISNUMBER(FIND(MID(X$1,10,5),TbTradesNovaDAX[[#This Row],[Par]])),IF(FIND(MID(X$1,10,5),TbTradesNovaDAX[[#This Row],[Par]])=1, -(W7-W8)/W7*X7,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Row],[Par]])),(-(W7-W8)/W7*X7)+IF(TbTradesNovaDAX[[#This Row],[Resultado]]&gt;0,0,TbTradesNovaDAX[[#This Row],[Taxa]]),0),0))</f>
        <v>0</v>
      </c>
      <c r="Y8" s="41">
        <f t="shared" si="3"/>
        <v>0</v>
      </c>
      <c r="Z8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Row],[Tipo]]="DROP"),Z7+TbTradesNovaDAX[[#This Row],[Qtt]],Z7-TbTradesNovaDAX[[#This Row],[Qtt]]),IF(TbTradesNovaDAX[[#This Row],[Tipo]]="BUY",Z7-TbTradesNovaDAX[[#This Row],[Qtt]]*TbTradesNovaDAX[[#This Row],[Preço]],Z7+TbTradesNovaDAX[[#This Row],[Qtt]]*TbTradesNovaDAX[[#This Row],[Preço]])),Z7)-IF(TbTradesNovaDAX[[#This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Row],[Tipo]]="DROP"),Z7+TbTradesNovaDAX[[#This Row],[Qtt]],Z7-TbTradesNovaDAX[[#This Row],[Qtt]]),IF(TbTradesNovaDAX[[#This Row],[Tipo]]="BUY",Z7-TbTradesNovaDAX[[#This Row],[Qtt]]*TbTradesNovaDAX[[#This Row],[Preço]],Z7+TbTradesNovaDAX[[#This Row],[Qtt]]*TbTradesNovaDAX[[#This Row],[Preço]])),Z7)-IF(TbTradesNovaDAX[[#This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Row],[Tipo]]="DROP"),Z7+TbTradesNovaDAX[[#This Row],[Qtt]],Z7-TbTradesNovaDAX[[#This Row],[Qtt]]),IF(TbTradesNovaDAX[[#This Row],[Tipo]]="BUY",Z7-TbTradesNovaDAX[[#This Row],[Qtt]]*TbTradesNovaDAX[[#This Row],[Preço]],Z7+TbTradesNovaDAX[[#This Row],[Qtt]]*TbTradesNovaDAX[[#This Row],[Preço]])),Z7)-IF(TbTradesNovaDAX[[#This Row],[Moeda da Taxa]]=MID(Z$1,9,5),TbTradesNovaDAX[[#This Row],[Taxa]],0),8)))</f>
        <v>1.078147E-2</v>
      </c>
      <c r="AA8" s="50" cm="1">
        <f t="array" ref="AA8">IF(TbTradesNovaDAX[[#This Row],[Tipo]]="EMPTY",0,AA7+IF(TbTradesNovaDAX[[#This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Row],[Par]]))),$1:$1,0)),-(Z7-Z8)/Z7*AA7),0),0)+IF(TbTradesNovaDAX[[#This Row],[Tipo]]="SELL",IF(ISNUMBER(FIND(MID(AA$1,10,5),TbTradesNovaDAX[[#This Row],[Par]])),IF(FIND(MID(AA$1,10,5),TbTradesNovaDAX[[#This Row],[Par]])=1, -(Z7-Z8)/Z7*AA7,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Row],[Par]])),(-(Z7-Z8)/Z7*AA7)+IF(TbTradesNovaDAX[[#This Row],[Resultado]]&gt;0,0,TbTradesNovaDAX[[#This Row],[Taxa]]),0),0))</f>
        <v>26.399977659999998</v>
      </c>
      <c r="AB8" s="41">
        <f t="shared" si="4"/>
        <v>2448.6436135332192</v>
      </c>
      <c r="AC8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Row],[Tipo]]="DROP"),AC7+TbTradesNovaDAX[[#This Row],[Qtt]],AC7-TbTradesNovaDAX[[#This Row],[Qtt]]),IF(TbTradesNovaDAX[[#This Row],[Tipo]]="BUY",AC7-TbTradesNovaDAX[[#This Row],[Qtt]]*TbTradesNovaDAX[[#This Row],[Preço]],AC7+TbTradesNovaDAX[[#This Row],[Qtt]]*TbTradesNovaDAX[[#This Row],[Preço]])),AC7)-IF(TbTradesNovaDAX[[#This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Row],[Tipo]]="DROP"),AC7+TbTradesNovaDAX[[#This Row],[Qtt]],AC7-TbTradesNovaDAX[[#This Row],[Qtt]]),IF(TbTradesNovaDAX[[#This Row],[Tipo]]="BUY",AC7-TbTradesNovaDAX[[#This Row],[Qtt]]*TbTradesNovaDAX[[#This Row],[Preço]],AC7+TbTradesNovaDAX[[#This Row],[Qtt]]*TbTradesNovaDAX[[#This Row],[Preço]])),AC7)-IF(TbTradesNovaDAX[[#This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Row],[Tipo]]="DROP"),AC7+TbTradesNovaDAX[[#This Row],[Qtt]],AC7-TbTradesNovaDAX[[#This Row],[Qtt]]),IF(TbTradesNovaDAX[[#This Row],[Tipo]]="BUY",AC7-TbTradesNovaDAX[[#This Row],[Qtt]]*TbTradesNovaDAX[[#This Row],[Preço]],AC7+TbTradesNovaDAX[[#This Row],[Qtt]]*TbTradesNovaDAX[[#This Row],[Preço]])),AC7)-IF(TbTradesNovaDAX[[#This Row],[Moeda da Taxa]]=MID(AC$1,9,5),TbTradesNovaDAX[[#This Row],[Taxa]],0),8)))</f>
        <v>0.36715500000000001</v>
      </c>
      <c r="AD8" s="50" cm="1">
        <f t="array" ref="AD8">IF(TbTradesNovaDAX[[#This Row],[Tipo]]="EMPTY",0,AD7+IF(TbTradesNovaDAX[[#This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Row],[Par]]))),$1:$1,0)),-(AC7-AC8)/AC7*AD7),0),0)+IF(TbTradesNovaDAX[[#This Row],[Tipo]]="SELL",IF(ISNUMBER(FIND(MID(AD$1,10,5),TbTradesNovaDAX[[#This Row],[Par]])),IF(FIND(MID(AD$1,10,5),TbTradesNovaDAX[[#This Row],[Par]])=1, -(AC7-AC8)/AC7*AD7,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Row],[Par]])),(-(AC7-AC8)/AC7*AD7)+IF(TbTradesNovaDAX[[#This Row],[Resultado]]&gt;0,0,TbTradesNovaDAX[[#This Row],[Taxa]]),0),0))</f>
        <v>39.600009900000003</v>
      </c>
      <c r="AE8" s="41">
        <f t="shared" si="5"/>
        <v>107.85638190954775</v>
      </c>
      <c r="AF8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Row],[Tipo]]="DROP"),AF7+TbTradesNovaDAX[[#This Row],[Qtt]],AF7-TbTradesNovaDAX[[#This Row],[Qtt]]),IF(TbTradesNovaDAX[[#This Row],[Tipo]]="BUY",AF7-TbTradesNovaDAX[[#This Row],[Qtt]]*TbTradesNovaDAX[[#This Row],[Preço]],AF7+TbTradesNovaDAX[[#This Row],[Qtt]]*TbTradesNovaDAX[[#This Row],[Preço]])),AF7)-IF(TbTradesNovaDAX[[#This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Row],[Tipo]]="DROP"),AF7+TbTradesNovaDAX[[#This Row],[Qtt]],AF7-TbTradesNovaDAX[[#This Row],[Qtt]]),IF(TbTradesNovaDAX[[#This Row],[Tipo]]="BUY",AF7-TbTradesNovaDAX[[#This Row],[Qtt]]*TbTradesNovaDAX[[#This Row],[Preço]],AF7+TbTradesNovaDAX[[#This Row],[Qtt]]*TbTradesNovaDAX[[#This Row],[Preço]])),AF7)-IF(TbTradesNovaDAX[[#This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Row],[Tipo]]="DROP"),AF7+TbTradesNovaDAX[[#This Row],[Qtt]],AF7-TbTradesNovaDAX[[#This Row],[Qtt]]),IF(TbTradesNovaDAX[[#This Row],[Tipo]]="BUY",AF7-TbTradesNovaDAX[[#This Row],[Qtt]]*TbTradesNovaDAX[[#This Row],[Preço]],AF7+TbTradesNovaDAX[[#This Row],[Qtt]]*TbTradesNovaDAX[[#This Row],[Preço]])),AF7)-IF(TbTradesNovaDAX[[#This Row],[Moeda da Taxa]]=MID(AF$1,9,5),TbTradesNovaDAX[[#This Row],[Taxa]],0),8)))</f>
        <v>1.649E-5</v>
      </c>
      <c r="AG8" s="50" cm="1">
        <f t="array" ref="AG8">IF(TbTradesNovaDAX[[#This Row],[Tipo]]="EMPTY",0,AG7+IF(TbTradesNovaDAX[[#This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Row],[Par]]))),$1:$1,0)),-(AF7-AF8)/AF7*AG7),0),0)+IF(TbTradesNovaDAX[[#This Row],[Tipo]]="SELL",IF(ISNUMBER(FIND(MID(AG$1,10,5),TbTradesNovaDAX[[#This Row],[Par]])),IF(FIND(MID(AG$1,10,5),TbTradesNovaDAX[[#This Row],[Par]])=1, -(AF7-AF8)/AF7*AG7,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Row],[Par]])),(-(AF7-AF8)/AF7*AG7)+IF(TbTradesNovaDAX[[#This Row],[Resultado]]&gt;0,0,TbTradesNovaDAX[[#This Row],[Taxa]]),0),0))</f>
        <v>1.4694429588004709E-3</v>
      </c>
      <c r="AH8" s="41">
        <f t="shared" si="6"/>
        <v>89.111155779288723</v>
      </c>
      <c r="AI8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Row],[Tipo]]="DROP"),AI7+TbTradesNovaDAX[[#This Row],[Qtt]],AI7-TbTradesNovaDAX[[#This Row],[Qtt]]),IF(TbTradesNovaDAX[[#This Row],[Tipo]]="BUY",AI7-TbTradesNovaDAX[[#This Row],[Qtt]]*TbTradesNovaDAX[[#This Row],[Preço]],AI7+TbTradesNovaDAX[[#This Row],[Qtt]]*TbTradesNovaDAX[[#This Row],[Preço]])),AI7)-IF(TbTradesNovaDAX[[#This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Row],[Tipo]]="DROP"),AI7+TbTradesNovaDAX[[#This Row],[Qtt]],AI7-TbTradesNovaDAX[[#This Row],[Qtt]]),IF(TbTradesNovaDAX[[#This Row],[Tipo]]="BUY",AI7-TbTradesNovaDAX[[#This Row],[Qtt]]*TbTradesNovaDAX[[#This Row],[Preço]],AI7+TbTradesNovaDAX[[#This Row],[Qtt]]*TbTradesNovaDAX[[#This Row],[Preço]])),AI7)-IF(TbTradesNovaDAX[[#This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Row],[Tipo]]="DROP"),AI7+TbTradesNovaDAX[[#This Row],[Qtt]],AI7-TbTradesNovaDAX[[#This Row],[Qtt]]),IF(TbTradesNovaDAX[[#This Row],[Tipo]]="BUY",AI7-TbTradesNovaDAX[[#This Row],[Qtt]]*TbTradesNovaDAX[[#This Row],[Preço]],AI7+TbTradesNovaDAX[[#This Row],[Qtt]]*TbTradesNovaDAX[[#This Row],[Preço]])),AI7)-IF(TbTradesNovaDAX[[#This Row],[Moeda da Taxa]]=MID(AI$1,9,5),TbTradesNovaDAX[[#This Row],[Taxa]],0),8)))</f>
        <v>0</v>
      </c>
      <c r="AJ8" s="50" cm="1">
        <f t="array" ref="AJ8">IF(TbTradesNovaDAX[[#This Row],[Tipo]]="EMPTY",0,AJ7+IF(TbTradesNovaDAX[[#This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Row],[Par]]))),$1:$1,0)),-(AI7-AI8)/AI7*AJ7),0),0)+IF(TbTradesNovaDAX[[#This Row],[Tipo]]="SELL",IF(ISNUMBER(FIND(MID(AJ$1,10,5),TbTradesNovaDAX[[#This Row],[Par]])),IF(FIND(MID(AJ$1,10,5),TbTradesNovaDAX[[#This Row],[Par]])=1, -(AI7-AI8)/AI7*AJ7,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Row],[Par]])),(-(AI7-AI8)/AI7*AJ7)+IF(TbTradesNovaDAX[[#This Row],[Resultado]]&gt;0,0,TbTradesNovaDAX[[#This Row],[Taxa]]),0),0))</f>
        <v>0</v>
      </c>
      <c r="AK8" s="41">
        <f t="shared" si="7"/>
        <v>0</v>
      </c>
      <c r="AL8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Row],[Tipo]]="DROP"),AL7+TbTradesNovaDAX[[#This Row],[Qtt]],AL7-TbTradesNovaDAX[[#This Row],[Qtt]]),IF(TbTradesNovaDAX[[#This Row],[Tipo]]="BUY",AL7-TbTradesNovaDAX[[#This Row],[Qtt]]*TbTradesNovaDAX[[#This Row],[Preço]],AL7+TbTradesNovaDAX[[#This Row],[Qtt]]*TbTradesNovaDAX[[#This Row],[Preço]])),AL7)-IF(TbTradesNovaDAX[[#This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Row],[Tipo]]="DROP"),AL7+TbTradesNovaDAX[[#This Row],[Qtt]],AL7-TbTradesNovaDAX[[#This Row],[Qtt]]),IF(TbTradesNovaDAX[[#This Row],[Tipo]]="BUY",AL7-TbTradesNovaDAX[[#This Row],[Qtt]]*TbTradesNovaDAX[[#This Row],[Preço]],AL7+TbTradesNovaDAX[[#This Row],[Qtt]]*TbTradesNovaDAX[[#This Row],[Preço]])),AL7)-IF(TbTradesNovaDAX[[#This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Row],[Tipo]]="DROP"),AL7+TbTradesNovaDAX[[#This Row],[Qtt]],AL7-TbTradesNovaDAX[[#This Row],[Qtt]]),IF(TbTradesNovaDAX[[#This Row],[Tipo]]="BUY",AL7-TbTradesNovaDAX[[#This Row],[Qtt]]*TbTradesNovaDAX[[#This Row],[Preço]],AL7+TbTradesNovaDAX[[#This Row],[Qtt]]*TbTradesNovaDAX[[#This Row],[Preço]])),AL7)-IF(TbTradesNovaDAX[[#This Row],[Moeda da Taxa]]=MID(AL$1,9,5),TbTradesNovaDAX[[#This Row],[Taxa]],0),8)))</f>
        <v>0</v>
      </c>
      <c r="AM8" s="50" cm="1">
        <f t="array" ref="AM8">IF(TbTradesNovaDAX[[#This Row],[Tipo]]="EMPTY",0,AM7+IF(TbTradesNovaDAX[[#This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Row],[Par]]))),$1:$1,0)),-(AL7-AL8)/AL7*AM7),0),0)+IF(TbTradesNovaDAX[[#This Row],[Tipo]]="SELL",IF(ISNUMBER(FIND(MID(AM$1,10,5),TbTradesNovaDAX[[#This Row],[Par]])),IF(FIND(MID(AM$1,10,5),TbTradesNovaDAX[[#This Row],[Par]])=1, -(AL7-AL8)/AL7*AM7,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Row],[Par]])),(-(AL7-AL8)/AL7*AM7)+IF(TbTradesNovaDAX[[#This Row],[Resultado]]&gt;0,0,TbTradesNovaDAX[[#This Row],[Taxa]]),0),0))</f>
        <v>0</v>
      </c>
      <c r="AN8" s="41">
        <f t="shared" si="8"/>
        <v>0</v>
      </c>
      <c r="AO8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Row],[Tipo]]="DROP"),AO7+TbTradesNovaDAX[[#This Row],[Qtt]],AO7-TbTradesNovaDAX[[#This Row],[Qtt]]),IF(TbTradesNovaDAX[[#This Row],[Tipo]]="BUY",AO7-TbTradesNovaDAX[[#This Row],[Qtt]]*TbTradesNovaDAX[[#This Row],[Preço]],AO7+TbTradesNovaDAX[[#This Row],[Qtt]]*TbTradesNovaDAX[[#This Row],[Preço]])),AO7)-IF(TbTradesNovaDAX[[#This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Row],[Tipo]]="DROP"),AO7+TbTradesNovaDAX[[#This Row],[Qtt]],AO7-TbTradesNovaDAX[[#This Row],[Qtt]]),IF(TbTradesNovaDAX[[#This Row],[Tipo]]="BUY",AO7-TbTradesNovaDAX[[#This Row],[Qtt]]*TbTradesNovaDAX[[#This Row],[Preço]],AO7+TbTradesNovaDAX[[#This Row],[Qtt]]*TbTradesNovaDAX[[#This Row],[Preço]])),AO7)-IF(TbTradesNovaDAX[[#This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Row],[Tipo]]="DROP"),AO7+TbTradesNovaDAX[[#This Row],[Qtt]],AO7-TbTradesNovaDAX[[#This Row],[Qtt]]),IF(TbTradesNovaDAX[[#This Row],[Tipo]]="BUY",AO7-TbTradesNovaDAX[[#This Row],[Qtt]]*TbTradesNovaDAX[[#This Row],[Preço]],AO7+TbTradesNovaDAX[[#This Row],[Qtt]]*TbTradesNovaDAX[[#This Row],[Preço]])),AO7)-IF(TbTradesNovaDAX[[#This Row],[Moeda da Taxa]]=MID(AO$1,9,5),TbTradesNovaDAX[[#This Row],[Taxa]],0),8)))</f>
        <v>0</v>
      </c>
      <c r="AP8" s="50" cm="1">
        <f t="array" ref="AP8">IF(TbTradesNovaDAX[[#This Row],[Tipo]]="EMPTY",0,AP7+IF(TbTradesNovaDAX[[#This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Row],[Par]]))),$1:$1,0)),-(AO7-AO8)/AO7*AP7),0),0)+IF(TbTradesNovaDAX[[#This Row],[Tipo]]="SELL",IF(ISNUMBER(FIND(MID(AP$1,10,5),TbTradesNovaDAX[[#This Row],[Par]])),IF(FIND(MID(AP$1,10,5),TbTradesNovaDAX[[#This Row],[Par]])=1, -(AO7-AO8)/AO7*AP7,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Row],[Par]])),(-(AO7-AO8)/AO7*AP7)+IF(TbTradesNovaDAX[[#This Row],[Resultado]]&gt;0,0,TbTradesNovaDAX[[#This Row],[Taxa]]),0),0))</f>
        <v>0</v>
      </c>
      <c r="AQ8" s="41">
        <f t="shared" si="9"/>
        <v>0</v>
      </c>
    </row>
    <row r="9" spans="1:43" x14ac:dyDescent="0.3">
      <c r="B9" s="65" t="s">
        <v>174</v>
      </c>
      <c r="C9" s="67">
        <f>TRUNC(IF(AND(TbTradesNovaDAX[[#This Row],[Tipo]]="SEND",TbTradesNovaDAX[[#This Row],[Par]]="BRL"),TbTradesNovaDAX[[#This Row],[Qtt]]*(1-P8)-IF(TbTradesNovaDAX[[#This Row],[Moeda da Taxa]]="BRL",TbTradesNovaDAX[[#This Row],[Taxa]],0),0)+IF(AND(TbTradesNovaDAX[[#This Row],[Tipo]]="BURN",TbTradesNovaDAX[[#This Row],[Par]]="BRL"),-TbTradesNovaDAX[[#This Row],[Qtt]]*P8,0),2)</f>
        <v>0</v>
      </c>
      <c r="D9" s="65">
        <v>44241.530185185184</v>
      </c>
      <c r="E9" s="77" t="s">
        <v>6</v>
      </c>
      <c r="F9" s="77" t="s">
        <v>148</v>
      </c>
      <c r="G9" s="78">
        <v>268449</v>
      </c>
      <c r="H9" s="78">
        <v>2.6040000000000001E-5</v>
      </c>
      <c r="I9" s="78">
        <v>0</v>
      </c>
      <c r="J9" s="77" t="s">
        <v>6</v>
      </c>
      <c r="K9" s="75">
        <v>1</v>
      </c>
      <c r="L9" s="67">
        <f t="shared" si="10"/>
        <v>268449</v>
      </c>
      <c r="M9" s="67">
        <f>IF(OR(TbTradesNovaDAX[[#This Row],[Tipo]]="BUY",TbTradesNovaDAX[[#This Row],[Tipo]]="RECEIVE"),L9*H9,-L9*H9)</f>
        <v>-6.9904119600000003</v>
      </c>
      <c r="N9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Row],[Tipo]]="DROP"),N8+TbTradesNovaDAX[[#This Row],[Qtt]],N8-TbTradesNovaDAX[[#This Row],[Qtt]]),IF(TbTradesNovaDAX[[#This Row],[Tipo]]="BUY",N8-TbTradesNovaDAX[[#This Row],[Qtt]]*TbTradesNovaDAX[[#This Row],[Preço]],N8+TbTradesNovaDAX[[#This Row],[Qtt]]*TbTradesNovaDAX[[#This Row],[Preço]])),N8)-IF(TbTradesNovaDAX[[#This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Row],[Tipo]]="DROP"),N8+TbTradesNovaDAX[[#This Row],[Qtt]],N8-TbTradesNovaDAX[[#This Row],[Qtt]]),IF(TbTradesNovaDAX[[#This Row],[Tipo]]="BUY",N8-TbTradesNovaDAX[[#This Row],[Qtt]]*TbTradesNovaDAX[[#This Row],[Preço]],N8+TbTradesNovaDAX[[#This Row],[Qtt]]*TbTradesNovaDAX[[#This Row],[Preço]])),N8)-IF(TbTradesNovaDAX[[#This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Row],[Tipo]]="DROP"),N8+TbTradesNovaDAX[[#This Row],[Qtt]],N8-TbTradesNovaDAX[[#This Row],[Qtt]]),IF(TbTradesNovaDAX[[#This Row],[Tipo]]="BUY",N8-TbTradesNovaDAX[[#This Row],[Qtt]]*TbTradesNovaDAX[[#This Row],[Preço]],N8+TbTradesNovaDAX[[#This Row],[Qtt]]*TbTradesNovaDAX[[#This Row],[Preço]])),N8)-IF(TbTradesNovaDAX[[#This Row],[Moeda da Taxa]]=MID(N$1,9,5),TbTradesNovaDAX[[#This Row],[Taxa]],0),8)))</f>
        <v>397.93997961000002</v>
      </c>
      <c r="O9" s="50" cm="1">
        <f t="array" ref="O9">IF(TbTradesNovaDAX[[#This Row],[Tipo]]="EMPTY",0,O8+IF(TbTradesNovaDAX[[#This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Row],[Par]]))),$1:$1,0)),-(N8-N9)/N8*O8),0),0)+IF(TbTradesNovaDAX[[#This Row],[Tipo]]="SELL",IF(ISNUMBER(FIND(MID(O$1,10,5),TbTradesNovaDAX[[#This Row],[Par]])),IF(FIND(MID(O$1,10,5),TbTradesNovaDAX[[#This Row],[Par]])=1, -(N8-N9)/N8*O8,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Row],[Par]])),(-(N8-N9)/N8*O8)+IF(TbTradesNovaDAX[[#This Row],[Resultado]]&gt;0,0,TbTradesNovaDAX[[#This Row],[Taxa]]),0),0))</f>
        <v>399.99854299704117</v>
      </c>
      <c r="P9" s="41">
        <f t="shared" si="0"/>
        <v>1.0051730499384823</v>
      </c>
      <c r="Q9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Row],[Tipo]]="DROP"),Q8+TbTradesNovaDAX[[#This Row],[Qtt]],Q8-TbTradesNovaDAX[[#This Row],[Qtt]]),IF(TbTradesNovaDAX[[#This Row],[Tipo]]="BUY",Q8-TbTradesNovaDAX[[#This Row],[Qtt]]*TbTradesNovaDAX[[#This Row],[Preço]],Q8+TbTradesNovaDAX[[#This Row],[Qtt]]*TbTradesNovaDAX[[#This Row],[Preço]])),Q8)-IF(TbTradesNovaDAX[[#This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Row],[Tipo]]="DROP"),Q8+TbTradesNovaDAX[[#This Row],[Qtt]],Q8-TbTradesNovaDAX[[#This Row],[Qtt]]),IF(TbTradesNovaDAX[[#This Row],[Tipo]]="BUY",Q8-TbTradesNovaDAX[[#This Row],[Qtt]]*TbTradesNovaDAX[[#This Row],[Preço]],Q8+TbTradesNovaDAX[[#This Row],[Qtt]]*TbTradesNovaDAX[[#This Row],[Preço]])),Q8)-IF(TbTradesNovaDAX[[#This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Row],[Tipo]]="DROP"),Q8+TbTradesNovaDAX[[#This Row],[Qtt]],Q8-TbTradesNovaDAX[[#This Row],[Qtt]]),IF(TbTradesNovaDAX[[#This Row],[Tipo]]="BUY",Q8-TbTradesNovaDAX[[#This Row],[Qtt]]*TbTradesNovaDAX[[#This Row],[Preço]],Q8+TbTradesNovaDAX[[#This Row],[Qtt]]*TbTradesNovaDAX[[#This Row],[Preço]])),Q8)-IF(TbTradesNovaDAX[[#This Row],[Moeda da Taxa]]=MID(Q$1,9,5),TbTradesNovaDAX[[#This Row],[Taxa]],0),8)))</f>
        <v>0</v>
      </c>
      <c r="R9" s="50" cm="1">
        <f t="array" ref="R9">IF(TbTradesNovaDAX[[#This Row],[Tipo]]="EMPTY",0,R8+IF(TbTradesNovaDAX[[#This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Row],[Par]]))),$1:$1,0)),-(Q8-Q9)/Q8*R8),0),0)+IF(TbTradesNovaDAX[[#This Row],[Tipo]]="SELL",IF(ISNUMBER(FIND(MID(R$1,10,5),TbTradesNovaDAX[[#This Row],[Par]])),IF(FIND(MID(R$1,10,5),TbTradesNovaDAX[[#This Row],[Par]])=1, -(Q8-Q9)/Q8*R8,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Row],[Par]])),(-(Q8-Q9)/Q8*R8)+IF(TbTradesNovaDAX[[#This Row],[Resultado]]&gt;0,0,TbTradesNovaDAX[[#This Row],[Taxa]]),0),0))</f>
        <v>0</v>
      </c>
      <c r="S9" s="41">
        <f t="shared" si="1"/>
        <v>0</v>
      </c>
      <c r="T9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Row],[Tipo]]="DROP"),T8+TbTradesNovaDAX[[#This Row],[Qtt]],T8-TbTradesNovaDAX[[#This Row],[Qtt]]),IF(TbTradesNovaDAX[[#This Row],[Tipo]]="BUY",T8-TbTradesNovaDAX[[#This Row],[Qtt]]*TbTradesNovaDAX[[#This Row],[Preço]],T8+TbTradesNovaDAX[[#This Row],[Qtt]]*TbTradesNovaDAX[[#This Row],[Preço]])),T8)-IF(TbTradesNovaDAX[[#This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Row],[Tipo]]="DROP"),T8+TbTradesNovaDAX[[#This Row],[Qtt]],T8-TbTradesNovaDAX[[#This Row],[Qtt]]),IF(TbTradesNovaDAX[[#This Row],[Tipo]]="BUY",T8-TbTradesNovaDAX[[#This Row],[Qtt]]*TbTradesNovaDAX[[#This Row],[Preço]],T8+TbTradesNovaDAX[[#This Row],[Qtt]]*TbTradesNovaDAX[[#This Row],[Preço]])),T8)-IF(TbTradesNovaDAX[[#This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Row],[Tipo]]="DROP"),T8+TbTradesNovaDAX[[#This Row],[Qtt]],T8-TbTradesNovaDAX[[#This Row],[Qtt]]),IF(TbTradesNovaDAX[[#This Row],[Tipo]]="BUY",T8-TbTradesNovaDAX[[#This Row],[Qtt]]*TbTradesNovaDAX[[#This Row],[Preço]],T8+TbTradesNovaDAX[[#This Row],[Qtt]]*TbTradesNovaDAX[[#This Row],[Preço]])),T8)-IF(TbTradesNovaDAX[[#This Row],[Moeda da Taxa]]=MID(T$1,9,5),TbTradesNovaDAX[[#This Row],[Taxa]],0),8)))</f>
        <v>2.6040000000000001E-5</v>
      </c>
      <c r="U9" s="50" cm="1">
        <f t="array" ref="U9">IF(TbTradesNovaDAX[[#This Row],[Tipo]]="EMPTY",0,U8+IF(TbTradesNovaDAX[[#This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Row],[Par]]))),$1:$1,0)),-(T8-T9)/T8*U8),0),0)+IF(TbTradesNovaDAX[[#This Row],[Tipo]]="SELL",IF(ISNUMBER(FIND(MID(U$1,10,5),TbTradesNovaDAX[[#This Row],[Par]])),IF(FIND(MID(U$1,10,5),TbTradesNovaDAX[[#This Row],[Par]])=1, -(T8-T9)/T8*U8,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Row],[Par]])),(-(T8-T9)/T8*U8)+IF(TbTradesNovaDAX[[#This Row],[Resultado]]&gt;0,0,TbTradesNovaDAX[[#This Row],[Taxa]]),0),0))</f>
        <v>0</v>
      </c>
      <c r="V9" s="41">
        <f t="shared" si="2"/>
        <v>0</v>
      </c>
      <c r="W9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Row],[Tipo]]="DROP"),W8+TbTradesNovaDAX[[#This Row],[Qtt]],W8-TbTradesNovaDAX[[#This Row],[Qtt]]),IF(TbTradesNovaDAX[[#This Row],[Tipo]]="BUY",W8-TbTradesNovaDAX[[#This Row],[Qtt]]*TbTradesNovaDAX[[#This Row],[Preço]],W8+TbTradesNovaDAX[[#This Row],[Qtt]]*TbTradesNovaDAX[[#This Row],[Preço]])),W8)-IF(TbTradesNovaDAX[[#This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Row],[Tipo]]="DROP"),W8+TbTradesNovaDAX[[#This Row],[Qtt]],W8-TbTradesNovaDAX[[#This Row],[Qtt]]),IF(TbTradesNovaDAX[[#This Row],[Tipo]]="BUY",W8-TbTradesNovaDAX[[#This Row],[Qtt]]*TbTradesNovaDAX[[#This Row],[Preço]],W8+TbTradesNovaDAX[[#This Row],[Qtt]]*TbTradesNovaDAX[[#This Row],[Preço]])),W8)-IF(TbTradesNovaDAX[[#This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Row],[Tipo]]="DROP"),W8+TbTradesNovaDAX[[#This Row],[Qtt]],W8-TbTradesNovaDAX[[#This Row],[Qtt]]),IF(TbTradesNovaDAX[[#This Row],[Tipo]]="BUY",W8-TbTradesNovaDAX[[#This Row],[Qtt]]*TbTradesNovaDAX[[#This Row],[Preço]],W8+TbTradesNovaDAX[[#This Row],[Qtt]]*TbTradesNovaDAX[[#This Row],[Preço]])),W8)-IF(TbTradesNovaDAX[[#This Row],[Moeda da Taxa]]=MID(W$1,9,5),TbTradesNovaDAX[[#This Row],[Taxa]],0),8)))</f>
        <v>0</v>
      </c>
      <c r="X9" s="50" cm="1">
        <f t="array" ref="X9">IF(TbTradesNovaDAX[[#This Row],[Tipo]]="EMPTY",0,X8+IF(TbTradesNovaDAX[[#This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Row],[Par]]))),$1:$1,0)),-(W8-W9)/W8*X8),0),0)+IF(TbTradesNovaDAX[[#This Row],[Tipo]]="SELL",IF(ISNUMBER(FIND(MID(X$1,10,5),TbTradesNovaDAX[[#This Row],[Par]])),IF(FIND(MID(X$1,10,5),TbTradesNovaDAX[[#This Row],[Par]])=1, -(W8-W9)/W8*X8,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Row],[Par]])),(-(W8-W9)/W8*X8)+IF(TbTradesNovaDAX[[#This Row],[Resultado]]&gt;0,0,TbTradesNovaDAX[[#This Row],[Taxa]]),0),0))</f>
        <v>0</v>
      </c>
      <c r="Y9" s="41">
        <f t="shared" si="3"/>
        <v>0</v>
      </c>
      <c r="Z9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Row],[Tipo]]="DROP"),Z8+TbTradesNovaDAX[[#This Row],[Qtt]],Z8-TbTradesNovaDAX[[#This Row],[Qtt]]),IF(TbTradesNovaDAX[[#This Row],[Tipo]]="BUY",Z8-TbTradesNovaDAX[[#This Row],[Qtt]]*TbTradesNovaDAX[[#This Row],[Preço]],Z8+TbTradesNovaDAX[[#This Row],[Qtt]]*TbTradesNovaDAX[[#This Row],[Preço]])),Z8)-IF(TbTradesNovaDAX[[#This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Row],[Tipo]]="DROP"),Z8+TbTradesNovaDAX[[#This Row],[Qtt]],Z8-TbTradesNovaDAX[[#This Row],[Qtt]]),IF(TbTradesNovaDAX[[#This Row],[Tipo]]="BUY",Z8-TbTradesNovaDAX[[#This Row],[Qtt]]*TbTradesNovaDAX[[#This Row],[Preço]],Z8+TbTradesNovaDAX[[#This Row],[Qtt]]*TbTradesNovaDAX[[#This Row],[Preço]])),Z8)-IF(TbTradesNovaDAX[[#This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Row],[Tipo]]="DROP"),Z8+TbTradesNovaDAX[[#This Row],[Qtt]],Z8-TbTradesNovaDAX[[#This Row],[Qtt]]),IF(TbTradesNovaDAX[[#This Row],[Tipo]]="BUY",Z8-TbTradesNovaDAX[[#This Row],[Qtt]]*TbTradesNovaDAX[[#This Row],[Preço]],Z8+TbTradesNovaDAX[[#This Row],[Qtt]]*TbTradesNovaDAX[[#This Row],[Preço]])),Z8)-IF(TbTradesNovaDAX[[#This Row],[Moeda da Taxa]]=MID(Z$1,9,5),TbTradesNovaDAX[[#This Row],[Taxa]],0),8)))</f>
        <v>1.078147E-2</v>
      </c>
      <c r="AA9" s="50" cm="1">
        <f t="array" ref="AA9">IF(TbTradesNovaDAX[[#This Row],[Tipo]]="EMPTY",0,AA8+IF(TbTradesNovaDAX[[#This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Row],[Par]]))),$1:$1,0)),-(Z8-Z9)/Z8*AA8),0),0)+IF(TbTradesNovaDAX[[#This Row],[Tipo]]="SELL",IF(ISNUMBER(FIND(MID(AA$1,10,5),TbTradesNovaDAX[[#This Row],[Par]])),IF(FIND(MID(AA$1,10,5),TbTradesNovaDAX[[#This Row],[Par]])=1, -(Z8-Z9)/Z8*AA8,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Row],[Par]])),(-(Z8-Z9)/Z8*AA8)+IF(TbTradesNovaDAX[[#This Row],[Resultado]]&gt;0,0,TbTradesNovaDAX[[#This Row],[Taxa]]),0),0))</f>
        <v>26.399977659999998</v>
      </c>
      <c r="AB9" s="41">
        <f t="shared" si="4"/>
        <v>2448.6436135332192</v>
      </c>
      <c r="AC9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Row],[Tipo]]="DROP"),AC8+TbTradesNovaDAX[[#This Row],[Qtt]],AC8-TbTradesNovaDAX[[#This Row],[Qtt]]),IF(TbTradesNovaDAX[[#This Row],[Tipo]]="BUY",AC8-TbTradesNovaDAX[[#This Row],[Qtt]]*TbTradesNovaDAX[[#This Row],[Preço]],AC8+TbTradesNovaDAX[[#This Row],[Qtt]]*TbTradesNovaDAX[[#This Row],[Preço]])),AC8)-IF(TbTradesNovaDAX[[#This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Row],[Tipo]]="DROP"),AC8+TbTradesNovaDAX[[#This Row],[Qtt]],AC8-TbTradesNovaDAX[[#This Row],[Qtt]]),IF(TbTradesNovaDAX[[#This Row],[Tipo]]="BUY",AC8-TbTradesNovaDAX[[#This Row],[Qtt]]*TbTradesNovaDAX[[#This Row],[Preço]],AC8+TbTradesNovaDAX[[#This Row],[Qtt]]*TbTradesNovaDAX[[#This Row],[Preço]])),AC8)-IF(TbTradesNovaDAX[[#This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Row],[Tipo]]="DROP"),AC8+TbTradesNovaDAX[[#This Row],[Qtt]],AC8-TbTradesNovaDAX[[#This Row],[Qtt]]),IF(TbTradesNovaDAX[[#This Row],[Tipo]]="BUY",AC8-TbTradesNovaDAX[[#This Row],[Qtt]]*TbTradesNovaDAX[[#This Row],[Preço]],AC8+TbTradesNovaDAX[[#This Row],[Qtt]]*TbTradesNovaDAX[[#This Row],[Preço]])),AC8)-IF(TbTradesNovaDAX[[#This Row],[Moeda da Taxa]]=MID(AC$1,9,5),TbTradesNovaDAX[[#This Row],[Taxa]],0),8)))</f>
        <v>0.36715500000000001</v>
      </c>
      <c r="AD9" s="50" cm="1">
        <f t="array" ref="AD9">IF(TbTradesNovaDAX[[#This Row],[Tipo]]="EMPTY",0,AD8+IF(TbTradesNovaDAX[[#This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Row],[Par]]))),$1:$1,0)),-(AC8-AC9)/AC8*AD8),0),0)+IF(TbTradesNovaDAX[[#This Row],[Tipo]]="SELL",IF(ISNUMBER(FIND(MID(AD$1,10,5),TbTradesNovaDAX[[#This Row],[Par]])),IF(FIND(MID(AD$1,10,5),TbTradesNovaDAX[[#This Row],[Par]])=1, -(AC8-AC9)/AC8*AD8,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Row],[Par]])),(-(AC8-AC9)/AC8*AD8)+IF(TbTradesNovaDAX[[#This Row],[Resultado]]&gt;0,0,TbTradesNovaDAX[[#This Row],[Taxa]]),0),0))</f>
        <v>39.600009900000003</v>
      </c>
      <c r="AE9" s="41">
        <f t="shared" si="5"/>
        <v>107.85638190954775</v>
      </c>
      <c r="AF9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Row],[Tipo]]="DROP"),AF8+TbTradesNovaDAX[[#This Row],[Qtt]],AF8-TbTradesNovaDAX[[#This Row],[Qtt]]),IF(TbTradesNovaDAX[[#This Row],[Tipo]]="BUY",AF8-TbTradesNovaDAX[[#This Row],[Qtt]]*TbTradesNovaDAX[[#This Row],[Preço]],AF8+TbTradesNovaDAX[[#This Row],[Qtt]]*TbTradesNovaDAX[[#This Row],[Preço]])),AF8)-IF(TbTradesNovaDAX[[#This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Row],[Tipo]]="DROP"),AF8+TbTradesNovaDAX[[#This Row],[Qtt]],AF8-TbTradesNovaDAX[[#This Row],[Qtt]]),IF(TbTradesNovaDAX[[#This Row],[Tipo]]="BUY",AF8-TbTradesNovaDAX[[#This Row],[Qtt]]*TbTradesNovaDAX[[#This Row],[Preço]],AF8+TbTradesNovaDAX[[#This Row],[Qtt]]*TbTradesNovaDAX[[#This Row],[Preço]])),AF8)-IF(TbTradesNovaDAX[[#This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Row],[Tipo]]="DROP"),AF8+TbTradesNovaDAX[[#This Row],[Qtt]],AF8-TbTradesNovaDAX[[#This Row],[Qtt]]),IF(TbTradesNovaDAX[[#This Row],[Tipo]]="BUY",AF8-TbTradesNovaDAX[[#This Row],[Qtt]]*TbTradesNovaDAX[[#This Row],[Preço]],AF8+TbTradesNovaDAX[[#This Row],[Qtt]]*TbTradesNovaDAX[[#This Row],[Preço]])),AF8)-IF(TbTradesNovaDAX[[#This Row],[Moeda da Taxa]]=MID(AF$1,9,5),TbTradesNovaDAX[[#This Row],[Taxa]],0),8)))</f>
        <v>1.649E-5</v>
      </c>
      <c r="AG9" s="50" cm="1">
        <f t="array" ref="AG9">IF(TbTradesNovaDAX[[#This Row],[Tipo]]="EMPTY",0,AG8+IF(TbTradesNovaDAX[[#This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Row],[Par]]))),$1:$1,0)),-(AF8-AF9)/AF8*AG8),0),0)+IF(TbTradesNovaDAX[[#This Row],[Tipo]]="SELL",IF(ISNUMBER(FIND(MID(AG$1,10,5),TbTradesNovaDAX[[#This Row],[Par]])),IF(FIND(MID(AG$1,10,5),TbTradesNovaDAX[[#This Row],[Par]])=1, -(AF8-AF9)/AF8*AG8,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Row],[Par]])),(-(AF8-AF9)/AF8*AG8)+IF(TbTradesNovaDAX[[#This Row],[Resultado]]&gt;0,0,TbTradesNovaDAX[[#This Row],[Taxa]]),0),0))</f>
        <v>1.4694429588004709E-3</v>
      </c>
      <c r="AH9" s="41">
        <f t="shared" si="6"/>
        <v>89.111155779288723</v>
      </c>
      <c r="AI9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Row],[Tipo]]="DROP"),AI8+TbTradesNovaDAX[[#This Row],[Qtt]],AI8-TbTradesNovaDAX[[#This Row],[Qtt]]),IF(TbTradesNovaDAX[[#This Row],[Tipo]]="BUY",AI8-TbTradesNovaDAX[[#This Row],[Qtt]]*TbTradesNovaDAX[[#This Row],[Preço]],AI8+TbTradesNovaDAX[[#This Row],[Qtt]]*TbTradesNovaDAX[[#This Row],[Preço]])),AI8)-IF(TbTradesNovaDAX[[#This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Row],[Tipo]]="DROP"),AI8+TbTradesNovaDAX[[#This Row],[Qtt]],AI8-TbTradesNovaDAX[[#This Row],[Qtt]]),IF(TbTradesNovaDAX[[#This Row],[Tipo]]="BUY",AI8-TbTradesNovaDAX[[#This Row],[Qtt]]*TbTradesNovaDAX[[#This Row],[Preço]],AI8+TbTradesNovaDAX[[#This Row],[Qtt]]*TbTradesNovaDAX[[#This Row],[Preço]])),AI8)-IF(TbTradesNovaDAX[[#This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Row],[Tipo]]="DROP"),AI8+TbTradesNovaDAX[[#This Row],[Qtt]],AI8-TbTradesNovaDAX[[#This Row],[Qtt]]),IF(TbTradesNovaDAX[[#This Row],[Tipo]]="BUY",AI8-TbTradesNovaDAX[[#This Row],[Qtt]]*TbTradesNovaDAX[[#This Row],[Preço]],AI8+TbTradesNovaDAX[[#This Row],[Qtt]]*TbTradesNovaDAX[[#This Row],[Preço]])),AI8)-IF(TbTradesNovaDAX[[#This Row],[Moeda da Taxa]]=MID(AI$1,9,5),TbTradesNovaDAX[[#This Row],[Taxa]],0),8)))</f>
        <v>0</v>
      </c>
      <c r="AJ9" s="50" cm="1">
        <f t="array" ref="AJ9">IF(TbTradesNovaDAX[[#This Row],[Tipo]]="EMPTY",0,AJ8+IF(TbTradesNovaDAX[[#This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Row],[Par]]))),$1:$1,0)),-(AI8-AI9)/AI8*AJ8),0),0)+IF(TbTradesNovaDAX[[#This Row],[Tipo]]="SELL",IF(ISNUMBER(FIND(MID(AJ$1,10,5),TbTradesNovaDAX[[#This Row],[Par]])),IF(FIND(MID(AJ$1,10,5),TbTradesNovaDAX[[#This Row],[Par]])=1, -(AI8-AI9)/AI8*AJ8,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Row],[Par]])),(-(AI8-AI9)/AI8*AJ8)+IF(TbTradesNovaDAX[[#This Row],[Resultado]]&gt;0,0,TbTradesNovaDAX[[#This Row],[Taxa]]),0),0))</f>
        <v>0</v>
      </c>
      <c r="AK9" s="41">
        <f t="shared" si="7"/>
        <v>0</v>
      </c>
      <c r="AL9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Row],[Tipo]]="DROP"),AL8+TbTradesNovaDAX[[#This Row],[Qtt]],AL8-TbTradesNovaDAX[[#This Row],[Qtt]]),IF(TbTradesNovaDAX[[#This Row],[Tipo]]="BUY",AL8-TbTradesNovaDAX[[#This Row],[Qtt]]*TbTradesNovaDAX[[#This Row],[Preço]],AL8+TbTradesNovaDAX[[#This Row],[Qtt]]*TbTradesNovaDAX[[#This Row],[Preço]])),AL8)-IF(TbTradesNovaDAX[[#This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Row],[Tipo]]="DROP"),AL8+TbTradesNovaDAX[[#This Row],[Qtt]],AL8-TbTradesNovaDAX[[#This Row],[Qtt]]),IF(TbTradesNovaDAX[[#This Row],[Tipo]]="BUY",AL8-TbTradesNovaDAX[[#This Row],[Qtt]]*TbTradesNovaDAX[[#This Row],[Preço]],AL8+TbTradesNovaDAX[[#This Row],[Qtt]]*TbTradesNovaDAX[[#This Row],[Preço]])),AL8)-IF(TbTradesNovaDAX[[#This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Row],[Tipo]]="DROP"),AL8+TbTradesNovaDAX[[#This Row],[Qtt]],AL8-TbTradesNovaDAX[[#This Row],[Qtt]]),IF(TbTradesNovaDAX[[#This Row],[Tipo]]="BUY",AL8-TbTradesNovaDAX[[#This Row],[Qtt]]*TbTradesNovaDAX[[#This Row],[Preço]],AL8+TbTradesNovaDAX[[#This Row],[Qtt]]*TbTradesNovaDAX[[#This Row],[Preço]])),AL8)-IF(TbTradesNovaDAX[[#This Row],[Moeda da Taxa]]=MID(AL$1,9,5),TbTradesNovaDAX[[#This Row],[Taxa]],0),8)))</f>
        <v>0</v>
      </c>
      <c r="AM9" s="50" cm="1">
        <f t="array" ref="AM9">IF(TbTradesNovaDAX[[#This Row],[Tipo]]="EMPTY",0,AM8+IF(TbTradesNovaDAX[[#This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Row],[Par]]))),$1:$1,0)),-(AL8-AL9)/AL8*AM8),0),0)+IF(TbTradesNovaDAX[[#This Row],[Tipo]]="SELL",IF(ISNUMBER(FIND(MID(AM$1,10,5),TbTradesNovaDAX[[#This Row],[Par]])),IF(FIND(MID(AM$1,10,5),TbTradesNovaDAX[[#This Row],[Par]])=1, -(AL8-AL9)/AL8*AM8,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Row],[Par]])),(-(AL8-AL9)/AL8*AM8)+IF(TbTradesNovaDAX[[#This Row],[Resultado]]&gt;0,0,TbTradesNovaDAX[[#This Row],[Taxa]]),0),0))</f>
        <v>0</v>
      </c>
      <c r="AN9" s="41">
        <f t="shared" si="8"/>
        <v>0</v>
      </c>
      <c r="AO9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Row],[Tipo]]="DROP"),AO8+TbTradesNovaDAX[[#This Row],[Qtt]],AO8-TbTradesNovaDAX[[#This Row],[Qtt]]),IF(TbTradesNovaDAX[[#This Row],[Tipo]]="BUY",AO8-TbTradesNovaDAX[[#This Row],[Qtt]]*TbTradesNovaDAX[[#This Row],[Preço]],AO8+TbTradesNovaDAX[[#This Row],[Qtt]]*TbTradesNovaDAX[[#This Row],[Preço]])),AO8)-IF(TbTradesNovaDAX[[#This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Row],[Tipo]]="DROP"),AO8+TbTradesNovaDAX[[#This Row],[Qtt]],AO8-TbTradesNovaDAX[[#This Row],[Qtt]]),IF(TbTradesNovaDAX[[#This Row],[Tipo]]="BUY",AO8-TbTradesNovaDAX[[#This Row],[Qtt]]*TbTradesNovaDAX[[#This Row],[Preço]],AO8+TbTradesNovaDAX[[#This Row],[Qtt]]*TbTradesNovaDAX[[#This Row],[Preço]])),AO8)-IF(TbTradesNovaDAX[[#This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Row],[Tipo]]="DROP"),AO8+TbTradesNovaDAX[[#This Row],[Qtt]],AO8-TbTradesNovaDAX[[#This Row],[Qtt]]),IF(TbTradesNovaDAX[[#This Row],[Tipo]]="BUY",AO8-TbTradesNovaDAX[[#This Row],[Qtt]]*TbTradesNovaDAX[[#This Row],[Preço]],AO8+TbTradesNovaDAX[[#This Row],[Qtt]]*TbTradesNovaDAX[[#This Row],[Preço]])),AO8)-IF(TbTradesNovaDAX[[#This Row],[Moeda da Taxa]]=MID(AO$1,9,5),TbTradesNovaDAX[[#This Row],[Taxa]],0),8)))</f>
        <v>0</v>
      </c>
      <c r="AP9" s="50" cm="1">
        <f t="array" ref="AP9">IF(TbTradesNovaDAX[[#This Row],[Tipo]]="EMPTY",0,AP8+IF(TbTradesNovaDAX[[#This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Row],[Par]]))),$1:$1,0)),-(AO8-AO9)/AO8*AP8),0),0)+IF(TbTradesNovaDAX[[#This Row],[Tipo]]="SELL",IF(ISNUMBER(FIND(MID(AP$1,10,5),TbTradesNovaDAX[[#This Row],[Par]])),IF(FIND(MID(AP$1,10,5),TbTradesNovaDAX[[#This Row],[Par]])=1, -(AO8-AO9)/AO8*AP8,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Row],[Par]])),(-(AO8-AO9)/AO8*AP8)+IF(TbTradesNovaDAX[[#This Row],[Resultado]]&gt;0,0,TbTradesNovaDAX[[#This Row],[Taxa]]),0),0))</f>
        <v>0</v>
      </c>
      <c r="AQ9" s="41">
        <f t="shared" si="9"/>
        <v>0</v>
      </c>
    </row>
    <row r="10" spans="1:43" x14ac:dyDescent="0.3">
      <c r="B10" s="65"/>
      <c r="C10" s="67">
        <f>TRUNC(IF(AND(TbTradesNovaDAX[[#This Row],[Tipo]]="SEND",TbTradesNovaDAX[[#This Row],[Par]]="BRL"),TbTradesNovaDAX[[#This Row],[Qtt]]*(1-P9)-IF(TbTradesNovaDAX[[#This Row],[Moeda da Taxa]]="BRL",TbTradesNovaDAX[[#This Row],[Taxa]],0),0)+IF(AND(TbTradesNovaDAX[[#This Row],[Tipo]]="BURN",TbTradesNovaDAX[[#This Row],[Par]]="BRL"),-TbTradesNovaDAX[[#This Row],[Qtt]]*P9,0),2)</f>
        <v>0</v>
      </c>
      <c r="D10" s="65">
        <v>44241.530185185184</v>
      </c>
      <c r="E10" s="77" t="s">
        <v>138</v>
      </c>
      <c r="F10" s="77" t="s">
        <v>139</v>
      </c>
      <c r="G10" s="78">
        <v>268449.17</v>
      </c>
      <c r="H10" s="78">
        <v>3.7251E-4</v>
      </c>
      <c r="I10" s="78">
        <v>1.8700000000000001E-6</v>
      </c>
      <c r="J10" s="77" t="s">
        <v>6</v>
      </c>
      <c r="K10" s="75">
        <v>1</v>
      </c>
      <c r="L10" s="67">
        <f t="shared" si="10"/>
        <v>268449.17</v>
      </c>
      <c r="M10" s="67">
        <f>IF(OR(TbTradesNovaDAX[[#This Row],[Tipo]]="BUY",TbTradesNovaDAX[[#This Row],[Tipo]]="RECEIVE"),L10*H10,-L10*H10)</f>
        <v>100.0000003167</v>
      </c>
      <c r="N10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Row],[Tipo]]="DROP"),N9+TbTradesNovaDAX[[#This Row],[Qtt]],N9-TbTradesNovaDAX[[#This Row],[Qtt]]),IF(TbTradesNovaDAX[[#This Row],[Tipo]]="BUY",N9-TbTradesNovaDAX[[#This Row],[Qtt]]*TbTradesNovaDAX[[#This Row],[Preço]],N9+TbTradesNovaDAX[[#This Row],[Qtt]]*TbTradesNovaDAX[[#This Row],[Preço]])),N9)-IF(TbTradesNovaDAX[[#This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Row],[Tipo]]="DROP"),N9+TbTradesNovaDAX[[#This Row],[Qtt]],N9-TbTradesNovaDAX[[#This Row],[Qtt]]),IF(TbTradesNovaDAX[[#This Row],[Tipo]]="BUY",N9-TbTradesNovaDAX[[#This Row],[Qtt]]*TbTradesNovaDAX[[#This Row],[Preço]],N9+TbTradesNovaDAX[[#This Row],[Qtt]]*TbTradesNovaDAX[[#This Row],[Preço]])),N9)-IF(TbTradesNovaDAX[[#This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Row],[Tipo]]="DROP"),N9+TbTradesNovaDAX[[#This Row],[Qtt]],N9-TbTradesNovaDAX[[#This Row],[Qtt]]),IF(TbTradesNovaDAX[[#This Row],[Tipo]]="BUY",N9-TbTradesNovaDAX[[#This Row],[Qtt]]*TbTradesNovaDAX[[#This Row],[Preço]],N9+TbTradesNovaDAX[[#This Row],[Qtt]]*TbTradesNovaDAX[[#This Row],[Preço]])),N9)-IF(TbTradesNovaDAX[[#This Row],[Moeda da Taxa]]=MID(N$1,9,5),TbTradesNovaDAX[[#This Row],[Taxa]],0),8)))</f>
        <v>297.93997929</v>
      </c>
      <c r="O10" s="50" cm="1">
        <f t="array" ref="O10">IF(TbTradesNovaDAX[[#This Row],[Tipo]]="EMPTY",0,O9+IF(TbTradesNovaDAX[[#This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Row],[Par]]))),$1:$1,0)),-(N9-N10)/N9*O9),0),0)+IF(TbTradesNovaDAX[[#This Row],[Tipo]]="SELL",IF(ISNUMBER(FIND(MID(O$1,10,5),TbTradesNovaDAX[[#This Row],[Par]])),IF(FIND(MID(O$1,10,5),TbTradesNovaDAX[[#This Row],[Par]])=1, -(N9-N10)/N9*O9,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Row],[Par]])),(-(N9-N10)/N9*O9)+IF(TbTradesNovaDAX[[#This Row],[Resultado]]&gt;0,0,TbTradesNovaDAX[[#This Row],[Taxa]]),0),0))</f>
        <v>299.48123768153755</v>
      </c>
      <c r="P10" s="41">
        <f t="shared" si="0"/>
        <v>1.0051730499384823</v>
      </c>
      <c r="Q10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Row],[Tipo]]="DROP"),Q9+TbTradesNovaDAX[[#This Row],[Qtt]],Q9-TbTradesNovaDAX[[#This Row],[Qtt]]),IF(TbTradesNovaDAX[[#This Row],[Tipo]]="BUY",Q9-TbTradesNovaDAX[[#This Row],[Qtt]]*TbTradesNovaDAX[[#This Row],[Preço]],Q9+TbTradesNovaDAX[[#This Row],[Qtt]]*TbTradesNovaDAX[[#This Row],[Preço]])),Q9)-IF(TbTradesNovaDAX[[#This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Row],[Tipo]]="DROP"),Q9+TbTradesNovaDAX[[#This Row],[Qtt]],Q9-TbTradesNovaDAX[[#This Row],[Qtt]]),IF(TbTradesNovaDAX[[#This Row],[Tipo]]="BUY",Q9-TbTradesNovaDAX[[#This Row],[Qtt]]*TbTradesNovaDAX[[#This Row],[Preço]],Q9+TbTradesNovaDAX[[#This Row],[Qtt]]*TbTradesNovaDAX[[#This Row],[Preço]])),Q9)-IF(TbTradesNovaDAX[[#This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Row],[Tipo]]="DROP"),Q9+TbTradesNovaDAX[[#This Row],[Qtt]],Q9-TbTradesNovaDAX[[#This Row],[Qtt]]),IF(TbTradesNovaDAX[[#This Row],[Tipo]]="BUY",Q9-TbTradesNovaDAX[[#This Row],[Qtt]]*TbTradesNovaDAX[[#This Row],[Preço]],Q9+TbTradesNovaDAX[[#This Row],[Qtt]]*TbTradesNovaDAX[[#This Row],[Preço]])),Q9)-IF(TbTradesNovaDAX[[#This Row],[Moeda da Taxa]]=MID(Q$1,9,5),TbTradesNovaDAX[[#This Row],[Taxa]],0),8)))</f>
        <v>0</v>
      </c>
      <c r="R10" s="50" cm="1">
        <f t="array" ref="R10">IF(TbTradesNovaDAX[[#This Row],[Tipo]]="EMPTY",0,R9+IF(TbTradesNovaDAX[[#This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Row],[Par]]))),$1:$1,0)),-(Q9-Q10)/Q9*R9),0),0)+IF(TbTradesNovaDAX[[#This Row],[Tipo]]="SELL",IF(ISNUMBER(FIND(MID(R$1,10,5),TbTradesNovaDAX[[#This Row],[Par]])),IF(FIND(MID(R$1,10,5),TbTradesNovaDAX[[#This Row],[Par]])=1, -(Q9-Q10)/Q9*R9,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Row],[Par]])),(-(Q9-Q10)/Q9*R9)+IF(TbTradesNovaDAX[[#This Row],[Resultado]]&gt;0,0,TbTradesNovaDAX[[#This Row],[Taxa]]),0),0))</f>
        <v>0</v>
      </c>
      <c r="S10" s="41">
        <f t="shared" si="1"/>
        <v>0</v>
      </c>
      <c r="T10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Row],[Tipo]]="DROP"),T9+TbTradesNovaDAX[[#This Row],[Qtt]],T9-TbTradesNovaDAX[[#This Row],[Qtt]]),IF(TbTradesNovaDAX[[#This Row],[Tipo]]="BUY",T9-TbTradesNovaDAX[[#This Row],[Qtt]]*TbTradesNovaDAX[[#This Row],[Preço]],T9+TbTradesNovaDAX[[#This Row],[Qtt]]*TbTradesNovaDAX[[#This Row],[Preço]])),T9)-IF(TbTradesNovaDAX[[#This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Row],[Tipo]]="DROP"),T9+TbTradesNovaDAX[[#This Row],[Qtt]],T9-TbTradesNovaDAX[[#This Row],[Qtt]]),IF(TbTradesNovaDAX[[#This Row],[Tipo]]="BUY",T9-TbTradesNovaDAX[[#This Row],[Qtt]]*TbTradesNovaDAX[[#This Row],[Preço]],T9+TbTradesNovaDAX[[#This Row],[Qtt]]*TbTradesNovaDAX[[#This Row],[Preço]])),T9)-IF(TbTradesNovaDAX[[#This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Row],[Tipo]]="DROP"),T9+TbTradesNovaDAX[[#This Row],[Qtt]],T9-TbTradesNovaDAX[[#This Row],[Qtt]]),IF(TbTradesNovaDAX[[#This Row],[Tipo]]="BUY",T9-TbTradesNovaDAX[[#This Row],[Qtt]]*TbTradesNovaDAX[[#This Row],[Preço]],T9+TbTradesNovaDAX[[#This Row],[Qtt]]*TbTradesNovaDAX[[#This Row],[Preço]])),T9)-IF(TbTradesNovaDAX[[#This Row],[Moeda da Taxa]]=MID(T$1,9,5),TbTradesNovaDAX[[#This Row],[Taxa]],0),8)))</f>
        <v>3.9668E-4</v>
      </c>
      <c r="U10" s="50" cm="1">
        <f t="array" ref="U10">IF(TbTradesNovaDAX[[#This Row],[Tipo]]="EMPTY",0,U9+IF(TbTradesNovaDAX[[#This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Row],[Par]]))),$1:$1,0)),-(T9-T10)/T9*U9),0),0)+IF(TbTradesNovaDAX[[#This Row],[Tipo]]="SELL",IF(ISNUMBER(FIND(MID(U$1,10,5),TbTradesNovaDAX[[#This Row],[Par]])),IF(FIND(MID(U$1,10,5),TbTradesNovaDAX[[#This Row],[Par]])=1, -(T9-T10)/T9*U9,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Row],[Par]])),(-(T9-T10)/T9*U9)+IF(TbTradesNovaDAX[[#This Row],[Resultado]]&gt;0,0,TbTradesNovaDAX[[#This Row],[Taxa]]),0),0))</f>
        <v>100.51730531550363</v>
      </c>
      <c r="V10" s="41">
        <f t="shared" si="2"/>
        <v>253396.45385576191</v>
      </c>
      <c r="W10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Row],[Tipo]]="DROP"),W9+TbTradesNovaDAX[[#This Row],[Qtt]],W9-TbTradesNovaDAX[[#This Row],[Qtt]]),IF(TbTradesNovaDAX[[#This Row],[Tipo]]="BUY",W9-TbTradesNovaDAX[[#This Row],[Qtt]]*TbTradesNovaDAX[[#This Row],[Preço]],W9+TbTradesNovaDAX[[#This Row],[Qtt]]*TbTradesNovaDAX[[#This Row],[Preço]])),W9)-IF(TbTradesNovaDAX[[#This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Row],[Tipo]]="DROP"),W9+TbTradesNovaDAX[[#This Row],[Qtt]],W9-TbTradesNovaDAX[[#This Row],[Qtt]]),IF(TbTradesNovaDAX[[#This Row],[Tipo]]="BUY",W9-TbTradesNovaDAX[[#This Row],[Qtt]]*TbTradesNovaDAX[[#This Row],[Preço]],W9+TbTradesNovaDAX[[#This Row],[Qtt]]*TbTradesNovaDAX[[#This Row],[Preço]])),W9)-IF(TbTradesNovaDAX[[#This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Row],[Tipo]]="DROP"),W9+TbTradesNovaDAX[[#This Row],[Qtt]],W9-TbTradesNovaDAX[[#This Row],[Qtt]]),IF(TbTradesNovaDAX[[#This Row],[Tipo]]="BUY",W9-TbTradesNovaDAX[[#This Row],[Qtt]]*TbTradesNovaDAX[[#This Row],[Preço]],W9+TbTradesNovaDAX[[#This Row],[Qtt]]*TbTradesNovaDAX[[#This Row],[Preço]])),W9)-IF(TbTradesNovaDAX[[#This Row],[Moeda da Taxa]]=MID(W$1,9,5),TbTradesNovaDAX[[#This Row],[Taxa]],0),8)))</f>
        <v>0</v>
      </c>
      <c r="X10" s="50" cm="1">
        <f t="array" ref="X10">IF(TbTradesNovaDAX[[#This Row],[Tipo]]="EMPTY",0,X9+IF(TbTradesNovaDAX[[#This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Row],[Par]]))),$1:$1,0)),-(W9-W10)/W9*X9),0),0)+IF(TbTradesNovaDAX[[#This Row],[Tipo]]="SELL",IF(ISNUMBER(FIND(MID(X$1,10,5),TbTradesNovaDAX[[#This Row],[Par]])),IF(FIND(MID(X$1,10,5),TbTradesNovaDAX[[#This Row],[Par]])=1, -(W9-W10)/W9*X9,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Row],[Par]])),(-(W9-W10)/W9*X9)+IF(TbTradesNovaDAX[[#This Row],[Resultado]]&gt;0,0,TbTradesNovaDAX[[#This Row],[Taxa]]),0),0))</f>
        <v>0</v>
      </c>
      <c r="Y10" s="41">
        <f t="shared" si="3"/>
        <v>0</v>
      </c>
      <c r="Z10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Row],[Tipo]]="DROP"),Z9+TbTradesNovaDAX[[#This Row],[Qtt]],Z9-TbTradesNovaDAX[[#This Row],[Qtt]]),IF(TbTradesNovaDAX[[#This Row],[Tipo]]="BUY",Z9-TbTradesNovaDAX[[#This Row],[Qtt]]*TbTradesNovaDAX[[#This Row],[Preço]],Z9+TbTradesNovaDAX[[#This Row],[Qtt]]*TbTradesNovaDAX[[#This Row],[Preço]])),Z9)-IF(TbTradesNovaDAX[[#This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Row],[Tipo]]="DROP"),Z9+TbTradesNovaDAX[[#This Row],[Qtt]],Z9-TbTradesNovaDAX[[#This Row],[Qtt]]),IF(TbTradesNovaDAX[[#This Row],[Tipo]]="BUY",Z9-TbTradesNovaDAX[[#This Row],[Qtt]]*TbTradesNovaDAX[[#This Row],[Preço]],Z9+TbTradesNovaDAX[[#This Row],[Qtt]]*TbTradesNovaDAX[[#This Row],[Preço]])),Z9)-IF(TbTradesNovaDAX[[#This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Row],[Tipo]]="DROP"),Z9+TbTradesNovaDAX[[#This Row],[Qtt]],Z9-TbTradesNovaDAX[[#This Row],[Qtt]]),IF(TbTradesNovaDAX[[#This Row],[Tipo]]="BUY",Z9-TbTradesNovaDAX[[#This Row],[Qtt]]*TbTradesNovaDAX[[#This Row],[Preço]],Z9+TbTradesNovaDAX[[#This Row],[Qtt]]*TbTradesNovaDAX[[#This Row],[Preço]])),Z9)-IF(TbTradesNovaDAX[[#This Row],[Moeda da Taxa]]=MID(Z$1,9,5),TbTradesNovaDAX[[#This Row],[Taxa]],0),8)))</f>
        <v>1.078147E-2</v>
      </c>
      <c r="AA10" s="50" cm="1">
        <f t="array" ref="AA10">IF(TbTradesNovaDAX[[#This Row],[Tipo]]="EMPTY",0,AA9+IF(TbTradesNovaDAX[[#This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Row],[Par]]))),$1:$1,0)),-(Z9-Z10)/Z9*AA9),0),0)+IF(TbTradesNovaDAX[[#This Row],[Tipo]]="SELL",IF(ISNUMBER(FIND(MID(AA$1,10,5),TbTradesNovaDAX[[#This Row],[Par]])),IF(FIND(MID(AA$1,10,5),TbTradesNovaDAX[[#This Row],[Par]])=1, -(Z9-Z10)/Z9*AA9,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Row],[Par]])),(-(Z9-Z10)/Z9*AA9)+IF(TbTradesNovaDAX[[#This Row],[Resultado]]&gt;0,0,TbTradesNovaDAX[[#This Row],[Taxa]]),0),0))</f>
        <v>26.399977659999998</v>
      </c>
      <c r="AB10" s="41">
        <f t="shared" si="4"/>
        <v>2448.6436135332192</v>
      </c>
      <c r="AC10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Row],[Tipo]]="DROP"),AC9+TbTradesNovaDAX[[#This Row],[Qtt]],AC9-TbTradesNovaDAX[[#This Row],[Qtt]]),IF(TbTradesNovaDAX[[#This Row],[Tipo]]="BUY",AC9-TbTradesNovaDAX[[#This Row],[Qtt]]*TbTradesNovaDAX[[#This Row],[Preço]],AC9+TbTradesNovaDAX[[#This Row],[Qtt]]*TbTradesNovaDAX[[#This Row],[Preço]])),AC9)-IF(TbTradesNovaDAX[[#This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Row],[Tipo]]="DROP"),AC9+TbTradesNovaDAX[[#This Row],[Qtt]],AC9-TbTradesNovaDAX[[#This Row],[Qtt]]),IF(TbTradesNovaDAX[[#This Row],[Tipo]]="BUY",AC9-TbTradesNovaDAX[[#This Row],[Qtt]]*TbTradesNovaDAX[[#This Row],[Preço]],AC9+TbTradesNovaDAX[[#This Row],[Qtt]]*TbTradesNovaDAX[[#This Row],[Preço]])),AC9)-IF(TbTradesNovaDAX[[#This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Row],[Tipo]]="DROP"),AC9+TbTradesNovaDAX[[#This Row],[Qtt]],AC9-TbTradesNovaDAX[[#This Row],[Qtt]]),IF(TbTradesNovaDAX[[#This Row],[Tipo]]="BUY",AC9-TbTradesNovaDAX[[#This Row],[Qtt]]*TbTradesNovaDAX[[#This Row],[Preço]],AC9+TbTradesNovaDAX[[#This Row],[Qtt]]*TbTradesNovaDAX[[#This Row],[Preço]])),AC9)-IF(TbTradesNovaDAX[[#This Row],[Moeda da Taxa]]=MID(AC$1,9,5),TbTradesNovaDAX[[#This Row],[Taxa]],0),8)))</f>
        <v>0.36715500000000001</v>
      </c>
      <c r="AD10" s="50" cm="1">
        <f t="array" ref="AD10">IF(TbTradesNovaDAX[[#This Row],[Tipo]]="EMPTY",0,AD9+IF(TbTradesNovaDAX[[#This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Row],[Par]]))),$1:$1,0)),-(AC9-AC10)/AC9*AD9),0),0)+IF(TbTradesNovaDAX[[#This Row],[Tipo]]="SELL",IF(ISNUMBER(FIND(MID(AD$1,10,5),TbTradesNovaDAX[[#This Row],[Par]])),IF(FIND(MID(AD$1,10,5),TbTradesNovaDAX[[#This Row],[Par]])=1, -(AC9-AC10)/AC9*AD9,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Row],[Par]])),(-(AC9-AC10)/AC9*AD9)+IF(TbTradesNovaDAX[[#This Row],[Resultado]]&gt;0,0,TbTradesNovaDAX[[#This Row],[Taxa]]),0),0))</f>
        <v>39.600009900000003</v>
      </c>
      <c r="AE10" s="41">
        <f t="shared" si="5"/>
        <v>107.85638190954775</v>
      </c>
      <c r="AF10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Row],[Tipo]]="DROP"),AF9+TbTradesNovaDAX[[#This Row],[Qtt]],AF9-TbTradesNovaDAX[[#This Row],[Qtt]]),IF(TbTradesNovaDAX[[#This Row],[Tipo]]="BUY",AF9-TbTradesNovaDAX[[#This Row],[Qtt]]*TbTradesNovaDAX[[#This Row],[Preço]],AF9+TbTradesNovaDAX[[#This Row],[Qtt]]*TbTradesNovaDAX[[#This Row],[Preço]])),AF9)-IF(TbTradesNovaDAX[[#This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Row],[Tipo]]="DROP"),AF9+TbTradesNovaDAX[[#This Row],[Qtt]],AF9-TbTradesNovaDAX[[#This Row],[Qtt]]),IF(TbTradesNovaDAX[[#This Row],[Tipo]]="BUY",AF9-TbTradesNovaDAX[[#This Row],[Qtt]]*TbTradesNovaDAX[[#This Row],[Preço]],AF9+TbTradesNovaDAX[[#This Row],[Qtt]]*TbTradesNovaDAX[[#This Row],[Preço]])),AF9)-IF(TbTradesNovaDAX[[#This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Row],[Tipo]]="DROP"),AF9+TbTradesNovaDAX[[#This Row],[Qtt]],AF9-TbTradesNovaDAX[[#This Row],[Qtt]]),IF(TbTradesNovaDAX[[#This Row],[Tipo]]="BUY",AF9-TbTradesNovaDAX[[#This Row],[Qtt]]*TbTradesNovaDAX[[#This Row],[Preço]],AF9+TbTradesNovaDAX[[#This Row],[Qtt]]*TbTradesNovaDAX[[#This Row],[Preço]])),AF9)-IF(TbTradesNovaDAX[[#This Row],[Moeda da Taxa]]=MID(AF$1,9,5),TbTradesNovaDAX[[#This Row],[Taxa]],0),8)))</f>
        <v>1.649E-5</v>
      </c>
      <c r="AG10" s="50" cm="1">
        <f t="array" ref="AG10">IF(TbTradesNovaDAX[[#This Row],[Tipo]]="EMPTY",0,AG9+IF(TbTradesNovaDAX[[#This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Row],[Par]]))),$1:$1,0)),-(AF9-AF10)/AF9*AG9),0),0)+IF(TbTradesNovaDAX[[#This Row],[Tipo]]="SELL",IF(ISNUMBER(FIND(MID(AG$1,10,5),TbTradesNovaDAX[[#This Row],[Par]])),IF(FIND(MID(AG$1,10,5),TbTradesNovaDAX[[#This Row],[Par]])=1, -(AF9-AF10)/AF9*AG9,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Row],[Par]])),(-(AF9-AF10)/AF9*AG9)+IF(TbTradesNovaDAX[[#This Row],[Resultado]]&gt;0,0,TbTradesNovaDAX[[#This Row],[Taxa]]),0),0))</f>
        <v>1.4694429588004709E-3</v>
      </c>
      <c r="AH10" s="41">
        <f t="shared" si="6"/>
        <v>89.111155779288723</v>
      </c>
      <c r="AI10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Row],[Tipo]]="DROP"),AI9+TbTradesNovaDAX[[#This Row],[Qtt]],AI9-TbTradesNovaDAX[[#This Row],[Qtt]]),IF(TbTradesNovaDAX[[#This Row],[Tipo]]="BUY",AI9-TbTradesNovaDAX[[#This Row],[Qtt]]*TbTradesNovaDAX[[#This Row],[Preço]],AI9+TbTradesNovaDAX[[#This Row],[Qtt]]*TbTradesNovaDAX[[#This Row],[Preço]])),AI9)-IF(TbTradesNovaDAX[[#This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Row],[Tipo]]="DROP"),AI9+TbTradesNovaDAX[[#This Row],[Qtt]],AI9-TbTradesNovaDAX[[#This Row],[Qtt]]),IF(TbTradesNovaDAX[[#This Row],[Tipo]]="BUY",AI9-TbTradesNovaDAX[[#This Row],[Qtt]]*TbTradesNovaDAX[[#This Row],[Preço]],AI9+TbTradesNovaDAX[[#This Row],[Qtt]]*TbTradesNovaDAX[[#This Row],[Preço]])),AI9)-IF(TbTradesNovaDAX[[#This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Row],[Tipo]]="DROP"),AI9+TbTradesNovaDAX[[#This Row],[Qtt]],AI9-TbTradesNovaDAX[[#This Row],[Qtt]]),IF(TbTradesNovaDAX[[#This Row],[Tipo]]="BUY",AI9-TbTradesNovaDAX[[#This Row],[Qtt]]*TbTradesNovaDAX[[#This Row],[Preço]],AI9+TbTradesNovaDAX[[#This Row],[Qtt]]*TbTradesNovaDAX[[#This Row],[Preço]])),AI9)-IF(TbTradesNovaDAX[[#This Row],[Moeda da Taxa]]=MID(AI$1,9,5),TbTradesNovaDAX[[#This Row],[Taxa]],0),8)))</f>
        <v>0</v>
      </c>
      <c r="AJ10" s="50" cm="1">
        <f t="array" ref="AJ10">IF(TbTradesNovaDAX[[#This Row],[Tipo]]="EMPTY",0,AJ9+IF(TbTradesNovaDAX[[#This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Row],[Par]]))),$1:$1,0)),-(AI9-AI10)/AI9*AJ9),0),0)+IF(TbTradesNovaDAX[[#This Row],[Tipo]]="SELL",IF(ISNUMBER(FIND(MID(AJ$1,10,5),TbTradesNovaDAX[[#This Row],[Par]])),IF(FIND(MID(AJ$1,10,5),TbTradesNovaDAX[[#This Row],[Par]])=1, -(AI9-AI10)/AI9*AJ9,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Row],[Par]])),(-(AI9-AI10)/AI9*AJ9)+IF(TbTradesNovaDAX[[#This Row],[Resultado]]&gt;0,0,TbTradesNovaDAX[[#This Row],[Taxa]]),0),0))</f>
        <v>0</v>
      </c>
      <c r="AK10" s="41">
        <f t="shared" si="7"/>
        <v>0</v>
      </c>
      <c r="AL10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Row],[Tipo]]="DROP"),AL9+TbTradesNovaDAX[[#This Row],[Qtt]],AL9-TbTradesNovaDAX[[#This Row],[Qtt]]),IF(TbTradesNovaDAX[[#This Row],[Tipo]]="BUY",AL9-TbTradesNovaDAX[[#This Row],[Qtt]]*TbTradesNovaDAX[[#This Row],[Preço]],AL9+TbTradesNovaDAX[[#This Row],[Qtt]]*TbTradesNovaDAX[[#This Row],[Preço]])),AL9)-IF(TbTradesNovaDAX[[#This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Row],[Tipo]]="DROP"),AL9+TbTradesNovaDAX[[#This Row],[Qtt]],AL9-TbTradesNovaDAX[[#This Row],[Qtt]]),IF(TbTradesNovaDAX[[#This Row],[Tipo]]="BUY",AL9-TbTradesNovaDAX[[#This Row],[Qtt]]*TbTradesNovaDAX[[#This Row],[Preço]],AL9+TbTradesNovaDAX[[#This Row],[Qtt]]*TbTradesNovaDAX[[#This Row],[Preço]])),AL9)-IF(TbTradesNovaDAX[[#This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Row],[Tipo]]="DROP"),AL9+TbTradesNovaDAX[[#This Row],[Qtt]],AL9-TbTradesNovaDAX[[#This Row],[Qtt]]),IF(TbTradesNovaDAX[[#This Row],[Tipo]]="BUY",AL9-TbTradesNovaDAX[[#This Row],[Qtt]]*TbTradesNovaDAX[[#This Row],[Preço]],AL9+TbTradesNovaDAX[[#This Row],[Qtt]]*TbTradesNovaDAX[[#This Row],[Preço]])),AL9)-IF(TbTradesNovaDAX[[#This Row],[Moeda da Taxa]]=MID(AL$1,9,5),TbTradesNovaDAX[[#This Row],[Taxa]],0),8)))</f>
        <v>0</v>
      </c>
      <c r="AM10" s="50" cm="1">
        <f t="array" ref="AM10">IF(TbTradesNovaDAX[[#This Row],[Tipo]]="EMPTY",0,AM9+IF(TbTradesNovaDAX[[#This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Row],[Par]]))),$1:$1,0)),-(AL9-AL10)/AL9*AM9),0),0)+IF(TbTradesNovaDAX[[#This Row],[Tipo]]="SELL",IF(ISNUMBER(FIND(MID(AM$1,10,5),TbTradesNovaDAX[[#This Row],[Par]])),IF(FIND(MID(AM$1,10,5),TbTradesNovaDAX[[#This Row],[Par]])=1, -(AL9-AL10)/AL9*AM9,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Row],[Par]])),(-(AL9-AL10)/AL9*AM9)+IF(TbTradesNovaDAX[[#This Row],[Resultado]]&gt;0,0,TbTradesNovaDAX[[#This Row],[Taxa]]),0),0))</f>
        <v>0</v>
      </c>
      <c r="AN10" s="41">
        <f t="shared" si="8"/>
        <v>0</v>
      </c>
      <c r="AO10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Row],[Tipo]]="DROP"),AO9+TbTradesNovaDAX[[#This Row],[Qtt]],AO9-TbTradesNovaDAX[[#This Row],[Qtt]]),IF(TbTradesNovaDAX[[#This Row],[Tipo]]="BUY",AO9-TbTradesNovaDAX[[#This Row],[Qtt]]*TbTradesNovaDAX[[#This Row],[Preço]],AO9+TbTradesNovaDAX[[#This Row],[Qtt]]*TbTradesNovaDAX[[#This Row],[Preço]])),AO9)-IF(TbTradesNovaDAX[[#This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Row],[Tipo]]="DROP"),AO9+TbTradesNovaDAX[[#This Row],[Qtt]],AO9-TbTradesNovaDAX[[#This Row],[Qtt]]),IF(TbTradesNovaDAX[[#This Row],[Tipo]]="BUY",AO9-TbTradesNovaDAX[[#This Row],[Qtt]]*TbTradesNovaDAX[[#This Row],[Preço]],AO9+TbTradesNovaDAX[[#This Row],[Qtt]]*TbTradesNovaDAX[[#This Row],[Preço]])),AO9)-IF(TbTradesNovaDAX[[#This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Row],[Tipo]]="DROP"),AO9+TbTradesNovaDAX[[#This Row],[Qtt]],AO9-TbTradesNovaDAX[[#This Row],[Qtt]]),IF(TbTradesNovaDAX[[#This Row],[Tipo]]="BUY",AO9-TbTradesNovaDAX[[#This Row],[Qtt]]*TbTradesNovaDAX[[#This Row],[Preço]],AO9+TbTradesNovaDAX[[#This Row],[Qtt]]*TbTradesNovaDAX[[#This Row],[Preço]])),AO9)-IF(TbTradesNovaDAX[[#This Row],[Moeda da Taxa]]=MID(AO$1,9,5),TbTradesNovaDAX[[#This Row],[Taxa]],0),8)))</f>
        <v>0</v>
      </c>
      <c r="AP10" s="50" cm="1">
        <f t="array" ref="AP10">IF(TbTradesNovaDAX[[#This Row],[Tipo]]="EMPTY",0,AP9+IF(TbTradesNovaDAX[[#This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Row],[Par]]))),$1:$1,0)),-(AO9-AO10)/AO9*AP9),0),0)+IF(TbTradesNovaDAX[[#This Row],[Tipo]]="SELL",IF(ISNUMBER(FIND(MID(AP$1,10,5),TbTradesNovaDAX[[#This Row],[Par]])),IF(FIND(MID(AP$1,10,5),TbTradesNovaDAX[[#This Row],[Par]])=1, -(AO9-AO10)/AO9*AP9,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Row],[Par]])),(-(AO9-AO10)/AO9*AP9)+IF(TbTradesNovaDAX[[#This Row],[Resultado]]&gt;0,0,TbTradesNovaDAX[[#This Row],[Taxa]]),0),0))</f>
        <v>0</v>
      </c>
      <c r="AQ10" s="41">
        <f t="shared" si="9"/>
        <v>0</v>
      </c>
    </row>
    <row r="11" spans="1:43" x14ac:dyDescent="0.3">
      <c r="B11" s="94"/>
      <c r="C11" s="67">
        <f>TRUNC(IF(AND(TbTradesNovaDAX[[#This Row],[Tipo]]="SEND",TbTradesNovaDAX[[#This Row],[Par]]="BRL"),TbTradesNovaDAX[[#This Row],[Qtt]]*(1-P10)-IF(TbTradesNovaDAX[[#This Row],[Moeda da Taxa]]="BRL",TbTradesNovaDAX[[#This Row],[Taxa]],0),0)+IF(AND(TbTradesNovaDAX[[#This Row],[Tipo]]="BURN",TbTradesNovaDAX[[#This Row],[Par]]="BRL"),-TbTradesNovaDAX[[#This Row],[Qtt]]*P10,0),2)</f>
        <v>0</v>
      </c>
      <c r="D11" s="65">
        <v>44241.534861111111</v>
      </c>
      <c r="E11" s="77" t="s">
        <v>175</v>
      </c>
      <c r="F11" s="77" t="s">
        <v>139</v>
      </c>
      <c r="G11" s="78">
        <v>6.5576999999999996</v>
      </c>
      <c r="H11" s="78">
        <v>7.6246</v>
      </c>
      <c r="I11" s="78">
        <v>3.8122999999999997E-2</v>
      </c>
      <c r="J11" s="77" t="s">
        <v>53</v>
      </c>
      <c r="K11" s="75">
        <v>1</v>
      </c>
      <c r="L11" s="67">
        <f t="shared" si="10"/>
        <v>6.55</v>
      </c>
      <c r="M11" s="67">
        <f>IF(OR(TbTradesNovaDAX[[#This Row],[Tipo]]="BUY",TbTradesNovaDAX[[#This Row],[Tipo]]="RECEIVE"),L11*H11,-L11*H11)</f>
        <v>49.941130000000001</v>
      </c>
      <c r="N11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Row],[Tipo]]="DROP"),N10+TbTradesNovaDAX[[#This Row],[Qtt]],N10-TbTradesNovaDAX[[#This Row],[Qtt]]),IF(TbTradesNovaDAX[[#This Row],[Tipo]]="BUY",N10-TbTradesNovaDAX[[#This Row],[Qtt]]*TbTradesNovaDAX[[#This Row],[Preço]],N10+TbTradesNovaDAX[[#This Row],[Qtt]]*TbTradesNovaDAX[[#This Row],[Preço]])),N10)-IF(TbTradesNovaDAX[[#This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Row],[Tipo]]="DROP"),N10+TbTradesNovaDAX[[#This Row],[Qtt]],N10-TbTradesNovaDAX[[#This Row],[Qtt]]),IF(TbTradesNovaDAX[[#This Row],[Tipo]]="BUY",N10-TbTradesNovaDAX[[#This Row],[Qtt]]*TbTradesNovaDAX[[#This Row],[Preço]],N10+TbTradesNovaDAX[[#This Row],[Qtt]]*TbTradesNovaDAX[[#This Row],[Preço]])),N10)-IF(TbTradesNovaDAX[[#This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Row],[Tipo]]="DROP"),N10+TbTradesNovaDAX[[#This Row],[Qtt]],N10-TbTradesNovaDAX[[#This Row],[Qtt]]),IF(TbTradesNovaDAX[[#This Row],[Tipo]]="BUY",N10-TbTradesNovaDAX[[#This Row],[Qtt]]*TbTradesNovaDAX[[#This Row],[Preço]],N10+TbTradesNovaDAX[[#This Row],[Qtt]]*TbTradesNovaDAX[[#This Row],[Preço]])),N10)-IF(TbTradesNovaDAX[[#This Row],[Moeda da Taxa]]=MID(N$1,9,5),TbTradesNovaDAX[[#This Row],[Taxa]],0),8)))</f>
        <v>247.94013987</v>
      </c>
      <c r="O11" s="50" cm="1">
        <f t="array" ref="O11">IF(TbTradesNovaDAX[[#This Row],[Tipo]]="EMPTY",0,O10+IF(TbTradesNovaDAX[[#This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Row],[Par]]))),$1:$1,0)),-(N10-N11)/N10*O10),0),0)+IF(TbTradesNovaDAX[[#This Row],[Tipo]]="SELL",IF(ISNUMBER(FIND(MID(O$1,10,5),TbTradesNovaDAX[[#This Row],[Par]])),IF(FIND(MID(O$1,10,5),TbTradesNovaDAX[[#This Row],[Par]])=1, -(N10-N11)/N10*O10,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Row],[Par]])),(-(N10-N11)/N10*O10)+IF(TbTradesNovaDAX[[#This Row],[Resultado]]&gt;0,0,TbTradesNovaDAX[[#This Row],[Taxa]]),0),0))</f>
        <v>249.2227465953018</v>
      </c>
      <c r="P11" s="41">
        <f t="shared" si="0"/>
        <v>1.0051730499384823</v>
      </c>
      <c r="Q11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Row],[Tipo]]="DROP"),Q10+TbTradesNovaDAX[[#This Row],[Qtt]],Q10-TbTradesNovaDAX[[#This Row],[Qtt]]),IF(TbTradesNovaDAX[[#This Row],[Tipo]]="BUY",Q10-TbTradesNovaDAX[[#This Row],[Qtt]]*TbTradesNovaDAX[[#This Row],[Preço]],Q10+TbTradesNovaDAX[[#This Row],[Qtt]]*TbTradesNovaDAX[[#This Row],[Preço]])),Q10)-IF(TbTradesNovaDAX[[#This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Row],[Tipo]]="DROP"),Q10+TbTradesNovaDAX[[#This Row],[Qtt]],Q10-TbTradesNovaDAX[[#This Row],[Qtt]]),IF(TbTradesNovaDAX[[#This Row],[Tipo]]="BUY",Q10-TbTradesNovaDAX[[#This Row],[Qtt]]*TbTradesNovaDAX[[#This Row],[Preço]],Q10+TbTradesNovaDAX[[#This Row],[Qtt]]*TbTradesNovaDAX[[#This Row],[Preço]])),Q10)-IF(TbTradesNovaDAX[[#This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Row],[Tipo]]="DROP"),Q10+TbTradesNovaDAX[[#This Row],[Qtt]],Q10-TbTradesNovaDAX[[#This Row],[Qtt]]),IF(TbTradesNovaDAX[[#This Row],[Tipo]]="BUY",Q10-TbTradesNovaDAX[[#This Row],[Qtt]]*TbTradesNovaDAX[[#This Row],[Preço]],Q10+TbTradesNovaDAX[[#This Row],[Qtt]]*TbTradesNovaDAX[[#This Row],[Preço]])),Q10)-IF(TbTradesNovaDAX[[#This Row],[Moeda da Taxa]]=MID(Q$1,9,5),TbTradesNovaDAX[[#This Row],[Taxa]],0),8)))</f>
        <v>0</v>
      </c>
      <c r="R11" s="50" cm="1">
        <f t="array" ref="R11">IF(TbTradesNovaDAX[[#This Row],[Tipo]]="EMPTY",0,R10+IF(TbTradesNovaDAX[[#This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Row],[Par]]))),$1:$1,0)),-(Q10-Q11)/Q10*R10),0),0)+IF(TbTradesNovaDAX[[#This Row],[Tipo]]="SELL",IF(ISNUMBER(FIND(MID(R$1,10,5),TbTradesNovaDAX[[#This Row],[Par]])),IF(FIND(MID(R$1,10,5),TbTradesNovaDAX[[#This Row],[Par]])=1, -(Q10-Q11)/Q10*R10,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Row],[Par]])),(-(Q10-Q11)/Q10*R10)+IF(TbTradesNovaDAX[[#This Row],[Resultado]]&gt;0,0,TbTradesNovaDAX[[#This Row],[Taxa]]),0),0))</f>
        <v>0</v>
      </c>
      <c r="S11" s="41">
        <f t="shared" si="1"/>
        <v>0</v>
      </c>
      <c r="T11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Row],[Tipo]]="DROP"),T10+TbTradesNovaDAX[[#This Row],[Qtt]],T10-TbTradesNovaDAX[[#This Row],[Qtt]]),IF(TbTradesNovaDAX[[#This Row],[Tipo]]="BUY",T10-TbTradesNovaDAX[[#This Row],[Qtt]]*TbTradesNovaDAX[[#This Row],[Preço]],T10+TbTradesNovaDAX[[#This Row],[Qtt]]*TbTradesNovaDAX[[#This Row],[Preço]])),T10)-IF(TbTradesNovaDAX[[#This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Row],[Tipo]]="DROP"),T10+TbTradesNovaDAX[[#This Row],[Qtt]],T10-TbTradesNovaDAX[[#This Row],[Qtt]]),IF(TbTradesNovaDAX[[#This Row],[Tipo]]="BUY",T10-TbTradesNovaDAX[[#This Row],[Qtt]]*TbTradesNovaDAX[[#This Row],[Preço]],T10+TbTradesNovaDAX[[#This Row],[Qtt]]*TbTradesNovaDAX[[#This Row],[Preço]])),T10)-IF(TbTradesNovaDAX[[#This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Row],[Tipo]]="DROP"),T10+TbTradesNovaDAX[[#This Row],[Qtt]],T10-TbTradesNovaDAX[[#This Row],[Qtt]]),IF(TbTradesNovaDAX[[#This Row],[Tipo]]="BUY",T10-TbTradesNovaDAX[[#This Row],[Qtt]]*TbTradesNovaDAX[[#This Row],[Preço]],T10+TbTradesNovaDAX[[#This Row],[Qtt]]*TbTradesNovaDAX[[#This Row],[Preço]])),T10)-IF(TbTradesNovaDAX[[#This Row],[Moeda da Taxa]]=MID(T$1,9,5),TbTradesNovaDAX[[#This Row],[Taxa]],0),8)))</f>
        <v>3.9668E-4</v>
      </c>
      <c r="U11" s="50" cm="1">
        <f t="array" ref="U11">IF(TbTradesNovaDAX[[#This Row],[Tipo]]="EMPTY",0,U10+IF(TbTradesNovaDAX[[#This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Row],[Par]]))),$1:$1,0)),-(T10-T11)/T10*U10),0),0)+IF(TbTradesNovaDAX[[#This Row],[Tipo]]="SELL",IF(ISNUMBER(FIND(MID(U$1,10,5),TbTradesNovaDAX[[#This Row],[Par]])),IF(FIND(MID(U$1,10,5),TbTradesNovaDAX[[#This Row],[Par]])=1, -(T10-T11)/T10*U10,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Row],[Par]])),(-(T10-T11)/T10*U10)+IF(TbTradesNovaDAX[[#This Row],[Resultado]]&gt;0,0,TbTradesNovaDAX[[#This Row],[Taxa]]),0),0))</f>
        <v>100.51730531550363</v>
      </c>
      <c r="V11" s="41">
        <f t="shared" si="2"/>
        <v>253396.45385576191</v>
      </c>
      <c r="W11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Row],[Tipo]]="DROP"),W10+TbTradesNovaDAX[[#This Row],[Qtt]],W10-TbTradesNovaDAX[[#This Row],[Qtt]]),IF(TbTradesNovaDAX[[#This Row],[Tipo]]="BUY",W10-TbTradesNovaDAX[[#This Row],[Qtt]]*TbTradesNovaDAX[[#This Row],[Preço]],W10+TbTradesNovaDAX[[#This Row],[Qtt]]*TbTradesNovaDAX[[#This Row],[Preço]])),W10)-IF(TbTradesNovaDAX[[#This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Row],[Tipo]]="DROP"),W10+TbTradesNovaDAX[[#This Row],[Qtt]],W10-TbTradesNovaDAX[[#This Row],[Qtt]]),IF(TbTradesNovaDAX[[#This Row],[Tipo]]="BUY",W10-TbTradesNovaDAX[[#This Row],[Qtt]]*TbTradesNovaDAX[[#This Row],[Preço]],W10+TbTradesNovaDAX[[#This Row],[Qtt]]*TbTradesNovaDAX[[#This Row],[Preço]])),W10)-IF(TbTradesNovaDAX[[#This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Row],[Tipo]]="DROP"),W10+TbTradesNovaDAX[[#This Row],[Qtt]],W10-TbTradesNovaDAX[[#This Row],[Qtt]]),IF(TbTradesNovaDAX[[#This Row],[Tipo]]="BUY",W10-TbTradesNovaDAX[[#This Row],[Qtt]]*TbTradesNovaDAX[[#This Row],[Preço]],W10+TbTradesNovaDAX[[#This Row],[Qtt]]*TbTradesNovaDAX[[#This Row],[Preço]])),W10)-IF(TbTradesNovaDAX[[#This Row],[Moeda da Taxa]]=MID(W$1,9,5),TbTradesNovaDAX[[#This Row],[Taxa]],0),8)))</f>
        <v>0</v>
      </c>
      <c r="X11" s="50" cm="1">
        <f t="array" ref="X11">IF(TbTradesNovaDAX[[#This Row],[Tipo]]="EMPTY",0,X10+IF(TbTradesNovaDAX[[#This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Row],[Par]]))),$1:$1,0)),-(W10-W11)/W10*X10),0),0)+IF(TbTradesNovaDAX[[#This Row],[Tipo]]="SELL",IF(ISNUMBER(FIND(MID(X$1,10,5),TbTradesNovaDAX[[#This Row],[Par]])),IF(FIND(MID(X$1,10,5),TbTradesNovaDAX[[#This Row],[Par]])=1, -(W10-W11)/W10*X10,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Row],[Par]])),(-(W10-W11)/W10*X10)+IF(TbTradesNovaDAX[[#This Row],[Resultado]]&gt;0,0,TbTradesNovaDAX[[#This Row],[Taxa]]),0),0))</f>
        <v>0</v>
      </c>
      <c r="Y11" s="41">
        <f t="shared" si="3"/>
        <v>0</v>
      </c>
      <c r="Z11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Row],[Tipo]]="DROP"),Z10+TbTradesNovaDAX[[#This Row],[Qtt]],Z10-TbTradesNovaDAX[[#This Row],[Qtt]]),IF(TbTradesNovaDAX[[#This Row],[Tipo]]="BUY",Z10-TbTradesNovaDAX[[#This Row],[Qtt]]*TbTradesNovaDAX[[#This Row],[Preço]],Z10+TbTradesNovaDAX[[#This Row],[Qtt]]*TbTradesNovaDAX[[#This Row],[Preço]])),Z10)-IF(TbTradesNovaDAX[[#This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Row],[Tipo]]="DROP"),Z10+TbTradesNovaDAX[[#This Row],[Qtt]],Z10-TbTradesNovaDAX[[#This Row],[Qtt]]),IF(TbTradesNovaDAX[[#This Row],[Tipo]]="BUY",Z10-TbTradesNovaDAX[[#This Row],[Qtt]]*TbTradesNovaDAX[[#This Row],[Preço]],Z10+TbTradesNovaDAX[[#This Row],[Qtt]]*TbTradesNovaDAX[[#This Row],[Preço]])),Z10)-IF(TbTradesNovaDAX[[#This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Row],[Tipo]]="DROP"),Z10+TbTradesNovaDAX[[#This Row],[Qtt]],Z10-TbTradesNovaDAX[[#This Row],[Qtt]]),IF(TbTradesNovaDAX[[#This Row],[Tipo]]="BUY",Z10-TbTradesNovaDAX[[#This Row],[Qtt]]*TbTradesNovaDAX[[#This Row],[Preço]],Z10+TbTradesNovaDAX[[#This Row],[Qtt]]*TbTradesNovaDAX[[#This Row],[Preço]])),Z10)-IF(TbTradesNovaDAX[[#This Row],[Moeda da Taxa]]=MID(Z$1,9,5),TbTradesNovaDAX[[#This Row],[Taxa]],0),8)))</f>
        <v>1.078147E-2</v>
      </c>
      <c r="AA11" s="50" cm="1">
        <f t="array" ref="AA11">IF(TbTradesNovaDAX[[#This Row],[Tipo]]="EMPTY",0,AA10+IF(TbTradesNovaDAX[[#This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Row],[Par]]))),$1:$1,0)),-(Z10-Z11)/Z10*AA10),0),0)+IF(TbTradesNovaDAX[[#This Row],[Tipo]]="SELL",IF(ISNUMBER(FIND(MID(AA$1,10,5),TbTradesNovaDAX[[#This Row],[Par]])),IF(FIND(MID(AA$1,10,5),TbTradesNovaDAX[[#This Row],[Par]])=1, -(Z10-Z11)/Z10*AA10,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Row],[Par]])),(-(Z10-Z11)/Z10*AA10)+IF(TbTradesNovaDAX[[#This Row],[Resultado]]&gt;0,0,TbTradesNovaDAX[[#This Row],[Taxa]]),0),0))</f>
        <v>26.399977659999998</v>
      </c>
      <c r="AB11" s="41">
        <f t="shared" si="4"/>
        <v>2448.6436135332192</v>
      </c>
      <c r="AC11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Row],[Tipo]]="DROP"),AC10+TbTradesNovaDAX[[#This Row],[Qtt]],AC10-TbTradesNovaDAX[[#This Row],[Qtt]]),IF(TbTradesNovaDAX[[#This Row],[Tipo]]="BUY",AC10-TbTradesNovaDAX[[#This Row],[Qtt]]*TbTradesNovaDAX[[#This Row],[Preço]],AC10+TbTradesNovaDAX[[#This Row],[Qtt]]*TbTradesNovaDAX[[#This Row],[Preço]])),AC10)-IF(TbTradesNovaDAX[[#This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Row],[Tipo]]="DROP"),AC10+TbTradesNovaDAX[[#This Row],[Qtt]],AC10-TbTradesNovaDAX[[#This Row],[Qtt]]),IF(TbTradesNovaDAX[[#This Row],[Tipo]]="BUY",AC10-TbTradesNovaDAX[[#This Row],[Qtt]]*TbTradesNovaDAX[[#This Row],[Preço]],AC10+TbTradesNovaDAX[[#This Row],[Qtt]]*TbTradesNovaDAX[[#This Row],[Preço]])),AC10)-IF(TbTradesNovaDAX[[#This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Row],[Tipo]]="DROP"),AC10+TbTradesNovaDAX[[#This Row],[Qtt]],AC10-TbTradesNovaDAX[[#This Row],[Qtt]]),IF(TbTradesNovaDAX[[#This Row],[Tipo]]="BUY",AC10-TbTradesNovaDAX[[#This Row],[Qtt]]*TbTradesNovaDAX[[#This Row],[Preço]],AC10+TbTradesNovaDAX[[#This Row],[Qtt]]*TbTradesNovaDAX[[#This Row],[Preço]])),AC10)-IF(TbTradesNovaDAX[[#This Row],[Moeda da Taxa]]=MID(AC$1,9,5),TbTradesNovaDAX[[#This Row],[Taxa]],0),8)))</f>
        <v>0.36715500000000001</v>
      </c>
      <c r="AD11" s="50" cm="1">
        <f t="array" ref="AD11">IF(TbTradesNovaDAX[[#This Row],[Tipo]]="EMPTY",0,AD10+IF(TbTradesNovaDAX[[#This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Row],[Par]]))),$1:$1,0)),-(AC10-AC11)/AC10*AD10),0),0)+IF(TbTradesNovaDAX[[#This Row],[Tipo]]="SELL",IF(ISNUMBER(FIND(MID(AD$1,10,5),TbTradesNovaDAX[[#This Row],[Par]])),IF(FIND(MID(AD$1,10,5),TbTradesNovaDAX[[#This Row],[Par]])=1, -(AC10-AC11)/AC10*AD10,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Row],[Par]])),(-(AC10-AC11)/AC10*AD10)+IF(TbTradesNovaDAX[[#This Row],[Resultado]]&gt;0,0,TbTradesNovaDAX[[#This Row],[Taxa]]),0),0))</f>
        <v>39.600009900000003</v>
      </c>
      <c r="AE11" s="41">
        <f t="shared" si="5"/>
        <v>107.85638190954775</v>
      </c>
      <c r="AF11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Row],[Tipo]]="DROP"),AF10+TbTradesNovaDAX[[#This Row],[Qtt]],AF10-TbTradesNovaDAX[[#This Row],[Qtt]]),IF(TbTradesNovaDAX[[#This Row],[Tipo]]="BUY",AF10-TbTradesNovaDAX[[#This Row],[Qtt]]*TbTradesNovaDAX[[#This Row],[Preço]],AF10+TbTradesNovaDAX[[#This Row],[Qtt]]*TbTradesNovaDAX[[#This Row],[Preço]])),AF10)-IF(TbTradesNovaDAX[[#This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Row],[Tipo]]="DROP"),AF10+TbTradesNovaDAX[[#This Row],[Qtt]],AF10-TbTradesNovaDAX[[#This Row],[Qtt]]),IF(TbTradesNovaDAX[[#This Row],[Tipo]]="BUY",AF10-TbTradesNovaDAX[[#This Row],[Qtt]]*TbTradesNovaDAX[[#This Row],[Preço]],AF10+TbTradesNovaDAX[[#This Row],[Qtt]]*TbTradesNovaDAX[[#This Row],[Preço]])),AF10)-IF(TbTradesNovaDAX[[#This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Row],[Tipo]]="DROP"),AF10+TbTradesNovaDAX[[#This Row],[Qtt]],AF10-TbTradesNovaDAX[[#This Row],[Qtt]]),IF(TbTradesNovaDAX[[#This Row],[Tipo]]="BUY",AF10-TbTradesNovaDAX[[#This Row],[Qtt]]*TbTradesNovaDAX[[#This Row],[Preço]],AF10+TbTradesNovaDAX[[#This Row],[Qtt]]*TbTradesNovaDAX[[#This Row],[Preço]])),AF10)-IF(TbTradesNovaDAX[[#This Row],[Moeda da Taxa]]=MID(AF$1,9,5),TbTradesNovaDAX[[#This Row],[Taxa]],0),8)))</f>
        <v>1.649E-5</v>
      </c>
      <c r="AG11" s="50" cm="1">
        <f t="array" ref="AG11">IF(TbTradesNovaDAX[[#This Row],[Tipo]]="EMPTY",0,AG10+IF(TbTradesNovaDAX[[#This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Row],[Par]]))),$1:$1,0)),-(AF10-AF11)/AF10*AG10),0),0)+IF(TbTradesNovaDAX[[#This Row],[Tipo]]="SELL",IF(ISNUMBER(FIND(MID(AG$1,10,5),TbTradesNovaDAX[[#This Row],[Par]])),IF(FIND(MID(AG$1,10,5),TbTradesNovaDAX[[#This Row],[Par]])=1, -(AF10-AF11)/AF10*AG10,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Row],[Par]])),(-(AF10-AF11)/AF10*AG10)+IF(TbTradesNovaDAX[[#This Row],[Resultado]]&gt;0,0,TbTradesNovaDAX[[#This Row],[Taxa]]),0),0))</f>
        <v>1.4694429588004709E-3</v>
      </c>
      <c r="AH11" s="41">
        <f t="shared" si="6"/>
        <v>89.111155779288723</v>
      </c>
      <c r="AI11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Row],[Tipo]]="DROP"),AI10+TbTradesNovaDAX[[#This Row],[Qtt]],AI10-TbTradesNovaDAX[[#This Row],[Qtt]]),IF(TbTradesNovaDAX[[#This Row],[Tipo]]="BUY",AI10-TbTradesNovaDAX[[#This Row],[Qtt]]*TbTradesNovaDAX[[#This Row],[Preço]],AI10+TbTradesNovaDAX[[#This Row],[Qtt]]*TbTradesNovaDAX[[#This Row],[Preço]])),AI10)-IF(TbTradesNovaDAX[[#This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Row],[Tipo]]="DROP"),AI10+TbTradesNovaDAX[[#This Row],[Qtt]],AI10-TbTradesNovaDAX[[#This Row],[Qtt]]),IF(TbTradesNovaDAX[[#This Row],[Tipo]]="BUY",AI10-TbTradesNovaDAX[[#This Row],[Qtt]]*TbTradesNovaDAX[[#This Row],[Preço]],AI10+TbTradesNovaDAX[[#This Row],[Qtt]]*TbTradesNovaDAX[[#This Row],[Preço]])),AI10)-IF(TbTradesNovaDAX[[#This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Row],[Tipo]]="DROP"),AI10+TbTradesNovaDAX[[#This Row],[Qtt]],AI10-TbTradesNovaDAX[[#This Row],[Qtt]]),IF(TbTradesNovaDAX[[#This Row],[Tipo]]="BUY",AI10-TbTradesNovaDAX[[#This Row],[Qtt]]*TbTradesNovaDAX[[#This Row],[Preço]],AI10+TbTradesNovaDAX[[#This Row],[Qtt]]*TbTradesNovaDAX[[#This Row],[Preço]])),AI10)-IF(TbTradesNovaDAX[[#This Row],[Moeda da Taxa]]=MID(AI$1,9,5),TbTradesNovaDAX[[#This Row],[Taxa]],0),8)))</f>
        <v>7.5864770000000004</v>
      </c>
      <c r="AJ11" s="50" cm="1">
        <f t="array" ref="AJ11">IF(TbTradesNovaDAX[[#This Row],[Tipo]]="EMPTY",0,AJ10+IF(TbTradesNovaDAX[[#This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Row],[Par]]))),$1:$1,0)),-(AI10-AI11)/AI10*AJ10),0),0)+IF(TbTradesNovaDAX[[#This Row],[Tipo]]="SELL",IF(ISNUMBER(FIND(MID(AJ$1,10,5),TbTradesNovaDAX[[#This Row],[Par]])),IF(FIND(MID(AJ$1,10,5),TbTradesNovaDAX[[#This Row],[Par]])=1, -(AI10-AI11)/AI10*AJ10,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Row],[Par]])),(-(AI10-AI11)/AI10*AJ10)+IF(TbTradesNovaDAX[[#This Row],[Resultado]]&gt;0,0,TbTradesNovaDAX[[#This Row],[Taxa]]),0),0))</f>
        <v>50.258491086235757</v>
      </c>
      <c r="AK11" s="41">
        <f t="shared" si="7"/>
        <v>6.6247470448056136</v>
      </c>
      <c r="AL11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Row],[Tipo]]="DROP"),AL10+TbTradesNovaDAX[[#This Row],[Qtt]],AL10-TbTradesNovaDAX[[#This Row],[Qtt]]),IF(TbTradesNovaDAX[[#This Row],[Tipo]]="BUY",AL10-TbTradesNovaDAX[[#This Row],[Qtt]]*TbTradesNovaDAX[[#This Row],[Preço]],AL10+TbTradesNovaDAX[[#This Row],[Qtt]]*TbTradesNovaDAX[[#This Row],[Preço]])),AL10)-IF(TbTradesNovaDAX[[#This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Row],[Tipo]]="DROP"),AL10+TbTradesNovaDAX[[#This Row],[Qtt]],AL10-TbTradesNovaDAX[[#This Row],[Qtt]]),IF(TbTradesNovaDAX[[#This Row],[Tipo]]="BUY",AL10-TbTradesNovaDAX[[#This Row],[Qtt]]*TbTradesNovaDAX[[#This Row],[Preço]],AL10+TbTradesNovaDAX[[#This Row],[Qtt]]*TbTradesNovaDAX[[#This Row],[Preço]])),AL10)-IF(TbTradesNovaDAX[[#This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Row],[Tipo]]="DROP"),AL10+TbTradesNovaDAX[[#This Row],[Qtt]],AL10-TbTradesNovaDAX[[#This Row],[Qtt]]),IF(TbTradesNovaDAX[[#This Row],[Tipo]]="BUY",AL10-TbTradesNovaDAX[[#This Row],[Qtt]]*TbTradesNovaDAX[[#This Row],[Preço]],AL10+TbTradesNovaDAX[[#This Row],[Qtt]]*TbTradesNovaDAX[[#This Row],[Preço]])),AL10)-IF(TbTradesNovaDAX[[#This Row],[Moeda da Taxa]]=MID(AL$1,9,5),TbTradesNovaDAX[[#This Row],[Taxa]],0),8)))</f>
        <v>0</v>
      </c>
      <c r="AM11" s="50" cm="1">
        <f t="array" ref="AM11">IF(TbTradesNovaDAX[[#This Row],[Tipo]]="EMPTY",0,AM10+IF(TbTradesNovaDAX[[#This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Row],[Par]]))),$1:$1,0)),-(AL10-AL11)/AL10*AM10),0),0)+IF(TbTradesNovaDAX[[#This Row],[Tipo]]="SELL",IF(ISNUMBER(FIND(MID(AM$1,10,5),TbTradesNovaDAX[[#This Row],[Par]])),IF(FIND(MID(AM$1,10,5),TbTradesNovaDAX[[#This Row],[Par]])=1, -(AL10-AL11)/AL10*AM10,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Row],[Par]])),(-(AL10-AL11)/AL10*AM10)+IF(TbTradesNovaDAX[[#This Row],[Resultado]]&gt;0,0,TbTradesNovaDAX[[#This Row],[Taxa]]),0),0))</f>
        <v>0</v>
      </c>
      <c r="AN11" s="41">
        <f t="shared" si="8"/>
        <v>0</v>
      </c>
      <c r="AO11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Row],[Tipo]]="DROP"),AO10+TbTradesNovaDAX[[#This Row],[Qtt]],AO10-TbTradesNovaDAX[[#This Row],[Qtt]]),IF(TbTradesNovaDAX[[#This Row],[Tipo]]="BUY",AO10-TbTradesNovaDAX[[#This Row],[Qtt]]*TbTradesNovaDAX[[#This Row],[Preço]],AO10+TbTradesNovaDAX[[#This Row],[Qtt]]*TbTradesNovaDAX[[#This Row],[Preço]])),AO10)-IF(TbTradesNovaDAX[[#This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Row],[Tipo]]="DROP"),AO10+TbTradesNovaDAX[[#This Row],[Qtt]],AO10-TbTradesNovaDAX[[#This Row],[Qtt]]),IF(TbTradesNovaDAX[[#This Row],[Tipo]]="BUY",AO10-TbTradesNovaDAX[[#This Row],[Qtt]]*TbTradesNovaDAX[[#This Row],[Preço]],AO10+TbTradesNovaDAX[[#This Row],[Qtt]]*TbTradesNovaDAX[[#This Row],[Preço]])),AO10)-IF(TbTradesNovaDAX[[#This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Row],[Tipo]]="DROP"),AO10+TbTradesNovaDAX[[#This Row],[Qtt]],AO10-TbTradesNovaDAX[[#This Row],[Qtt]]),IF(TbTradesNovaDAX[[#This Row],[Tipo]]="BUY",AO10-TbTradesNovaDAX[[#This Row],[Qtt]]*TbTradesNovaDAX[[#This Row],[Preço]],AO10+TbTradesNovaDAX[[#This Row],[Qtt]]*TbTradesNovaDAX[[#This Row],[Preço]])),AO10)-IF(TbTradesNovaDAX[[#This Row],[Moeda da Taxa]]=MID(AO$1,9,5),TbTradesNovaDAX[[#This Row],[Taxa]],0),8)))</f>
        <v>0</v>
      </c>
      <c r="AP11" s="50" cm="1">
        <f t="array" ref="AP11">IF(TbTradesNovaDAX[[#This Row],[Tipo]]="EMPTY",0,AP10+IF(TbTradesNovaDAX[[#This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Row],[Par]]))),$1:$1,0)),-(AO10-AO11)/AO10*AP10),0),0)+IF(TbTradesNovaDAX[[#This Row],[Tipo]]="SELL",IF(ISNUMBER(FIND(MID(AP$1,10,5),TbTradesNovaDAX[[#This Row],[Par]])),IF(FIND(MID(AP$1,10,5),TbTradesNovaDAX[[#This Row],[Par]])=1, -(AO10-AO11)/AO10*AP10,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Row],[Par]])),(-(AO10-AO11)/AO10*AP10)+IF(TbTradesNovaDAX[[#This Row],[Resultado]]&gt;0,0,TbTradesNovaDAX[[#This Row],[Taxa]]),0),0))</f>
        <v>0</v>
      </c>
      <c r="AQ11" s="41">
        <f t="shared" si="9"/>
        <v>0</v>
      </c>
    </row>
    <row r="12" spans="1:43" x14ac:dyDescent="0.3">
      <c r="B12" s="94"/>
      <c r="C12" s="67">
        <f>TRUNC(IF(AND(TbTradesNovaDAX[[#This Row],[Tipo]]="SEND",TbTradesNovaDAX[[#This Row],[Par]]="BRL"),TbTradesNovaDAX[[#This Row],[Qtt]]*(1-P11)-IF(TbTradesNovaDAX[[#This Row],[Moeda da Taxa]]="BRL",TbTradesNovaDAX[[#This Row],[Taxa]],0),0)+IF(AND(TbTradesNovaDAX[[#This Row],[Tipo]]="BURN",TbTradesNovaDAX[[#This Row],[Par]]="BRL"),-TbTradesNovaDAX[[#This Row],[Qtt]]*P11,0),2)</f>
        <v>0</v>
      </c>
      <c r="D12" s="65">
        <v>44241.535034722219</v>
      </c>
      <c r="E12" s="77" t="s">
        <v>147</v>
      </c>
      <c r="F12" s="77" t="s">
        <v>139</v>
      </c>
      <c r="G12" s="78">
        <v>9972.6299999999992</v>
      </c>
      <c r="H12" s="78">
        <v>1.002745E-2</v>
      </c>
      <c r="I12" s="78">
        <v>5.0139999999999998E-5</v>
      </c>
      <c r="J12" s="77" t="s">
        <v>8</v>
      </c>
      <c r="K12" s="75">
        <v>1</v>
      </c>
      <c r="L12" s="67">
        <f t="shared" si="10"/>
        <v>9972.6299999999992</v>
      </c>
      <c r="M12" s="67">
        <f>IF(OR(TbTradesNovaDAX[[#This Row],[Tipo]]="BUY",TbTradesNovaDAX[[#This Row],[Tipo]]="RECEIVE"),L12*H12,-L12*H12)</f>
        <v>100.00004869349999</v>
      </c>
      <c r="N12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Row],[Tipo]]="DROP"),N11+TbTradesNovaDAX[[#This Row],[Qtt]],N11-TbTradesNovaDAX[[#This Row],[Qtt]]),IF(TbTradesNovaDAX[[#This Row],[Tipo]]="BUY",N11-TbTradesNovaDAX[[#This Row],[Qtt]]*TbTradesNovaDAX[[#This Row],[Preço]],N11+TbTradesNovaDAX[[#This Row],[Qtt]]*TbTradesNovaDAX[[#This Row],[Preço]])),N11)-IF(TbTradesNovaDAX[[#This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Row],[Tipo]]="DROP"),N11+TbTradesNovaDAX[[#This Row],[Qtt]],N11-TbTradesNovaDAX[[#This Row],[Qtt]]),IF(TbTradesNovaDAX[[#This Row],[Tipo]]="BUY",N11-TbTradesNovaDAX[[#This Row],[Qtt]]*TbTradesNovaDAX[[#This Row],[Preço]],N11+TbTradesNovaDAX[[#This Row],[Qtt]]*TbTradesNovaDAX[[#This Row],[Preço]])),N11)-IF(TbTradesNovaDAX[[#This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Row],[Tipo]]="DROP"),N11+TbTradesNovaDAX[[#This Row],[Qtt]],N11-TbTradesNovaDAX[[#This Row],[Qtt]]),IF(TbTradesNovaDAX[[#This Row],[Tipo]]="BUY",N11-TbTradesNovaDAX[[#This Row],[Qtt]]*TbTradesNovaDAX[[#This Row],[Preço]],N11+TbTradesNovaDAX[[#This Row],[Qtt]]*TbTradesNovaDAX[[#This Row],[Preço]])),N11)-IF(TbTradesNovaDAX[[#This Row],[Moeda da Taxa]]=MID(N$1,9,5),TbTradesNovaDAX[[#This Row],[Taxa]],0),8)))</f>
        <v>147.94009116999999</v>
      </c>
      <c r="O12" s="50" cm="1">
        <f t="array" ref="O12">IF(TbTradesNovaDAX[[#This Row],[Tipo]]="EMPTY",0,O11+IF(TbTradesNovaDAX[[#This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Row],[Par]]))),$1:$1,0)),-(N11-N12)/N11*O11),0),0)+IF(TbTradesNovaDAX[[#This Row],[Tipo]]="SELL",IF(ISNUMBER(FIND(MID(O$1,10,5),TbTradesNovaDAX[[#This Row],[Par]])),IF(FIND(MID(O$1,10,5),TbTradesNovaDAX[[#This Row],[Par]])=1, -(N11-N12)/N11*O11,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Row],[Par]])),(-(N11-N12)/N11*O11)+IF(TbTradesNovaDAX[[#This Row],[Resultado]]&gt;0,0,TbTradesNovaDAX[[#This Row],[Taxa]]),0),0))</f>
        <v>148.705392649526</v>
      </c>
      <c r="P12" s="41">
        <f t="shared" si="0"/>
        <v>1.0051730499384821</v>
      </c>
      <c r="Q12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Row],[Tipo]]="DROP"),Q11+TbTradesNovaDAX[[#This Row],[Qtt]],Q11-TbTradesNovaDAX[[#This Row],[Qtt]]),IF(TbTradesNovaDAX[[#This Row],[Tipo]]="BUY",Q11-TbTradesNovaDAX[[#This Row],[Qtt]]*TbTradesNovaDAX[[#This Row],[Preço]],Q11+TbTradesNovaDAX[[#This Row],[Qtt]]*TbTradesNovaDAX[[#This Row],[Preço]])),Q11)-IF(TbTradesNovaDAX[[#This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Row],[Tipo]]="DROP"),Q11+TbTradesNovaDAX[[#This Row],[Qtt]],Q11-TbTradesNovaDAX[[#This Row],[Qtt]]),IF(TbTradesNovaDAX[[#This Row],[Tipo]]="BUY",Q11-TbTradesNovaDAX[[#This Row],[Qtt]]*TbTradesNovaDAX[[#This Row],[Preço]],Q11+TbTradesNovaDAX[[#This Row],[Qtt]]*TbTradesNovaDAX[[#This Row],[Preço]])),Q11)-IF(TbTradesNovaDAX[[#This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Row],[Tipo]]="DROP"),Q11+TbTradesNovaDAX[[#This Row],[Qtt]],Q11-TbTradesNovaDAX[[#This Row],[Qtt]]),IF(TbTradesNovaDAX[[#This Row],[Tipo]]="BUY",Q11-TbTradesNovaDAX[[#This Row],[Qtt]]*TbTradesNovaDAX[[#This Row],[Preço]],Q11+TbTradesNovaDAX[[#This Row],[Qtt]]*TbTradesNovaDAX[[#This Row],[Preço]])),Q11)-IF(TbTradesNovaDAX[[#This Row],[Moeda da Taxa]]=MID(Q$1,9,5),TbTradesNovaDAX[[#This Row],[Taxa]],0),8)))</f>
        <v>0</v>
      </c>
      <c r="R12" s="50" cm="1">
        <f t="array" ref="R12">IF(TbTradesNovaDAX[[#This Row],[Tipo]]="EMPTY",0,R11+IF(TbTradesNovaDAX[[#This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Row],[Par]]))),$1:$1,0)),-(Q11-Q12)/Q11*R11),0),0)+IF(TbTradesNovaDAX[[#This Row],[Tipo]]="SELL",IF(ISNUMBER(FIND(MID(R$1,10,5),TbTradesNovaDAX[[#This Row],[Par]])),IF(FIND(MID(R$1,10,5),TbTradesNovaDAX[[#This Row],[Par]])=1, -(Q11-Q12)/Q11*R11,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Row],[Par]])),(-(Q11-Q12)/Q11*R11)+IF(TbTradesNovaDAX[[#This Row],[Resultado]]&gt;0,0,TbTradesNovaDAX[[#This Row],[Taxa]]),0),0))</f>
        <v>0</v>
      </c>
      <c r="S12" s="41">
        <f t="shared" si="1"/>
        <v>0</v>
      </c>
      <c r="T12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Row],[Tipo]]="DROP"),T11+TbTradesNovaDAX[[#This Row],[Qtt]],T11-TbTradesNovaDAX[[#This Row],[Qtt]]),IF(TbTradesNovaDAX[[#This Row],[Tipo]]="BUY",T11-TbTradesNovaDAX[[#This Row],[Qtt]]*TbTradesNovaDAX[[#This Row],[Preço]],T11+TbTradesNovaDAX[[#This Row],[Qtt]]*TbTradesNovaDAX[[#This Row],[Preço]])),T11)-IF(TbTradesNovaDAX[[#This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Row],[Tipo]]="DROP"),T11+TbTradesNovaDAX[[#This Row],[Qtt]],T11-TbTradesNovaDAX[[#This Row],[Qtt]]),IF(TbTradesNovaDAX[[#This Row],[Tipo]]="BUY",T11-TbTradesNovaDAX[[#This Row],[Qtt]]*TbTradesNovaDAX[[#This Row],[Preço]],T11+TbTradesNovaDAX[[#This Row],[Qtt]]*TbTradesNovaDAX[[#This Row],[Preço]])),T11)-IF(TbTradesNovaDAX[[#This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Row],[Tipo]]="DROP"),T11+TbTradesNovaDAX[[#This Row],[Qtt]],T11-TbTradesNovaDAX[[#This Row],[Qtt]]),IF(TbTradesNovaDAX[[#This Row],[Tipo]]="BUY",T11-TbTradesNovaDAX[[#This Row],[Qtt]]*TbTradesNovaDAX[[#This Row],[Preço]],T11+TbTradesNovaDAX[[#This Row],[Qtt]]*TbTradesNovaDAX[[#This Row],[Preço]])),T11)-IF(TbTradesNovaDAX[[#This Row],[Moeda da Taxa]]=MID(T$1,9,5),TbTradesNovaDAX[[#This Row],[Taxa]],0),8)))</f>
        <v>3.9668E-4</v>
      </c>
      <c r="U12" s="50" cm="1">
        <f t="array" ref="U12">IF(TbTradesNovaDAX[[#This Row],[Tipo]]="EMPTY",0,U11+IF(TbTradesNovaDAX[[#This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Row],[Par]]))),$1:$1,0)),-(T11-T12)/T11*U11),0),0)+IF(TbTradesNovaDAX[[#This Row],[Tipo]]="SELL",IF(ISNUMBER(FIND(MID(U$1,10,5),TbTradesNovaDAX[[#This Row],[Par]])),IF(FIND(MID(U$1,10,5),TbTradesNovaDAX[[#This Row],[Par]])=1, -(T11-T12)/T11*U11,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Row],[Par]])),(-(T11-T12)/T11*U11)+IF(TbTradesNovaDAX[[#This Row],[Resultado]]&gt;0,0,TbTradesNovaDAX[[#This Row],[Taxa]]),0),0))</f>
        <v>100.51730531550363</v>
      </c>
      <c r="V12" s="41">
        <f t="shared" si="2"/>
        <v>253396.45385576191</v>
      </c>
      <c r="W12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Row],[Tipo]]="DROP"),W11+TbTradesNovaDAX[[#This Row],[Qtt]],W11-TbTradesNovaDAX[[#This Row],[Qtt]]),IF(TbTradesNovaDAX[[#This Row],[Tipo]]="BUY",W11-TbTradesNovaDAX[[#This Row],[Qtt]]*TbTradesNovaDAX[[#This Row],[Preço]],W11+TbTradesNovaDAX[[#This Row],[Qtt]]*TbTradesNovaDAX[[#This Row],[Preço]])),W11)-IF(TbTradesNovaDAX[[#This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Row],[Tipo]]="DROP"),W11+TbTradesNovaDAX[[#This Row],[Qtt]],W11-TbTradesNovaDAX[[#This Row],[Qtt]]),IF(TbTradesNovaDAX[[#This Row],[Tipo]]="BUY",W11-TbTradesNovaDAX[[#This Row],[Qtt]]*TbTradesNovaDAX[[#This Row],[Preço]],W11+TbTradesNovaDAX[[#This Row],[Qtt]]*TbTradesNovaDAX[[#This Row],[Preço]])),W11)-IF(TbTradesNovaDAX[[#This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Row],[Tipo]]="DROP"),W11+TbTradesNovaDAX[[#This Row],[Qtt]],W11-TbTradesNovaDAX[[#This Row],[Qtt]]),IF(TbTradesNovaDAX[[#This Row],[Tipo]]="BUY",W11-TbTradesNovaDAX[[#This Row],[Qtt]]*TbTradesNovaDAX[[#This Row],[Preço]],W11+TbTradesNovaDAX[[#This Row],[Qtt]]*TbTradesNovaDAX[[#This Row],[Preço]])),W11)-IF(TbTradesNovaDAX[[#This Row],[Moeda da Taxa]]=MID(W$1,9,5),TbTradesNovaDAX[[#This Row],[Taxa]],0),8)))</f>
        <v>9.9773099999999997E-3</v>
      </c>
      <c r="X12" s="50" cm="1">
        <f t="array" ref="X12">IF(TbTradesNovaDAX[[#This Row],[Tipo]]="EMPTY",0,X11+IF(TbTradesNovaDAX[[#This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Row],[Par]]))),$1:$1,0)),-(W11-W12)/W11*X11),0),0)+IF(TbTradesNovaDAX[[#This Row],[Tipo]]="SELL",IF(ISNUMBER(FIND(MID(X$1,10,5),TbTradesNovaDAX[[#This Row],[Par]])),IF(FIND(MID(X$1,10,5),TbTradesNovaDAX[[#This Row],[Par]])=1, -(W11-W12)/W11*X11,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Row],[Par]])),(-(W11-W12)/W11*X11)+IF(TbTradesNovaDAX[[#This Row],[Resultado]]&gt;0,0,TbTradesNovaDAX[[#This Row],[Taxa]]),0),0))</f>
        <v>100.51735394577578</v>
      </c>
      <c r="Y12" s="41">
        <f t="shared" si="3"/>
        <v>10074.594649838062</v>
      </c>
      <c r="Z12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Row],[Tipo]]="DROP"),Z11+TbTradesNovaDAX[[#This Row],[Qtt]],Z11-TbTradesNovaDAX[[#This Row],[Qtt]]),IF(TbTradesNovaDAX[[#This Row],[Tipo]]="BUY",Z11-TbTradesNovaDAX[[#This Row],[Qtt]]*TbTradesNovaDAX[[#This Row],[Preço]],Z11+TbTradesNovaDAX[[#This Row],[Qtt]]*TbTradesNovaDAX[[#This Row],[Preço]])),Z11)-IF(TbTradesNovaDAX[[#This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Row],[Tipo]]="DROP"),Z11+TbTradesNovaDAX[[#This Row],[Qtt]],Z11-TbTradesNovaDAX[[#This Row],[Qtt]]),IF(TbTradesNovaDAX[[#This Row],[Tipo]]="BUY",Z11-TbTradesNovaDAX[[#This Row],[Qtt]]*TbTradesNovaDAX[[#This Row],[Preço]],Z11+TbTradesNovaDAX[[#This Row],[Qtt]]*TbTradesNovaDAX[[#This Row],[Preço]])),Z11)-IF(TbTradesNovaDAX[[#This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Row],[Tipo]]="DROP"),Z11+TbTradesNovaDAX[[#This Row],[Qtt]],Z11-TbTradesNovaDAX[[#This Row],[Qtt]]),IF(TbTradesNovaDAX[[#This Row],[Tipo]]="BUY",Z11-TbTradesNovaDAX[[#This Row],[Qtt]]*TbTradesNovaDAX[[#This Row],[Preço]],Z11+TbTradesNovaDAX[[#This Row],[Qtt]]*TbTradesNovaDAX[[#This Row],[Preço]])),Z11)-IF(TbTradesNovaDAX[[#This Row],[Moeda da Taxa]]=MID(Z$1,9,5),TbTradesNovaDAX[[#This Row],[Taxa]],0),8)))</f>
        <v>1.078147E-2</v>
      </c>
      <c r="AA12" s="50" cm="1">
        <f t="array" ref="AA12">IF(TbTradesNovaDAX[[#This Row],[Tipo]]="EMPTY",0,AA11+IF(TbTradesNovaDAX[[#This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Row],[Par]]))),$1:$1,0)),-(Z11-Z12)/Z11*AA11),0),0)+IF(TbTradesNovaDAX[[#This Row],[Tipo]]="SELL",IF(ISNUMBER(FIND(MID(AA$1,10,5),TbTradesNovaDAX[[#This Row],[Par]])),IF(FIND(MID(AA$1,10,5),TbTradesNovaDAX[[#This Row],[Par]])=1, -(Z11-Z12)/Z11*AA11,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Row],[Par]])),(-(Z11-Z12)/Z11*AA11)+IF(TbTradesNovaDAX[[#This Row],[Resultado]]&gt;0,0,TbTradesNovaDAX[[#This Row],[Taxa]]),0),0))</f>
        <v>26.399977659999998</v>
      </c>
      <c r="AB12" s="41">
        <f t="shared" si="4"/>
        <v>2448.6436135332192</v>
      </c>
      <c r="AC12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Row],[Tipo]]="DROP"),AC11+TbTradesNovaDAX[[#This Row],[Qtt]],AC11-TbTradesNovaDAX[[#This Row],[Qtt]]),IF(TbTradesNovaDAX[[#This Row],[Tipo]]="BUY",AC11-TbTradesNovaDAX[[#This Row],[Qtt]]*TbTradesNovaDAX[[#This Row],[Preço]],AC11+TbTradesNovaDAX[[#This Row],[Qtt]]*TbTradesNovaDAX[[#This Row],[Preço]])),AC11)-IF(TbTradesNovaDAX[[#This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Row],[Tipo]]="DROP"),AC11+TbTradesNovaDAX[[#This Row],[Qtt]],AC11-TbTradesNovaDAX[[#This Row],[Qtt]]),IF(TbTradesNovaDAX[[#This Row],[Tipo]]="BUY",AC11-TbTradesNovaDAX[[#This Row],[Qtt]]*TbTradesNovaDAX[[#This Row],[Preço]],AC11+TbTradesNovaDAX[[#This Row],[Qtt]]*TbTradesNovaDAX[[#This Row],[Preço]])),AC11)-IF(TbTradesNovaDAX[[#This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Row],[Tipo]]="DROP"),AC11+TbTradesNovaDAX[[#This Row],[Qtt]],AC11-TbTradesNovaDAX[[#This Row],[Qtt]]),IF(TbTradesNovaDAX[[#This Row],[Tipo]]="BUY",AC11-TbTradesNovaDAX[[#This Row],[Qtt]]*TbTradesNovaDAX[[#This Row],[Preço]],AC11+TbTradesNovaDAX[[#This Row],[Qtt]]*TbTradesNovaDAX[[#This Row],[Preço]])),AC11)-IF(TbTradesNovaDAX[[#This Row],[Moeda da Taxa]]=MID(AC$1,9,5),TbTradesNovaDAX[[#This Row],[Taxa]],0),8)))</f>
        <v>0.36715500000000001</v>
      </c>
      <c r="AD12" s="50" cm="1">
        <f t="array" ref="AD12">IF(TbTradesNovaDAX[[#This Row],[Tipo]]="EMPTY",0,AD11+IF(TbTradesNovaDAX[[#This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Row],[Par]]))),$1:$1,0)),-(AC11-AC12)/AC11*AD11),0),0)+IF(TbTradesNovaDAX[[#This Row],[Tipo]]="SELL",IF(ISNUMBER(FIND(MID(AD$1,10,5),TbTradesNovaDAX[[#This Row],[Par]])),IF(FIND(MID(AD$1,10,5),TbTradesNovaDAX[[#This Row],[Par]])=1, -(AC11-AC12)/AC11*AD11,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Row],[Par]])),(-(AC11-AC12)/AC11*AD11)+IF(TbTradesNovaDAX[[#This Row],[Resultado]]&gt;0,0,TbTradesNovaDAX[[#This Row],[Taxa]]),0),0))</f>
        <v>39.600009900000003</v>
      </c>
      <c r="AE12" s="41">
        <f t="shared" si="5"/>
        <v>107.85638190954775</v>
      </c>
      <c r="AF12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Row],[Tipo]]="DROP"),AF11+TbTradesNovaDAX[[#This Row],[Qtt]],AF11-TbTradesNovaDAX[[#This Row],[Qtt]]),IF(TbTradesNovaDAX[[#This Row],[Tipo]]="BUY",AF11-TbTradesNovaDAX[[#This Row],[Qtt]]*TbTradesNovaDAX[[#This Row],[Preço]],AF11+TbTradesNovaDAX[[#This Row],[Qtt]]*TbTradesNovaDAX[[#This Row],[Preço]])),AF11)-IF(TbTradesNovaDAX[[#This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Row],[Tipo]]="DROP"),AF11+TbTradesNovaDAX[[#This Row],[Qtt]],AF11-TbTradesNovaDAX[[#This Row],[Qtt]]),IF(TbTradesNovaDAX[[#This Row],[Tipo]]="BUY",AF11-TbTradesNovaDAX[[#This Row],[Qtt]]*TbTradesNovaDAX[[#This Row],[Preço]],AF11+TbTradesNovaDAX[[#This Row],[Qtt]]*TbTradesNovaDAX[[#This Row],[Preço]])),AF11)-IF(TbTradesNovaDAX[[#This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Row],[Tipo]]="DROP"),AF11+TbTradesNovaDAX[[#This Row],[Qtt]],AF11-TbTradesNovaDAX[[#This Row],[Qtt]]),IF(TbTradesNovaDAX[[#This Row],[Tipo]]="BUY",AF11-TbTradesNovaDAX[[#This Row],[Qtt]]*TbTradesNovaDAX[[#This Row],[Preço]],AF11+TbTradesNovaDAX[[#This Row],[Qtt]]*TbTradesNovaDAX[[#This Row],[Preço]])),AF11)-IF(TbTradesNovaDAX[[#This Row],[Moeda da Taxa]]=MID(AF$1,9,5),TbTradesNovaDAX[[#This Row],[Taxa]],0),8)))</f>
        <v>1.649E-5</v>
      </c>
      <c r="AG12" s="50" cm="1">
        <f t="array" ref="AG12">IF(TbTradesNovaDAX[[#This Row],[Tipo]]="EMPTY",0,AG11+IF(TbTradesNovaDAX[[#This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Row],[Par]]))),$1:$1,0)),-(AF11-AF12)/AF11*AG11),0),0)+IF(TbTradesNovaDAX[[#This Row],[Tipo]]="SELL",IF(ISNUMBER(FIND(MID(AG$1,10,5),TbTradesNovaDAX[[#This Row],[Par]])),IF(FIND(MID(AG$1,10,5),TbTradesNovaDAX[[#This Row],[Par]])=1, -(AF11-AF12)/AF11*AG11,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Row],[Par]])),(-(AF11-AF12)/AF11*AG11)+IF(TbTradesNovaDAX[[#This Row],[Resultado]]&gt;0,0,TbTradesNovaDAX[[#This Row],[Taxa]]),0),0))</f>
        <v>1.4694429588004709E-3</v>
      </c>
      <c r="AH12" s="41">
        <f t="shared" si="6"/>
        <v>89.111155779288723</v>
      </c>
      <c r="AI12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Row],[Tipo]]="DROP"),AI11+TbTradesNovaDAX[[#This Row],[Qtt]],AI11-TbTradesNovaDAX[[#This Row],[Qtt]]),IF(TbTradesNovaDAX[[#This Row],[Tipo]]="BUY",AI11-TbTradesNovaDAX[[#This Row],[Qtt]]*TbTradesNovaDAX[[#This Row],[Preço]],AI11+TbTradesNovaDAX[[#This Row],[Qtt]]*TbTradesNovaDAX[[#This Row],[Preço]])),AI11)-IF(TbTradesNovaDAX[[#This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Row],[Tipo]]="DROP"),AI11+TbTradesNovaDAX[[#This Row],[Qtt]],AI11-TbTradesNovaDAX[[#This Row],[Qtt]]),IF(TbTradesNovaDAX[[#This Row],[Tipo]]="BUY",AI11-TbTradesNovaDAX[[#This Row],[Qtt]]*TbTradesNovaDAX[[#This Row],[Preço]],AI11+TbTradesNovaDAX[[#This Row],[Qtt]]*TbTradesNovaDAX[[#This Row],[Preço]])),AI11)-IF(TbTradesNovaDAX[[#This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Row],[Tipo]]="DROP"),AI11+TbTradesNovaDAX[[#This Row],[Qtt]],AI11-TbTradesNovaDAX[[#This Row],[Qtt]]),IF(TbTradesNovaDAX[[#This Row],[Tipo]]="BUY",AI11-TbTradesNovaDAX[[#This Row],[Qtt]]*TbTradesNovaDAX[[#This Row],[Preço]],AI11+TbTradesNovaDAX[[#This Row],[Qtt]]*TbTradesNovaDAX[[#This Row],[Preço]])),AI11)-IF(TbTradesNovaDAX[[#This Row],[Moeda da Taxa]]=MID(AI$1,9,5),TbTradesNovaDAX[[#This Row],[Taxa]],0),8)))</f>
        <v>7.5864770000000004</v>
      </c>
      <c r="AJ12" s="50" cm="1">
        <f t="array" ref="AJ12">IF(TbTradesNovaDAX[[#This Row],[Tipo]]="EMPTY",0,AJ11+IF(TbTradesNovaDAX[[#This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Row],[Par]]))),$1:$1,0)),-(AI11-AI12)/AI11*AJ11),0),0)+IF(TbTradesNovaDAX[[#This Row],[Tipo]]="SELL",IF(ISNUMBER(FIND(MID(AJ$1,10,5),TbTradesNovaDAX[[#This Row],[Par]])),IF(FIND(MID(AJ$1,10,5),TbTradesNovaDAX[[#This Row],[Par]])=1, -(AI11-AI12)/AI11*AJ11,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Row],[Par]])),(-(AI11-AI12)/AI11*AJ11)+IF(TbTradesNovaDAX[[#This Row],[Resultado]]&gt;0,0,TbTradesNovaDAX[[#This Row],[Taxa]]),0),0))</f>
        <v>50.258491086235757</v>
      </c>
      <c r="AK12" s="41">
        <f t="shared" si="7"/>
        <v>6.6247470448056136</v>
      </c>
      <c r="AL12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Row],[Tipo]]="DROP"),AL11+TbTradesNovaDAX[[#This Row],[Qtt]],AL11-TbTradesNovaDAX[[#This Row],[Qtt]]),IF(TbTradesNovaDAX[[#This Row],[Tipo]]="BUY",AL11-TbTradesNovaDAX[[#This Row],[Qtt]]*TbTradesNovaDAX[[#This Row],[Preço]],AL11+TbTradesNovaDAX[[#This Row],[Qtt]]*TbTradesNovaDAX[[#This Row],[Preço]])),AL11)-IF(TbTradesNovaDAX[[#This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Row],[Tipo]]="DROP"),AL11+TbTradesNovaDAX[[#This Row],[Qtt]],AL11-TbTradesNovaDAX[[#This Row],[Qtt]]),IF(TbTradesNovaDAX[[#This Row],[Tipo]]="BUY",AL11-TbTradesNovaDAX[[#This Row],[Qtt]]*TbTradesNovaDAX[[#This Row],[Preço]],AL11+TbTradesNovaDAX[[#This Row],[Qtt]]*TbTradesNovaDAX[[#This Row],[Preço]])),AL11)-IF(TbTradesNovaDAX[[#This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Row],[Tipo]]="DROP"),AL11+TbTradesNovaDAX[[#This Row],[Qtt]],AL11-TbTradesNovaDAX[[#This Row],[Qtt]]),IF(TbTradesNovaDAX[[#This Row],[Tipo]]="BUY",AL11-TbTradesNovaDAX[[#This Row],[Qtt]]*TbTradesNovaDAX[[#This Row],[Preço]],AL11+TbTradesNovaDAX[[#This Row],[Qtt]]*TbTradesNovaDAX[[#This Row],[Preço]])),AL11)-IF(TbTradesNovaDAX[[#This Row],[Moeda da Taxa]]=MID(AL$1,9,5),TbTradesNovaDAX[[#This Row],[Taxa]],0),8)))</f>
        <v>0</v>
      </c>
      <c r="AM12" s="50" cm="1">
        <f t="array" ref="AM12">IF(TbTradesNovaDAX[[#This Row],[Tipo]]="EMPTY",0,AM11+IF(TbTradesNovaDAX[[#This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Row],[Par]]))),$1:$1,0)),-(AL11-AL12)/AL11*AM11),0),0)+IF(TbTradesNovaDAX[[#This Row],[Tipo]]="SELL",IF(ISNUMBER(FIND(MID(AM$1,10,5),TbTradesNovaDAX[[#This Row],[Par]])),IF(FIND(MID(AM$1,10,5),TbTradesNovaDAX[[#This Row],[Par]])=1, -(AL11-AL12)/AL11*AM11,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Row],[Par]])),(-(AL11-AL12)/AL11*AM11)+IF(TbTradesNovaDAX[[#This Row],[Resultado]]&gt;0,0,TbTradesNovaDAX[[#This Row],[Taxa]]),0),0))</f>
        <v>0</v>
      </c>
      <c r="AN12" s="41">
        <f t="shared" si="8"/>
        <v>0</v>
      </c>
      <c r="AO12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Row],[Tipo]]="DROP"),AO11+TbTradesNovaDAX[[#This Row],[Qtt]],AO11-TbTradesNovaDAX[[#This Row],[Qtt]]),IF(TbTradesNovaDAX[[#This Row],[Tipo]]="BUY",AO11-TbTradesNovaDAX[[#This Row],[Qtt]]*TbTradesNovaDAX[[#This Row],[Preço]],AO11+TbTradesNovaDAX[[#This Row],[Qtt]]*TbTradesNovaDAX[[#This Row],[Preço]])),AO11)-IF(TbTradesNovaDAX[[#This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Row],[Tipo]]="DROP"),AO11+TbTradesNovaDAX[[#This Row],[Qtt]],AO11-TbTradesNovaDAX[[#This Row],[Qtt]]),IF(TbTradesNovaDAX[[#This Row],[Tipo]]="BUY",AO11-TbTradesNovaDAX[[#This Row],[Qtt]]*TbTradesNovaDAX[[#This Row],[Preço]],AO11+TbTradesNovaDAX[[#This Row],[Qtt]]*TbTradesNovaDAX[[#This Row],[Preço]])),AO11)-IF(TbTradesNovaDAX[[#This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Row],[Tipo]]="DROP"),AO11+TbTradesNovaDAX[[#This Row],[Qtt]],AO11-TbTradesNovaDAX[[#This Row],[Qtt]]),IF(TbTradesNovaDAX[[#This Row],[Tipo]]="BUY",AO11-TbTradesNovaDAX[[#This Row],[Qtt]]*TbTradesNovaDAX[[#This Row],[Preço]],AO11+TbTradesNovaDAX[[#This Row],[Qtt]]*TbTradesNovaDAX[[#This Row],[Preço]])),AO11)-IF(TbTradesNovaDAX[[#This Row],[Moeda da Taxa]]=MID(AO$1,9,5),TbTradesNovaDAX[[#This Row],[Taxa]],0),8)))</f>
        <v>0</v>
      </c>
      <c r="AP12" s="50" cm="1">
        <f t="array" ref="AP12">IF(TbTradesNovaDAX[[#This Row],[Tipo]]="EMPTY",0,AP11+IF(TbTradesNovaDAX[[#This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Row],[Par]]))),$1:$1,0)),-(AO11-AO12)/AO11*AP11),0),0)+IF(TbTradesNovaDAX[[#This Row],[Tipo]]="SELL",IF(ISNUMBER(FIND(MID(AP$1,10,5),TbTradesNovaDAX[[#This Row],[Par]])),IF(FIND(MID(AP$1,10,5),TbTradesNovaDAX[[#This Row],[Par]])=1, -(AO11-AO12)/AO11*AP11,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Row],[Par]])),(-(AO11-AO12)/AO11*AP11)+IF(TbTradesNovaDAX[[#This Row],[Resultado]]&gt;0,0,TbTradesNovaDAX[[#This Row],[Taxa]]),0),0))</f>
        <v>0</v>
      </c>
      <c r="AQ12" s="41">
        <f t="shared" si="9"/>
        <v>0</v>
      </c>
    </row>
    <row r="13" spans="1:43" x14ac:dyDescent="0.3">
      <c r="B13" s="65"/>
      <c r="C13" s="67">
        <f>TRUNC(IF(AND(TbTradesNovaDAX[[#This Row],[Tipo]]="SEND",TbTradesNovaDAX[[#This Row],[Par]]="BRL"),TbTradesNovaDAX[[#This Row],[Qtt]]*(1-P12)-IF(TbTradesNovaDAX[[#This Row],[Moeda da Taxa]]="BRL",TbTradesNovaDAX[[#This Row],[Taxa]],0),0)+IF(AND(TbTradesNovaDAX[[#This Row],[Tipo]]="BURN",TbTradesNovaDAX[[#This Row],[Par]]="BRL"),-TbTradesNovaDAX[[#This Row],[Qtt]]*P12,0),2)</f>
        <v>0</v>
      </c>
      <c r="D13" s="65">
        <v>44241.53597222222</v>
      </c>
      <c r="E13" s="77" t="s">
        <v>172</v>
      </c>
      <c r="F13" s="77" t="s">
        <v>139</v>
      </c>
      <c r="G13" s="78">
        <v>3712.83</v>
      </c>
      <c r="H13" s="78">
        <v>2.693363E-2</v>
      </c>
      <c r="I13" s="78">
        <v>1.3467000000000001E-4</v>
      </c>
      <c r="J13" s="77" t="s">
        <v>161</v>
      </c>
      <c r="K13" s="75">
        <v>1</v>
      </c>
      <c r="L13" s="67">
        <f t="shared" si="10"/>
        <v>3712.83</v>
      </c>
      <c r="M13" s="67">
        <f>IF(OR(TbTradesNovaDAX[[#This Row],[Tipo]]="BUY",TbTradesNovaDAX[[#This Row],[Tipo]]="RECEIVE"),L13*H13,-L13*H13)</f>
        <v>99.999989472899998</v>
      </c>
      <c r="N13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Row],[Tipo]]="DROP"),N12+TbTradesNovaDAX[[#This Row],[Qtt]],N12-TbTradesNovaDAX[[#This Row],[Qtt]]),IF(TbTradesNovaDAX[[#This Row],[Tipo]]="BUY",N12-TbTradesNovaDAX[[#This Row],[Qtt]]*TbTradesNovaDAX[[#This Row],[Preço]],N12+TbTradesNovaDAX[[#This Row],[Qtt]]*TbTradesNovaDAX[[#This Row],[Preço]])),N12)-IF(TbTradesNovaDAX[[#This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Row],[Tipo]]="DROP"),N12+TbTradesNovaDAX[[#This Row],[Qtt]],N12-TbTradesNovaDAX[[#This Row],[Qtt]]),IF(TbTradesNovaDAX[[#This Row],[Tipo]]="BUY",N12-TbTradesNovaDAX[[#This Row],[Qtt]]*TbTradesNovaDAX[[#This Row],[Preço]],N12+TbTradesNovaDAX[[#This Row],[Qtt]]*TbTradesNovaDAX[[#This Row],[Preço]])),N12)-IF(TbTradesNovaDAX[[#This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Row],[Tipo]]="DROP"),N12+TbTradesNovaDAX[[#This Row],[Qtt]],N12-TbTradesNovaDAX[[#This Row],[Qtt]]),IF(TbTradesNovaDAX[[#This Row],[Tipo]]="BUY",N12-TbTradesNovaDAX[[#This Row],[Qtt]]*TbTradesNovaDAX[[#This Row],[Preço]],N12+TbTradesNovaDAX[[#This Row],[Qtt]]*TbTradesNovaDAX[[#This Row],[Preço]])),N12)-IF(TbTradesNovaDAX[[#This Row],[Moeda da Taxa]]=MID(N$1,9,5),TbTradesNovaDAX[[#This Row],[Taxa]],0),8)))</f>
        <v>47.940101689999999</v>
      </c>
      <c r="O13" s="50" cm="1">
        <f t="array" ref="O13">IF(TbTradesNovaDAX[[#This Row],[Tipo]]="EMPTY",0,O12+IF(TbTradesNovaDAX[[#This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Row],[Par]]))),$1:$1,0)),-(N12-N13)/N12*O12),0),0)+IF(TbTradesNovaDAX[[#This Row],[Tipo]]="SELL",IF(ISNUMBER(FIND(MID(O$1,10,5),TbTradesNovaDAX[[#This Row],[Par]])),IF(FIND(MID(O$1,10,5),TbTradesNovaDAX[[#This Row],[Par]])=1, -(N12-N13)/N12*O12,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Row],[Par]])),(-(N12-N13)/N12*O12)+IF(TbTradesNovaDAX[[#This Row],[Resultado]]&gt;0,0,TbTradesNovaDAX[[#This Row],[Taxa]]),0),0))</f>
        <v>48.188098230098291</v>
      </c>
      <c r="P13" s="41">
        <f t="shared" si="0"/>
        <v>1.0051730499384823</v>
      </c>
      <c r="Q13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Row],[Tipo]]="DROP"),Q12+TbTradesNovaDAX[[#This Row],[Qtt]],Q12-TbTradesNovaDAX[[#This Row],[Qtt]]),IF(TbTradesNovaDAX[[#This Row],[Tipo]]="BUY",Q12-TbTradesNovaDAX[[#This Row],[Qtt]]*TbTradesNovaDAX[[#This Row],[Preço]],Q12+TbTradesNovaDAX[[#This Row],[Qtt]]*TbTradesNovaDAX[[#This Row],[Preço]])),Q12)-IF(TbTradesNovaDAX[[#This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Row],[Tipo]]="DROP"),Q12+TbTradesNovaDAX[[#This Row],[Qtt]],Q12-TbTradesNovaDAX[[#This Row],[Qtt]]),IF(TbTradesNovaDAX[[#This Row],[Tipo]]="BUY",Q12-TbTradesNovaDAX[[#This Row],[Qtt]]*TbTradesNovaDAX[[#This Row],[Preço]],Q12+TbTradesNovaDAX[[#This Row],[Qtt]]*TbTradesNovaDAX[[#This Row],[Preço]])),Q12)-IF(TbTradesNovaDAX[[#This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Row],[Tipo]]="DROP"),Q12+TbTradesNovaDAX[[#This Row],[Qtt]],Q12-TbTradesNovaDAX[[#This Row],[Qtt]]),IF(TbTradesNovaDAX[[#This Row],[Tipo]]="BUY",Q12-TbTradesNovaDAX[[#This Row],[Qtt]]*TbTradesNovaDAX[[#This Row],[Preço]],Q12+TbTradesNovaDAX[[#This Row],[Qtt]]*TbTradesNovaDAX[[#This Row],[Preço]])),Q12)-IF(TbTradesNovaDAX[[#This Row],[Moeda da Taxa]]=MID(Q$1,9,5),TbTradesNovaDAX[[#This Row],[Taxa]],0),8)))</f>
        <v>0</v>
      </c>
      <c r="R13" s="50" cm="1">
        <f t="array" ref="R13">IF(TbTradesNovaDAX[[#This Row],[Tipo]]="EMPTY",0,R12+IF(TbTradesNovaDAX[[#This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Row],[Par]]))),$1:$1,0)),-(Q12-Q13)/Q12*R12),0),0)+IF(TbTradesNovaDAX[[#This Row],[Tipo]]="SELL",IF(ISNUMBER(FIND(MID(R$1,10,5),TbTradesNovaDAX[[#This Row],[Par]])),IF(FIND(MID(R$1,10,5),TbTradesNovaDAX[[#This Row],[Par]])=1, -(Q12-Q13)/Q12*R12,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Row],[Par]])),(-(Q12-Q13)/Q12*R12)+IF(TbTradesNovaDAX[[#This Row],[Resultado]]&gt;0,0,TbTradesNovaDAX[[#This Row],[Taxa]]),0),0))</f>
        <v>0</v>
      </c>
      <c r="S13" s="41">
        <f t="shared" si="1"/>
        <v>0</v>
      </c>
      <c r="T13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Row],[Tipo]]="DROP"),T12+TbTradesNovaDAX[[#This Row],[Qtt]],T12-TbTradesNovaDAX[[#This Row],[Qtt]]),IF(TbTradesNovaDAX[[#This Row],[Tipo]]="BUY",T12-TbTradesNovaDAX[[#This Row],[Qtt]]*TbTradesNovaDAX[[#This Row],[Preço]],T12+TbTradesNovaDAX[[#This Row],[Qtt]]*TbTradesNovaDAX[[#This Row],[Preço]])),T12)-IF(TbTradesNovaDAX[[#This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Row],[Tipo]]="DROP"),T12+TbTradesNovaDAX[[#This Row],[Qtt]],T12-TbTradesNovaDAX[[#This Row],[Qtt]]),IF(TbTradesNovaDAX[[#This Row],[Tipo]]="BUY",T12-TbTradesNovaDAX[[#This Row],[Qtt]]*TbTradesNovaDAX[[#This Row],[Preço]],T12+TbTradesNovaDAX[[#This Row],[Qtt]]*TbTradesNovaDAX[[#This Row],[Preço]])),T12)-IF(TbTradesNovaDAX[[#This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Row],[Tipo]]="DROP"),T12+TbTradesNovaDAX[[#This Row],[Qtt]],T12-TbTradesNovaDAX[[#This Row],[Qtt]]),IF(TbTradesNovaDAX[[#This Row],[Tipo]]="BUY",T12-TbTradesNovaDAX[[#This Row],[Qtt]]*TbTradesNovaDAX[[#This Row],[Preço]],T12+TbTradesNovaDAX[[#This Row],[Qtt]]*TbTradesNovaDAX[[#This Row],[Preço]])),T12)-IF(TbTradesNovaDAX[[#This Row],[Moeda da Taxa]]=MID(T$1,9,5),TbTradesNovaDAX[[#This Row],[Taxa]],0),8)))</f>
        <v>3.9668E-4</v>
      </c>
      <c r="U13" s="50" cm="1">
        <f t="array" ref="U13">IF(TbTradesNovaDAX[[#This Row],[Tipo]]="EMPTY",0,U12+IF(TbTradesNovaDAX[[#This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Row],[Par]]))),$1:$1,0)),-(T12-T13)/T12*U12),0),0)+IF(TbTradesNovaDAX[[#This Row],[Tipo]]="SELL",IF(ISNUMBER(FIND(MID(U$1,10,5),TbTradesNovaDAX[[#This Row],[Par]])),IF(FIND(MID(U$1,10,5),TbTradesNovaDAX[[#This Row],[Par]])=1, -(T12-T13)/T12*U12,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Row],[Par]])),(-(T12-T13)/T12*U12)+IF(TbTradesNovaDAX[[#This Row],[Resultado]]&gt;0,0,TbTradesNovaDAX[[#This Row],[Taxa]]),0),0))</f>
        <v>100.51730531550363</v>
      </c>
      <c r="V13" s="41">
        <f t="shared" si="2"/>
        <v>253396.45385576191</v>
      </c>
      <c r="W13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Row],[Tipo]]="DROP"),W12+TbTradesNovaDAX[[#This Row],[Qtt]],W12-TbTradesNovaDAX[[#This Row],[Qtt]]),IF(TbTradesNovaDAX[[#This Row],[Tipo]]="BUY",W12-TbTradesNovaDAX[[#This Row],[Qtt]]*TbTradesNovaDAX[[#This Row],[Preço]],W12+TbTradesNovaDAX[[#This Row],[Qtt]]*TbTradesNovaDAX[[#This Row],[Preço]])),W12)-IF(TbTradesNovaDAX[[#This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Row],[Tipo]]="DROP"),W12+TbTradesNovaDAX[[#This Row],[Qtt]],W12-TbTradesNovaDAX[[#This Row],[Qtt]]),IF(TbTradesNovaDAX[[#This Row],[Tipo]]="BUY",W12-TbTradesNovaDAX[[#This Row],[Qtt]]*TbTradesNovaDAX[[#This Row],[Preço]],W12+TbTradesNovaDAX[[#This Row],[Qtt]]*TbTradesNovaDAX[[#This Row],[Preço]])),W12)-IF(TbTradesNovaDAX[[#This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Row],[Tipo]]="DROP"),W12+TbTradesNovaDAX[[#This Row],[Qtt]],W12-TbTradesNovaDAX[[#This Row],[Qtt]]),IF(TbTradesNovaDAX[[#This Row],[Tipo]]="BUY",W12-TbTradesNovaDAX[[#This Row],[Qtt]]*TbTradesNovaDAX[[#This Row],[Preço]],W12+TbTradesNovaDAX[[#This Row],[Qtt]]*TbTradesNovaDAX[[#This Row],[Preço]])),W12)-IF(TbTradesNovaDAX[[#This Row],[Moeda da Taxa]]=MID(W$1,9,5),TbTradesNovaDAX[[#This Row],[Taxa]],0),8)))</f>
        <v>9.9773099999999997E-3</v>
      </c>
      <c r="X13" s="50" cm="1">
        <f t="array" ref="X13">IF(TbTradesNovaDAX[[#This Row],[Tipo]]="EMPTY",0,X12+IF(TbTradesNovaDAX[[#This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Row],[Par]]))),$1:$1,0)),-(W12-W13)/W12*X12),0),0)+IF(TbTradesNovaDAX[[#This Row],[Tipo]]="SELL",IF(ISNUMBER(FIND(MID(X$1,10,5),TbTradesNovaDAX[[#This Row],[Par]])),IF(FIND(MID(X$1,10,5),TbTradesNovaDAX[[#This Row],[Par]])=1, -(W12-W13)/W12*X12,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Row],[Par]])),(-(W12-W13)/W12*X12)+IF(TbTradesNovaDAX[[#This Row],[Resultado]]&gt;0,0,TbTradesNovaDAX[[#This Row],[Taxa]]),0),0))</f>
        <v>100.51735394577578</v>
      </c>
      <c r="Y13" s="41">
        <f t="shared" si="3"/>
        <v>10074.594649838062</v>
      </c>
      <c r="Z13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Row],[Tipo]]="DROP"),Z12+TbTradesNovaDAX[[#This Row],[Qtt]],Z12-TbTradesNovaDAX[[#This Row],[Qtt]]),IF(TbTradesNovaDAX[[#This Row],[Tipo]]="BUY",Z12-TbTradesNovaDAX[[#This Row],[Qtt]]*TbTradesNovaDAX[[#This Row],[Preço]],Z12+TbTradesNovaDAX[[#This Row],[Qtt]]*TbTradesNovaDAX[[#This Row],[Preço]])),Z12)-IF(TbTradesNovaDAX[[#This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Row],[Tipo]]="DROP"),Z12+TbTradesNovaDAX[[#This Row],[Qtt]],Z12-TbTradesNovaDAX[[#This Row],[Qtt]]),IF(TbTradesNovaDAX[[#This Row],[Tipo]]="BUY",Z12-TbTradesNovaDAX[[#This Row],[Qtt]]*TbTradesNovaDAX[[#This Row],[Preço]],Z12+TbTradesNovaDAX[[#This Row],[Qtt]]*TbTradesNovaDAX[[#This Row],[Preço]])),Z12)-IF(TbTradesNovaDAX[[#This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Row],[Tipo]]="DROP"),Z12+TbTradesNovaDAX[[#This Row],[Qtt]],Z12-TbTradesNovaDAX[[#This Row],[Qtt]]),IF(TbTradesNovaDAX[[#This Row],[Tipo]]="BUY",Z12-TbTradesNovaDAX[[#This Row],[Qtt]]*TbTradesNovaDAX[[#This Row],[Preço]],Z12+TbTradesNovaDAX[[#This Row],[Qtt]]*TbTradesNovaDAX[[#This Row],[Preço]])),Z12)-IF(TbTradesNovaDAX[[#This Row],[Moeda da Taxa]]=MID(Z$1,9,5),TbTradesNovaDAX[[#This Row],[Taxa]],0),8)))</f>
        <v>3.7580429999999998E-2</v>
      </c>
      <c r="AA13" s="50" cm="1">
        <f t="array" ref="AA13">IF(TbTradesNovaDAX[[#This Row],[Tipo]]="EMPTY",0,AA12+IF(TbTradesNovaDAX[[#This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Row],[Par]]))),$1:$1,0)),-(Z12-Z13)/Z12*AA12),0),0)+IF(TbTradesNovaDAX[[#This Row],[Tipo]]="SELL",IF(ISNUMBER(FIND(MID(AA$1,10,5),TbTradesNovaDAX[[#This Row],[Par]])),IF(FIND(MID(AA$1,10,5),TbTradesNovaDAX[[#This Row],[Par]])=1, -(Z12-Z13)/Z12*AA12,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Row],[Par]])),(-(Z12-Z13)/Z12*AA12)+IF(TbTradesNovaDAX[[#This Row],[Resultado]]&gt;0,0,TbTradesNovaDAX[[#This Row],[Taxa]]),0),0))</f>
        <v>126.9172720794277</v>
      </c>
      <c r="AB13" s="41">
        <f t="shared" si="4"/>
        <v>3377.2171334768577</v>
      </c>
      <c r="AC13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Row],[Tipo]]="DROP"),AC12+TbTradesNovaDAX[[#This Row],[Qtt]],AC12-TbTradesNovaDAX[[#This Row],[Qtt]]),IF(TbTradesNovaDAX[[#This Row],[Tipo]]="BUY",AC12-TbTradesNovaDAX[[#This Row],[Qtt]]*TbTradesNovaDAX[[#This Row],[Preço]],AC12+TbTradesNovaDAX[[#This Row],[Qtt]]*TbTradesNovaDAX[[#This Row],[Preço]])),AC12)-IF(TbTradesNovaDAX[[#This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Row],[Tipo]]="DROP"),AC12+TbTradesNovaDAX[[#This Row],[Qtt]],AC12-TbTradesNovaDAX[[#This Row],[Qtt]]),IF(TbTradesNovaDAX[[#This Row],[Tipo]]="BUY",AC12-TbTradesNovaDAX[[#This Row],[Qtt]]*TbTradesNovaDAX[[#This Row],[Preço]],AC12+TbTradesNovaDAX[[#This Row],[Qtt]]*TbTradesNovaDAX[[#This Row],[Preço]])),AC12)-IF(TbTradesNovaDAX[[#This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Row],[Tipo]]="DROP"),AC12+TbTradesNovaDAX[[#This Row],[Qtt]],AC12-TbTradesNovaDAX[[#This Row],[Qtt]]),IF(TbTradesNovaDAX[[#This Row],[Tipo]]="BUY",AC12-TbTradesNovaDAX[[#This Row],[Qtt]]*TbTradesNovaDAX[[#This Row],[Preço]],AC12+TbTradesNovaDAX[[#This Row],[Qtt]]*TbTradesNovaDAX[[#This Row],[Preço]])),AC12)-IF(TbTradesNovaDAX[[#This Row],[Moeda da Taxa]]=MID(AC$1,9,5),TbTradesNovaDAX[[#This Row],[Taxa]],0),8)))</f>
        <v>0.36715500000000001</v>
      </c>
      <c r="AD13" s="50" cm="1">
        <f t="array" ref="AD13">IF(TbTradesNovaDAX[[#This Row],[Tipo]]="EMPTY",0,AD12+IF(TbTradesNovaDAX[[#This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Row],[Par]]))),$1:$1,0)),-(AC12-AC13)/AC12*AD12),0),0)+IF(TbTradesNovaDAX[[#This Row],[Tipo]]="SELL",IF(ISNUMBER(FIND(MID(AD$1,10,5),TbTradesNovaDAX[[#This Row],[Par]])),IF(FIND(MID(AD$1,10,5),TbTradesNovaDAX[[#This Row],[Par]])=1, -(AC12-AC13)/AC12*AD12,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Row],[Par]])),(-(AC12-AC13)/AC12*AD12)+IF(TbTradesNovaDAX[[#This Row],[Resultado]]&gt;0,0,TbTradesNovaDAX[[#This Row],[Taxa]]),0),0))</f>
        <v>39.600009900000003</v>
      </c>
      <c r="AE13" s="41">
        <f t="shared" si="5"/>
        <v>107.85638190954775</v>
      </c>
      <c r="AF13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Row],[Tipo]]="DROP"),AF12+TbTradesNovaDAX[[#This Row],[Qtt]],AF12-TbTradesNovaDAX[[#This Row],[Qtt]]),IF(TbTradesNovaDAX[[#This Row],[Tipo]]="BUY",AF12-TbTradesNovaDAX[[#This Row],[Qtt]]*TbTradesNovaDAX[[#This Row],[Preço]],AF12+TbTradesNovaDAX[[#This Row],[Qtt]]*TbTradesNovaDAX[[#This Row],[Preço]])),AF12)-IF(TbTradesNovaDAX[[#This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Row],[Tipo]]="DROP"),AF12+TbTradesNovaDAX[[#This Row],[Qtt]],AF12-TbTradesNovaDAX[[#This Row],[Qtt]]),IF(TbTradesNovaDAX[[#This Row],[Tipo]]="BUY",AF12-TbTradesNovaDAX[[#This Row],[Qtt]]*TbTradesNovaDAX[[#This Row],[Preço]],AF12+TbTradesNovaDAX[[#This Row],[Qtt]]*TbTradesNovaDAX[[#This Row],[Preço]])),AF12)-IF(TbTradesNovaDAX[[#This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Row],[Tipo]]="DROP"),AF12+TbTradesNovaDAX[[#This Row],[Qtt]],AF12-TbTradesNovaDAX[[#This Row],[Qtt]]),IF(TbTradesNovaDAX[[#This Row],[Tipo]]="BUY",AF12-TbTradesNovaDAX[[#This Row],[Qtt]]*TbTradesNovaDAX[[#This Row],[Preço]],AF12+TbTradesNovaDAX[[#This Row],[Qtt]]*TbTradesNovaDAX[[#This Row],[Preço]])),AF12)-IF(TbTradesNovaDAX[[#This Row],[Moeda da Taxa]]=MID(AF$1,9,5),TbTradesNovaDAX[[#This Row],[Taxa]],0),8)))</f>
        <v>1.649E-5</v>
      </c>
      <c r="AG13" s="50" cm="1">
        <f t="array" ref="AG13">IF(TbTradesNovaDAX[[#This Row],[Tipo]]="EMPTY",0,AG12+IF(TbTradesNovaDAX[[#This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Row],[Par]]))),$1:$1,0)),-(AF12-AF13)/AF12*AG12),0),0)+IF(TbTradesNovaDAX[[#This Row],[Tipo]]="SELL",IF(ISNUMBER(FIND(MID(AG$1,10,5),TbTradesNovaDAX[[#This Row],[Par]])),IF(FIND(MID(AG$1,10,5),TbTradesNovaDAX[[#This Row],[Par]])=1, -(AF12-AF13)/AF12*AG12,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Row],[Par]])),(-(AF12-AF13)/AF12*AG12)+IF(TbTradesNovaDAX[[#This Row],[Resultado]]&gt;0,0,TbTradesNovaDAX[[#This Row],[Taxa]]),0),0))</f>
        <v>1.4694429588004709E-3</v>
      </c>
      <c r="AH13" s="41">
        <f t="shared" si="6"/>
        <v>89.111155779288723</v>
      </c>
      <c r="AI13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Row],[Tipo]]="DROP"),AI12+TbTradesNovaDAX[[#This Row],[Qtt]],AI12-TbTradesNovaDAX[[#This Row],[Qtt]]),IF(TbTradesNovaDAX[[#This Row],[Tipo]]="BUY",AI12-TbTradesNovaDAX[[#This Row],[Qtt]]*TbTradesNovaDAX[[#This Row],[Preço]],AI12+TbTradesNovaDAX[[#This Row],[Qtt]]*TbTradesNovaDAX[[#This Row],[Preço]])),AI12)-IF(TbTradesNovaDAX[[#This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Row],[Tipo]]="DROP"),AI12+TbTradesNovaDAX[[#This Row],[Qtt]],AI12-TbTradesNovaDAX[[#This Row],[Qtt]]),IF(TbTradesNovaDAX[[#This Row],[Tipo]]="BUY",AI12-TbTradesNovaDAX[[#This Row],[Qtt]]*TbTradesNovaDAX[[#This Row],[Preço]],AI12+TbTradesNovaDAX[[#This Row],[Qtt]]*TbTradesNovaDAX[[#This Row],[Preço]])),AI12)-IF(TbTradesNovaDAX[[#This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Row],[Tipo]]="DROP"),AI12+TbTradesNovaDAX[[#This Row],[Qtt]],AI12-TbTradesNovaDAX[[#This Row],[Qtt]]),IF(TbTradesNovaDAX[[#This Row],[Tipo]]="BUY",AI12-TbTradesNovaDAX[[#This Row],[Qtt]]*TbTradesNovaDAX[[#This Row],[Preço]],AI12+TbTradesNovaDAX[[#This Row],[Qtt]]*TbTradesNovaDAX[[#This Row],[Preço]])),AI12)-IF(TbTradesNovaDAX[[#This Row],[Moeda da Taxa]]=MID(AI$1,9,5),TbTradesNovaDAX[[#This Row],[Taxa]],0),8)))</f>
        <v>7.5864770000000004</v>
      </c>
      <c r="AJ13" s="50" cm="1">
        <f t="array" ref="AJ13">IF(TbTradesNovaDAX[[#This Row],[Tipo]]="EMPTY",0,AJ12+IF(TbTradesNovaDAX[[#This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Row],[Par]]))),$1:$1,0)),-(AI12-AI13)/AI12*AJ12),0),0)+IF(TbTradesNovaDAX[[#This Row],[Tipo]]="SELL",IF(ISNUMBER(FIND(MID(AJ$1,10,5),TbTradesNovaDAX[[#This Row],[Par]])),IF(FIND(MID(AJ$1,10,5),TbTradesNovaDAX[[#This Row],[Par]])=1, -(AI12-AI13)/AI12*AJ12,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Row],[Par]])),(-(AI12-AI13)/AI12*AJ12)+IF(TbTradesNovaDAX[[#This Row],[Resultado]]&gt;0,0,TbTradesNovaDAX[[#This Row],[Taxa]]),0),0))</f>
        <v>50.258491086235757</v>
      </c>
      <c r="AK13" s="41">
        <f t="shared" si="7"/>
        <v>6.6247470448056136</v>
      </c>
      <c r="AL13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Row],[Tipo]]="DROP"),AL12+TbTradesNovaDAX[[#This Row],[Qtt]],AL12-TbTradesNovaDAX[[#This Row],[Qtt]]),IF(TbTradesNovaDAX[[#This Row],[Tipo]]="BUY",AL12-TbTradesNovaDAX[[#This Row],[Qtt]]*TbTradesNovaDAX[[#This Row],[Preço]],AL12+TbTradesNovaDAX[[#This Row],[Qtt]]*TbTradesNovaDAX[[#This Row],[Preço]])),AL12)-IF(TbTradesNovaDAX[[#This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Row],[Tipo]]="DROP"),AL12+TbTradesNovaDAX[[#This Row],[Qtt]],AL12-TbTradesNovaDAX[[#This Row],[Qtt]]),IF(TbTradesNovaDAX[[#This Row],[Tipo]]="BUY",AL12-TbTradesNovaDAX[[#This Row],[Qtt]]*TbTradesNovaDAX[[#This Row],[Preço]],AL12+TbTradesNovaDAX[[#This Row],[Qtt]]*TbTradesNovaDAX[[#This Row],[Preço]])),AL12)-IF(TbTradesNovaDAX[[#This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Row],[Tipo]]="DROP"),AL12+TbTradesNovaDAX[[#This Row],[Qtt]],AL12-TbTradesNovaDAX[[#This Row],[Qtt]]),IF(TbTradesNovaDAX[[#This Row],[Tipo]]="BUY",AL12-TbTradesNovaDAX[[#This Row],[Qtt]]*TbTradesNovaDAX[[#This Row],[Preço]],AL12+TbTradesNovaDAX[[#This Row],[Qtt]]*TbTradesNovaDAX[[#This Row],[Preço]])),AL12)-IF(TbTradesNovaDAX[[#This Row],[Moeda da Taxa]]=MID(AL$1,9,5),TbTradesNovaDAX[[#This Row],[Taxa]],0),8)))</f>
        <v>0</v>
      </c>
      <c r="AM13" s="50" cm="1">
        <f t="array" ref="AM13">IF(TbTradesNovaDAX[[#This Row],[Tipo]]="EMPTY",0,AM12+IF(TbTradesNovaDAX[[#This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Row],[Par]]))),$1:$1,0)),-(AL12-AL13)/AL12*AM12),0),0)+IF(TbTradesNovaDAX[[#This Row],[Tipo]]="SELL",IF(ISNUMBER(FIND(MID(AM$1,10,5),TbTradesNovaDAX[[#This Row],[Par]])),IF(FIND(MID(AM$1,10,5),TbTradesNovaDAX[[#This Row],[Par]])=1, -(AL12-AL13)/AL12*AM12,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Row],[Par]])),(-(AL12-AL13)/AL12*AM12)+IF(TbTradesNovaDAX[[#This Row],[Resultado]]&gt;0,0,TbTradesNovaDAX[[#This Row],[Taxa]]),0),0))</f>
        <v>0</v>
      </c>
      <c r="AN13" s="41">
        <f t="shared" si="8"/>
        <v>0</v>
      </c>
      <c r="AO13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Row],[Tipo]]="DROP"),AO12+TbTradesNovaDAX[[#This Row],[Qtt]],AO12-TbTradesNovaDAX[[#This Row],[Qtt]]),IF(TbTradesNovaDAX[[#This Row],[Tipo]]="BUY",AO12-TbTradesNovaDAX[[#This Row],[Qtt]]*TbTradesNovaDAX[[#This Row],[Preço]],AO12+TbTradesNovaDAX[[#This Row],[Qtt]]*TbTradesNovaDAX[[#This Row],[Preço]])),AO12)-IF(TbTradesNovaDAX[[#This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Row],[Tipo]]="DROP"),AO12+TbTradesNovaDAX[[#This Row],[Qtt]],AO12-TbTradesNovaDAX[[#This Row],[Qtt]]),IF(TbTradesNovaDAX[[#This Row],[Tipo]]="BUY",AO12-TbTradesNovaDAX[[#This Row],[Qtt]]*TbTradesNovaDAX[[#This Row],[Preço]],AO12+TbTradesNovaDAX[[#This Row],[Qtt]]*TbTradesNovaDAX[[#This Row],[Preço]])),AO12)-IF(TbTradesNovaDAX[[#This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Row],[Tipo]]="DROP"),AO12+TbTradesNovaDAX[[#This Row],[Qtt]],AO12-TbTradesNovaDAX[[#This Row],[Qtt]]),IF(TbTradesNovaDAX[[#This Row],[Tipo]]="BUY",AO12-TbTradesNovaDAX[[#This Row],[Qtt]]*TbTradesNovaDAX[[#This Row],[Preço]],AO12+TbTradesNovaDAX[[#This Row],[Qtt]]*TbTradesNovaDAX[[#This Row],[Preço]])),AO12)-IF(TbTradesNovaDAX[[#This Row],[Moeda da Taxa]]=MID(AO$1,9,5),TbTradesNovaDAX[[#This Row],[Taxa]],0),8)))</f>
        <v>0</v>
      </c>
      <c r="AP13" s="50" cm="1">
        <f t="array" ref="AP13">IF(TbTradesNovaDAX[[#This Row],[Tipo]]="EMPTY",0,AP12+IF(TbTradesNovaDAX[[#This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Row],[Par]]))),$1:$1,0)),-(AO12-AO13)/AO12*AP12),0),0)+IF(TbTradesNovaDAX[[#This Row],[Tipo]]="SELL",IF(ISNUMBER(FIND(MID(AP$1,10,5),TbTradesNovaDAX[[#This Row],[Par]])),IF(FIND(MID(AP$1,10,5),TbTradesNovaDAX[[#This Row],[Par]])=1, -(AO12-AO13)/AO12*AP12,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Row],[Par]])),(-(AO12-AO13)/AO12*AP12)+IF(TbTradesNovaDAX[[#This Row],[Resultado]]&gt;0,0,TbTradesNovaDAX[[#This Row],[Taxa]]),0),0))</f>
        <v>0</v>
      </c>
      <c r="AQ13" s="41">
        <f t="shared" si="9"/>
        <v>0</v>
      </c>
    </row>
    <row r="14" spans="1:43" x14ac:dyDescent="0.3">
      <c r="B14" s="65"/>
      <c r="C14" s="67">
        <f>TRUNC(IF(AND(TbTradesNovaDAX[[#This Row],[Tipo]]="SEND",TbTradesNovaDAX[[#This Row],[Par]]="BRL"),TbTradesNovaDAX[[#This Row],[Qtt]]*(1-P13)-IF(TbTradesNovaDAX[[#This Row],[Moeda da Taxa]]="BRL",TbTradesNovaDAX[[#This Row],[Taxa]],0),0)+IF(AND(TbTradesNovaDAX[[#This Row],[Tipo]]="BURN",TbTradesNovaDAX[[#This Row],[Par]]="BRL"),-TbTradesNovaDAX[[#This Row],[Qtt]]*P13,0),2)</f>
        <v>0</v>
      </c>
      <c r="D14" s="65">
        <v>44241.538738425923</v>
      </c>
      <c r="E14" s="77" t="s">
        <v>176</v>
      </c>
      <c r="F14" s="77" t="s">
        <v>139</v>
      </c>
      <c r="G14" s="78">
        <v>616.34490000000005</v>
      </c>
      <c r="H14" s="78">
        <v>7.7700000000000005E-2</v>
      </c>
      <c r="I14" s="78">
        <v>3.8850000000000001E-4</v>
      </c>
      <c r="J14" s="77" t="s">
        <v>177</v>
      </c>
      <c r="K14" s="75">
        <v>1</v>
      </c>
      <c r="L14" s="67">
        <f t="shared" si="10"/>
        <v>616.34</v>
      </c>
      <c r="M14" s="67">
        <f>IF(OR(TbTradesNovaDAX[[#This Row],[Tipo]]="BUY",TbTradesNovaDAX[[#This Row],[Tipo]]="RECEIVE"),L14*H14,-L14*H14)</f>
        <v>47.889618000000006</v>
      </c>
      <c r="N14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Row],[Tipo]]="DROP"),N13+TbTradesNovaDAX[[#This Row],[Qtt]],N13-TbTradesNovaDAX[[#This Row],[Qtt]]),IF(TbTradesNovaDAX[[#This Row],[Tipo]]="BUY",N13-TbTradesNovaDAX[[#This Row],[Qtt]]*TbTradesNovaDAX[[#This Row],[Preço]],N13+TbTradesNovaDAX[[#This Row],[Qtt]]*TbTradesNovaDAX[[#This Row],[Preço]])),N13)-IF(TbTradesNovaDAX[[#This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Row],[Tipo]]="DROP"),N13+TbTradesNovaDAX[[#This Row],[Qtt]],N13-TbTradesNovaDAX[[#This Row],[Qtt]]),IF(TbTradesNovaDAX[[#This Row],[Tipo]]="BUY",N13-TbTradesNovaDAX[[#This Row],[Qtt]]*TbTradesNovaDAX[[#This Row],[Preço]],N13+TbTradesNovaDAX[[#This Row],[Qtt]]*TbTradesNovaDAX[[#This Row],[Preço]])),N13)-IF(TbTradesNovaDAX[[#This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Row],[Tipo]]="DROP"),N13+TbTradesNovaDAX[[#This Row],[Qtt]],N13-TbTradesNovaDAX[[#This Row],[Qtt]]),IF(TbTradesNovaDAX[[#This Row],[Tipo]]="BUY",N13-TbTradesNovaDAX[[#This Row],[Qtt]]*TbTradesNovaDAX[[#This Row],[Preço]],N13+TbTradesNovaDAX[[#This Row],[Qtt]]*TbTradesNovaDAX[[#This Row],[Preço]])),N13)-IF(TbTradesNovaDAX[[#This Row],[Moeda da Taxa]]=MID(N$1,9,5),TbTradesNovaDAX[[#This Row],[Taxa]],0),8)))</f>
        <v>5.010295E-2</v>
      </c>
      <c r="O14" s="50" cm="1">
        <f t="array" ref="O14">IF(TbTradesNovaDAX[[#This Row],[Tipo]]="EMPTY",0,O13+IF(TbTradesNovaDAX[[#This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Row],[Par]]))),$1:$1,0)),-(N13-N14)/N13*O13),0),0)+IF(TbTradesNovaDAX[[#This Row],[Tipo]]="SELL",IF(ISNUMBER(FIND(MID(O$1,10,5),TbTradesNovaDAX[[#This Row],[Par]])),IF(FIND(MID(O$1,10,5),TbTradesNovaDAX[[#This Row],[Par]])=1, -(N13-N14)/N13*O13,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Row],[Par]])),(-(N13-N14)/N13*O13)+IF(TbTradesNovaDAX[[#This Row],[Resultado]]&gt;0,0,TbTradesNovaDAX[[#This Row],[Taxa]]),0),0))</f>
        <v>5.0362135062421487E-2</v>
      </c>
      <c r="P14" s="41">
        <f t="shared" si="0"/>
        <v>1.0051730499386062</v>
      </c>
      <c r="Q14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Row],[Tipo]]="DROP"),Q13+TbTradesNovaDAX[[#This Row],[Qtt]],Q13-TbTradesNovaDAX[[#This Row],[Qtt]]),IF(TbTradesNovaDAX[[#This Row],[Tipo]]="BUY",Q13-TbTradesNovaDAX[[#This Row],[Qtt]]*TbTradesNovaDAX[[#This Row],[Preço]],Q13+TbTradesNovaDAX[[#This Row],[Qtt]]*TbTradesNovaDAX[[#This Row],[Preço]])),Q13)-IF(TbTradesNovaDAX[[#This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Row],[Tipo]]="DROP"),Q13+TbTradesNovaDAX[[#This Row],[Qtt]],Q13-TbTradesNovaDAX[[#This Row],[Qtt]]),IF(TbTradesNovaDAX[[#This Row],[Tipo]]="BUY",Q13-TbTradesNovaDAX[[#This Row],[Qtt]]*TbTradesNovaDAX[[#This Row],[Preço]],Q13+TbTradesNovaDAX[[#This Row],[Qtt]]*TbTradesNovaDAX[[#This Row],[Preço]])),Q13)-IF(TbTradesNovaDAX[[#This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Row],[Tipo]]="DROP"),Q13+TbTradesNovaDAX[[#This Row],[Qtt]],Q13-TbTradesNovaDAX[[#This Row],[Qtt]]),IF(TbTradesNovaDAX[[#This Row],[Tipo]]="BUY",Q13-TbTradesNovaDAX[[#This Row],[Qtt]]*TbTradesNovaDAX[[#This Row],[Preço]],Q13+TbTradesNovaDAX[[#This Row],[Qtt]]*TbTradesNovaDAX[[#This Row],[Preço]])),Q13)-IF(TbTradesNovaDAX[[#This Row],[Moeda da Taxa]]=MID(Q$1,9,5),TbTradesNovaDAX[[#This Row],[Taxa]],0),8)))</f>
        <v>0</v>
      </c>
      <c r="R14" s="50" cm="1">
        <f t="array" ref="R14">IF(TbTradesNovaDAX[[#This Row],[Tipo]]="EMPTY",0,R13+IF(TbTradesNovaDAX[[#This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Row],[Par]]))),$1:$1,0)),-(Q13-Q14)/Q13*R13),0),0)+IF(TbTradesNovaDAX[[#This Row],[Tipo]]="SELL",IF(ISNUMBER(FIND(MID(R$1,10,5),TbTradesNovaDAX[[#This Row],[Par]])),IF(FIND(MID(R$1,10,5),TbTradesNovaDAX[[#This Row],[Par]])=1, -(Q13-Q14)/Q13*R13,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Row],[Par]])),(-(Q13-Q14)/Q13*R13)+IF(TbTradesNovaDAX[[#This Row],[Resultado]]&gt;0,0,TbTradesNovaDAX[[#This Row],[Taxa]]),0),0))</f>
        <v>0</v>
      </c>
      <c r="S14" s="41">
        <f t="shared" si="1"/>
        <v>0</v>
      </c>
      <c r="T14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Row],[Tipo]]="DROP"),T13+TbTradesNovaDAX[[#This Row],[Qtt]],T13-TbTradesNovaDAX[[#This Row],[Qtt]]),IF(TbTradesNovaDAX[[#This Row],[Tipo]]="BUY",T13-TbTradesNovaDAX[[#This Row],[Qtt]]*TbTradesNovaDAX[[#This Row],[Preço]],T13+TbTradesNovaDAX[[#This Row],[Qtt]]*TbTradesNovaDAX[[#This Row],[Preço]])),T13)-IF(TbTradesNovaDAX[[#This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Row],[Tipo]]="DROP"),T13+TbTradesNovaDAX[[#This Row],[Qtt]],T13-TbTradesNovaDAX[[#This Row],[Qtt]]),IF(TbTradesNovaDAX[[#This Row],[Tipo]]="BUY",T13-TbTradesNovaDAX[[#This Row],[Qtt]]*TbTradesNovaDAX[[#This Row],[Preço]],T13+TbTradesNovaDAX[[#This Row],[Qtt]]*TbTradesNovaDAX[[#This Row],[Preço]])),T13)-IF(TbTradesNovaDAX[[#This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Row],[Tipo]]="DROP"),T13+TbTradesNovaDAX[[#This Row],[Qtt]],T13-TbTradesNovaDAX[[#This Row],[Qtt]]),IF(TbTradesNovaDAX[[#This Row],[Tipo]]="BUY",T13-TbTradesNovaDAX[[#This Row],[Qtt]]*TbTradesNovaDAX[[#This Row],[Preço]],T13+TbTradesNovaDAX[[#This Row],[Qtt]]*TbTradesNovaDAX[[#This Row],[Preço]])),T13)-IF(TbTradesNovaDAX[[#This Row],[Moeda da Taxa]]=MID(T$1,9,5),TbTradesNovaDAX[[#This Row],[Taxa]],0),8)))</f>
        <v>3.9668E-4</v>
      </c>
      <c r="U14" s="50" cm="1">
        <f t="array" ref="U14">IF(TbTradesNovaDAX[[#This Row],[Tipo]]="EMPTY",0,U13+IF(TbTradesNovaDAX[[#This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Row],[Par]]))),$1:$1,0)),-(T13-T14)/T13*U13),0),0)+IF(TbTradesNovaDAX[[#This Row],[Tipo]]="SELL",IF(ISNUMBER(FIND(MID(U$1,10,5),TbTradesNovaDAX[[#This Row],[Par]])),IF(FIND(MID(U$1,10,5),TbTradesNovaDAX[[#This Row],[Par]])=1, -(T13-T14)/T13*U13,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Row],[Par]])),(-(T13-T14)/T13*U13)+IF(TbTradesNovaDAX[[#This Row],[Resultado]]&gt;0,0,TbTradesNovaDAX[[#This Row],[Taxa]]),0),0))</f>
        <v>100.51730531550363</v>
      </c>
      <c r="V14" s="41">
        <f t="shared" si="2"/>
        <v>253396.45385576191</v>
      </c>
      <c r="W14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Row],[Tipo]]="DROP"),W13+TbTradesNovaDAX[[#This Row],[Qtt]],W13-TbTradesNovaDAX[[#This Row],[Qtt]]),IF(TbTradesNovaDAX[[#This Row],[Tipo]]="BUY",W13-TbTradesNovaDAX[[#This Row],[Qtt]]*TbTradesNovaDAX[[#This Row],[Preço]],W13+TbTradesNovaDAX[[#This Row],[Qtt]]*TbTradesNovaDAX[[#This Row],[Preço]])),W13)-IF(TbTradesNovaDAX[[#This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Row],[Tipo]]="DROP"),W13+TbTradesNovaDAX[[#This Row],[Qtt]],W13-TbTradesNovaDAX[[#This Row],[Qtt]]),IF(TbTradesNovaDAX[[#This Row],[Tipo]]="BUY",W13-TbTradesNovaDAX[[#This Row],[Qtt]]*TbTradesNovaDAX[[#This Row],[Preço]],W13+TbTradesNovaDAX[[#This Row],[Qtt]]*TbTradesNovaDAX[[#This Row],[Preço]])),W13)-IF(TbTradesNovaDAX[[#This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Row],[Tipo]]="DROP"),W13+TbTradesNovaDAX[[#This Row],[Qtt]],W13-TbTradesNovaDAX[[#This Row],[Qtt]]),IF(TbTradesNovaDAX[[#This Row],[Tipo]]="BUY",W13-TbTradesNovaDAX[[#This Row],[Qtt]]*TbTradesNovaDAX[[#This Row],[Preço]],W13+TbTradesNovaDAX[[#This Row],[Qtt]]*TbTradesNovaDAX[[#This Row],[Preço]])),W13)-IF(TbTradesNovaDAX[[#This Row],[Moeda da Taxa]]=MID(W$1,9,5),TbTradesNovaDAX[[#This Row],[Taxa]],0),8)))</f>
        <v>9.9773099999999997E-3</v>
      </c>
      <c r="X14" s="50" cm="1">
        <f t="array" ref="X14">IF(TbTradesNovaDAX[[#This Row],[Tipo]]="EMPTY",0,X13+IF(TbTradesNovaDAX[[#This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Row],[Par]]))),$1:$1,0)),-(W13-W14)/W13*X13),0),0)+IF(TbTradesNovaDAX[[#This Row],[Tipo]]="SELL",IF(ISNUMBER(FIND(MID(X$1,10,5),TbTradesNovaDAX[[#This Row],[Par]])),IF(FIND(MID(X$1,10,5),TbTradesNovaDAX[[#This Row],[Par]])=1, -(W13-W14)/W13*X13,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Row],[Par]])),(-(W13-W14)/W13*X13)+IF(TbTradesNovaDAX[[#This Row],[Resultado]]&gt;0,0,TbTradesNovaDAX[[#This Row],[Taxa]]),0),0))</f>
        <v>100.51735394577578</v>
      </c>
      <c r="Y14" s="41">
        <f t="shared" si="3"/>
        <v>10074.594649838062</v>
      </c>
      <c r="Z14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Row],[Tipo]]="DROP"),Z13+TbTradesNovaDAX[[#This Row],[Qtt]],Z13-TbTradesNovaDAX[[#This Row],[Qtt]]),IF(TbTradesNovaDAX[[#This Row],[Tipo]]="BUY",Z13-TbTradesNovaDAX[[#This Row],[Qtt]]*TbTradesNovaDAX[[#This Row],[Preço]],Z13+TbTradesNovaDAX[[#This Row],[Qtt]]*TbTradesNovaDAX[[#This Row],[Preço]])),Z13)-IF(TbTradesNovaDAX[[#This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Row],[Tipo]]="DROP"),Z13+TbTradesNovaDAX[[#This Row],[Qtt]],Z13-TbTradesNovaDAX[[#This Row],[Qtt]]),IF(TbTradesNovaDAX[[#This Row],[Tipo]]="BUY",Z13-TbTradesNovaDAX[[#This Row],[Qtt]]*TbTradesNovaDAX[[#This Row],[Preço]],Z13+TbTradesNovaDAX[[#This Row],[Qtt]]*TbTradesNovaDAX[[#This Row],[Preço]])),Z13)-IF(TbTradesNovaDAX[[#This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Row],[Tipo]]="DROP"),Z13+TbTradesNovaDAX[[#This Row],[Qtt]],Z13-TbTradesNovaDAX[[#This Row],[Qtt]]),IF(TbTradesNovaDAX[[#This Row],[Tipo]]="BUY",Z13-TbTradesNovaDAX[[#This Row],[Qtt]]*TbTradesNovaDAX[[#This Row],[Preço]],Z13+TbTradesNovaDAX[[#This Row],[Qtt]]*TbTradesNovaDAX[[#This Row],[Preço]])),Z13)-IF(TbTradesNovaDAX[[#This Row],[Moeda da Taxa]]=MID(Z$1,9,5),TbTradesNovaDAX[[#This Row],[Taxa]],0),8)))</f>
        <v>3.7580429999999998E-2</v>
      </c>
      <c r="AA14" s="50" cm="1">
        <f t="array" ref="AA14">IF(TbTradesNovaDAX[[#This Row],[Tipo]]="EMPTY",0,AA13+IF(TbTradesNovaDAX[[#This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Row],[Par]]))),$1:$1,0)),-(Z13-Z14)/Z13*AA13),0),0)+IF(TbTradesNovaDAX[[#This Row],[Tipo]]="SELL",IF(ISNUMBER(FIND(MID(AA$1,10,5),TbTradesNovaDAX[[#This Row],[Par]])),IF(FIND(MID(AA$1,10,5),TbTradesNovaDAX[[#This Row],[Par]])=1, -(Z13-Z14)/Z13*AA13,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Row],[Par]])),(-(Z13-Z14)/Z13*AA13)+IF(TbTradesNovaDAX[[#This Row],[Resultado]]&gt;0,0,TbTradesNovaDAX[[#This Row],[Taxa]]),0),0))</f>
        <v>126.9172720794277</v>
      </c>
      <c r="AB14" s="41">
        <f t="shared" si="4"/>
        <v>3377.2171334768577</v>
      </c>
      <c r="AC14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Row],[Tipo]]="DROP"),AC13+TbTradesNovaDAX[[#This Row],[Qtt]],AC13-TbTradesNovaDAX[[#This Row],[Qtt]]),IF(TbTradesNovaDAX[[#This Row],[Tipo]]="BUY",AC13-TbTradesNovaDAX[[#This Row],[Qtt]]*TbTradesNovaDAX[[#This Row],[Preço]],AC13+TbTradesNovaDAX[[#This Row],[Qtt]]*TbTradesNovaDAX[[#This Row],[Preço]])),AC13)-IF(TbTradesNovaDAX[[#This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Row],[Tipo]]="DROP"),AC13+TbTradesNovaDAX[[#This Row],[Qtt]],AC13-TbTradesNovaDAX[[#This Row],[Qtt]]),IF(TbTradesNovaDAX[[#This Row],[Tipo]]="BUY",AC13-TbTradesNovaDAX[[#This Row],[Qtt]]*TbTradesNovaDAX[[#This Row],[Preço]],AC13+TbTradesNovaDAX[[#This Row],[Qtt]]*TbTradesNovaDAX[[#This Row],[Preço]])),AC13)-IF(TbTradesNovaDAX[[#This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Row],[Tipo]]="DROP"),AC13+TbTradesNovaDAX[[#This Row],[Qtt]],AC13-TbTradesNovaDAX[[#This Row],[Qtt]]),IF(TbTradesNovaDAX[[#This Row],[Tipo]]="BUY",AC13-TbTradesNovaDAX[[#This Row],[Qtt]]*TbTradesNovaDAX[[#This Row],[Preço]],AC13+TbTradesNovaDAX[[#This Row],[Qtt]]*TbTradesNovaDAX[[#This Row],[Preço]])),AC13)-IF(TbTradesNovaDAX[[#This Row],[Moeda da Taxa]]=MID(AC$1,9,5),TbTradesNovaDAX[[#This Row],[Taxa]],0),8)))</f>
        <v>0.36715500000000001</v>
      </c>
      <c r="AD14" s="50" cm="1">
        <f t="array" ref="AD14">IF(TbTradesNovaDAX[[#This Row],[Tipo]]="EMPTY",0,AD13+IF(TbTradesNovaDAX[[#This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Row],[Par]]))),$1:$1,0)),-(AC13-AC14)/AC13*AD13),0),0)+IF(TbTradesNovaDAX[[#This Row],[Tipo]]="SELL",IF(ISNUMBER(FIND(MID(AD$1,10,5),TbTradesNovaDAX[[#This Row],[Par]])),IF(FIND(MID(AD$1,10,5),TbTradesNovaDAX[[#This Row],[Par]])=1, -(AC13-AC14)/AC13*AD13,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Row],[Par]])),(-(AC13-AC14)/AC13*AD13)+IF(TbTradesNovaDAX[[#This Row],[Resultado]]&gt;0,0,TbTradesNovaDAX[[#This Row],[Taxa]]),0),0))</f>
        <v>39.600009900000003</v>
      </c>
      <c r="AE14" s="41">
        <f t="shared" si="5"/>
        <v>107.85638190954775</v>
      </c>
      <c r="AF14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Row],[Tipo]]="DROP"),AF13+TbTradesNovaDAX[[#This Row],[Qtt]],AF13-TbTradesNovaDAX[[#This Row],[Qtt]]),IF(TbTradesNovaDAX[[#This Row],[Tipo]]="BUY",AF13-TbTradesNovaDAX[[#This Row],[Qtt]]*TbTradesNovaDAX[[#This Row],[Preço]],AF13+TbTradesNovaDAX[[#This Row],[Qtt]]*TbTradesNovaDAX[[#This Row],[Preço]])),AF13)-IF(TbTradesNovaDAX[[#This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Row],[Tipo]]="DROP"),AF13+TbTradesNovaDAX[[#This Row],[Qtt]],AF13-TbTradesNovaDAX[[#This Row],[Qtt]]),IF(TbTradesNovaDAX[[#This Row],[Tipo]]="BUY",AF13-TbTradesNovaDAX[[#This Row],[Qtt]]*TbTradesNovaDAX[[#This Row],[Preço]],AF13+TbTradesNovaDAX[[#This Row],[Qtt]]*TbTradesNovaDAX[[#This Row],[Preço]])),AF13)-IF(TbTradesNovaDAX[[#This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Row],[Tipo]]="DROP"),AF13+TbTradesNovaDAX[[#This Row],[Qtt]],AF13-TbTradesNovaDAX[[#This Row],[Qtt]]),IF(TbTradesNovaDAX[[#This Row],[Tipo]]="BUY",AF13-TbTradesNovaDAX[[#This Row],[Qtt]]*TbTradesNovaDAX[[#This Row],[Preço]],AF13+TbTradesNovaDAX[[#This Row],[Qtt]]*TbTradesNovaDAX[[#This Row],[Preço]])),AF13)-IF(TbTradesNovaDAX[[#This Row],[Moeda da Taxa]]=MID(AF$1,9,5),TbTradesNovaDAX[[#This Row],[Taxa]],0),8)))</f>
        <v>1.649E-5</v>
      </c>
      <c r="AG14" s="50" cm="1">
        <f t="array" ref="AG14">IF(TbTradesNovaDAX[[#This Row],[Tipo]]="EMPTY",0,AG13+IF(TbTradesNovaDAX[[#This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Row],[Par]]))),$1:$1,0)),-(AF13-AF14)/AF13*AG13),0),0)+IF(TbTradesNovaDAX[[#This Row],[Tipo]]="SELL",IF(ISNUMBER(FIND(MID(AG$1,10,5),TbTradesNovaDAX[[#This Row],[Par]])),IF(FIND(MID(AG$1,10,5),TbTradesNovaDAX[[#This Row],[Par]])=1, -(AF13-AF14)/AF13*AG13,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Row],[Par]])),(-(AF13-AF14)/AF13*AG13)+IF(TbTradesNovaDAX[[#This Row],[Resultado]]&gt;0,0,TbTradesNovaDAX[[#This Row],[Taxa]]),0),0))</f>
        <v>1.4694429588004709E-3</v>
      </c>
      <c r="AH14" s="41">
        <f t="shared" si="6"/>
        <v>89.111155779288723</v>
      </c>
      <c r="AI14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Row],[Tipo]]="DROP"),AI13+TbTradesNovaDAX[[#This Row],[Qtt]],AI13-TbTradesNovaDAX[[#This Row],[Qtt]]),IF(TbTradesNovaDAX[[#This Row],[Tipo]]="BUY",AI13-TbTradesNovaDAX[[#This Row],[Qtt]]*TbTradesNovaDAX[[#This Row],[Preço]],AI13+TbTradesNovaDAX[[#This Row],[Qtt]]*TbTradesNovaDAX[[#This Row],[Preço]])),AI13)-IF(TbTradesNovaDAX[[#This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Row],[Tipo]]="DROP"),AI13+TbTradesNovaDAX[[#This Row],[Qtt]],AI13-TbTradesNovaDAX[[#This Row],[Qtt]]),IF(TbTradesNovaDAX[[#This Row],[Tipo]]="BUY",AI13-TbTradesNovaDAX[[#This Row],[Qtt]]*TbTradesNovaDAX[[#This Row],[Preço]],AI13+TbTradesNovaDAX[[#This Row],[Qtt]]*TbTradesNovaDAX[[#This Row],[Preço]])),AI13)-IF(TbTradesNovaDAX[[#This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Row],[Tipo]]="DROP"),AI13+TbTradesNovaDAX[[#This Row],[Qtt]],AI13-TbTradesNovaDAX[[#This Row],[Qtt]]),IF(TbTradesNovaDAX[[#This Row],[Tipo]]="BUY",AI13-TbTradesNovaDAX[[#This Row],[Qtt]]*TbTradesNovaDAX[[#This Row],[Preço]],AI13+TbTradesNovaDAX[[#This Row],[Qtt]]*TbTradesNovaDAX[[#This Row],[Preço]])),AI13)-IF(TbTradesNovaDAX[[#This Row],[Moeda da Taxa]]=MID(AI$1,9,5),TbTradesNovaDAX[[#This Row],[Taxa]],0),8)))</f>
        <v>7.5864770000000004</v>
      </c>
      <c r="AJ14" s="50" cm="1">
        <f t="array" ref="AJ14">IF(TbTradesNovaDAX[[#This Row],[Tipo]]="EMPTY",0,AJ13+IF(TbTradesNovaDAX[[#This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Row],[Par]]))),$1:$1,0)),-(AI13-AI14)/AI13*AJ13),0),0)+IF(TbTradesNovaDAX[[#This Row],[Tipo]]="SELL",IF(ISNUMBER(FIND(MID(AJ$1,10,5),TbTradesNovaDAX[[#This Row],[Par]])),IF(FIND(MID(AJ$1,10,5),TbTradesNovaDAX[[#This Row],[Par]])=1, -(AI13-AI14)/AI13*AJ13,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Row],[Par]])),(-(AI13-AI14)/AI13*AJ13)+IF(TbTradesNovaDAX[[#This Row],[Resultado]]&gt;0,0,TbTradesNovaDAX[[#This Row],[Taxa]]),0),0))</f>
        <v>50.258491086235757</v>
      </c>
      <c r="AK14" s="41">
        <f t="shared" si="7"/>
        <v>6.6247470448056136</v>
      </c>
      <c r="AL14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Row],[Tipo]]="DROP"),AL13+TbTradesNovaDAX[[#This Row],[Qtt]],AL13-TbTradesNovaDAX[[#This Row],[Qtt]]),IF(TbTradesNovaDAX[[#This Row],[Tipo]]="BUY",AL13-TbTradesNovaDAX[[#This Row],[Qtt]]*TbTradesNovaDAX[[#This Row],[Preço]],AL13+TbTradesNovaDAX[[#This Row],[Qtt]]*TbTradesNovaDAX[[#This Row],[Preço]])),AL13)-IF(TbTradesNovaDAX[[#This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Row],[Tipo]]="DROP"),AL13+TbTradesNovaDAX[[#This Row],[Qtt]],AL13-TbTradesNovaDAX[[#This Row],[Qtt]]),IF(TbTradesNovaDAX[[#This Row],[Tipo]]="BUY",AL13-TbTradesNovaDAX[[#This Row],[Qtt]]*TbTradesNovaDAX[[#This Row],[Preço]],AL13+TbTradesNovaDAX[[#This Row],[Qtt]]*TbTradesNovaDAX[[#This Row],[Preço]])),AL13)-IF(TbTradesNovaDAX[[#This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Row],[Tipo]]="DROP"),AL13+TbTradesNovaDAX[[#This Row],[Qtt]],AL13-TbTradesNovaDAX[[#This Row],[Qtt]]),IF(TbTradesNovaDAX[[#This Row],[Tipo]]="BUY",AL13-TbTradesNovaDAX[[#This Row],[Qtt]]*TbTradesNovaDAX[[#This Row],[Preço]],AL13+TbTradesNovaDAX[[#This Row],[Qtt]]*TbTradesNovaDAX[[#This Row],[Preço]])),AL13)-IF(TbTradesNovaDAX[[#This Row],[Moeda da Taxa]]=MID(AL$1,9,5),TbTradesNovaDAX[[#This Row],[Taxa]],0),8)))</f>
        <v>7.7311500000000005E-2</v>
      </c>
      <c r="AM14" s="50" cm="1">
        <f t="array" ref="AM14">IF(TbTradesNovaDAX[[#This Row],[Tipo]]="EMPTY",0,AM13+IF(TbTradesNovaDAX[[#This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Row],[Par]]))),$1:$1,0)),-(AL13-AL14)/AL13*AM13),0),0)+IF(TbTradesNovaDAX[[#This Row],[Tipo]]="SELL",IF(ISNUMBER(FIND(MID(AM$1,10,5),TbTradesNovaDAX[[#This Row],[Par]])),IF(FIND(MID(AM$1,10,5),TbTradesNovaDAX[[#This Row],[Par]])=1, -(AL13-AL14)/AL13*AM13,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Row],[Par]])),(-(AL13-AL14)/AL13*AM13)+IF(TbTradesNovaDAX[[#This Row],[Resultado]]&gt;0,0,TbTradesNovaDAX[[#This Row],[Taxa]]),0),0))</f>
        <v>48.137736095035869</v>
      </c>
      <c r="AN14" s="41">
        <f t="shared" si="8"/>
        <v>622.64651565466806</v>
      </c>
      <c r="AO14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Row],[Tipo]]="DROP"),AO13+TbTradesNovaDAX[[#This Row],[Qtt]],AO13-TbTradesNovaDAX[[#This Row],[Qtt]]),IF(TbTradesNovaDAX[[#This Row],[Tipo]]="BUY",AO13-TbTradesNovaDAX[[#This Row],[Qtt]]*TbTradesNovaDAX[[#This Row],[Preço]],AO13+TbTradesNovaDAX[[#This Row],[Qtt]]*TbTradesNovaDAX[[#This Row],[Preço]])),AO13)-IF(TbTradesNovaDAX[[#This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Row],[Tipo]]="DROP"),AO13+TbTradesNovaDAX[[#This Row],[Qtt]],AO13-TbTradesNovaDAX[[#This Row],[Qtt]]),IF(TbTradesNovaDAX[[#This Row],[Tipo]]="BUY",AO13-TbTradesNovaDAX[[#This Row],[Qtt]]*TbTradesNovaDAX[[#This Row],[Preço]],AO13+TbTradesNovaDAX[[#This Row],[Qtt]]*TbTradesNovaDAX[[#This Row],[Preço]])),AO13)-IF(TbTradesNovaDAX[[#This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Row],[Tipo]]="DROP"),AO13+TbTradesNovaDAX[[#This Row],[Qtt]],AO13-TbTradesNovaDAX[[#This Row],[Qtt]]),IF(TbTradesNovaDAX[[#This Row],[Tipo]]="BUY",AO13-TbTradesNovaDAX[[#This Row],[Qtt]]*TbTradesNovaDAX[[#This Row],[Preço]],AO13+TbTradesNovaDAX[[#This Row],[Qtt]]*TbTradesNovaDAX[[#This Row],[Preço]])),AO13)-IF(TbTradesNovaDAX[[#This Row],[Moeda da Taxa]]=MID(AO$1,9,5),TbTradesNovaDAX[[#This Row],[Taxa]],0),8)))</f>
        <v>0</v>
      </c>
      <c r="AP14" s="50" cm="1">
        <f t="array" ref="AP14">IF(TbTradesNovaDAX[[#This Row],[Tipo]]="EMPTY",0,AP13+IF(TbTradesNovaDAX[[#This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Row],[Par]]))),$1:$1,0)),-(AO13-AO14)/AO13*AP13),0),0)+IF(TbTradesNovaDAX[[#This Row],[Tipo]]="SELL",IF(ISNUMBER(FIND(MID(AP$1,10,5),TbTradesNovaDAX[[#This Row],[Par]])),IF(FIND(MID(AP$1,10,5),TbTradesNovaDAX[[#This Row],[Par]])=1, -(AO13-AO14)/AO13*AP13,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Row],[Par]])),(-(AO13-AO14)/AO13*AP13)+IF(TbTradesNovaDAX[[#This Row],[Resultado]]&gt;0,0,TbTradesNovaDAX[[#This Row],[Taxa]]),0),0))</f>
        <v>0</v>
      </c>
      <c r="AQ14" s="41">
        <f t="shared" si="9"/>
        <v>0</v>
      </c>
    </row>
    <row r="15" spans="1:43" x14ac:dyDescent="0.3">
      <c r="B15" s="65"/>
      <c r="C15" s="67">
        <f>TRUNC(IF(AND(TbTradesNovaDAX[[#This Row],[Tipo]]="SEND",TbTradesNovaDAX[[#This Row],[Par]]="BRL"),TbTradesNovaDAX[[#This Row],[Qtt]]*(1-P14)-IF(TbTradesNovaDAX[[#This Row],[Moeda da Taxa]]="BRL",TbTradesNovaDAX[[#This Row],[Taxa]],0),0)+IF(AND(TbTradesNovaDAX[[#This Row],[Tipo]]="BURN",TbTradesNovaDAX[[#This Row],[Par]]="BRL"),-TbTradesNovaDAX[[#This Row],[Qtt]]*P14,0),2)</f>
        <v>0</v>
      </c>
      <c r="D15" s="65">
        <v>44249.619166666664</v>
      </c>
      <c r="E15" s="77" t="s">
        <v>176</v>
      </c>
      <c r="F15" s="77" t="s">
        <v>140</v>
      </c>
      <c r="G15" s="78">
        <v>844.63130000000001</v>
      </c>
      <c r="H15" s="78">
        <v>7.7299999999999994E-2</v>
      </c>
      <c r="I15" s="78">
        <v>0.33</v>
      </c>
      <c r="J15" s="77" t="s">
        <v>50</v>
      </c>
      <c r="K15" s="75">
        <v>1</v>
      </c>
      <c r="L15" s="67">
        <f t="shared" si="10"/>
        <v>844.63</v>
      </c>
      <c r="M15" s="67">
        <f>IF(OR(TbTradesNovaDAX[[#This Row],[Tipo]]="BUY",TbTradesNovaDAX[[#This Row],[Tipo]]="RECEIVE"),L15*H15,-L15*H15)</f>
        <v>-65.289898999999991</v>
      </c>
      <c r="N15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Row],[Tipo]]="DROP"),N14+TbTradesNovaDAX[[#This Row],[Qtt]],N14-TbTradesNovaDAX[[#This Row],[Qtt]]),IF(TbTradesNovaDAX[[#This Row],[Tipo]]="BUY",N14-TbTradesNovaDAX[[#This Row],[Qtt]]*TbTradesNovaDAX[[#This Row],[Preço]],N14+TbTradesNovaDAX[[#This Row],[Qtt]]*TbTradesNovaDAX[[#This Row],[Preço]])),N14)-IF(TbTradesNovaDAX[[#This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Row],[Tipo]]="DROP"),N14+TbTradesNovaDAX[[#This Row],[Qtt]],N14-TbTradesNovaDAX[[#This Row],[Qtt]]),IF(TbTradesNovaDAX[[#This Row],[Tipo]]="BUY",N14-TbTradesNovaDAX[[#This Row],[Qtt]]*TbTradesNovaDAX[[#This Row],[Preço]],N14+TbTradesNovaDAX[[#This Row],[Qtt]]*TbTradesNovaDAX[[#This Row],[Preço]])),N14)-IF(TbTradesNovaDAX[[#This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Row],[Tipo]]="DROP"),N14+TbTradesNovaDAX[[#This Row],[Qtt]],N14-TbTradesNovaDAX[[#This Row],[Qtt]]),IF(TbTradesNovaDAX[[#This Row],[Tipo]]="BUY",N14-TbTradesNovaDAX[[#This Row],[Qtt]]*TbTradesNovaDAX[[#This Row],[Preço]],N14+TbTradesNovaDAX[[#This Row],[Qtt]]*TbTradesNovaDAX[[#This Row],[Preço]])),N14)-IF(TbTradesNovaDAX[[#This Row],[Moeda da Taxa]]=MID(N$1,9,5),TbTradesNovaDAX[[#This Row],[Taxa]],0),8)))</f>
        <v>65.010102439999997</v>
      </c>
      <c r="O15" s="50" cm="1">
        <f t="array" ref="O15">IF(TbTradesNovaDAX[[#This Row],[Tipo]]="EMPTY",0,O14+IF(TbTradesNovaDAX[[#This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Row],[Par]]))),$1:$1,0)),-(N14-N15)/N14*O14),0),0)+IF(TbTradesNovaDAX[[#This Row],[Tipo]]="SELL",IF(ISNUMBER(FIND(MID(O$1,10,5),TbTradesNovaDAX[[#This Row],[Par]])),IF(FIND(MID(O$1,10,5),TbTradesNovaDAX[[#This Row],[Par]])=1, -(N14-N15)/N14*O14,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Row],[Par]])),(-(N14-N15)/N14*O14)+IF(TbTradesNovaDAX[[#This Row],[Resultado]]&gt;0,0,TbTradesNovaDAX[[#This Row],[Taxa]]),0),0))</f>
        <v>48.180937795168269</v>
      </c>
      <c r="P15" s="41">
        <f t="shared" si="0"/>
        <v>0.74113000882649083</v>
      </c>
      <c r="Q15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Row],[Tipo]]="DROP"),Q14+TbTradesNovaDAX[[#This Row],[Qtt]],Q14-TbTradesNovaDAX[[#This Row],[Qtt]]),IF(TbTradesNovaDAX[[#This Row],[Tipo]]="BUY",Q14-TbTradesNovaDAX[[#This Row],[Qtt]]*TbTradesNovaDAX[[#This Row],[Preço]],Q14+TbTradesNovaDAX[[#This Row],[Qtt]]*TbTradesNovaDAX[[#This Row],[Preço]])),Q14)-IF(TbTradesNovaDAX[[#This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Row],[Tipo]]="DROP"),Q14+TbTradesNovaDAX[[#This Row],[Qtt]],Q14-TbTradesNovaDAX[[#This Row],[Qtt]]),IF(TbTradesNovaDAX[[#This Row],[Tipo]]="BUY",Q14-TbTradesNovaDAX[[#This Row],[Qtt]]*TbTradesNovaDAX[[#This Row],[Preço]],Q14+TbTradesNovaDAX[[#This Row],[Qtt]]*TbTradesNovaDAX[[#This Row],[Preço]])),Q14)-IF(TbTradesNovaDAX[[#This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Row],[Tipo]]="DROP"),Q14+TbTradesNovaDAX[[#This Row],[Qtt]],Q14-TbTradesNovaDAX[[#This Row],[Qtt]]),IF(TbTradesNovaDAX[[#This Row],[Tipo]]="BUY",Q14-TbTradesNovaDAX[[#This Row],[Qtt]]*TbTradesNovaDAX[[#This Row],[Preço]],Q14+TbTradesNovaDAX[[#This Row],[Qtt]]*TbTradesNovaDAX[[#This Row],[Preço]])),Q14)-IF(TbTradesNovaDAX[[#This Row],[Moeda da Taxa]]=MID(Q$1,9,5),TbTradesNovaDAX[[#This Row],[Taxa]],0),8)))</f>
        <v>0</v>
      </c>
      <c r="R15" s="50" cm="1">
        <f t="array" ref="R15">IF(TbTradesNovaDAX[[#This Row],[Tipo]]="EMPTY",0,R14+IF(TbTradesNovaDAX[[#This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Row],[Par]]))),$1:$1,0)),-(Q14-Q15)/Q14*R14),0),0)+IF(TbTradesNovaDAX[[#This Row],[Tipo]]="SELL",IF(ISNUMBER(FIND(MID(R$1,10,5),TbTradesNovaDAX[[#This Row],[Par]])),IF(FIND(MID(R$1,10,5),TbTradesNovaDAX[[#This Row],[Par]])=1, -(Q14-Q15)/Q14*R14,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Row],[Par]])),(-(Q14-Q15)/Q14*R14)+IF(TbTradesNovaDAX[[#This Row],[Resultado]]&gt;0,0,TbTradesNovaDAX[[#This Row],[Taxa]]),0),0))</f>
        <v>0</v>
      </c>
      <c r="S15" s="41">
        <f t="shared" si="1"/>
        <v>0</v>
      </c>
      <c r="T15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Row],[Tipo]]="DROP"),T14+TbTradesNovaDAX[[#This Row],[Qtt]],T14-TbTradesNovaDAX[[#This Row],[Qtt]]),IF(TbTradesNovaDAX[[#This Row],[Tipo]]="BUY",T14-TbTradesNovaDAX[[#This Row],[Qtt]]*TbTradesNovaDAX[[#This Row],[Preço]],T14+TbTradesNovaDAX[[#This Row],[Qtt]]*TbTradesNovaDAX[[#This Row],[Preço]])),T14)-IF(TbTradesNovaDAX[[#This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Row],[Tipo]]="DROP"),T14+TbTradesNovaDAX[[#This Row],[Qtt]],T14-TbTradesNovaDAX[[#This Row],[Qtt]]),IF(TbTradesNovaDAX[[#This Row],[Tipo]]="BUY",T14-TbTradesNovaDAX[[#This Row],[Qtt]]*TbTradesNovaDAX[[#This Row],[Preço]],T14+TbTradesNovaDAX[[#This Row],[Qtt]]*TbTradesNovaDAX[[#This Row],[Preço]])),T14)-IF(TbTradesNovaDAX[[#This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Row],[Tipo]]="DROP"),T14+TbTradesNovaDAX[[#This Row],[Qtt]],T14-TbTradesNovaDAX[[#This Row],[Qtt]]),IF(TbTradesNovaDAX[[#This Row],[Tipo]]="BUY",T14-TbTradesNovaDAX[[#This Row],[Qtt]]*TbTradesNovaDAX[[#This Row],[Preço]],T14+TbTradesNovaDAX[[#This Row],[Qtt]]*TbTradesNovaDAX[[#This Row],[Preço]])),T14)-IF(TbTradesNovaDAX[[#This Row],[Moeda da Taxa]]=MID(T$1,9,5),TbTradesNovaDAX[[#This Row],[Taxa]],0),8)))</f>
        <v>3.9668E-4</v>
      </c>
      <c r="U15" s="50" cm="1">
        <f t="array" ref="U15">IF(TbTradesNovaDAX[[#This Row],[Tipo]]="EMPTY",0,U14+IF(TbTradesNovaDAX[[#This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Row],[Par]]))),$1:$1,0)),-(T14-T15)/T14*U14),0),0)+IF(TbTradesNovaDAX[[#This Row],[Tipo]]="SELL",IF(ISNUMBER(FIND(MID(U$1,10,5),TbTradesNovaDAX[[#This Row],[Par]])),IF(FIND(MID(U$1,10,5),TbTradesNovaDAX[[#This Row],[Par]])=1, -(T14-T15)/T14*U14,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Row],[Par]])),(-(T14-T15)/T14*U14)+IF(TbTradesNovaDAX[[#This Row],[Resultado]]&gt;0,0,TbTradesNovaDAX[[#This Row],[Taxa]]),0),0))</f>
        <v>100.51730531550363</v>
      </c>
      <c r="V15" s="41">
        <f t="shared" si="2"/>
        <v>253396.45385576191</v>
      </c>
      <c r="W15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Row],[Tipo]]="DROP"),W14+TbTradesNovaDAX[[#This Row],[Qtt]],W14-TbTradesNovaDAX[[#This Row],[Qtt]]),IF(TbTradesNovaDAX[[#This Row],[Tipo]]="BUY",W14-TbTradesNovaDAX[[#This Row],[Qtt]]*TbTradesNovaDAX[[#This Row],[Preço]],W14+TbTradesNovaDAX[[#This Row],[Qtt]]*TbTradesNovaDAX[[#This Row],[Preço]])),W14)-IF(TbTradesNovaDAX[[#This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Row],[Tipo]]="DROP"),W14+TbTradesNovaDAX[[#This Row],[Qtt]],W14-TbTradesNovaDAX[[#This Row],[Qtt]]),IF(TbTradesNovaDAX[[#This Row],[Tipo]]="BUY",W14-TbTradesNovaDAX[[#This Row],[Qtt]]*TbTradesNovaDAX[[#This Row],[Preço]],W14+TbTradesNovaDAX[[#This Row],[Qtt]]*TbTradesNovaDAX[[#This Row],[Preço]])),W14)-IF(TbTradesNovaDAX[[#This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Row],[Tipo]]="DROP"),W14+TbTradesNovaDAX[[#This Row],[Qtt]],W14-TbTradesNovaDAX[[#This Row],[Qtt]]),IF(TbTradesNovaDAX[[#This Row],[Tipo]]="BUY",W14-TbTradesNovaDAX[[#This Row],[Qtt]]*TbTradesNovaDAX[[#This Row],[Preço]],W14+TbTradesNovaDAX[[#This Row],[Qtt]]*TbTradesNovaDAX[[#This Row],[Preço]])),W14)-IF(TbTradesNovaDAX[[#This Row],[Moeda da Taxa]]=MID(W$1,9,5),TbTradesNovaDAX[[#This Row],[Taxa]],0),8)))</f>
        <v>9.9773099999999997E-3</v>
      </c>
      <c r="X15" s="50" cm="1">
        <f t="array" ref="X15">IF(TbTradesNovaDAX[[#This Row],[Tipo]]="EMPTY",0,X14+IF(TbTradesNovaDAX[[#This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Row],[Par]]))),$1:$1,0)),-(W14-W15)/W14*X14),0),0)+IF(TbTradesNovaDAX[[#This Row],[Tipo]]="SELL",IF(ISNUMBER(FIND(MID(X$1,10,5),TbTradesNovaDAX[[#This Row],[Par]])),IF(FIND(MID(X$1,10,5),TbTradesNovaDAX[[#This Row],[Par]])=1, -(W14-W15)/W14*X14,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Row],[Par]])),(-(W14-W15)/W14*X14)+IF(TbTradesNovaDAX[[#This Row],[Resultado]]&gt;0,0,TbTradesNovaDAX[[#This Row],[Taxa]]),0),0))</f>
        <v>100.51735394577578</v>
      </c>
      <c r="Y15" s="41">
        <f t="shared" si="3"/>
        <v>10074.594649838062</v>
      </c>
      <c r="Z15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Row],[Tipo]]="DROP"),Z14+TbTradesNovaDAX[[#This Row],[Qtt]],Z14-TbTradesNovaDAX[[#This Row],[Qtt]]),IF(TbTradesNovaDAX[[#This Row],[Tipo]]="BUY",Z14-TbTradesNovaDAX[[#This Row],[Qtt]]*TbTradesNovaDAX[[#This Row],[Preço]],Z14+TbTradesNovaDAX[[#This Row],[Qtt]]*TbTradesNovaDAX[[#This Row],[Preço]])),Z14)-IF(TbTradesNovaDAX[[#This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Row],[Tipo]]="DROP"),Z14+TbTradesNovaDAX[[#This Row],[Qtt]],Z14-TbTradesNovaDAX[[#This Row],[Qtt]]),IF(TbTradesNovaDAX[[#This Row],[Tipo]]="BUY",Z14-TbTradesNovaDAX[[#This Row],[Qtt]]*TbTradesNovaDAX[[#This Row],[Preço]],Z14+TbTradesNovaDAX[[#This Row],[Qtt]]*TbTradesNovaDAX[[#This Row],[Preço]])),Z14)-IF(TbTradesNovaDAX[[#This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Row],[Tipo]]="DROP"),Z14+TbTradesNovaDAX[[#This Row],[Qtt]],Z14-TbTradesNovaDAX[[#This Row],[Qtt]]),IF(TbTradesNovaDAX[[#This Row],[Tipo]]="BUY",Z14-TbTradesNovaDAX[[#This Row],[Qtt]]*TbTradesNovaDAX[[#This Row],[Preço]],Z14+TbTradesNovaDAX[[#This Row],[Qtt]]*TbTradesNovaDAX[[#This Row],[Preço]])),Z14)-IF(TbTradesNovaDAX[[#This Row],[Moeda da Taxa]]=MID(Z$1,9,5),TbTradesNovaDAX[[#This Row],[Taxa]],0),8)))</f>
        <v>3.7580429999999998E-2</v>
      </c>
      <c r="AA15" s="50" cm="1">
        <f t="array" ref="AA15">IF(TbTradesNovaDAX[[#This Row],[Tipo]]="EMPTY",0,AA14+IF(TbTradesNovaDAX[[#This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Row],[Par]]))),$1:$1,0)),-(Z14-Z15)/Z14*AA14),0),0)+IF(TbTradesNovaDAX[[#This Row],[Tipo]]="SELL",IF(ISNUMBER(FIND(MID(AA$1,10,5),TbTradesNovaDAX[[#This Row],[Par]])),IF(FIND(MID(AA$1,10,5),TbTradesNovaDAX[[#This Row],[Par]])=1, -(Z14-Z15)/Z14*AA14,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Row],[Par]])),(-(Z14-Z15)/Z14*AA14)+IF(TbTradesNovaDAX[[#This Row],[Resultado]]&gt;0,0,TbTradesNovaDAX[[#This Row],[Taxa]]),0),0))</f>
        <v>126.9172720794277</v>
      </c>
      <c r="AB15" s="41">
        <f t="shared" si="4"/>
        <v>3377.2171334768577</v>
      </c>
      <c r="AC15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Row],[Tipo]]="DROP"),AC14+TbTradesNovaDAX[[#This Row],[Qtt]],AC14-TbTradesNovaDAX[[#This Row],[Qtt]]),IF(TbTradesNovaDAX[[#This Row],[Tipo]]="BUY",AC14-TbTradesNovaDAX[[#This Row],[Qtt]]*TbTradesNovaDAX[[#This Row],[Preço]],AC14+TbTradesNovaDAX[[#This Row],[Qtt]]*TbTradesNovaDAX[[#This Row],[Preço]])),AC14)-IF(TbTradesNovaDAX[[#This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Row],[Tipo]]="DROP"),AC14+TbTradesNovaDAX[[#This Row],[Qtt]],AC14-TbTradesNovaDAX[[#This Row],[Qtt]]),IF(TbTradesNovaDAX[[#This Row],[Tipo]]="BUY",AC14-TbTradesNovaDAX[[#This Row],[Qtt]]*TbTradesNovaDAX[[#This Row],[Preço]],AC14+TbTradesNovaDAX[[#This Row],[Qtt]]*TbTradesNovaDAX[[#This Row],[Preço]])),AC14)-IF(TbTradesNovaDAX[[#This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Row],[Tipo]]="DROP"),AC14+TbTradesNovaDAX[[#This Row],[Qtt]],AC14-TbTradesNovaDAX[[#This Row],[Qtt]]),IF(TbTradesNovaDAX[[#This Row],[Tipo]]="BUY",AC14-TbTradesNovaDAX[[#This Row],[Qtt]]*TbTradesNovaDAX[[#This Row],[Preço]],AC14+TbTradesNovaDAX[[#This Row],[Qtt]]*TbTradesNovaDAX[[#This Row],[Preço]])),AC14)-IF(TbTradesNovaDAX[[#This Row],[Moeda da Taxa]]=MID(AC$1,9,5),TbTradesNovaDAX[[#This Row],[Taxa]],0),8)))</f>
        <v>0.36715500000000001</v>
      </c>
      <c r="AD15" s="50" cm="1">
        <f t="array" ref="AD15">IF(TbTradesNovaDAX[[#This Row],[Tipo]]="EMPTY",0,AD14+IF(TbTradesNovaDAX[[#This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Row],[Par]]))),$1:$1,0)),-(AC14-AC15)/AC14*AD14),0),0)+IF(TbTradesNovaDAX[[#This Row],[Tipo]]="SELL",IF(ISNUMBER(FIND(MID(AD$1,10,5),TbTradesNovaDAX[[#This Row],[Par]])),IF(FIND(MID(AD$1,10,5),TbTradesNovaDAX[[#This Row],[Par]])=1, -(AC14-AC15)/AC14*AD14,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Row],[Par]])),(-(AC14-AC15)/AC14*AD14)+IF(TbTradesNovaDAX[[#This Row],[Resultado]]&gt;0,0,TbTradesNovaDAX[[#This Row],[Taxa]]),0),0))</f>
        <v>39.600009900000003</v>
      </c>
      <c r="AE15" s="41">
        <f t="shared" si="5"/>
        <v>107.85638190954775</v>
      </c>
      <c r="AF15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Row],[Tipo]]="DROP"),AF14+TbTradesNovaDAX[[#This Row],[Qtt]],AF14-TbTradesNovaDAX[[#This Row],[Qtt]]),IF(TbTradesNovaDAX[[#This Row],[Tipo]]="BUY",AF14-TbTradesNovaDAX[[#This Row],[Qtt]]*TbTradesNovaDAX[[#This Row],[Preço]],AF14+TbTradesNovaDAX[[#This Row],[Qtt]]*TbTradesNovaDAX[[#This Row],[Preço]])),AF14)-IF(TbTradesNovaDAX[[#This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Row],[Tipo]]="DROP"),AF14+TbTradesNovaDAX[[#This Row],[Qtt]],AF14-TbTradesNovaDAX[[#This Row],[Qtt]]),IF(TbTradesNovaDAX[[#This Row],[Tipo]]="BUY",AF14-TbTradesNovaDAX[[#This Row],[Qtt]]*TbTradesNovaDAX[[#This Row],[Preço]],AF14+TbTradesNovaDAX[[#This Row],[Qtt]]*TbTradesNovaDAX[[#This Row],[Preço]])),AF14)-IF(TbTradesNovaDAX[[#This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Row],[Tipo]]="DROP"),AF14+TbTradesNovaDAX[[#This Row],[Qtt]],AF14-TbTradesNovaDAX[[#This Row],[Qtt]]),IF(TbTradesNovaDAX[[#This Row],[Tipo]]="BUY",AF14-TbTradesNovaDAX[[#This Row],[Qtt]]*TbTradesNovaDAX[[#This Row],[Preço]],AF14+TbTradesNovaDAX[[#This Row],[Qtt]]*TbTradesNovaDAX[[#This Row],[Preço]])),AF14)-IF(TbTradesNovaDAX[[#This Row],[Moeda da Taxa]]=MID(AF$1,9,5),TbTradesNovaDAX[[#This Row],[Taxa]],0),8)))</f>
        <v>1.649E-5</v>
      </c>
      <c r="AG15" s="50" cm="1">
        <f t="array" ref="AG15">IF(TbTradesNovaDAX[[#This Row],[Tipo]]="EMPTY",0,AG14+IF(TbTradesNovaDAX[[#This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Row],[Par]]))),$1:$1,0)),-(AF14-AF15)/AF14*AG14),0),0)+IF(TbTradesNovaDAX[[#This Row],[Tipo]]="SELL",IF(ISNUMBER(FIND(MID(AG$1,10,5),TbTradesNovaDAX[[#This Row],[Par]])),IF(FIND(MID(AG$1,10,5),TbTradesNovaDAX[[#This Row],[Par]])=1, -(AF14-AF15)/AF14*AG14,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Row],[Par]])),(-(AF14-AF15)/AF14*AG14)+IF(TbTradesNovaDAX[[#This Row],[Resultado]]&gt;0,0,TbTradesNovaDAX[[#This Row],[Taxa]]),0),0))</f>
        <v>1.4694429588004709E-3</v>
      </c>
      <c r="AH15" s="41">
        <f t="shared" si="6"/>
        <v>89.111155779288723</v>
      </c>
      <c r="AI15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Row],[Tipo]]="DROP"),AI14+TbTradesNovaDAX[[#This Row],[Qtt]],AI14-TbTradesNovaDAX[[#This Row],[Qtt]]),IF(TbTradesNovaDAX[[#This Row],[Tipo]]="BUY",AI14-TbTradesNovaDAX[[#This Row],[Qtt]]*TbTradesNovaDAX[[#This Row],[Preço]],AI14+TbTradesNovaDAX[[#This Row],[Qtt]]*TbTradesNovaDAX[[#This Row],[Preço]])),AI14)-IF(TbTradesNovaDAX[[#This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Row],[Tipo]]="DROP"),AI14+TbTradesNovaDAX[[#This Row],[Qtt]],AI14-TbTradesNovaDAX[[#This Row],[Qtt]]),IF(TbTradesNovaDAX[[#This Row],[Tipo]]="BUY",AI14-TbTradesNovaDAX[[#This Row],[Qtt]]*TbTradesNovaDAX[[#This Row],[Preço]],AI14+TbTradesNovaDAX[[#This Row],[Qtt]]*TbTradesNovaDAX[[#This Row],[Preço]])),AI14)-IF(TbTradesNovaDAX[[#This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Row],[Tipo]]="DROP"),AI14+TbTradesNovaDAX[[#This Row],[Qtt]],AI14-TbTradesNovaDAX[[#This Row],[Qtt]]),IF(TbTradesNovaDAX[[#This Row],[Tipo]]="BUY",AI14-TbTradesNovaDAX[[#This Row],[Qtt]]*TbTradesNovaDAX[[#This Row],[Preço]],AI14+TbTradesNovaDAX[[#This Row],[Qtt]]*TbTradesNovaDAX[[#This Row],[Preço]])),AI14)-IF(TbTradesNovaDAX[[#This Row],[Moeda da Taxa]]=MID(AI$1,9,5),TbTradesNovaDAX[[#This Row],[Taxa]],0),8)))</f>
        <v>7.5864770000000004</v>
      </c>
      <c r="AJ15" s="50" cm="1">
        <f t="array" ref="AJ15">IF(TbTradesNovaDAX[[#This Row],[Tipo]]="EMPTY",0,AJ14+IF(TbTradesNovaDAX[[#This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Row],[Par]]))),$1:$1,0)),-(AI14-AI15)/AI14*AJ14),0),0)+IF(TbTradesNovaDAX[[#This Row],[Tipo]]="SELL",IF(ISNUMBER(FIND(MID(AJ$1,10,5),TbTradesNovaDAX[[#This Row],[Par]])),IF(FIND(MID(AJ$1,10,5),TbTradesNovaDAX[[#This Row],[Par]])=1, -(AI14-AI15)/AI14*AJ14,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Row],[Par]])),(-(AI14-AI15)/AI14*AJ14)+IF(TbTradesNovaDAX[[#This Row],[Resultado]]&gt;0,0,TbTradesNovaDAX[[#This Row],[Taxa]]),0),0))</f>
        <v>50.258491086235757</v>
      </c>
      <c r="AK15" s="41">
        <f t="shared" si="7"/>
        <v>6.6247470448056136</v>
      </c>
      <c r="AL15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Row],[Tipo]]="DROP"),AL14+TbTradesNovaDAX[[#This Row],[Qtt]],AL14-TbTradesNovaDAX[[#This Row],[Qtt]]),IF(TbTradesNovaDAX[[#This Row],[Tipo]]="BUY",AL14-TbTradesNovaDAX[[#This Row],[Qtt]]*TbTradesNovaDAX[[#This Row],[Preço]],AL14+TbTradesNovaDAX[[#This Row],[Qtt]]*TbTradesNovaDAX[[#This Row],[Preço]])),AL14)-IF(TbTradesNovaDAX[[#This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Row],[Tipo]]="DROP"),AL14+TbTradesNovaDAX[[#This Row],[Qtt]],AL14-TbTradesNovaDAX[[#This Row],[Qtt]]),IF(TbTradesNovaDAX[[#This Row],[Tipo]]="BUY",AL14-TbTradesNovaDAX[[#This Row],[Qtt]]*TbTradesNovaDAX[[#This Row],[Preço]],AL14+TbTradesNovaDAX[[#This Row],[Qtt]]*TbTradesNovaDAX[[#This Row],[Preço]])),AL14)-IF(TbTradesNovaDAX[[#This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Row],[Tipo]]="DROP"),AL14+TbTradesNovaDAX[[#This Row],[Qtt]],AL14-TbTradesNovaDAX[[#This Row],[Qtt]]),IF(TbTradesNovaDAX[[#This Row],[Tipo]]="BUY",AL14-TbTradesNovaDAX[[#This Row],[Qtt]]*TbTradesNovaDAX[[#This Row],[Preço]],AL14+TbTradesNovaDAX[[#This Row],[Qtt]]*TbTradesNovaDAX[[#This Row],[Preço]])),AL14)-IF(TbTradesNovaDAX[[#This Row],[Moeda da Taxa]]=MID(AL$1,9,5),TbTradesNovaDAX[[#This Row],[Taxa]],0),8)))</f>
        <v>1.15E-5</v>
      </c>
      <c r="AM15" s="50" cm="1">
        <f t="array" ref="AM15">IF(TbTradesNovaDAX[[#This Row],[Tipo]]="EMPTY",0,AM14+IF(TbTradesNovaDAX[[#This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Row],[Par]]))),$1:$1,0)),-(AL14-AL15)/AL14*AM14),0),0)+IF(TbTradesNovaDAX[[#This Row],[Tipo]]="SELL",IF(ISNUMBER(FIND(MID(AM$1,10,5),TbTradesNovaDAX[[#This Row],[Par]])),IF(FIND(MID(AM$1,10,5),TbTradesNovaDAX[[#This Row],[Par]])=1, -(AL14-AL15)/AL14*AM14,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Row],[Par]])),(-(AL14-AL15)/AL14*AM14)+IF(TbTradesNovaDAX[[#This Row],[Resultado]]&gt;0,0,TbTradesNovaDAX[[#This Row],[Taxa]]),0),0))</f>
        <v>7.1604349300216086E-3</v>
      </c>
      <c r="AN15" s="41">
        <f t="shared" si="8"/>
        <v>622.64651565405291</v>
      </c>
      <c r="AO15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Row],[Tipo]]="DROP"),AO14+TbTradesNovaDAX[[#This Row],[Qtt]],AO14-TbTradesNovaDAX[[#This Row],[Qtt]]),IF(TbTradesNovaDAX[[#This Row],[Tipo]]="BUY",AO14-TbTradesNovaDAX[[#This Row],[Qtt]]*TbTradesNovaDAX[[#This Row],[Preço]],AO14+TbTradesNovaDAX[[#This Row],[Qtt]]*TbTradesNovaDAX[[#This Row],[Preço]])),AO14)-IF(TbTradesNovaDAX[[#This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Row],[Tipo]]="DROP"),AO14+TbTradesNovaDAX[[#This Row],[Qtt]],AO14-TbTradesNovaDAX[[#This Row],[Qtt]]),IF(TbTradesNovaDAX[[#This Row],[Tipo]]="BUY",AO14-TbTradesNovaDAX[[#This Row],[Qtt]]*TbTradesNovaDAX[[#This Row],[Preço]],AO14+TbTradesNovaDAX[[#This Row],[Qtt]]*TbTradesNovaDAX[[#This Row],[Preço]])),AO14)-IF(TbTradesNovaDAX[[#This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Row],[Tipo]]="DROP"),AO14+TbTradesNovaDAX[[#This Row],[Qtt]],AO14-TbTradesNovaDAX[[#This Row],[Qtt]]),IF(TbTradesNovaDAX[[#This Row],[Tipo]]="BUY",AO14-TbTradesNovaDAX[[#This Row],[Qtt]]*TbTradesNovaDAX[[#This Row],[Preço]],AO14+TbTradesNovaDAX[[#This Row],[Qtt]]*TbTradesNovaDAX[[#This Row],[Preço]])),AO14)-IF(TbTradesNovaDAX[[#This Row],[Moeda da Taxa]]=MID(AO$1,9,5),TbTradesNovaDAX[[#This Row],[Taxa]],0),8)))</f>
        <v>0</v>
      </c>
      <c r="AP15" s="50" cm="1">
        <f t="array" ref="AP15">IF(TbTradesNovaDAX[[#This Row],[Tipo]]="EMPTY",0,AP14+IF(TbTradesNovaDAX[[#This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Row],[Par]]))),$1:$1,0)),-(AO14-AO15)/AO14*AP14),0),0)+IF(TbTradesNovaDAX[[#This Row],[Tipo]]="SELL",IF(ISNUMBER(FIND(MID(AP$1,10,5),TbTradesNovaDAX[[#This Row],[Par]])),IF(FIND(MID(AP$1,10,5),TbTradesNovaDAX[[#This Row],[Par]])=1, -(AO14-AO15)/AO14*AP14,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Row],[Par]])),(-(AO14-AO15)/AO14*AP14)+IF(TbTradesNovaDAX[[#This Row],[Resultado]]&gt;0,0,TbTradesNovaDAX[[#This Row],[Taxa]]),0),0))</f>
        <v>0</v>
      </c>
      <c r="AQ15" s="41">
        <f t="shared" si="9"/>
        <v>0</v>
      </c>
    </row>
    <row r="16" spans="1:43" x14ac:dyDescent="0.3">
      <c r="B16" s="65"/>
      <c r="C16" s="67">
        <f>TRUNC(IF(AND(TbTradesNovaDAX[[#This Row],[Tipo]]="SEND",TbTradesNovaDAX[[#This Row],[Par]]="BRL"),TbTradesNovaDAX[[#This Row],[Qtt]]*(1-P15)-IF(TbTradesNovaDAX[[#This Row],[Moeda da Taxa]]="BRL",TbTradesNovaDAX[[#This Row],[Taxa]],0),0)+IF(AND(TbTradesNovaDAX[[#This Row],[Tipo]]="BURN",TbTradesNovaDAX[[#This Row],[Par]]="BRL"),-TbTradesNovaDAX[[#This Row],[Qtt]]*P15,0),2)</f>
        <v>0</v>
      </c>
      <c r="D16" s="65">
        <v>44249.619803240741</v>
      </c>
      <c r="E16" s="77" t="s">
        <v>175</v>
      </c>
      <c r="F16" s="77" t="s">
        <v>140</v>
      </c>
      <c r="G16" s="78">
        <v>7.1139999999999999</v>
      </c>
      <c r="H16" s="78">
        <v>7.5864000000000003</v>
      </c>
      <c r="I16" s="78">
        <v>0.27</v>
      </c>
      <c r="J16" s="77" t="s">
        <v>50</v>
      </c>
      <c r="K16" s="75">
        <v>1</v>
      </c>
      <c r="L16" s="67">
        <f t="shared" si="10"/>
        <v>7.11</v>
      </c>
      <c r="M16" s="67">
        <f>IF(OR(TbTradesNovaDAX[[#This Row],[Tipo]]="BUY",TbTradesNovaDAX[[#This Row],[Tipo]]="RECEIVE"),L16*H16,-L16*H16)</f>
        <v>-53.939304000000007</v>
      </c>
      <c r="N16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Row],[Tipo]]="DROP"),N15+TbTradesNovaDAX[[#This Row],[Qtt]],N15-TbTradesNovaDAX[[#This Row],[Qtt]]),IF(TbTradesNovaDAX[[#This Row],[Tipo]]="BUY",N15-TbTradesNovaDAX[[#This Row],[Qtt]]*TbTradesNovaDAX[[#This Row],[Preço]],N15+TbTradesNovaDAX[[#This Row],[Qtt]]*TbTradesNovaDAX[[#This Row],[Preço]])),N15)-IF(TbTradesNovaDAX[[#This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Row],[Tipo]]="DROP"),N15+TbTradesNovaDAX[[#This Row],[Qtt]],N15-TbTradesNovaDAX[[#This Row],[Qtt]]),IF(TbTradesNovaDAX[[#This Row],[Tipo]]="BUY",N15-TbTradesNovaDAX[[#This Row],[Qtt]]*TbTradesNovaDAX[[#This Row],[Preço]],N15+TbTradesNovaDAX[[#This Row],[Qtt]]*TbTradesNovaDAX[[#This Row],[Preço]])),N15)-IF(TbTradesNovaDAX[[#This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Row],[Tipo]]="DROP"),N15+TbTradesNovaDAX[[#This Row],[Qtt]],N15-TbTradesNovaDAX[[#This Row],[Qtt]]),IF(TbTradesNovaDAX[[#This Row],[Tipo]]="BUY",N15-TbTradesNovaDAX[[#This Row],[Qtt]]*TbTradesNovaDAX[[#This Row],[Preço]],N15+TbTradesNovaDAX[[#This Row],[Qtt]]*TbTradesNovaDAX[[#This Row],[Preço]])),N15)-IF(TbTradesNovaDAX[[#This Row],[Moeda da Taxa]]=MID(N$1,9,5),TbTradesNovaDAX[[#This Row],[Taxa]],0),8)))</f>
        <v>118.70975204</v>
      </c>
      <c r="O16" s="50" cm="1">
        <f t="array" ref="O16">IF(TbTradesNovaDAX[[#This Row],[Tipo]]="EMPTY",0,O15+IF(TbTradesNovaDAX[[#This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Row],[Par]]))),$1:$1,0)),-(N15-N16)/N15*O15),0),0)+IF(TbTradesNovaDAX[[#This Row],[Tipo]]="SELL",IF(ISNUMBER(FIND(MID(O$1,10,5),TbTradesNovaDAX[[#This Row],[Par]])),IF(FIND(MID(O$1,10,5),TbTradesNovaDAX[[#This Row],[Par]])=1, -(N15-N16)/N15*O15,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Row],[Par]])),(-(N15-N16)/N15*O15)+IF(TbTradesNovaDAX[[#This Row],[Resultado]]&gt;0,0,TbTradesNovaDAX[[#This Row],[Taxa]]),0),0))</f>
        <v>98.438918775881575</v>
      </c>
      <c r="P16" s="41">
        <f t="shared" si="0"/>
        <v>0.82924037060335165</v>
      </c>
      <c r="Q16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Row],[Tipo]]="DROP"),Q15+TbTradesNovaDAX[[#This Row],[Qtt]],Q15-TbTradesNovaDAX[[#This Row],[Qtt]]),IF(TbTradesNovaDAX[[#This Row],[Tipo]]="BUY",Q15-TbTradesNovaDAX[[#This Row],[Qtt]]*TbTradesNovaDAX[[#This Row],[Preço]],Q15+TbTradesNovaDAX[[#This Row],[Qtt]]*TbTradesNovaDAX[[#This Row],[Preço]])),Q15)-IF(TbTradesNovaDAX[[#This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Row],[Tipo]]="DROP"),Q15+TbTradesNovaDAX[[#This Row],[Qtt]],Q15-TbTradesNovaDAX[[#This Row],[Qtt]]),IF(TbTradesNovaDAX[[#This Row],[Tipo]]="BUY",Q15-TbTradesNovaDAX[[#This Row],[Qtt]]*TbTradesNovaDAX[[#This Row],[Preço]],Q15+TbTradesNovaDAX[[#This Row],[Qtt]]*TbTradesNovaDAX[[#This Row],[Preço]])),Q15)-IF(TbTradesNovaDAX[[#This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Row],[Tipo]]="DROP"),Q15+TbTradesNovaDAX[[#This Row],[Qtt]],Q15-TbTradesNovaDAX[[#This Row],[Qtt]]),IF(TbTradesNovaDAX[[#This Row],[Tipo]]="BUY",Q15-TbTradesNovaDAX[[#This Row],[Qtt]]*TbTradesNovaDAX[[#This Row],[Preço]],Q15+TbTradesNovaDAX[[#This Row],[Qtt]]*TbTradesNovaDAX[[#This Row],[Preço]])),Q15)-IF(TbTradesNovaDAX[[#This Row],[Moeda da Taxa]]=MID(Q$1,9,5),TbTradesNovaDAX[[#This Row],[Taxa]],0),8)))</f>
        <v>0</v>
      </c>
      <c r="R16" s="50" cm="1">
        <f t="array" ref="R16">IF(TbTradesNovaDAX[[#This Row],[Tipo]]="EMPTY",0,R15+IF(TbTradesNovaDAX[[#This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Row],[Par]]))),$1:$1,0)),-(Q15-Q16)/Q15*R15),0),0)+IF(TbTradesNovaDAX[[#This Row],[Tipo]]="SELL",IF(ISNUMBER(FIND(MID(R$1,10,5),TbTradesNovaDAX[[#This Row],[Par]])),IF(FIND(MID(R$1,10,5),TbTradesNovaDAX[[#This Row],[Par]])=1, -(Q15-Q16)/Q15*R15,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Row],[Par]])),(-(Q15-Q16)/Q15*R15)+IF(TbTradesNovaDAX[[#This Row],[Resultado]]&gt;0,0,TbTradesNovaDAX[[#This Row],[Taxa]]),0),0))</f>
        <v>0</v>
      </c>
      <c r="S16" s="41">
        <f t="shared" si="1"/>
        <v>0</v>
      </c>
      <c r="T16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Row],[Tipo]]="DROP"),T15+TbTradesNovaDAX[[#This Row],[Qtt]],T15-TbTradesNovaDAX[[#This Row],[Qtt]]),IF(TbTradesNovaDAX[[#This Row],[Tipo]]="BUY",T15-TbTradesNovaDAX[[#This Row],[Qtt]]*TbTradesNovaDAX[[#This Row],[Preço]],T15+TbTradesNovaDAX[[#This Row],[Qtt]]*TbTradesNovaDAX[[#This Row],[Preço]])),T15)-IF(TbTradesNovaDAX[[#This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Row],[Tipo]]="DROP"),T15+TbTradesNovaDAX[[#This Row],[Qtt]],T15-TbTradesNovaDAX[[#This Row],[Qtt]]),IF(TbTradesNovaDAX[[#This Row],[Tipo]]="BUY",T15-TbTradesNovaDAX[[#This Row],[Qtt]]*TbTradesNovaDAX[[#This Row],[Preço]],T15+TbTradesNovaDAX[[#This Row],[Qtt]]*TbTradesNovaDAX[[#This Row],[Preço]])),T15)-IF(TbTradesNovaDAX[[#This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Row],[Tipo]]="DROP"),T15+TbTradesNovaDAX[[#This Row],[Qtt]],T15-TbTradesNovaDAX[[#This Row],[Qtt]]),IF(TbTradesNovaDAX[[#This Row],[Tipo]]="BUY",T15-TbTradesNovaDAX[[#This Row],[Qtt]]*TbTradesNovaDAX[[#This Row],[Preço]],T15+TbTradesNovaDAX[[#This Row],[Qtt]]*TbTradesNovaDAX[[#This Row],[Preço]])),T15)-IF(TbTradesNovaDAX[[#This Row],[Moeda da Taxa]]=MID(T$1,9,5),TbTradesNovaDAX[[#This Row],[Taxa]],0),8)))</f>
        <v>3.9668E-4</v>
      </c>
      <c r="U16" s="50" cm="1">
        <f t="array" ref="U16">IF(TbTradesNovaDAX[[#This Row],[Tipo]]="EMPTY",0,U15+IF(TbTradesNovaDAX[[#This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Row],[Par]]))),$1:$1,0)),-(T15-T16)/T15*U15),0),0)+IF(TbTradesNovaDAX[[#This Row],[Tipo]]="SELL",IF(ISNUMBER(FIND(MID(U$1,10,5),TbTradesNovaDAX[[#This Row],[Par]])),IF(FIND(MID(U$1,10,5),TbTradesNovaDAX[[#This Row],[Par]])=1, -(T15-T16)/T15*U15,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Row],[Par]])),(-(T15-T16)/T15*U15)+IF(TbTradesNovaDAX[[#This Row],[Resultado]]&gt;0,0,TbTradesNovaDAX[[#This Row],[Taxa]]),0),0))</f>
        <v>100.51730531550363</v>
      </c>
      <c r="V16" s="41">
        <f t="shared" si="2"/>
        <v>253396.45385576191</v>
      </c>
      <c r="W16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Row],[Tipo]]="DROP"),W15+TbTradesNovaDAX[[#This Row],[Qtt]],W15-TbTradesNovaDAX[[#This Row],[Qtt]]),IF(TbTradesNovaDAX[[#This Row],[Tipo]]="BUY",W15-TbTradesNovaDAX[[#This Row],[Qtt]]*TbTradesNovaDAX[[#This Row],[Preço]],W15+TbTradesNovaDAX[[#This Row],[Qtt]]*TbTradesNovaDAX[[#This Row],[Preço]])),W15)-IF(TbTradesNovaDAX[[#This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Row],[Tipo]]="DROP"),W15+TbTradesNovaDAX[[#This Row],[Qtt]],W15-TbTradesNovaDAX[[#This Row],[Qtt]]),IF(TbTradesNovaDAX[[#This Row],[Tipo]]="BUY",W15-TbTradesNovaDAX[[#This Row],[Qtt]]*TbTradesNovaDAX[[#This Row],[Preço]],W15+TbTradesNovaDAX[[#This Row],[Qtt]]*TbTradesNovaDAX[[#This Row],[Preço]])),W15)-IF(TbTradesNovaDAX[[#This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Row],[Tipo]]="DROP"),W15+TbTradesNovaDAX[[#This Row],[Qtt]],W15-TbTradesNovaDAX[[#This Row],[Qtt]]),IF(TbTradesNovaDAX[[#This Row],[Tipo]]="BUY",W15-TbTradesNovaDAX[[#This Row],[Qtt]]*TbTradesNovaDAX[[#This Row],[Preço]],W15+TbTradesNovaDAX[[#This Row],[Qtt]]*TbTradesNovaDAX[[#This Row],[Preço]])),W15)-IF(TbTradesNovaDAX[[#This Row],[Moeda da Taxa]]=MID(W$1,9,5),TbTradesNovaDAX[[#This Row],[Taxa]],0),8)))</f>
        <v>9.9773099999999997E-3</v>
      </c>
      <c r="X16" s="50" cm="1">
        <f t="array" ref="X16">IF(TbTradesNovaDAX[[#This Row],[Tipo]]="EMPTY",0,X15+IF(TbTradesNovaDAX[[#This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Row],[Par]]))),$1:$1,0)),-(W15-W16)/W15*X15),0),0)+IF(TbTradesNovaDAX[[#This Row],[Tipo]]="SELL",IF(ISNUMBER(FIND(MID(X$1,10,5),TbTradesNovaDAX[[#This Row],[Par]])),IF(FIND(MID(X$1,10,5),TbTradesNovaDAX[[#This Row],[Par]])=1, -(W15-W16)/W15*X15,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Row],[Par]])),(-(W15-W16)/W15*X15)+IF(TbTradesNovaDAX[[#This Row],[Resultado]]&gt;0,0,TbTradesNovaDAX[[#This Row],[Taxa]]),0),0))</f>
        <v>100.51735394577578</v>
      </c>
      <c r="Y16" s="41">
        <f t="shared" si="3"/>
        <v>10074.594649838062</v>
      </c>
      <c r="Z16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Row],[Tipo]]="DROP"),Z15+TbTradesNovaDAX[[#This Row],[Qtt]],Z15-TbTradesNovaDAX[[#This Row],[Qtt]]),IF(TbTradesNovaDAX[[#This Row],[Tipo]]="BUY",Z15-TbTradesNovaDAX[[#This Row],[Qtt]]*TbTradesNovaDAX[[#This Row],[Preço]],Z15+TbTradesNovaDAX[[#This Row],[Qtt]]*TbTradesNovaDAX[[#This Row],[Preço]])),Z15)-IF(TbTradesNovaDAX[[#This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Row],[Tipo]]="DROP"),Z15+TbTradesNovaDAX[[#This Row],[Qtt]],Z15-TbTradesNovaDAX[[#This Row],[Qtt]]),IF(TbTradesNovaDAX[[#This Row],[Tipo]]="BUY",Z15-TbTradesNovaDAX[[#This Row],[Qtt]]*TbTradesNovaDAX[[#This Row],[Preço]],Z15+TbTradesNovaDAX[[#This Row],[Qtt]]*TbTradesNovaDAX[[#This Row],[Preço]])),Z15)-IF(TbTradesNovaDAX[[#This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Row],[Tipo]]="DROP"),Z15+TbTradesNovaDAX[[#This Row],[Qtt]],Z15-TbTradesNovaDAX[[#This Row],[Qtt]]),IF(TbTradesNovaDAX[[#This Row],[Tipo]]="BUY",Z15-TbTradesNovaDAX[[#This Row],[Qtt]]*TbTradesNovaDAX[[#This Row],[Preço]],Z15+TbTradesNovaDAX[[#This Row],[Qtt]]*TbTradesNovaDAX[[#This Row],[Preço]])),Z15)-IF(TbTradesNovaDAX[[#This Row],[Moeda da Taxa]]=MID(Z$1,9,5),TbTradesNovaDAX[[#This Row],[Taxa]],0),8)))</f>
        <v>3.7580429999999998E-2</v>
      </c>
      <c r="AA16" s="50" cm="1">
        <f t="array" ref="AA16">IF(TbTradesNovaDAX[[#This Row],[Tipo]]="EMPTY",0,AA15+IF(TbTradesNovaDAX[[#This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Row],[Par]]))),$1:$1,0)),-(Z15-Z16)/Z15*AA15),0),0)+IF(TbTradesNovaDAX[[#This Row],[Tipo]]="SELL",IF(ISNUMBER(FIND(MID(AA$1,10,5),TbTradesNovaDAX[[#This Row],[Par]])),IF(FIND(MID(AA$1,10,5),TbTradesNovaDAX[[#This Row],[Par]])=1, -(Z15-Z16)/Z15*AA15,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Row],[Par]])),(-(Z15-Z16)/Z15*AA15)+IF(TbTradesNovaDAX[[#This Row],[Resultado]]&gt;0,0,TbTradesNovaDAX[[#This Row],[Taxa]]),0),0))</f>
        <v>126.9172720794277</v>
      </c>
      <c r="AB16" s="41">
        <f t="shared" si="4"/>
        <v>3377.2171334768577</v>
      </c>
      <c r="AC16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Row],[Tipo]]="DROP"),AC15+TbTradesNovaDAX[[#This Row],[Qtt]],AC15-TbTradesNovaDAX[[#This Row],[Qtt]]),IF(TbTradesNovaDAX[[#This Row],[Tipo]]="BUY",AC15-TbTradesNovaDAX[[#This Row],[Qtt]]*TbTradesNovaDAX[[#This Row],[Preço]],AC15+TbTradesNovaDAX[[#This Row],[Qtt]]*TbTradesNovaDAX[[#This Row],[Preço]])),AC15)-IF(TbTradesNovaDAX[[#This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Row],[Tipo]]="DROP"),AC15+TbTradesNovaDAX[[#This Row],[Qtt]],AC15-TbTradesNovaDAX[[#This Row],[Qtt]]),IF(TbTradesNovaDAX[[#This Row],[Tipo]]="BUY",AC15-TbTradesNovaDAX[[#This Row],[Qtt]]*TbTradesNovaDAX[[#This Row],[Preço]],AC15+TbTradesNovaDAX[[#This Row],[Qtt]]*TbTradesNovaDAX[[#This Row],[Preço]])),AC15)-IF(TbTradesNovaDAX[[#This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Row],[Tipo]]="DROP"),AC15+TbTradesNovaDAX[[#This Row],[Qtt]],AC15-TbTradesNovaDAX[[#This Row],[Qtt]]),IF(TbTradesNovaDAX[[#This Row],[Tipo]]="BUY",AC15-TbTradesNovaDAX[[#This Row],[Qtt]]*TbTradesNovaDAX[[#This Row],[Preço]],AC15+TbTradesNovaDAX[[#This Row],[Qtt]]*TbTradesNovaDAX[[#This Row],[Preço]])),AC15)-IF(TbTradesNovaDAX[[#This Row],[Moeda da Taxa]]=MID(AC$1,9,5),TbTradesNovaDAX[[#This Row],[Taxa]],0),8)))</f>
        <v>0.36715500000000001</v>
      </c>
      <c r="AD16" s="50" cm="1">
        <f t="array" ref="AD16">IF(TbTradesNovaDAX[[#This Row],[Tipo]]="EMPTY",0,AD15+IF(TbTradesNovaDAX[[#This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Row],[Par]]))),$1:$1,0)),-(AC15-AC16)/AC15*AD15),0),0)+IF(TbTradesNovaDAX[[#This Row],[Tipo]]="SELL",IF(ISNUMBER(FIND(MID(AD$1,10,5),TbTradesNovaDAX[[#This Row],[Par]])),IF(FIND(MID(AD$1,10,5),TbTradesNovaDAX[[#This Row],[Par]])=1, -(AC15-AC16)/AC15*AD15,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Row],[Par]])),(-(AC15-AC16)/AC15*AD15)+IF(TbTradesNovaDAX[[#This Row],[Resultado]]&gt;0,0,TbTradesNovaDAX[[#This Row],[Taxa]]),0),0))</f>
        <v>39.600009900000003</v>
      </c>
      <c r="AE16" s="41">
        <f t="shared" si="5"/>
        <v>107.85638190954775</v>
      </c>
      <c r="AF16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Row],[Tipo]]="DROP"),AF15+TbTradesNovaDAX[[#This Row],[Qtt]],AF15-TbTradesNovaDAX[[#This Row],[Qtt]]),IF(TbTradesNovaDAX[[#This Row],[Tipo]]="BUY",AF15-TbTradesNovaDAX[[#This Row],[Qtt]]*TbTradesNovaDAX[[#This Row],[Preço]],AF15+TbTradesNovaDAX[[#This Row],[Qtt]]*TbTradesNovaDAX[[#This Row],[Preço]])),AF15)-IF(TbTradesNovaDAX[[#This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Row],[Tipo]]="DROP"),AF15+TbTradesNovaDAX[[#This Row],[Qtt]],AF15-TbTradesNovaDAX[[#This Row],[Qtt]]),IF(TbTradesNovaDAX[[#This Row],[Tipo]]="BUY",AF15-TbTradesNovaDAX[[#This Row],[Qtt]]*TbTradesNovaDAX[[#This Row],[Preço]],AF15+TbTradesNovaDAX[[#This Row],[Qtt]]*TbTradesNovaDAX[[#This Row],[Preço]])),AF15)-IF(TbTradesNovaDAX[[#This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Row],[Tipo]]="DROP"),AF15+TbTradesNovaDAX[[#This Row],[Qtt]],AF15-TbTradesNovaDAX[[#This Row],[Qtt]]),IF(TbTradesNovaDAX[[#This Row],[Tipo]]="BUY",AF15-TbTradesNovaDAX[[#This Row],[Qtt]]*TbTradesNovaDAX[[#This Row],[Preço]],AF15+TbTradesNovaDAX[[#This Row],[Qtt]]*TbTradesNovaDAX[[#This Row],[Preço]])),AF15)-IF(TbTradesNovaDAX[[#This Row],[Moeda da Taxa]]=MID(AF$1,9,5),TbTradesNovaDAX[[#This Row],[Taxa]],0),8)))</f>
        <v>1.649E-5</v>
      </c>
      <c r="AG16" s="50" cm="1">
        <f t="array" ref="AG16">IF(TbTradesNovaDAX[[#This Row],[Tipo]]="EMPTY",0,AG15+IF(TbTradesNovaDAX[[#This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Row],[Par]]))),$1:$1,0)),-(AF15-AF16)/AF15*AG15),0),0)+IF(TbTradesNovaDAX[[#This Row],[Tipo]]="SELL",IF(ISNUMBER(FIND(MID(AG$1,10,5),TbTradesNovaDAX[[#This Row],[Par]])),IF(FIND(MID(AG$1,10,5),TbTradesNovaDAX[[#This Row],[Par]])=1, -(AF15-AF16)/AF15*AG15,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Row],[Par]])),(-(AF15-AF16)/AF15*AG15)+IF(TbTradesNovaDAX[[#This Row],[Resultado]]&gt;0,0,TbTradesNovaDAX[[#This Row],[Taxa]]),0),0))</f>
        <v>1.4694429588004709E-3</v>
      </c>
      <c r="AH16" s="41">
        <f t="shared" si="6"/>
        <v>89.111155779288723</v>
      </c>
      <c r="AI16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Row],[Tipo]]="DROP"),AI15+TbTradesNovaDAX[[#This Row],[Qtt]],AI15-TbTradesNovaDAX[[#This Row],[Qtt]]),IF(TbTradesNovaDAX[[#This Row],[Tipo]]="BUY",AI15-TbTradesNovaDAX[[#This Row],[Qtt]]*TbTradesNovaDAX[[#This Row],[Preço]],AI15+TbTradesNovaDAX[[#This Row],[Qtt]]*TbTradesNovaDAX[[#This Row],[Preço]])),AI15)-IF(TbTradesNovaDAX[[#This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Row],[Tipo]]="DROP"),AI15+TbTradesNovaDAX[[#This Row],[Qtt]],AI15-TbTradesNovaDAX[[#This Row],[Qtt]]),IF(TbTradesNovaDAX[[#This Row],[Tipo]]="BUY",AI15-TbTradesNovaDAX[[#This Row],[Qtt]]*TbTradesNovaDAX[[#This Row],[Preço]],AI15+TbTradesNovaDAX[[#This Row],[Qtt]]*TbTradesNovaDAX[[#This Row],[Preço]])),AI15)-IF(TbTradesNovaDAX[[#This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Row],[Tipo]]="DROP"),AI15+TbTradesNovaDAX[[#This Row],[Qtt]],AI15-TbTradesNovaDAX[[#This Row],[Qtt]]),IF(TbTradesNovaDAX[[#This Row],[Tipo]]="BUY",AI15-TbTradesNovaDAX[[#This Row],[Qtt]]*TbTradesNovaDAX[[#This Row],[Preço]],AI15+TbTradesNovaDAX[[#This Row],[Qtt]]*TbTradesNovaDAX[[#This Row],[Preço]])),AI15)-IF(TbTradesNovaDAX[[#This Row],[Moeda da Taxa]]=MID(AI$1,9,5),TbTradesNovaDAX[[#This Row],[Taxa]],0),8)))</f>
        <v>7.7000000000000001E-5</v>
      </c>
      <c r="AJ16" s="50" cm="1">
        <f t="array" ref="AJ16">IF(TbTradesNovaDAX[[#This Row],[Tipo]]="EMPTY",0,AJ15+IF(TbTradesNovaDAX[[#This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Row],[Par]]))),$1:$1,0)),-(AI15-AI16)/AI15*AJ15),0),0)+IF(TbTradesNovaDAX[[#This Row],[Tipo]]="SELL",IF(ISNUMBER(FIND(MID(AJ$1,10,5),TbTradesNovaDAX[[#This Row],[Par]])),IF(FIND(MID(AJ$1,10,5),TbTradesNovaDAX[[#This Row],[Par]])=1, -(AI15-AI16)/AI15*AJ15,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Row],[Par]])),(-(AI15-AI16)/AI15*AJ15)+IF(TbTradesNovaDAX[[#This Row],[Resultado]]&gt;0,0,TbTradesNovaDAX[[#This Row],[Taxa]]),0),0))</f>
        <v>5.1010552245145391E-4</v>
      </c>
      <c r="AK16" s="41">
        <f t="shared" si="7"/>
        <v>6.6247470448240762</v>
      </c>
      <c r="AL16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Row],[Tipo]]="DROP"),AL15+TbTradesNovaDAX[[#This Row],[Qtt]],AL15-TbTradesNovaDAX[[#This Row],[Qtt]]),IF(TbTradesNovaDAX[[#This Row],[Tipo]]="BUY",AL15-TbTradesNovaDAX[[#This Row],[Qtt]]*TbTradesNovaDAX[[#This Row],[Preço]],AL15+TbTradesNovaDAX[[#This Row],[Qtt]]*TbTradesNovaDAX[[#This Row],[Preço]])),AL15)-IF(TbTradesNovaDAX[[#This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Row],[Tipo]]="DROP"),AL15+TbTradesNovaDAX[[#This Row],[Qtt]],AL15-TbTradesNovaDAX[[#This Row],[Qtt]]),IF(TbTradesNovaDAX[[#This Row],[Tipo]]="BUY",AL15-TbTradesNovaDAX[[#This Row],[Qtt]]*TbTradesNovaDAX[[#This Row],[Preço]],AL15+TbTradesNovaDAX[[#This Row],[Qtt]]*TbTradesNovaDAX[[#This Row],[Preço]])),AL15)-IF(TbTradesNovaDAX[[#This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Row],[Tipo]]="DROP"),AL15+TbTradesNovaDAX[[#This Row],[Qtt]],AL15-TbTradesNovaDAX[[#This Row],[Qtt]]),IF(TbTradesNovaDAX[[#This Row],[Tipo]]="BUY",AL15-TbTradesNovaDAX[[#This Row],[Qtt]]*TbTradesNovaDAX[[#This Row],[Preço]],AL15+TbTradesNovaDAX[[#This Row],[Qtt]]*TbTradesNovaDAX[[#This Row],[Preço]])),AL15)-IF(TbTradesNovaDAX[[#This Row],[Moeda da Taxa]]=MID(AL$1,9,5),TbTradesNovaDAX[[#This Row],[Taxa]],0),8)))</f>
        <v>1.15E-5</v>
      </c>
      <c r="AM16" s="50" cm="1">
        <f t="array" ref="AM16">IF(TbTradesNovaDAX[[#This Row],[Tipo]]="EMPTY",0,AM15+IF(TbTradesNovaDAX[[#This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Row],[Par]]))),$1:$1,0)),-(AL15-AL16)/AL15*AM15),0),0)+IF(TbTradesNovaDAX[[#This Row],[Tipo]]="SELL",IF(ISNUMBER(FIND(MID(AM$1,10,5),TbTradesNovaDAX[[#This Row],[Par]])),IF(FIND(MID(AM$1,10,5),TbTradesNovaDAX[[#This Row],[Par]])=1, -(AL15-AL16)/AL15*AM15,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Row],[Par]])),(-(AL15-AL16)/AL15*AM15)+IF(TbTradesNovaDAX[[#This Row],[Resultado]]&gt;0,0,TbTradesNovaDAX[[#This Row],[Taxa]]),0),0))</f>
        <v>7.1604349300216086E-3</v>
      </c>
      <c r="AN16" s="41">
        <f t="shared" si="8"/>
        <v>622.64651565405291</v>
      </c>
      <c r="AO16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Row],[Tipo]]="DROP"),AO15+TbTradesNovaDAX[[#This Row],[Qtt]],AO15-TbTradesNovaDAX[[#This Row],[Qtt]]),IF(TbTradesNovaDAX[[#This Row],[Tipo]]="BUY",AO15-TbTradesNovaDAX[[#This Row],[Qtt]]*TbTradesNovaDAX[[#This Row],[Preço]],AO15+TbTradesNovaDAX[[#This Row],[Qtt]]*TbTradesNovaDAX[[#This Row],[Preço]])),AO15)-IF(TbTradesNovaDAX[[#This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Row],[Tipo]]="DROP"),AO15+TbTradesNovaDAX[[#This Row],[Qtt]],AO15-TbTradesNovaDAX[[#This Row],[Qtt]]),IF(TbTradesNovaDAX[[#This Row],[Tipo]]="BUY",AO15-TbTradesNovaDAX[[#This Row],[Qtt]]*TbTradesNovaDAX[[#This Row],[Preço]],AO15+TbTradesNovaDAX[[#This Row],[Qtt]]*TbTradesNovaDAX[[#This Row],[Preço]])),AO15)-IF(TbTradesNovaDAX[[#This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Row],[Tipo]]="DROP"),AO15+TbTradesNovaDAX[[#This Row],[Qtt]],AO15-TbTradesNovaDAX[[#This Row],[Qtt]]),IF(TbTradesNovaDAX[[#This Row],[Tipo]]="BUY",AO15-TbTradesNovaDAX[[#This Row],[Qtt]]*TbTradesNovaDAX[[#This Row],[Preço]],AO15+TbTradesNovaDAX[[#This Row],[Qtt]]*TbTradesNovaDAX[[#This Row],[Preço]])),AO15)-IF(TbTradesNovaDAX[[#This Row],[Moeda da Taxa]]=MID(AO$1,9,5),TbTradesNovaDAX[[#This Row],[Taxa]],0),8)))</f>
        <v>0</v>
      </c>
      <c r="AP16" s="50" cm="1">
        <f t="array" ref="AP16">IF(TbTradesNovaDAX[[#This Row],[Tipo]]="EMPTY",0,AP15+IF(TbTradesNovaDAX[[#This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Row],[Par]]))),$1:$1,0)),-(AO15-AO16)/AO15*AP15),0),0)+IF(TbTradesNovaDAX[[#This Row],[Tipo]]="SELL",IF(ISNUMBER(FIND(MID(AP$1,10,5),TbTradesNovaDAX[[#This Row],[Par]])),IF(FIND(MID(AP$1,10,5),TbTradesNovaDAX[[#This Row],[Par]])=1, -(AO15-AO16)/AO15*AP15,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Row],[Par]])),(-(AO15-AO16)/AO15*AP15)+IF(TbTradesNovaDAX[[#This Row],[Resultado]]&gt;0,0,TbTradesNovaDAX[[#This Row],[Taxa]]),0),0))</f>
        <v>0</v>
      </c>
      <c r="AQ16" s="41">
        <f t="shared" si="9"/>
        <v>0</v>
      </c>
    </row>
    <row r="17" spans="2:43" x14ac:dyDescent="0.3">
      <c r="B17" s="65"/>
      <c r="C17" s="67">
        <f>TRUNC(IF(AND(TbTradesNovaDAX[[#This Row],[Tipo]]="SEND",TbTradesNovaDAX[[#This Row],[Par]]="BRL"),TbTradesNovaDAX[[#This Row],[Qtt]]*(1-P16)-IF(TbTradesNovaDAX[[#This Row],[Moeda da Taxa]]="BRL",TbTradesNovaDAX[[#This Row],[Taxa]],0),0)+IF(AND(TbTradesNovaDAX[[#This Row],[Tipo]]="BURN",TbTradesNovaDAX[[#This Row],[Par]]="BRL"),-TbTradesNovaDAX[[#This Row],[Qtt]]*P16,0),2)</f>
        <v>0</v>
      </c>
      <c r="D17" s="65">
        <v>44249.620474537034</v>
      </c>
      <c r="E17" s="77" t="s">
        <v>178</v>
      </c>
      <c r="F17" s="77" t="s">
        <v>139</v>
      </c>
      <c r="G17" s="78">
        <v>2.4150200000000001E-5</v>
      </c>
      <c r="H17" s="78">
        <v>16.420000000000002</v>
      </c>
      <c r="I17" s="78">
        <v>8.2100000000000006E-2</v>
      </c>
      <c r="J17" s="77" t="s">
        <v>53</v>
      </c>
      <c r="K17" s="75">
        <v>294000</v>
      </c>
      <c r="L17" s="67">
        <f t="shared" si="10"/>
        <v>7.1</v>
      </c>
      <c r="M17" s="67">
        <f>IF(OR(TbTradesNovaDAX[[#This Row],[Tipo]]="BUY",TbTradesNovaDAX[[#This Row],[Tipo]]="RECEIVE"),L17*H17,-L17*H17)</f>
        <v>116.58200000000001</v>
      </c>
      <c r="N17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Row],[Tipo]]="DROP"),N16+TbTradesNovaDAX[[#This Row],[Qtt]],N16-TbTradesNovaDAX[[#This Row],[Qtt]]),IF(TbTradesNovaDAX[[#This Row],[Tipo]]="BUY",N16-TbTradesNovaDAX[[#This Row],[Qtt]]*TbTradesNovaDAX[[#This Row],[Preço]],N16+TbTradesNovaDAX[[#This Row],[Qtt]]*TbTradesNovaDAX[[#This Row],[Preço]])),N16)-IF(TbTradesNovaDAX[[#This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Row],[Tipo]]="DROP"),N16+TbTradesNovaDAX[[#This Row],[Qtt]],N16-TbTradesNovaDAX[[#This Row],[Qtt]]),IF(TbTradesNovaDAX[[#This Row],[Tipo]]="BUY",N16-TbTradesNovaDAX[[#This Row],[Qtt]]*TbTradesNovaDAX[[#This Row],[Preço]],N16+TbTradesNovaDAX[[#This Row],[Qtt]]*TbTradesNovaDAX[[#This Row],[Preço]])),N16)-IF(TbTradesNovaDAX[[#This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Row],[Tipo]]="DROP"),N16+TbTradesNovaDAX[[#This Row],[Qtt]],N16-TbTradesNovaDAX[[#This Row],[Qtt]]),IF(TbTradesNovaDAX[[#This Row],[Tipo]]="BUY",N16-TbTradesNovaDAX[[#This Row],[Qtt]]*TbTradesNovaDAX[[#This Row],[Preço]],N16+TbTradesNovaDAX[[#This Row],[Qtt]]*TbTradesNovaDAX[[#This Row],[Preço]])),N16)-IF(TbTradesNovaDAX[[#This Row],[Moeda da Taxa]]=MID(N$1,9,5),TbTradesNovaDAX[[#This Row],[Taxa]],0),8)))</f>
        <v>118.70975204</v>
      </c>
      <c r="O17" s="50" cm="1">
        <f t="array" ref="O17">IF(TbTradesNovaDAX[[#This Row],[Tipo]]="EMPTY",0,O16+IF(TbTradesNovaDAX[[#This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Row],[Par]]))),$1:$1,0)),-(N16-N17)/N16*O16),0),0)+IF(TbTradesNovaDAX[[#This Row],[Tipo]]="SELL",IF(ISNUMBER(FIND(MID(O$1,10,5),TbTradesNovaDAX[[#This Row],[Par]])),IF(FIND(MID(O$1,10,5),TbTradesNovaDAX[[#This Row],[Par]])=1, -(N16-N17)/N16*O16,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Row],[Par]])),(-(N16-N17)/N16*O16)+IF(TbTradesNovaDAX[[#This Row],[Resultado]]&gt;0,0,TbTradesNovaDAX[[#This Row],[Taxa]]),0),0))</f>
        <v>98.438918775881575</v>
      </c>
      <c r="P17" s="41">
        <f t="shared" si="0"/>
        <v>0.82924037060335165</v>
      </c>
      <c r="Q17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Row],[Tipo]]="DROP"),Q16+TbTradesNovaDAX[[#This Row],[Qtt]],Q16-TbTradesNovaDAX[[#This Row],[Qtt]]),IF(TbTradesNovaDAX[[#This Row],[Tipo]]="BUY",Q16-TbTradesNovaDAX[[#This Row],[Qtt]]*TbTradesNovaDAX[[#This Row],[Preço]],Q16+TbTradesNovaDAX[[#This Row],[Qtt]]*TbTradesNovaDAX[[#This Row],[Preço]])),Q16)-IF(TbTradesNovaDAX[[#This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Row],[Tipo]]="DROP"),Q16+TbTradesNovaDAX[[#This Row],[Qtt]],Q16-TbTradesNovaDAX[[#This Row],[Qtt]]),IF(TbTradesNovaDAX[[#This Row],[Tipo]]="BUY",Q16-TbTradesNovaDAX[[#This Row],[Qtt]]*TbTradesNovaDAX[[#This Row],[Preço]],Q16+TbTradesNovaDAX[[#This Row],[Qtt]]*TbTradesNovaDAX[[#This Row],[Preço]])),Q16)-IF(TbTradesNovaDAX[[#This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Row],[Tipo]]="DROP"),Q16+TbTradesNovaDAX[[#This Row],[Qtt]],Q16-TbTradesNovaDAX[[#This Row],[Qtt]]),IF(TbTradesNovaDAX[[#This Row],[Tipo]]="BUY",Q16-TbTradesNovaDAX[[#This Row],[Qtt]]*TbTradesNovaDAX[[#This Row],[Preço]],Q16+TbTradesNovaDAX[[#This Row],[Qtt]]*TbTradesNovaDAX[[#This Row],[Preço]])),Q16)-IF(TbTradesNovaDAX[[#This Row],[Moeda da Taxa]]=MID(Q$1,9,5),TbTradesNovaDAX[[#This Row],[Taxa]],0),8)))</f>
        <v>0</v>
      </c>
      <c r="R17" s="50" cm="1">
        <f t="array" ref="R17">IF(TbTradesNovaDAX[[#This Row],[Tipo]]="EMPTY",0,R16+IF(TbTradesNovaDAX[[#This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Row],[Par]]))),$1:$1,0)),-(Q16-Q17)/Q16*R16),0),0)+IF(TbTradesNovaDAX[[#This Row],[Tipo]]="SELL",IF(ISNUMBER(FIND(MID(R$1,10,5),TbTradesNovaDAX[[#This Row],[Par]])),IF(FIND(MID(R$1,10,5),TbTradesNovaDAX[[#This Row],[Par]])=1, -(Q16-Q17)/Q16*R16,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Row],[Par]])),(-(Q16-Q17)/Q16*R16)+IF(TbTradesNovaDAX[[#This Row],[Resultado]]&gt;0,0,TbTradesNovaDAX[[#This Row],[Taxa]]),0),0))</f>
        <v>0</v>
      </c>
      <c r="S17" s="41">
        <f t="shared" si="1"/>
        <v>0</v>
      </c>
      <c r="T17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Row],[Tipo]]="DROP"),T16+TbTradesNovaDAX[[#This Row],[Qtt]],T16-TbTradesNovaDAX[[#This Row],[Qtt]]),IF(TbTradesNovaDAX[[#This Row],[Tipo]]="BUY",T16-TbTradesNovaDAX[[#This Row],[Qtt]]*TbTradesNovaDAX[[#This Row],[Preço]],T16+TbTradesNovaDAX[[#This Row],[Qtt]]*TbTradesNovaDAX[[#This Row],[Preço]])),T16)-IF(TbTradesNovaDAX[[#This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Row],[Tipo]]="DROP"),T16+TbTradesNovaDAX[[#This Row],[Qtt]],T16-TbTradesNovaDAX[[#This Row],[Qtt]]),IF(TbTradesNovaDAX[[#This Row],[Tipo]]="BUY",T16-TbTradesNovaDAX[[#This Row],[Qtt]]*TbTradesNovaDAX[[#This Row],[Preço]],T16+TbTradesNovaDAX[[#This Row],[Qtt]]*TbTradesNovaDAX[[#This Row],[Preço]])),T16)-IF(TbTradesNovaDAX[[#This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Row],[Tipo]]="DROP"),T16+TbTradesNovaDAX[[#This Row],[Qtt]],T16-TbTradesNovaDAX[[#This Row],[Qtt]]),IF(TbTradesNovaDAX[[#This Row],[Tipo]]="BUY",T16-TbTradesNovaDAX[[#This Row],[Qtt]]*TbTradesNovaDAX[[#This Row],[Preço]],T16+TbTradesNovaDAX[[#This Row],[Qtt]]*TbTradesNovaDAX[[#This Row],[Preço]])),T16)-IF(TbTradesNovaDAX[[#This Row],[Moeda da Taxa]]=MID(T$1,9,5),TbTradesNovaDAX[[#This Row],[Taxa]],0),8)))</f>
        <v>1.3E-7</v>
      </c>
      <c r="U17" s="50" cm="1">
        <f t="array" ref="U17">IF(TbTradesNovaDAX[[#This Row],[Tipo]]="EMPTY",0,U16+IF(TbTradesNovaDAX[[#This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Row],[Par]]))),$1:$1,0)),-(T16-T17)/T16*U16),0),0)+IF(TbTradesNovaDAX[[#This Row],[Tipo]]="SELL",IF(ISNUMBER(FIND(MID(U$1,10,5),TbTradesNovaDAX[[#This Row],[Par]])),IF(FIND(MID(U$1,10,5),TbTradesNovaDAX[[#This Row],[Par]])=1, -(T16-T17)/T16*U16,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Row],[Par]])),(-(T16-T17)/T16*U16)+IF(TbTradesNovaDAX[[#This Row],[Resultado]]&gt;0,0,TbTradesNovaDAX[[#This Row],[Taxa]]),0),0))</f>
        <v>3.2941539001242859E-2</v>
      </c>
      <c r="V17" s="41">
        <f t="shared" si="2"/>
        <v>253396.4538557143</v>
      </c>
      <c r="W17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Row],[Tipo]]="DROP"),W16+TbTradesNovaDAX[[#This Row],[Qtt]],W16-TbTradesNovaDAX[[#This Row],[Qtt]]),IF(TbTradesNovaDAX[[#This Row],[Tipo]]="BUY",W16-TbTradesNovaDAX[[#This Row],[Qtt]]*TbTradesNovaDAX[[#This Row],[Preço]],W16+TbTradesNovaDAX[[#This Row],[Qtt]]*TbTradesNovaDAX[[#This Row],[Preço]])),W16)-IF(TbTradesNovaDAX[[#This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Row],[Tipo]]="DROP"),W16+TbTradesNovaDAX[[#This Row],[Qtt]],W16-TbTradesNovaDAX[[#This Row],[Qtt]]),IF(TbTradesNovaDAX[[#This Row],[Tipo]]="BUY",W16-TbTradesNovaDAX[[#This Row],[Qtt]]*TbTradesNovaDAX[[#This Row],[Preço]],W16+TbTradesNovaDAX[[#This Row],[Qtt]]*TbTradesNovaDAX[[#This Row],[Preço]])),W16)-IF(TbTradesNovaDAX[[#This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Row],[Tipo]]="DROP"),W16+TbTradesNovaDAX[[#This Row],[Qtt]],W16-TbTradesNovaDAX[[#This Row],[Qtt]]),IF(TbTradesNovaDAX[[#This Row],[Tipo]]="BUY",W16-TbTradesNovaDAX[[#This Row],[Qtt]]*TbTradesNovaDAX[[#This Row],[Preço]],W16+TbTradesNovaDAX[[#This Row],[Qtt]]*TbTradesNovaDAX[[#This Row],[Preço]])),W16)-IF(TbTradesNovaDAX[[#This Row],[Moeda da Taxa]]=MID(W$1,9,5),TbTradesNovaDAX[[#This Row],[Taxa]],0),8)))</f>
        <v>9.9773099999999997E-3</v>
      </c>
      <c r="X17" s="50" cm="1">
        <f t="array" ref="X17">IF(TbTradesNovaDAX[[#This Row],[Tipo]]="EMPTY",0,X16+IF(TbTradesNovaDAX[[#This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Row],[Par]]))),$1:$1,0)),-(W16-W17)/W16*X16),0),0)+IF(TbTradesNovaDAX[[#This Row],[Tipo]]="SELL",IF(ISNUMBER(FIND(MID(X$1,10,5),TbTradesNovaDAX[[#This Row],[Par]])),IF(FIND(MID(X$1,10,5),TbTradesNovaDAX[[#This Row],[Par]])=1, -(W16-W17)/W16*X16,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Row],[Par]])),(-(W16-W17)/W16*X16)+IF(TbTradesNovaDAX[[#This Row],[Resultado]]&gt;0,0,TbTradesNovaDAX[[#This Row],[Taxa]]),0),0))</f>
        <v>100.51735394577578</v>
      </c>
      <c r="Y17" s="41">
        <f t="shared" si="3"/>
        <v>10074.594649838062</v>
      </c>
      <c r="Z17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Row],[Tipo]]="DROP"),Z16+TbTradesNovaDAX[[#This Row],[Qtt]],Z16-TbTradesNovaDAX[[#This Row],[Qtt]]),IF(TbTradesNovaDAX[[#This Row],[Tipo]]="BUY",Z16-TbTradesNovaDAX[[#This Row],[Qtt]]*TbTradesNovaDAX[[#This Row],[Preço]],Z16+TbTradesNovaDAX[[#This Row],[Qtt]]*TbTradesNovaDAX[[#This Row],[Preço]])),Z16)-IF(TbTradesNovaDAX[[#This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Row],[Tipo]]="DROP"),Z16+TbTradesNovaDAX[[#This Row],[Qtt]],Z16-TbTradesNovaDAX[[#This Row],[Qtt]]),IF(TbTradesNovaDAX[[#This Row],[Tipo]]="BUY",Z16-TbTradesNovaDAX[[#This Row],[Qtt]]*TbTradesNovaDAX[[#This Row],[Preço]],Z16+TbTradesNovaDAX[[#This Row],[Qtt]]*TbTradesNovaDAX[[#This Row],[Preço]])),Z16)-IF(TbTradesNovaDAX[[#This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Row],[Tipo]]="DROP"),Z16+TbTradesNovaDAX[[#This Row],[Qtt]],Z16-TbTradesNovaDAX[[#This Row],[Qtt]]),IF(TbTradesNovaDAX[[#This Row],[Tipo]]="BUY",Z16-TbTradesNovaDAX[[#This Row],[Qtt]]*TbTradesNovaDAX[[#This Row],[Preço]],Z16+TbTradesNovaDAX[[#This Row],[Qtt]]*TbTradesNovaDAX[[#This Row],[Preço]])),Z16)-IF(TbTradesNovaDAX[[#This Row],[Moeda da Taxa]]=MID(Z$1,9,5),TbTradesNovaDAX[[#This Row],[Taxa]],0),8)))</f>
        <v>3.7580429999999998E-2</v>
      </c>
      <c r="AA17" s="50" cm="1">
        <f t="array" ref="AA17">IF(TbTradesNovaDAX[[#This Row],[Tipo]]="EMPTY",0,AA16+IF(TbTradesNovaDAX[[#This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Row],[Par]]))),$1:$1,0)),-(Z16-Z17)/Z16*AA16),0),0)+IF(TbTradesNovaDAX[[#This Row],[Tipo]]="SELL",IF(ISNUMBER(FIND(MID(AA$1,10,5),TbTradesNovaDAX[[#This Row],[Par]])),IF(FIND(MID(AA$1,10,5),TbTradesNovaDAX[[#This Row],[Par]])=1, -(Z16-Z17)/Z16*AA16,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Row],[Par]])),(-(Z16-Z17)/Z16*AA16)+IF(TbTradesNovaDAX[[#This Row],[Resultado]]&gt;0,0,TbTradesNovaDAX[[#This Row],[Taxa]]),0),0))</f>
        <v>126.9172720794277</v>
      </c>
      <c r="AB17" s="41">
        <f t="shared" si="4"/>
        <v>3377.2171334768577</v>
      </c>
      <c r="AC17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Row],[Tipo]]="DROP"),AC16+TbTradesNovaDAX[[#This Row],[Qtt]],AC16-TbTradesNovaDAX[[#This Row],[Qtt]]),IF(TbTradesNovaDAX[[#This Row],[Tipo]]="BUY",AC16-TbTradesNovaDAX[[#This Row],[Qtt]]*TbTradesNovaDAX[[#This Row],[Preço]],AC16+TbTradesNovaDAX[[#This Row],[Qtt]]*TbTradesNovaDAX[[#This Row],[Preço]])),AC16)-IF(TbTradesNovaDAX[[#This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Row],[Tipo]]="DROP"),AC16+TbTradesNovaDAX[[#This Row],[Qtt]],AC16-TbTradesNovaDAX[[#This Row],[Qtt]]),IF(TbTradesNovaDAX[[#This Row],[Tipo]]="BUY",AC16-TbTradesNovaDAX[[#This Row],[Qtt]]*TbTradesNovaDAX[[#This Row],[Preço]],AC16+TbTradesNovaDAX[[#This Row],[Qtt]]*TbTradesNovaDAX[[#This Row],[Preço]])),AC16)-IF(TbTradesNovaDAX[[#This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Row],[Tipo]]="DROP"),AC16+TbTradesNovaDAX[[#This Row],[Qtt]],AC16-TbTradesNovaDAX[[#This Row],[Qtt]]),IF(TbTradesNovaDAX[[#This Row],[Tipo]]="BUY",AC16-TbTradesNovaDAX[[#This Row],[Qtt]]*TbTradesNovaDAX[[#This Row],[Preço]],AC16+TbTradesNovaDAX[[#This Row],[Qtt]]*TbTradesNovaDAX[[#This Row],[Preço]])),AC16)-IF(TbTradesNovaDAX[[#This Row],[Moeda da Taxa]]=MID(AC$1,9,5),TbTradesNovaDAX[[#This Row],[Taxa]],0),8)))</f>
        <v>0.36715500000000001</v>
      </c>
      <c r="AD17" s="50" cm="1">
        <f t="array" ref="AD17">IF(TbTradesNovaDAX[[#This Row],[Tipo]]="EMPTY",0,AD16+IF(TbTradesNovaDAX[[#This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Row],[Par]]))),$1:$1,0)),-(AC16-AC17)/AC16*AD16),0),0)+IF(TbTradesNovaDAX[[#This Row],[Tipo]]="SELL",IF(ISNUMBER(FIND(MID(AD$1,10,5),TbTradesNovaDAX[[#This Row],[Par]])),IF(FIND(MID(AD$1,10,5),TbTradesNovaDAX[[#This Row],[Par]])=1, -(AC16-AC17)/AC16*AD16,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Row],[Par]])),(-(AC16-AC17)/AC16*AD16)+IF(TbTradesNovaDAX[[#This Row],[Resultado]]&gt;0,0,TbTradesNovaDAX[[#This Row],[Taxa]]),0),0))</f>
        <v>39.600009900000003</v>
      </c>
      <c r="AE17" s="41">
        <f t="shared" si="5"/>
        <v>107.85638190954775</v>
      </c>
      <c r="AF17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Row],[Tipo]]="DROP"),AF16+TbTradesNovaDAX[[#This Row],[Qtt]],AF16-TbTradesNovaDAX[[#This Row],[Qtt]]),IF(TbTradesNovaDAX[[#This Row],[Tipo]]="BUY",AF16-TbTradesNovaDAX[[#This Row],[Qtt]]*TbTradesNovaDAX[[#This Row],[Preço]],AF16+TbTradesNovaDAX[[#This Row],[Qtt]]*TbTradesNovaDAX[[#This Row],[Preço]])),AF16)-IF(TbTradesNovaDAX[[#This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Row],[Tipo]]="DROP"),AF16+TbTradesNovaDAX[[#This Row],[Qtt]],AF16-TbTradesNovaDAX[[#This Row],[Qtt]]),IF(TbTradesNovaDAX[[#This Row],[Tipo]]="BUY",AF16-TbTradesNovaDAX[[#This Row],[Qtt]]*TbTradesNovaDAX[[#This Row],[Preço]],AF16+TbTradesNovaDAX[[#This Row],[Qtt]]*TbTradesNovaDAX[[#This Row],[Preço]])),AF16)-IF(TbTradesNovaDAX[[#This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Row],[Tipo]]="DROP"),AF16+TbTradesNovaDAX[[#This Row],[Qtt]],AF16-TbTradesNovaDAX[[#This Row],[Qtt]]),IF(TbTradesNovaDAX[[#This Row],[Tipo]]="BUY",AF16-TbTradesNovaDAX[[#This Row],[Qtt]]*TbTradesNovaDAX[[#This Row],[Preço]],AF16+TbTradesNovaDAX[[#This Row],[Qtt]]*TbTradesNovaDAX[[#This Row],[Preço]])),AF16)-IF(TbTradesNovaDAX[[#This Row],[Moeda da Taxa]]=MID(AF$1,9,5),TbTradesNovaDAX[[#This Row],[Taxa]],0),8)))</f>
        <v>1.649E-5</v>
      </c>
      <c r="AG17" s="50" cm="1">
        <f t="array" ref="AG17">IF(TbTradesNovaDAX[[#This Row],[Tipo]]="EMPTY",0,AG16+IF(TbTradesNovaDAX[[#This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Row],[Par]]))),$1:$1,0)),-(AF16-AF17)/AF16*AG16),0),0)+IF(TbTradesNovaDAX[[#This Row],[Tipo]]="SELL",IF(ISNUMBER(FIND(MID(AG$1,10,5),TbTradesNovaDAX[[#This Row],[Par]])),IF(FIND(MID(AG$1,10,5),TbTradesNovaDAX[[#This Row],[Par]])=1, -(AF16-AF17)/AF16*AG16,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Row],[Par]])),(-(AF16-AF17)/AF16*AG16)+IF(TbTradesNovaDAX[[#This Row],[Resultado]]&gt;0,0,TbTradesNovaDAX[[#This Row],[Taxa]]),0),0))</f>
        <v>1.4694429588004709E-3</v>
      </c>
      <c r="AH17" s="41">
        <f t="shared" si="6"/>
        <v>89.111155779288723</v>
      </c>
      <c r="AI17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Row],[Tipo]]="DROP"),AI16+TbTradesNovaDAX[[#This Row],[Qtt]],AI16-TbTradesNovaDAX[[#This Row],[Qtt]]),IF(TbTradesNovaDAX[[#This Row],[Tipo]]="BUY",AI16-TbTradesNovaDAX[[#This Row],[Qtt]]*TbTradesNovaDAX[[#This Row],[Preço]],AI16+TbTradesNovaDAX[[#This Row],[Qtt]]*TbTradesNovaDAX[[#This Row],[Preço]])),AI16)-IF(TbTradesNovaDAX[[#This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Row],[Tipo]]="DROP"),AI16+TbTradesNovaDAX[[#This Row],[Qtt]],AI16-TbTradesNovaDAX[[#This Row],[Qtt]]),IF(TbTradesNovaDAX[[#This Row],[Tipo]]="BUY",AI16-TbTradesNovaDAX[[#This Row],[Qtt]]*TbTradesNovaDAX[[#This Row],[Preço]],AI16+TbTradesNovaDAX[[#This Row],[Qtt]]*TbTradesNovaDAX[[#This Row],[Preço]])),AI16)-IF(TbTradesNovaDAX[[#This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Row],[Tipo]]="DROP"),AI16+TbTradesNovaDAX[[#This Row],[Qtt]],AI16-TbTradesNovaDAX[[#This Row],[Qtt]]),IF(TbTradesNovaDAX[[#This Row],[Tipo]]="BUY",AI16-TbTradesNovaDAX[[#This Row],[Qtt]]*TbTradesNovaDAX[[#This Row],[Preço]],AI16+TbTradesNovaDAX[[#This Row],[Qtt]]*TbTradesNovaDAX[[#This Row],[Preço]])),AI16)-IF(TbTradesNovaDAX[[#This Row],[Moeda da Taxa]]=MID(AI$1,9,5),TbTradesNovaDAX[[#This Row],[Taxa]],0),8)))</f>
        <v>16.337976999999999</v>
      </c>
      <c r="AJ17" s="50" cm="1">
        <f t="array" ref="AJ17">IF(TbTradesNovaDAX[[#This Row],[Tipo]]="EMPTY",0,AJ16+IF(TbTradesNovaDAX[[#This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Row],[Par]]))),$1:$1,0)),-(AI16-AI17)/AI16*AJ16),0),0)+IF(TbTradesNovaDAX[[#This Row],[Tipo]]="SELL",IF(ISNUMBER(FIND(MID(AJ$1,10,5),TbTradesNovaDAX[[#This Row],[Par]])),IF(FIND(MID(AJ$1,10,5),TbTradesNovaDAX[[#This Row],[Par]])=1, -(AI16-AI17)/AI16*AJ16,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Row],[Par]])),(-(AI16-AI17)/AI16*AJ16)+IF(TbTradesNovaDAX[[#This Row],[Resultado]]&gt;0,0,TbTradesNovaDAX[[#This Row],[Taxa]]),0),0))</f>
        <v>100.48487388202484</v>
      </c>
      <c r="AK17" s="41">
        <f t="shared" si="7"/>
        <v>6.1503865430845481</v>
      </c>
      <c r="AL17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Row],[Tipo]]="DROP"),AL16+TbTradesNovaDAX[[#This Row],[Qtt]],AL16-TbTradesNovaDAX[[#This Row],[Qtt]]),IF(TbTradesNovaDAX[[#This Row],[Tipo]]="BUY",AL16-TbTradesNovaDAX[[#This Row],[Qtt]]*TbTradesNovaDAX[[#This Row],[Preço]],AL16+TbTradesNovaDAX[[#This Row],[Qtt]]*TbTradesNovaDAX[[#This Row],[Preço]])),AL16)-IF(TbTradesNovaDAX[[#This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Row],[Tipo]]="DROP"),AL16+TbTradesNovaDAX[[#This Row],[Qtt]],AL16-TbTradesNovaDAX[[#This Row],[Qtt]]),IF(TbTradesNovaDAX[[#This Row],[Tipo]]="BUY",AL16-TbTradesNovaDAX[[#This Row],[Qtt]]*TbTradesNovaDAX[[#This Row],[Preço]],AL16+TbTradesNovaDAX[[#This Row],[Qtt]]*TbTradesNovaDAX[[#This Row],[Preço]])),AL16)-IF(TbTradesNovaDAX[[#This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Row],[Tipo]]="DROP"),AL16+TbTradesNovaDAX[[#This Row],[Qtt]],AL16-TbTradesNovaDAX[[#This Row],[Qtt]]),IF(TbTradesNovaDAX[[#This Row],[Tipo]]="BUY",AL16-TbTradesNovaDAX[[#This Row],[Qtt]]*TbTradesNovaDAX[[#This Row],[Preço]],AL16+TbTradesNovaDAX[[#This Row],[Qtt]]*TbTradesNovaDAX[[#This Row],[Preço]])),AL16)-IF(TbTradesNovaDAX[[#This Row],[Moeda da Taxa]]=MID(AL$1,9,5),TbTradesNovaDAX[[#This Row],[Taxa]],0),8)))</f>
        <v>1.15E-5</v>
      </c>
      <c r="AM17" s="50" cm="1">
        <f t="array" ref="AM17">IF(TbTradesNovaDAX[[#This Row],[Tipo]]="EMPTY",0,AM16+IF(TbTradesNovaDAX[[#This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Row],[Par]]))),$1:$1,0)),-(AL16-AL17)/AL16*AM16),0),0)+IF(TbTradesNovaDAX[[#This Row],[Tipo]]="SELL",IF(ISNUMBER(FIND(MID(AM$1,10,5),TbTradesNovaDAX[[#This Row],[Par]])),IF(FIND(MID(AM$1,10,5),TbTradesNovaDAX[[#This Row],[Par]])=1, -(AL16-AL17)/AL16*AM16,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Row],[Par]])),(-(AL16-AL17)/AL16*AM16)+IF(TbTradesNovaDAX[[#This Row],[Resultado]]&gt;0,0,TbTradesNovaDAX[[#This Row],[Taxa]]),0),0))</f>
        <v>7.1604349300216086E-3</v>
      </c>
      <c r="AN17" s="41">
        <f t="shared" si="8"/>
        <v>622.64651565405291</v>
      </c>
      <c r="AO17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Row],[Tipo]]="DROP"),AO16+TbTradesNovaDAX[[#This Row],[Qtt]],AO16-TbTradesNovaDAX[[#This Row],[Qtt]]),IF(TbTradesNovaDAX[[#This Row],[Tipo]]="BUY",AO16-TbTradesNovaDAX[[#This Row],[Qtt]]*TbTradesNovaDAX[[#This Row],[Preço]],AO16+TbTradesNovaDAX[[#This Row],[Qtt]]*TbTradesNovaDAX[[#This Row],[Preço]])),AO16)-IF(TbTradesNovaDAX[[#This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Row],[Tipo]]="DROP"),AO16+TbTradesNovaDAX[[#This Row],[Qtt]],AO16-TbTradesNovaDAX[[#This Row],[Qtt]]),IF(TbTradesNovaDAX[[#This Row],[Tipo]]="BUY",AO16-TbTradesNovaDAX[[#This Row],[Qtt]]*TbTradesNovaDAX[[#This Row],[Preço]],AO16+TbTradesNovaDAX[[#This Row],[Qtt]]*TbTradesNovaDAX[[#This Row],[Preço]])),AO16)-IF(TbTradesNovaDAX[[#This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Row],[Tipo]]="DROP"),AO16+TbTradesNovaDAX[[#This Row],[Qtt]],AO16-TbTradesNovaDAX[[#This Row],[Qtt]]),IF(TbTradesNovaDAX[[#This Row],[Tipo]]="BUY",AO16-TbTradesNovaDAX[[#This Row],[Qtt]]*TbTradesNovaDAX[[#This Row],[Preço]],AO16+TbTradesNovaDAX[[#This Row],[Qtt]]*TbTradesNovaDAX[[#This Row],[Preço]])),AO16)-IF(TbTradesNovaDAX[[#This Row],[Moeda da Taxa]]=MID(AO$1,9,5),TbTradesNovaDAX[[#This Row],[Taxa]],0),8)))</f>
        <v>0</v>
      </c>
      <c r="AP17" s="50" cm="1">
        <f t="array" ref="AP17">IF(TbTradesNovaDAX[[#This Row],[Tipo]]="EMPTY",0,AP16+IF(TbTradesNovaDAX[[#This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Row],[Par]]))),$1:$1,0)),-(AO16-AO17)/AO16*AP16),0),0)+IF(TbTradesNovaDAX[[#This Row],[Tipo]]="SELL",IF(ISNUMBER(FIND(MID(AP$1,10,5),TbTradesNovaDAX[[#This Row],[Par]])),IF(FIND(MID(AP$1,10,5),TbTradesNovaDAX[[#This Row],[Par]])=1, -(AO16-AO17)/AO16*AP16,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Row],[Par]])),(-(AO16-AO17)/AO16*AP16)+IF(TbTradesNovaDAX[[#This Row],[Resultado]]&gt;0,0,TbTradesNovaDAX[[#This Row],[Taxa]]),0),0))</f>
        <v>0</v>
      </c>
      <c r="AQ17" s="41">
        <f t="shared" si="9"/>
        <v>0</v>
      </c>
    </row>
    <row r="18" spans="2:43" x14ac:dyDescent="0.3">
      <c r="B18" s="65"/>
      <c r="C18" s="67">
        <f>TRUNC(IF(AND(TbTradesNovaDAX[[#This Row],[Tipo]]="SEND",TbTradesNovaDAX[[#This Row],[Par]]="BRL"),TbTradesNovaDAX[[#This Row],[Qtt]]*(1-P17)-IF(TbTradesNovaDAX[[#This Row],[Moeda da Taxa]]="BRL",TbTradesNovaDAX[[#This Row],[Taxa]],0),0)+IF(AND(TbTradesNovaDAX[[#This Row],[Tipo]]="BURN",TbTradesNovaDAX[[#This Row],[Par]]="BRL"),-TbTradesNovaDAX[[#This Row],[Qtt]]*P17,0),2)</f>
        <v>0</v>
      </c>
      <c r="D18" s="65">
        <v>44249.620659722219</v>
      </c>
      <c r="E18" s="77" t="s">
        <v>175</v>
      </c>
      <c r="F18" s="77" t="s">
        <v>140</v>
      </c>
      <c r="G18" s="78">
        <v>7.1025</v>
      </c>
      <c r="H18" s="78">
        <v>16.337900000000001</v>
      </c>
      <c r="I18" s="78">
        <v>0.59</v>
      </c>
      <c r="J18" s="77" t="s">
        <v>50</v>
      </c>
      <c r="K18" s="75">
        <v>1</v>
      </c>
      <c r="L18" s="67">
        <f t="shared" si="10"/>
        <v>7.1</v>
      </c>
      <c r="M18" s="67">
        <f>IF(OR(TbTradesNovaDAX[[#This Row],[Tipo]]="BUY",TbTradesNovaDAX[[#This Row],[Tipo]]="RECEIVE"),L18*H18,-L18*H18)</f>
        <v>-115.99909000000001</v>
      </c>
      <c r="N18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Row],[Tipo]]="DROP"),N17+TbTradesNovaDAX[[#This Row],[Qtt]],N17-TbTradesNovaDAX[[#This Row],[Qtt]]),IF(TbTradesNovaDAX[[#This Row],[Tipo]]="BUY",N17-TbTradesNovaDAX[[#This Row],[Qtt]]*TbTradesNovaDAX[[#This Row],[Preço]],N17+TbTradesNovaDAX[[#This Row],[Qtt]]*TbTradesNovaDAX[[#This Row],[Preço]])),N17)-IF(TbTradesNovaDAX[[#This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Row],[Tipo]]="DROP"),N17+TbTradesNovaDAX[[#This Row],[Qtt]],N17-TbTradesNovaDAX[[#This Row],[Qtt]]),IF(TbTradesNovaDAX[[#This Row],[Tipo]]="BUY",N17-TbTradesNovaDAX[[#This Row],[Qtt]]*TbTradesNovaDAX[[#This Row],[Preço]],N17+TbTradesNovaDAX[[#This Row],[Qtt]]*TbTradesNovaDAX[[#This Row],[Preço]])),N17)-IF(TbTradesNovaDAX[[#This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Row],[Tipo]]="DROP"),N17+TbTradesNovaDAX[[#This Row],[Qtt]],N17-TbTradesNovaDAX[[#This Row],[Qtt]]),IF(TbTradesNovaDAX[[#This Row],[Tipo]]="BUY",N17-TbTradesNovaDAX[[#This Row],[Qtt]]*TbTradesNovaDAX[[#This Row],[Preço]],N17+TbTradesNovaDAX[[#This Row],[Qtt]]*TbTradesNovaDAX[[#This Row],[Preço]])),N17)-IF(TbTradesNovaDAX[[#This Row],[Moeda da Taxa]]=MID(N$1,9,5),TbTradesNovaDAX[[#This Row],[Taxa]],0),8)))</f>
        <v>234.15968678999999</v>
      </c>
      <c r="O18" s="50" cm="1">
        <f t="array" ref="O18">IF(TbTradesNovaDAX[[#This Row],[Tipo]]="EMPTY",0,O17+IF(TbTradesNovaDAX[[#This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Row],[Par]]))),$1:$1,0)),-(N17-N18)/N17*O17),0),0)+IF(TbTradesNovaDAX[[#This Row],[Tipo]]="SELL",IF(ISNUMBER(FIND(MID(O$1,10,5),TbTradesNovaDAX[[#This Row],[Par]])),IF(FIND(MID(O$1,10,5),TbTradesNovaDAX[[#This Row],[Par]])=1, -(N17-N18)/N17*O17,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Row],[Par]])),(-(N17-N18)/N17*O17)+IF(TbTradesNovaDAX[[#This Row],[Resultado]]&gt;0,0,TbTradesNovaDAX[[#This Row],[Taxa]]),0),0))</f>
        <v>198.92331913964648</v>
      </c>
      <c r="P18" s="41">
        <f t="shared" si="0"/>
        <v>0.84951992320542202</v>
      </c>
      <c r="Q18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Row],[Tipo]]="DROP"),Q17+TbTradesNovaDAX[[#This Row],[Qtt]],Q17-TbTradesNovaDAX[[#This Row],[Qtt]]),IF(TbTradesNovaDAX[[#This Row],[Tipo]]="BUY",Q17-TbTradesNovaDAX[[#This Row],[Qtt]]*TbTradesNovaDAX[[#This Row],[Preço]],Q17+TbTradesNovaDAX[[#This Row],[Qtt]]*TbTradesNovaDAX[[#This Row],[Preço]])),Q17)-IF(TbTradesNovaDAX[[#This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Row],[Tipo]]="DROP"),Q17+TbTradesNovaDAX[[#This Row],[Qtt]],Q17-TbTradesNovaDAX[[#This Row],[Qtt]]),IF(TbTradesNovaDAX[[#This Row],[Tipo]]="BUY",Q17-TbTradesNovaDAX[[#This Row],[Qtt]]*TbTradesNovaDAX[[#This Row],[Preço]],Q17+TbTradesNovaDAX[[#This Row],[Qtt]]*TbTradesNovaDAX[[#This Row],[Preço]])),Q17)-IF(TbTradesNovaDAX[[#This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Row],[Tipo]]="DROP"),Q17+TbTradesNovaDAX[[#This Row],[Qtt]],Q17-TbTradesNovaDAX[[#This Row],[Qtt]]),IF(TbTradesNovaDAX[[#This Row],[Tipo]]="BUY",Q17-TbTradesNovaDAX[[#This Row],[Qtt]]*TbTradesNovaDAX[[#This Row],[Preço]],Q17+TbTradesNovaDAX[[#This Row],[Qtt]]*TbTradesNovaDAX[[#This Row],[Preço]])),Q17)-IF(TbTradesNovaDAX[[#This Row],[Moeda da Taxa]]=MID(Q$1,9,5),TbTradesNovaDAX[[#This Row],[Taxa]],0),8)))</f>
        <v>0</v>
      </c>
      <c r="R18" s="50" cm="1">
        <f t="array" ref="R18">IF(TbTradesNovaDAX[[#This Row],[Tipo]]="EMPTY",0,R17+IF(TbTradesNovaDAX[[#This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Row],[Par]]))),$1:$1,0)),-(Q17-Q18)/Q17*R17),0),0)+IF(TbTradesNovaDAX[[#This Row],[Tipo]]="SELL",IF(ISNUMBER(FIND(MID(R$1,10,5),TbTradesNovaDAX[[#This Row],[Par]])),IF(FIND(MID(R$1,10,5),TbTradesNovaDAX[[#This Row],[Par]])=1, -(Q17-Q18)/Q17*R17,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Row],[Par]])),(-(Q17-Q18)/Q17*R17)+IF(TbTradesNovaDAX[[#This Row],[Resultado]]&gt;0,0,TbTradesNovaDAX[[#This Row],[Taxa]]),0),0))</f>
        <v>0</v>
      </c>
      <c r="S18" s="41">
        <f t="shared" si="1"/>
        <v>0</v>
      </c>
      <c r="T18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Row],[Tipo]]="DROP"),T17+TbTradesNovaDAX[[#This Row],[Qtt]],T17-TbTradesNovaDAX[[#This Row],[Qtt]]),IF(TbTradesNovaDAX[[#This Row],[Tipo]]="BUY",T17-TbTradesNovaDAX[[#This Row],[Qtt]]*TbTradesNovaDAX[[#This Row],[Preço]],T17+TbTradesNovaDAX[[#This Row],[Qtt]]*TbTradesNovaDAX[[#This Row],[Preço]])),T17)-IF(TbTradesNovaDAX[[#This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Row],[Tipo]]="DROP"),T17+TbTradesNovaDAX[[#This Row],[Qtt]],T17-TbTradesNovaDAX[[#This Row],[Qtt]]),IF(TbTradesNovaDAX[[#This Row],[Tipo]]="BUY",T17-TbTradesNovaDAX[[#This Row],[Qtt]]*TbTradesNovaDAX[[#This Row],[Preço]],T17+TbTradesNovaDAX[[#This Row],[Qtt]]*TbTradesNovaDAX[[#This Row],[Preço]])),T17)-IF(TbTradesNovaDAX[[#This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Row],[Tipo]]="DROP"),T17+TbTradesNovaDAX[[#This Row],[Qtt]],T17-TbTradesNovaDAX[[#This Row],[Qtt]]),IF(TbTradesNovaDAX[[#This Row],[Tipo]]="BUY",T17-TbTradesNovaDAX[[#This Row],[Qtt]]*TbTradesNovaDAX[[#This Row],[Preço]],T17+TbTradesNovaDAX[[#This Row],[Qtt]]*TbTradesNovaDAX[[#This Row],[Preço]])),T17)-IF(TbTradesNovaDAX[[#This Row],[Moeda da Taxa]]=MID(T$1,9,5),TbTradesNovaDAX[[#This Row],[Taxa]],0),8)))</f>
        <v>1.3E-7</v>
      </c>
      <c r="U18" s="50" cm="1">
        <f t="array" ref="U18">IF(TbTradesNovaDAX[[#This Row],[Tipo]]="EMPTY",0,U17+IF(TbTradesNovaDAX[[#This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Row],[Par]]))),$1:$1,0)),-(T17-T18)/T17*U17),0),0)+IF(TbTradesNovaDAX[[#This Row],[Tipo]]="SELL",IF(ISNUMBER(FIND(MID(U$1,10,5),TbTradesNovaDAX[[#This Row],[Par]])),IF(FIND(MID(U$1,10,5),TbTradesNovaDAX[[#This Row],[Par]])=1, -(T17-T18)/T17*U17,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Row],[Par]])),(-(T17-T18)/T17*U17)+IF(TbTradesNovaDAX[[#This Row],[Resultado]]&gt;0,0,TbTradesNovaDAX[[#This Row],[Taxa]]),0),0))</f>
        <v>3.2941539001242859E-2</v>
      </c>
      <c r="V18" s="41">
        <f t="shared" si="2"/>
        <v>253396.4538557143</v>
      </c>
      <c r="W18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Row],[Tipo]]="DROP"),W17+TbTradesNovaDAX[[#This Row],[Qtt]],W17-TbTradesNovaDAX[[#This Row],[Qtt]]),IF(TbTradesNovaDAX[[#This Row],[Tipo]]="BUY",W17-TbTradesNovaDAX[[#This Row],[Qtt]]*TbTradesNovaDAX[[#This Row],[Preço]],W17+TbTradesNovaDAX[[#This Row],[Qtt]]*TbTradesNovaDAX[[#This Row],[Preço]])),W17)-IF(TbTradesNovaDAX[[#This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Row],[Tipo]]="DROP"),W17+TbTradesNovaDAX[[#This Row],[Qtt]],W17-TbTradesNovaDAX[[#This Row],[Qtt]]),IF(TbTradesNovaDAX[[#This Row],[Tipo]]="BUY",W17-TbTradesNovaDAX[[#This Row],[Qtt]]*TbTradesNovaDAX[[#This Row],[Preço]],W17+TbTradesNovaDAX[[#This Row],[Qtt]]*TbTradesNovaDAX[[#This Row],[Preço]])),W17)-IF(TbTradesNovaDAX[[#This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Row],[Tipo]]="DROP"),W17+TbTradesNovaDAX[[#This Row],[Qtt]],W17-TbTradesNovaDAX[[#This Row],[Qtt]]),IF(TbTradesNovaDAX[[#This Row],[Tipo]]="BUY",W17-TbTradesNovaDAX[[#This Row],[Qtt]]*TbTradesNovaDAX[[#This Row],[Preço]],W17+TbTradesNovaDAX[[#This Row],[Qtt]]*TbTradesNovaDAX[[#This Row],[Preço]])),W17)-IF(TbTradesNovaDAX[[#This Row],[Moeda da Taxa]]=MID(W$1,9,5),TbTradesNovaDAX[[#This Row],[Taxa]],0),8)))</f>
        <v>9.9773099999999997E-3</v>
      </c>
      <c r="X18" s="50" cm="1">
        <f t="array" ref="X18">IF(TbTradesNovaDAX[[#This Row],[Tipo]]="EMPTY",0,X17+IF(TbTradesNovaDAX[[#This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Row],[Par]]))),$1:$1,0)),-(W17-W18)/W17*X17),0),0)+IF(TbTradesNovaDAX[[#This Row],[Tipo]]="SELL",IF(ISNUMBER(FIND(MID(X$1,10,5),TbTradesNovaDAX[[#This Row],[Par]])),IF(FIND(MID(X$1,10,5),TbTradesNovaDAX[[#This Row],[Par]])=1, -(W17-W18)/W17*X17,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Row],[Par]])),(-(W17-W18)/W17*X17)+IF(TbTradesNovaDAX[[#This Row],[Resultado]]&gt;0,0,TbTradesNovaDAX[[#This Row],[Taxa]]),0),0))</f>
        <v>100.51735394577578</v>
      </c>
      <c r="Y18" s="41">
        <f t="shared" si="3"/>
        <v>10074.594649838062</v>
      </c>
      <c r="Z18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Row],[Tipo]]="DROP"),Z17+TbTradesNovaDAX[[#This Row],[Qtt]],Z17-TbTradesNovaDAX[[#This Row],[Qtt]]),IF(TbTradesNovaDAX[[#This Row],[Tipo]]="BUY",Z17-TbTradesNovaDAX[[#This Row],[Qtt]]*TbTradesNovaDAX[[#This Row],[Preço]],Z17+TbTradesNovaDAX[[#This Row],[Qtt]]*TbTradesNovaDAX[[#This Row],[Preço]])),Z17)-IF(TbTradesNovaDAX[[#This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Row],[Tipo]]="DROP"),Z17+TbTradesNovaDAX[[#This Row],[Qtt]],Z17-TbTradesNovaDAX[[#This Row],[Qtt]]),IF(TbTradesNovaDAX[[#This Row],[Tipo]]="BUY",Z17-TbTradesNovaDAX[[#This Row],[Qtt]]*TbTradesNovaDAX[[#This Row],[Preço]],Z17+TbTradesNovaDAX[[#This Row],[Qtt]]*TbTradesNovaDAX[[#This Row],[Preço]])),Z17)-IF(TbTradesNovaDAX[[#This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Row],[Tipo]]="DROP"),Z17+TbTradesNovaDAX[[#This Row],[Qtt]],Z17-TbTradesNovaDAX[[#This Row],[Qtt]]),IF(TbTradesNovaDAX[[#This Row],[Tipo]]="BUY",Z17-TbTradesNovaDAX[[#This Row],[Qtt]]*TbTradesNovaDAX[[#This Row],[Preço]],Z17+TbTradesNovaDAX[[#This Row],[Qtt]]*TbTradesNovaDAX[[#This Row],[Preço]])),Z17)-IF(TbTradesNovaDAX[[#This Row],[Moeda da Taxa]]=MID(Z$1,9,5),TbTradesNovaDAX[[#This Row],[Taxa]],0),8)))</f>
        <v>3.7580429999999998E-2</v>
      </c>
      <c r="AA18" s="50" cm="1">
        <f t="array" ref="AA18">IF(TbTradesNovaDAX[[#This Row],[Tipo]]="EMPTY",0,AA17+IF(TbTradesNovaDAX[[#This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Row],[Par]]))),$1:$1,0)),-(Z17-Z18)/Z17*AA17),0),0)+IF(TbTradesNovaDAX[[#This Row],[Tipo]]="SELL",IF(ISNUMBER(FIND(MID(AA$1,10,5),TbTradesNovaDAX[[#This Row],[Par]])),IF(FIND(MID(AA$1,10,5),TbTradesNovaDAX[[#This Row],[Par]])=1, -(Z17-Z18)/Z17*AA17,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Row],[Par]])),(-(Z17-Z18)/Z17*AA17)+IF(TbTradesNovaDAX[[#This Row],[Resultado]]&gt;0,0,TbTradesNovaDAX[[#This Row],[Taxa]]),0),0))</f>
        <v>126.9172720794277</v>
      </c>
      <c r="AB18" s="41">
        <f t="shared" si="4"/>
        <v>3377.2171334768577</v>
      </c>
      <c r="AC18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Row],[Tipo]]="DROP"),AC17+TbTradesNovaDAX[[#This Row],[Qtt]],AC17-TbTradesNovaDAX[[#This Row],[Qtt]]),IF(TbTradesNovaDAX[[#This Row],[Tipo]]="BUY",AC17-TbTradesNovaDAX[[#This Row],[Qtt]]*TbTradesNovaDAX[[#This Row],[Preço]],AC17+TbTradesNovaDAX[[#This Row],[Qtt]]*TbTradesNovaDAX[[#This Row],[Preço]])),AC17)-IF(TbTradesNovaDAX[[#This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Row],[Tipo]]="DROP"),AC17+TbTradesNovaDAX[[#This Row],[Qtt]],AC17-TbTradesNovaDAX[[#This Row],[Qtt]]),IF(TbTradesNovaDAX[[#This Row],[Tipo]]="BUY",AC17-TbTradesNovaDAX[[#This Row],[Qtt]]*TbTradesNovaDAX[[#This Row],[Preço]],AC17+TbTradesNovaDAX[[#This Row],[Qtt]]*TbTradesNovaDAX[[#This Row],[Preço]])),AC17)-IF(TbTradesNovaDAX[[#This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Row],[Tipo]]="DROP"),AC17+TbTradesNovaDAX[[#This Row],[Qtt]],AC17-TbTradesNovaDAX[[#This Row],[Qtt]]),IF(TbTradesNovaDAX[[#This Row],[Tipo]]="BUY",AC17-TbTradesNovaDAX[[#This Row],[Qtt]]*TbTradesNovaDAX[[#This Row],[Preço]],AC17+TbTradesNovaDAX[[#This Row],[Qtt]]*TbTradesNovaDAX[[#This Row],[Preço]])),AC17)-IF(TbTradesNovaDAX[[#This Row],[Moeda da Taxa]]=MID(AC$1,9,5),TbTradesNovaDAX[[#This Row],[Taxa]],0),8)))</f>
        <v>0.36715500000000001</v>
      </c>
      <c r="AD18" s="50" cm="1">
        <f t="array" ref="AD18">IF(TbTradesNovaDAX[[#This Row],[Tipo]]="EMPTY",0,AD17+IF(TbTradesNovaDAX[[#This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Row],[Par]]))),$1:$1,0)),-(AC17-AC18)/AC17*AD17),0),0)+IF(TbTradesNovaDAX[[#This Row],[Tipo]]="SELL",IF(ISNUMBER(FIND(MID(AD$1,10,5),TbTradesNovaDAX[[#This Row],[Par]])),IF(FIND(MID(AD$1,10,5),TbTradesNovaDAX[[#This Row],[Par]])=1, -(AC17-AC18)/AC17*AD17,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Row],[Par]])),(-(AC17-AC18)/AC17*AD17)+IF(TbTradesNovaDAX[[#This Row],[Resultado]]&gt;0,0,TbTradesNovaDAX[[#This Row],[Taxa]]),0),0))</f>
        <v>39.600009900000003</v>
      </c>
      <c r="AE18" s="41">
        <f t="shared" si="5"/>
        <v>107.85638190954775</v>
      </c>
      <c r="AF18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Row],[Tipo]]="DROP"),AF17+TbTradesNovaDAX[[#This Row],[Qtt]],AF17-TbTradesNovaDAX[[#This Row],[Qtt]]),IF(TbTradesNovaDAX[[#This Row],[Tipo]]="BUY",AF17-TbTradesNovaDAX[[#This Row],[Qtt]]*TbTradesNovaDAX[[#This Row],[Preço]],AF17+TbTradesNovaDAX[[#This Row],[Qtt]]*TbTradesNovaDAX[[#This Row],[Preço]])),AF17)-IF(TbTradesNovaDAX[[#This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Row],[Tipo]]="DROP"),AF17+TbTradesNovaDAX[[#This Row],[Qtt]],AF17-TbTradesNovaDAX[[#This Row],[Qtt]]),IF(TbTradesNovaDAX[[#This Row],[Tipo]]="BUY",AF17-TbTradesNovaDAX[[#This Row],[Qtt]]*TbTradesNovaDAX[[#This Row],[Preço]],AF17+TbTradesNovaDAX[[#This Row],[Qtt]]*TbTradesNovaDAX[[#This Row],[Preço]])),AF17)-IF(TbTradesNovaDAX[[#This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Row],[Tipo]]="DROP"),AF17+TbTradesNovaDAX[[#This Row],[Qtt]],AF17-TbTradesNovaDAX[[#This Row],[Qtt]]),IF(TbTradesNovaDAX[[#This Row],[Tipo]]="BUY",AF17-TbTradesNovaDAX[[#This Row],[Qtt]]*TbTradesNovaDAX[[#This Row],[Preço]],AF17+TbTradesNovaDAX[[#This Row],[Qtt]]*TbTradesNovaDAX[[#This Row],[Preço]])),AF17)-IF(TbTradesNovaDAX[[#This Row],[Moeda da Taxa]]=MID(AF$1,9,5),TbTradesNovaDAX[[#This Row],[Taxa]],0),8)))</f>
        <v>1.649E-5</v>
      </c>
      <c r="AG18" s="50" cm="1">
        <f t="array" ref="AG18">IF(TbTradesNovaDAX[[#This Row],[Tipo]]="EMPTY",0,AG17+IF(TbTradesNovaDAX[[#This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Row],[Par]]))),$1:$1,0)),-(AF17-AF18)/AF17*AG17),0),0)+IF(TbTradesNovaDAX[[#This Row],[Tipo]]="SELL",IF(ISNUMBER(FIND(MID(AG$1,10,5),TbTradesNovaDAX[[#This Row],[Par]])),IF(FIND(MID(AG$1,10,5),TbTradesNovaDAX[[#This Row],[Par]])=1, -(AF17-AF18)/AF17*AG17,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Row],[Par]])),(-(AF17-AF18)/AF17*AG17)+IF(TbTradesNovaDAX[[#This Row],[Resultado]]&gt;0,0,TbTradesNovaDAX[[#This Row],[Taxa]]),0),0))</f>
        <v>1.4694429588004709E-3</v>
      </c>
      <c r="AH18" s="41">
        <f t="shared" si="6"/>
        <v>89.111155779288723</v>
      </c>
      <c r="AI18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Row],[Tipo]]="DROP"),AI17+TbTradesNovaDAX[[#This Row],[Qtt]],AI17-TbTradesNovaDAX[[#This Row],[Qtt]]),IF(TbTradesNovaDAX[[#This Row],[Tipo]]="BUY",AI17-TbTradesNovaDAX[[#This Row],[Qtt]]*TbTradesNovaDAX[[#This Row],[Preço]],AI17+TbTradesNovaDAX[[#This Row],[Qtt]]*TbTradesNovaDAX[[#This Row],[Preço]])),AI17)-IF(TbTradesNovaDAX[[#This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Row],[Tipo]]="DROP"),AI17+TbTradesNovaDAX[[#This Row],[Qtt]],AI17-TbTradesNovaDAX[[#This Row],[Qtt]]),IF(TbTradesNovaDAX[[#This Row],[Tipo]]="BUY",AI17-TbTradesNovaDAX[[#This Row],[Qtt]]*TbTradesNovaDAX[[#This Row],[Preço]],AI17+TbTradesNovaDAX[[#This Row],[Qtt]]*TbTradesNovaDAX[[#This Row],[Preço]])),AI17)-IF(TbTradesNovaDAX[[#This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Row],[Tipo]]="DROP"),AI17+TbTradesNovaDAX[[#This Row],[Qtt]],AI17-TbTradesNovaDAX[[#This Row],[Qtt]]),IF(TbTradesNovaDAX[[#This Row],[Tipo]]="BUY",AI17-TbTradesNovaDAX[[#This Row],[Qtt]]*TbTradesNovaDAX[[#This Row],[Preço]],AI17+TbTradesNovaDAX[[#This Row],[Qtt]]*TbTradesNovaDAX[[#This Row],[Preço]])),AI17)-IF(TbTradesNovaDAX[[#This Row],[Moeda da Taxa]]=MID(AI$1,9,5),TbTradesNovaDAX[[#This Row],[Taxa]],0),8)))</f>
        <v>7.6990000000000007E-5</v>
      </c>
      <c r="AJ18" s="50" cm="1">
        <f t="array" ref="AJ18">IF(TbTradesNovaDAX[[#This Row],[Tipo]]="EMPTY",0,AJ17+IF(TbTradesNovaDAX[[#This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Row],[Par]]))),$1:$1,0)),-(AI17-AI18)/AI17*AJ17),0),0)+IF(TbTradesNovaDAX[[#This Row],[Tipo]]="SELL",IF(ISNUMBER(FIND(MID(AJ$1,10,5),TbTradesNovaDAX[[#This Row],[Par]])),IF(FIND(MID(AJ$1,10,5),TbTradesNovaDAX[[#This Row],[Par]])=1, -(AI17-AI18)/AI17*AJ17,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Row],[Par]])),(-(AI17-AI18)/AI17*AJ17)+IF(TbTradesNovaDAX[[#This Row],[Resultado]]&gt;0,0,TbTradesNovaDAX[[#This Row],[Taxa]]),0),0))</f>
        <v>4.7351825995178842E-4</v>
      </c>
      <c r="AK18" s="41">
        <f t="shared" si="7"/>
        <v>6.1503865430807689</v>
      </c>
      <c r="AL18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Row],[Tipo]]="DROP"),AL17+TbTradesNovaDAX[[#This Row],[Qtt]],AL17-TbTradesNovaDAX[[#This Row],[Qtt]]),IF(TbTradesNovaDAX[[#This Row],[Tipo]]="BUY",AL17-TbTradesNovaDAX[[#This Row],[Qtt]]*TbTradesNovaDAX[[#This Row],[Preço]],AL17+TbTradesNovaDAX[[#This Row],[Qtt]]*TbTradesNovaDAX[[#This Row],[Preço]])),AL17)-IF(TbTradesNovaDAX[[#This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Row],[Tipo]]="DROP"),AL17+TbTradesNovaDAX[[#This Row],[Qtt]],AL17-TbTradesNovaDAX[[#This Row],[Qtt]]),IF(TbTradesNovaDAX[[#This Row],[Tipo]]="BUY",AL17-TbTradesNovaDAX[[#This Row],[Qtt]]*TbTradesNovaDAX[[#This Row],[Preço]],AL17+TbTradesNovaDAX[[#This Row],[Qtt]]*TbTradesNovaDAX[[#This Row],[Preço]])),AL17)-IF(TbTradesNovaDAX[[#This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Row],[Tipo]]="DROP"),AL17+TbTradesNovaDAX[[#This Row],[Qtt]],AL17-TbTradesNovaDAX[[#This Row],[Qtt]]),IF(TbTradesNovaDAX[[#This Row],[Tipo]]="BUY",AL17-TbTradesNovaDAX[[#This Row],[Qtt]]*TbTradesNovaDAX[[#This Row],[Preço]],AL17+TbTradesNovaDAX[[#This Row],[Qtt]]*TbTradesNovaDAX[[#This Row],[Preço]])),AL17)-IF(TbTradesNovaDAX[[#This Row],[Moeda da Taxa]]=MID(AL$1,9,5),TbTradesNovaDAX[[#This Row],[Taxa]],0),8)))</f>
        <v>1.15E-5</v>
      </c>
      <c r="AM18" s="50" cm="1">
        <f t="array" ref="AM18">IF(TbTradesNovaDAX[[#This Row],[Tipo]]="EMPTY",0,AM17+IF(TbTradesNovaDAX[[#This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Row],[Par]]))),$1:$1,0)),-(AL17-AL18)/AL17*AM17),0),0)+IF(TbTradesNovaDAX[[#This Row],[Tipo]]="SELL",IF(ISNUMBER(FIND(MID(AM$1,10,5),TbTradesNovaDAX[[#This Row],[Par]])),IF(FIND(MID(AM$1,10,5),TbTradesNovaDAX[[#This Row],[Par]])=1, -(AL17-AL18)/AL17*AM17,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Row],[Par]])),(-(AL17-AL18)/AL17*AM17)+IF(TbTradesNovaDAX[[#This Row],[Resultado]]&gt;0,0,TbTradesNovaDAX[[#This Row],[Taxa]]),0),0))</f>
        <v>7.1604349300216086E-3</v>
      </c>
      <c r="AN18" s="41">
        <f t="shared" si="8"/>
        <v>622.64651565405291</v>
      </c>
      <c r="AO18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Row],[Tipo]]="DROP"),AO17+TbTradesNovaDAX[[#This Row],[Qtt]],AO17-TbTradesNovaDAX[[#This Row],[Qtt]]),IF(TbTradesNovaDAX[[#This Row],[Tipo]]="BUY",AO17-TbTradesNovaDAX[[#This Row],[Qtt]]*TbTradesNovaDAX[[#This Row],[Preço]],AO17+TbTradesNovaDAX[[#This Row],[Qtt]]*TbTradesNovaDAX[[#This Row],[Preço]])),AO17)-IF(TbTradesNovaDAX[[#This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Row],[Tipo]]="DROP"),AO17+TbTradesNovaDAX[[#This Row],[Qtt]],AO17-TbTradesNovaDAX[[#This Row],[Qtt]]),IF(TbTradesNovaDAX[[#This Row],[Tipo]]="BUY",AO17-TbTradesNovaDAX[[#This Row],[Qtt]]*TbTradesNovaDAX[[#This Row],[Preço]],AO17+TbTradesNovaDAX[[#This Row],[Qtt]]*TbTradesNovaDAX[[#This Row],[Preço]])),AO17)-IF(TbTradesNovaDAX[[#This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Row],[Tipo]]="DROP"),AO17+TbTradesNovaDAX[[#This Row],[Qtt]],AO17-TbTradesNovaDAX[[#This Row],[Qtt]]),IF(TbTradesNovaDAX[[#This Row],[Tipo]]="BUY",AO17-TbTradesNovaDAX[[#This Row],[Qtt]]*TbTradesNovaDAX[[#This Row],[Preço]],AO17+TbTradesNovaDAX[[#This Row],[Qtt]]*TbTradesNovaDAX[[#This Row],[Preço]])),AO17)-IF(TbTradesNovaDAX[[#This Row],[Moeda da Taxa]]=MID(AO$1,9,5),TbTradesNovaDAX[[#This Row],[Taxa]],0),8)))</f>
        <v>0</v>
      </c>
      <c r="AP18" s="50" cm="1">
        <f t="array" ref="AP18">IF(TbTradesNovaDAX[[#This Row],[Tipo]]="EMPTY",0,AP17+IF(TbTradesNovaDAX[[#This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Row],[Par]]))),$1:$1,0)),-(AO17-AO18)/AO17*AP17),0),0)+IF(TbTradesNovaDAX[[#This Row],[Tipo]]="SELL",IF(ISNUMBER(FIND(MID(AP$1,10,5),TbTradesNovaDAX[[#This Row],[Par]])),IF(FIND(MID(AP$1,10,5),TbTradesNovaDAX[[#This Row],[Par]])=1, -(AO17-AO18)/AO17*AP17,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Row],[Par]])),(-(AO17-AO18)/AO17*AP17)+IF(TbTradesNovaDAX[[#This Row],[Resultado]]&gt;0,0,TbTradesNovaDAX[[#This Row],[Taxa]]),0),0))</f>
        <v>0</v>
      </c>
      <c r="AQ18" s="41">
        <f t="shared" si="9"/>
        <v>0</v>
      </c>
    </row>
    <row r="19" spans="2:43" x14ac:dyDescent="0.3">
      <c r="B19" s="65" t="s">
        <v>141</v>
      </c>
      <c r="C19" s="67">
        <f>TRUNC(IF(AND(TbTradesNovaDAX[[#This Row],[Tipo]]="SEND",TbTradesNovaDAX[[#This Row],[Par]]="BRL"),TbTradesNovaDAX[[#This Row],[Qtt]]*(1-P18)-IF(TbTradesNovaDAX[[#This Row],[Moeda da Taxa]]="BRL",TbTradesNovaDAX[[#This Row],[Taxa]],0),0)+IF(AND(TbTradesNovaDAX[[#This Row],[Tipo]]="BURN",TbTradesNovaDAX[[#This Row],[Par]]="BRL"),-TbTradesNovaDAX[[#This Row],[Qtt]]*P18,0),2)</f>
        <v>20.96</v>
      </c>
      <c r="D19" s="65">
        <v>44249.62903935185</v>
      </c>
      <c r="E19" s="77" t="s">
        <v>50</v>
      </c>
      <c r="F19" s="77" t="s">
        <v>142</v>
      </c>
      <c r="G19" s="78">
        <v>1</v>
      </c>
      <c r="H19" s="78">
        <v>221.75</v>
      </c>
      <c r="I19" s="78">
        <v>12.4</v>
      </c>
      <c r="J19" s="77" t="s">
        <v>50</v>
      </c>
      <c r="K19" s="75">
        <v>1</v>
      </c>
      <c r="L19" s="67">
        <f t="shared" si="10"/>
        <v>1</v>
      </c>
      <c r="M19" s="67">
        <f>IF(OR(TbTradesNovaDAX[[#This Row],[Tipo]]="BUY",TbTradesNovaDAX[[#This Row],[Tipo]]="RECEIVE"),L19*H19,-L19*H19)</f>
        <v>-221.75</v>
      </c>
      <c r="N19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Row],[Tipo]]="DROP"),N18+TbTradesNovaDAX[[#This Row],[Qtt]],N18-TbTradesNovaDAX[[#This Row],[Qtt]]),IF(TbTradesNovaDAX[[#This Row],[Tipo]]="BUY",N18-TbTradesNovaDAX[[#This Row],[Qtt]]*TbTradesNovaDAX[[#This Row],[Preço]],N18+TbTradesNovaDAX[[#This Row],[Qtt]]*TbTradesNovaDAX[[#This Row],[Preço]])),N18)-IF(TbTradesNovaDAX[[#This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Row],[Tipo]]="DROP"),N18+TbTradesNovaDAX[[#This Row],[Qtt]],N18-TbTradesNovaDAX[[#This Row],[Qtt]]),IF(TbTradesNovaDAX[[#This Row],[Tipo]]="BUY",N18-TbTradesNovaDAX[[#This Row],[Qtt]]*TbTradesNovaDAX[[#This Row],[Preço]],N18+TbTradesNovaDAX[[#This Row],[Qtt]]*TbTradesNovaDAX[[#This Row],[Preço]])),N18)-IF(TbTradesNovaDAX[[#This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Row],[Tipo]]="DROP"),N18+TbTradesNovaDAX[[#This Row],[Qtt]],N18-TbTradesNovaDAX[[#This Row],[Qtt]]),IF(TbTradesNovaDAX[[#This Row],[Tipo]]="BUY",N18-TbTradesNovaDAX[[#This Row],[Qtt]]*TbTradesNovaDAX[[#This Row],[Preço]],N18+TbTradesNovaDAX[[#This Row],[Qtt]]*TbTradesNovaDAX[[#This Row],[Preço]])),N18)-IF(TbTradesNovaDAX[[#This Row],[Moeda da Taxa]]=MID(N$1,9,5),TbTradesNovaDAX[[#This Row],[Taxa]],0),8)))</f>
        <v>9.6867800000000007E-3</v>
      </c>
      <c r="O19" s="50" cm="1">
        <f t="array" ref="O19">IF(TbTradesNovaDAX[[#This Row],[Tipo]]="EMPTY",0,O18+IF(TbTradesNovaDAX[[#This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Row],[Par]]))),$1:$1,0)),-(N18-N19)/N18*O18),0),0)+IF(TbTradesNovaDAX[[#This Row],[Tipo]]="SELL",IF(ISNUMBER(FIND(MID(O$1,10,5),TbTradesNovaDAX[[#This Row],[Par]])),IF(FIND(MID(O$1,10,5),TbTradesNovaDAX[[#This Row],[Par]])=1, -(N18-N19)/N18*O18,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Row],[Par]])),(-(N18-N19)/N18*O18)+IF(TbTradesNovaDAX[[#This Row],[Resultado]]&gt;0,0,TbTradesNovaDAX[[#This Row],[Taxa]]),0),0))</f>
        <v>8.2291126017253191E-3</v>
      </c>
      <c r="P19" s="41">
        <f t="shared" si="0"/>
        <v>0.84951992320722869</v>
      </c>
      <c r="Q19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Row],[Tipo]]="DROP"),Q18+TbTradesNovaDAX[[#This Row],[Qtt]],Q18-TbTradesNovaDAX[[#This Row],[Qtt]]),IF(TbTradesNovaDAX[[#This Row],[Tipo]]="BUY",Q18-TbTradesNovaDAX[[#This Row],[Qtt]]*TbTradesNovaDAX[[#This Row],[Preço]],Q18+TbTradesNovaDAX[[#This Row],[Qtt]]*TbTradesNovaDAX[[#This Row],[Preço]])),Q18)-IF(TbTradesNovaDAX[[#This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Row],[Tipo]]="DROP"),Q18+TbTradesNovaDAX[[#This Row],[Qtt]],Q18-TbTradesNovaDAX[[#This Row],[Qtt]]),IF(TbTradesNovaDAX[[#This Row],[Tipo]]="BUY",Q18-TbTradesNovaDAX[[#This Row],[Qtt]]*TbTradesNovaDAX[[#This Row],[Preço]],Q18+TbTradesNovaDAX[[#This Row],[Qtt]]*TbTradesNovaDAX[[#This Row],[Preço]])),Q18)-IF(TbTradesNovaDAX[[#This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Row],[Tipo]]="DROP"),Q18+TbTradesNovaDAX[[#This Row],[Qtt]],Q18-TbTradesNovaDAX[[#This Row],[Qtt]]),IF(TbTradesNovaDAX[[#This Row],[Tipo]]="BUY",Q18-TbTradesNovaDAX[[#This Row],[Qtt]]*TbTradesNovaDAX[[#This Row],[Preço]],Q18+TbTradesNovaDAX[[#This Row],[Qtt]]*TbTradesNovaDAX[[#This Row],[Preço]])),Q18)-IF(TbTradesNovaDAX[[#This Row],[Moeda da Taxa]]=MID(Q$1,9,5),TbTradesNovaDAX[[#This Row],[Taxa]],0),8)))</f>
        <v>0</v>
      </c>
      <c r="R19" s="50" cm="1">
        <f t="array" ref="R19">IF(TbTradesNovaDAX[[#This Row],[Tipo]]="EMPTY",0,R18+IF(TbTradesNovaDAX[[#This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Row],[Par]]))),$1:$1,0)),-(Q18-Q19)/Q18*R18),0),0)+IF(TbTradesNovaDAX[[#This Row],[Tipo]]="SELL",IF(ISNUMBER(FIND(MID(R$1,10,5),TbTradesNovaDAX[[#This Row],[Par]])),IF(FIND(MID(R$1,10,5),TbTradesNovaDAX[[#This Row],[Par]])=1, -(Q18-Q19)/Q18*R18,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Row],[Par]])),(-(Q18-Q19)/Q18*R18)+IF(TbTradesNovaDAX[[#This Row],[Resultado]]&gt;0,0,TbTradesNovaDAX[[#This Row],[Taxa]]),0),0))</f>
        <v>0</v>
      </c>
      <c r="S19" s="41">
        <f t="shared" si="1"/>
        <v>0</v>
      </c>
      <c r="T19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Row],[Tipo]]="DROP"),T18+TbTradesNovaDAX[[#This Row],[Qtt]],T18-TbTradesNovaDAX[[#This Row],[Qtt]]),IF(TbTradesNovaDAX[[#This Row],[Tipo]]="BUY",T18-TbTradesNovaDAX[[#This Row],[Qtt]]*TbTradesNovaDAX[[#This Row],[Preço]],T18+TbTradesNovaDAX[[#This Row],[Qtt]]*TbTradesNovaDAX[[#This Row],[Preço]])),T18)-IF(TbTradesNovaDAX[[#This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Row],[Tipo]]="DROP"),T18+TbTradesNovaDAX[[#This Row],[Qtt]],T18-TbTradesNovaDAX[[#This Row],[Qtt]]),IF(TbTradesNovaDAX[[#This Row],[Tipo]]="BUY",T18-TbTradesNovaDAX[[#This Row],[Qtt]]*TbTradesNovaDAX[[#This Row],[Preço]],T18+TbTradesNovaDAX[[#This Row],[Qtt]]*TbTradesNovaDAX[[#This Row],[Preço]])),T18)-IF(TbTradesNovaDAX[[#This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Row],[Tipo]]="DROP"),T18+TbTradesNovaDAX[[#This Row],[Qtt]],T18-TbTradesNovaDAX[[#This Row],[Qtt]]),IF(TbTradesNovaDAX[[#This Row],[Tipo]]="BUY",T18-TbTradesNovaDAX[[#This Row],[Qtt]]*TbTradesNovaDAX[[#This Row],[Preço]],T18+TbTradesNovaDAX[[#This Row],[Qtt]]*TbTradesNovaDAX[[#This Row],[Preço]])),T18)-IF(TbTradesNovaDAX[[#This Row],[Moeda da Taxa]]=MID(T$1,9,5),TbTradesNovaDAX[[#This Row],[Taxa]],0),8)))</f>
        <v>1.3E-7</v>
      </c>
      <c r="U19" s="50" cm="1">
        <f t="array" ref="U19">IF(TbTradesNovaDAX[[#This Row],[Tipo]]="EMPTY",0,U18+IF(TbTradesNovaDAX[[#This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Row],[Par]]))),$1:$1,0)),-(T18-T19)/T18*U18),0),0)+IF(TbTradesNovaDAX[[#This Row],[Tipo]]="SELL",IF(ISNUMBER(FIND(MID(U$1,10,5),TbTradesNovaDAX[[#This Row],[Par]])),IF(FIND(MID(U$1,10,5),TbTradesNovaDAX[[#This Row],[Par]])=1, -(T18-T19)/T18*U18,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Row],[Par]])),(-(T18-T19)/T18*U18)+IF(TbTradesNovaDAX[[#This Row],[Resultado]]&gt;0,0,TbTradesNovaDAX[[#This Row],[Taxa]]),0),0))</f>
        <v>3.2941539001242859E-2</v>
      </c>
      <c r="V19" s="41">
        <f t="shared" si="2"/>
        <v>253396.4538557143</v>
      </c>
      <c r="W19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Row],[Tipo]]="DROP"),W18+TbTradesNovaDAX[[#This Row],[Qtt]],W18-TbTradesNovaDAX[[#This Row],[Qtt]]),IF(TbTradesNovaDAX[[#This Row],[Tipo]]="BUY",W18-TbTradesNovaDAX[[#This Row],[Qtt]]*TbTradesNovaDAX[[#This Row],[Preço]],W18+TbTradesNovaDAX[[#This Row],[Qtt]]*TbTradesNovaDAX[[#This Row],[Preço]])),W18)-IF(TbTradesNovaDAX[[#This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Row],[Tipo]]="DROP"),W18+TbTradesNovaDAX[[#This Row],[Qtt]],W18-TbTradesNovaDAX[[#This Row],[Qtt]]),IF(TbTradesNovaDAX[[#This Row],[Tipo]]="BUY",W18-TbTradesNovaDAX[[#This Row],[Qtt]]*TbTradesNovaDAX[[#This Row],[Preço]],W18+TbTradesNovaDAX[[#This Row],[Qtt]]*TbTradesNovaDAX[[#This Row],[Preço]])),W18)-IF(TbTradesNovaDAX[[#This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Row],[Tipo]]="DROP"),W18+TbTradesNovaDAX[[#This Row],[Qtt]],W18-TbTradesNovaDAX[[#This Row],[Qtt]]),IF(TbTradesNovaDAX[[#This Row],[Tipo]]="BUY",W18-TbTradesNovaDAX[[#This Row],[Qtt]]*TbTradesNovaDAX[[#This Row],[Preço]],W18+TbTradesNovaDAX[[#This Row],[Qtt]]*TbTradesNovaDAX[[#This Row],[Preço]])),W18)-IF(TbTradesNovaDAX[[#This Row],[Moeda da Taxa]]=MID(W$1,9,5),TbTradesNovaDAX[[#This Row],[Taxa]],0),8)))</f>
        <v>9.9773099999999997E-3</v>
      </c>
      <c r="X19" s="50" cm="1">
        <f t="array" ref="X19">IF(TbTradesNovaDAX[[#This Row],[Tipo]]="EMPTY",0,X18+IF(TbTradesNovaDAX[[#This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Row],[Par]]))),$1:$1,0)),-(W18-W19)/W18*X18),0),0)+IF(TbTradesNovaDAX[[#This Row],[Tipo]]="SELL",IF(ISNUMBER(FIND(MID(X$1,10,5),TbTradesNovaDAX[[#This Row],[Par]])),IF(FIND(MID(X$1,10,5),TbTradesNovaDAX[[#This Row],[Par]])=1, -(W18-W19)/W18*X18,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Row],[Par]])),(-(W18-W19)/W18*X18)+IF(TbTradesNovaDAX[[#This Row],[Resultado]]&gt;0,0,TbTradesNovaDAX[[#This Row],[Taxa]]),0),0))</f>
        <v>100.51735394577578</v>
      </c>
      <c r="Y19" s="41">
        <f t="shared" si="3"/>
        <v>10074.594649838062</v>
      </c>
      <c r="Z19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Row],[Tipo]]="DROP"),Z18+TbTradesNovaDAX[[#This Row],[Qtt]],Z18-TbTradesNovaDAX[[#This Row],[Qtt]]),IF(TbTradesNovaDAX[[#This Row],[Tipo]]="BUY",Z18-TbTradesNovaDAX[[#This Row],[Qtt]]*TbTradesNovaDAX[[#This Row],[Preço]],Z18+TbTradesNovaDAX[[#This Row],[Qtt]]*TbTradesNovaDAX[[#This Row],[Preço]])),Z18)-IF(TbTradesNovaDAX[[#This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Row],[Tipo]]="DROP"),Z18+TbTradesNovaDAX[[#This Row],[Qtt]],Z18-TbTradesNovaDAX[[#This Row],[Qtt]]),IF(TbTradesNovaDAX[[#This Row],[Tipo]]="BUY",Z18-TbTradesNovaDAX[[#This Row],[Qtt]]*TbTradesNovaDAX[[#This Row],[Preço]],Z18+TbTradesNovaDAX[[#This Row],[Qtt]]*TbTradesNovaDAX[[#This Row],[Preço]])),Z18)-IF(TbTradesNovaDAX[[#This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Row],[Tipo]]="DROP"),Z18+TbTradesNovaDAX[[#This Row],[Qtt]],Z18-TbTradesNovaDAX[[#This Row],[Qtt]]),IF(TbTradesNovaDAX[[#This Row],[Tipo]]="BUY",Z18-TbTradesNovaDAX[[#This Row],[Qtt]]*TbTradesNovaDAX[[#This Row],[Preço]],Z18+TbTradesNovaDAX[[#This Row],[Qtt]]*TbTradesNovaDAX[[#This Row],[Preço]])),Z18)-IF(TbTradesNovaDAX[[#This Row],[Moeda da Taxa]]=MID(Z$1,9,5),TbTradesNovaDAX[[#This Row],[Taxa]],0),8)))</f>
        <v>3.7580429999999998E-2</v>
      </c>
      <c r="AA19" s="50" cm="1">
        <f t="array" ref="AA19">IF(TbTradesNovaDAX[[#This Row],[Tipo]]="EMPTY",0,AA18+IF(TbTradesNovaDAX[[#This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Row],[Par]]))),$1:$1,0)),-(Z18-Z19)/Z18*AA18),0),0)+IF(TbTradesNovaDAX[[#This Row],[Tipo]]="SELL",IF(ISNUMBER(FIND(MID(AA$1,10,5),TbTradesNovaDAX[[#This Row],[Par]])),IF(FIND(MID(AA$1,10,5),TbTradesNovaDAX[[#This Row],[Par]])=1, -(Z18-Z19)/Z18*AA18,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Row],[Par]])),(-(Z18-Z19)/Z18*AA18)+IF(TbTradesNovaDAX[[#This Row],[Resultado]]&gt;0,0,TbTradesNovaDAX[[#This Row],[Taxa]]),0),0))</f>
        <v>126.9172720794277</v>
      </c>
      <c r="AB19" s="41">
        <f t="shared" si="4"/>
        <v>3377.2171334768577</v>
      </c>
      <c r="AC19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Row],[Tipo]]="DROP"),AC18+TbTradesNovaDAX[[#This Row],[Qtt]],AC18-TbTradesNovaDAX[[#This Row],[Qtt]]),IF(TbTradesNovaDAX[[#This Row],[Tipo]]="BUY",AC18-TbTradesNovaDAX[[#This Row],[Qtt]]*TbTradesNovaDAX[[#This Row],[Preço]],AC18+TbTradesNovaDAX[[#This Row],[Qtt]]*TbTradesNovaDAX[[#This Row],[Preço]])),AC18)-IF(TbTradesNovaDAX[[#This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Row],[Tipo]]="DROP"),AC18+TbTradesNovaDAX[[#This Row],[Qtt]],AC18-TbTradesNovaDAX[[#This Row],[Qtt]]),IF(TbTradesNovaDAX[[#This Row],[Tipo]]="BUY",AC18-TbTradesNovaDAX[[#This Row],[Qtt]]*TbTradesNovaDAX[[#This Row],[Preço]],AC18+TbTradesNovaDAX[[#This Row],[Qtt]]*TbTradesNovaDAX[[#This Row],[Preço]])),AC18)-IF(TbTradesNovaDAX[[#This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Row],[Tipo]]="DROP"),AC18+TbTradesNovaDAX[[#This Row],[Qtt]],AC18-TbTradesNovaDAX[[#This Row],[Qtt]]),IF(TbTradesNovaDAX[[#This Row],[Tipo]]="BUY",AC18-TbTradesNovaDAX[[#This Row],[Qtt]]*TbTradesNovaDAX[[#This Row],[Preço]],AC18+TbTradesNovaDAX[[#This Row],[Qtt]]*TbTradesNovaDAX[[#This Row],[Preço]])),AC18)-IF(TbTradesNovaDAX[[#This Row],[Moeda da Taxa]]=MID(AC$1,9,5),TbTradesNovaDAX[[#This Row],[Taxa]],0),8)))</f>
        <v>0.36715500000000001</v>
      </c>
      <c r="AD19" s="50" cm="1">
        <f t="array" ref="AD19">IF(TbTradesNovaDAX[[#This Row],[Tipo]]="EMPTY",0,AD18+IF(TbTradesNovaDAX[[#This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Row],[Par]]))),$1:$1,0)),-(AC18-AC19)/AC18*AD18),0),0)+IF(TbTradesNovaDAX[[#This Row],[Tipo]]="SELL",IF(ISNUMBER(FIND(MID(AD$1,10,5),TbTradesNovaDAX[[#This Row],[Par]])),IF(FIND(MID(AD$1,10,5),TbTradesNovaDAX[[#This Row],[Par]])=1, -(AC18-AC19)/AC18*AD18,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Row],[Par]])),(-(AC18-AC19)/AC18*AD18)+IF(TbTradesNovaDAX[[#This Row],[Resultado]]&gt;0,0,TbTradesNovaDAX[[#This Row],[Taxa]]),0),0))</f>
        <v>39.600009900000003</v>
      </c>
      <c r="AE19" s="41">
        <f t="shared" si="5"/>
        <v>107.85638190954775</v>
      </c>
      <c r="AF19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Row],[Tipo]]="DROP"),AF18+TbTradesNovaDAX[[#This Row],[Qtt]],AF18-TbTradesNovaDAX[[#This Row],[Qtt]]),IF(TbTradesNovaDAX[[#This Row],[Tipo]]="BUY",AF18-TbTradesNovaDAX[[#This Row],[Qtt]]*TbTradesNovaDAX[[#This Row],[Preço]],AF18+TbTradesNovaDAX[[#This Row],[Qtt]]*TbTradesNovaDAX[[#This Row],[Preço]])),AF18)-IF(TbTradesNovaDAX[[#This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Row],[Tipo]]="DROP"),AF18+TbTradesNovaDAX[[#This Row],[Qtt]],AF18-TbTradesNovaDAX[[#This Row],[Qtt]]),IF(TbTradesNovaDAX[[#This Row],[Tipo]]="BUY",AF18-TbTradesNovaDAX[[#This Row],[Qtt]]*TbTradesNovaDAX[[#This Row],[Preço]],AF18+TbTradesNovaDAX[[#This Row],[Qtt]]*TbTradesNovaDAX[[#This Row],[Preço]])),AF18)-IF(TbTradesNovaDAX[[#This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Row],[Tipo]]="DROP"),AF18+TbTradesNovaDAX[[#This Row],[Qtt]],AF18-TbTradesNovaDAX[[#This Row],[Qtt]]),IF(TbTradesNovaDAX[[#This Row],[Tipo]]="BUY",AF18-TbTradesNovaDAX[[#This Row],[Qtt]]*TbTradesNovaDAX[[#This Row],[Preço]],AF18+TbTradesNovaDAX[[#This Row],[Qtt]]*TbTradesNovaDAX[[#This Row],[Preço]])),AF18)-IF(TbTradesNovaDAX[[#This Row],[Moeda da Taxa]]=MID(AF$1,9,5),TbTradesNovaDAX[[#This Row],[Taxa]],0),8)))</f>
        <v>1.649E-5</v>
      </c>
      <c r="AG19" s="50" cm="1">
        <f t="array" ref="AG19">IF(TbTradesNovaDAX[[#This Row],[Tipo]]="EMPTY",0,AG18+IF(TbTradesNovaDAX[[#This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Row],[Par]]))),$1:$1,0)),-(AF18-AF19)/AF18*AG18),0),0)+IF(TbTradesNovaDAX[[#This Row],[Tipo]]="SELL",IF(ISNUMBER(FIND(MID(AG$1,10,5),TbTradesNovaDAX[[#This Row],[Par]])),IF(FIND(MID(AG$1,10,5),TbTradesNovaDAX[[#This Row],[Par]])=1, -(AF18-AF19)/AF18*AG18,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Row],[Par]])),(-(AF18-AF19)/AF18*AG18)+IF(TbTradesNovaDAX[[#This Row],[Resultado]]&gt;0,0,TbTradesNovaDAX[[#This Row],[Taxa]]),0),0))</f>
        <v>1.4694429588004709E-3</v>
      </c>
      <c r="AH19" s="41">
        <f t="shared" si="6"/>
        <v>89.111155779288723</v>
      </c>
      <c r="AI19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Row],[Tipo]]="DROP"),AI18+TbTradesNovaDAX[[#This Row],[Qtt]],AI18-TbTradesNovaDAX[[#This Row],[Qtt]]),IF(TbTradesNovaDAX[[#This Row],[Tipo]]="BUY",AI18-TbTradesNovaDAX[[#This Row],[Qtt]]*TbTradesNovaDAX[[#This Row],[Preço]],AI18+TbTradesNovaDAX[[#This Row],[Qtt]]*TbTradesNovaDAX[[#This Row],[Preço]])),AI18)-IF(TbTradesNovaDAX[[#This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Row],[Tipo]]="DROP"),AI18+TbTradesNovaDAX[[#This Row],[Qtt]],AI18-TbTradesNovaDAX[[#This Row],[Qtt]]),IF(TbTradesNovaDAX[[#This Row],[Tipo]]="BUY",AI18-TbTradesNovaDAX[[#This Row],[Qtt]]*TbTradesNovaDAX[[#This Row],[Preço]],AI18+TbTradesNovaDAX[[#This Row],[Qtt]]*TbTradesNovaDAX[[#This Row],[Preço]])),AI18)-IF(TbTradesNovaDAX[[#This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Row],[Tipo]]="DROP"),AI18+TbTradesNovaDAX[[#This Row],[Qtt]],AI18-TbTradesNovaDAX[[#This Row],[Qtt]]),IF(TbTradesNovaDAX[[#This Row],[Tipo]]="BUY",AI18-TbTradesNovaDAX[[#This Row],[Qtt]]*TbTradesNovaDAX[[#This Row],[Preço]],AI18+TbTradesNovaDAX[[#This Row],[Qtt]]*TbTradesNovaDAX[[#This Row],[Preço]])),AI18)-IF(TbTradesNovaDAX[[#This Row],[Moeda da Taxa]]=MID(AI$1,9,5),TbTradesNovaDAX[[#This Row],[Taxa]],0),8)))</f>
        <v>7.6990000000000007E-5</v>
      </c>
      <c r="AJ19" s="50" cm="1">
        <f t="array" ref="AJ19">IF(TbTradesNovaDAX[[#This Row],[Tipo]]="EMPTY",0,AJ18+IF(TbTradesNovaDAX[[#This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Row],[Par]]))),$1:$1,0)),-(AI18-AI19)/AI18*AJ18),0),0)+IF(TbTradesNovaDAX[[#This Row],[Tipo]]="SELL",IF(ISNUMBER(FIND(MID(AJ$1,10,5),TbTradesNovaDAX[[#This Row],[Par]])),IF(FIND(MID(AJ$1,10,5),TbTradesNovaDAX[[#This Row],[Par]])=1, -(AI18-AI19)/AI18*AJ18,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Row],[Par]])),(-(AI18-AI19)/AI18*AJ18)+IF(TbTradesNovaDAX[[#This Row],[Resultado]]&gt;0,0,TbTradesNovaDAX[[#This Row],[Taxa]]),0),0))</f>
        <v>4.7351825995178842E-4</v>
      </c>
      <c r="AK19" s="41">
        <f t="shared" si="7"/>
        <v>6.1503865430807689</v>
      </c>
      <c r="AL19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Row],[Tipo]]="DROP"),AL18+TbTradesNovaDAX[[#This Row],[Qtt]],AL18-TbTradesNovaDAX[[#This Row],[Qtt]]),IF(TbTradesNovaDAX[[#This Row],[Tipo]]="BUY",AL18-TbTradesNovaDAX[[#This Row],[Qtt]]*TbTradesNovaDAX[[#This Row],[Preço]],AL18+TbTradesNovaDAX[[#This Row],[Qtt]]*TbTradesNovaDAX[[#This Row],[Preço]])),AL18)-IF(TbTradesNovaDAX[[#This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Row],[Tipo]]="DROP"),AL18+TbTradesNovaDAX[[#This Row],[Qtt]],AL18-TbTradesNovaDAX[[#This Row],[Qtt]]),IF(TbTradesNovaDAX[[#This Row],[Tipo]]="BUY",AL18-TbTradesNovaDAX[[#This Row],[Qtt]]*TbTradesNovaDAX[[#This Row],[Preço]],AL18+TbTradesNovaDAX[[#This Row],[Qtt]]*TbTradesNovaDAX[[#This Row],[Preço]])),AL18)-IF(TbTradesNovaDAX[[#This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Row],[Tipo]]="DROP"),AL18+TbTradesNovaDAX[[#This Row],[Qtt]],AL18-TbTradesNovaDAX[[#This Row],[Qtt]]),IF(TbTradesNovaDAX[[#This Row],[Tipo]]="BUY",AL18-TbTradesNovaDAX[[#This Row],[Qtt]]*TbTradesNovaDAX[[#This Row],[Preço]],AL18+TbTradesNovaDAX[[#This Row],[Qtt]]*TbTradesNovaDAX[[#This Row],[Preço]])),AL18)-IF(TbTradesNovaDAX[[#This Row],[Moeda da Taxa]]=MID(AL$1,9,5),TbTradesNovaDAX[[#This Row],[Taxa]],0),8)))</f>
        <v>1.15E-5</v>
      </c>
      <c r="AM19" s="50" cm="1">
        <f t="array" ref="AM19">IF(TbTradesNovaDAX[[#This Row],[Tipo]]="EMPTY",0,AM18+IF(TbTradesNovaDAX[[#This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Row],[Par]]))),$1:$1,0)),-(AL18-AL19)/AL18*AM18),0),0)+IF(TbTradesNovaDAX[[#This Row],[Tipo]]="SELL",IF(ISNUMBER(FIND(MID(AM$1,10,5),TbTradesNovaDAX[[#This Row],[Par]])),IF(FIND(MID(AM$1,10,5),TbTradesNovaDAX[[#This Row],[Par]])=1, -(AL18-AL19)/AL18*AM18,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Row],[Par]])),(-(AL18-AL19)/AL18*AM18)+IF(TbTradesNovaDAX[[#This Row],[Resultado]]&gt;0,0,TbTradesNovaDAX[[#This Row],[Taxa]]),0),0))</f>
        <v>7.1604349300216086E-3</v>
      </c>
      <c r="AN19" s="41">
        <f t="shared" si="8"/>
        <v>622.64651565405291</v>
      </c>
      <c r="AO19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Row],[Tipo]]="DROP"),AO18+TbTradesNovaDAX[[#This Row],[Qtt]],AO18-TbTradesNovaDAX[[#This Row],[Qtt]]),IF(TbTradesNovaDAX[[#This Row],[Tipo]]="BUY",AO18-TbTradesNovaDAX[[#This Row],[Qtt]]*TbTradesNovaDAX[[#This Row],[Preço]],AO18+TbTradesNovaDAX[[#This Row],[Qtt]]*TbTradesNovaDAX[[#This Row],[Preço]])),AO18)-IF(TbTradesNovaDAX[[#This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Row],[Tipo]]="DROP"),AO18+TbTradesNovaDAX[[#This Row],[Qtt]],AO18-TbTradesNovaDAX[[#This Row],[Qtt]]),IF(TbTradesNovaDAX[[#This Row],[Tipo]]="BUY",AO18-TbTradesNovaDAX[[#This Row],[Qtt]]*TbTradesNovaDAX[[#This Row],[Preço]],AO18+TbTradesNovaDAX[[#This Row],[Qtt]]*TbTradesNovaDAX[[#This Row],[Preço]])),AO18)-IF(TbTradesNovaDAX[[#This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Row],[Tipo]]="DROP"),AO18+TbTradesNovaDAX[[#This Row],[Qtt]],AO18-TbTradesNovaDAX[[#This Row],[Qtt]]),IF(TbTradesNovaDAX[[#This Row],[Tipo]]="BUY",AO18-TbTradesNovaDAX[[#This Row],[Qtt]]*TbTradesNovaDAX[[#This Row],[Preço]],AO18+TbTradesNovaDAX[[#This Row],[Qtt]]*TbTradesNovaDAX[[#This Row],[Preço]])),AO18)-IF(TbTradesNovaDAX[[#This Row],[Moeda da Taxa]]=MID(AO$1,9,5),TbTradesNovaDAX[[#This Row],[Taxa]],0),8)))</f>
        <v>0</v>
      </c>
      <c r="AP19" s="50" cm="1">
        <f t="array" ref="AP19">IF(TbTradesNovaDAX[[#This Row],[Tipo]]="EMPTY",0,AP18+IF(TbTradesNovaDAX[[#This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Row],[Par]]))),$1:$1,0)),-(AO18-AO19)/AO18*AP18),0),0)+IF(TbTradesNovaDAX[[#This Row],[Tipo]]="SELL",IF(ISNUMBER(FIND(MID(AP$1,10,5),TbTradesNovaDAX[[#This Row],[Par]])),IF(FIND(MID(AP$1,10,5),TbTradesNovaDAX[[#This Row],[Par]])=1, -(AO18-AO19)/AO18*AP18,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Row],[Par]])),(-(AO18-AO19)/AO18*AP18)+IF(TbTradesNovaDAX[[#This Row],[Resultado]]&gt;0,0,TbTradesNovaDAX[[#This Row],[Taxa]]),0),0))</f>
        <v>0</v>
      </c>
      <c r="AQ19" s="41">
        <f t="shared" si="9"/>
        <v>0</v>
      </c>
    </row>
    <row r="20" spans="2:43" x14ac:dyDescent="0.3">
      <c r="B20" s="95"/>
      <c r="C20" s="67">
        <f>TRUNC(IF(AND(TbTradesNovaDAX[[#This Row],[Tipo]]="SEND",TbTradesNovaDAX[[#This Row],[Par]]="BRL"),TbTradesNovaDAX[[#This Row],[Qtt]]*(1-P19)-IF(TbTradesNovaDAX[[#This Row],[Moeda da Taxa]]="BRL",TbTradesNovaDAX[[#This Row],[Taxa]],0),0)+IF(AND(TbTradesNovaDAX[[#This Row],[Tipo]]="BURN",TbTradesNovaDAX[[#This Row],[Par]]="BRL"),-TbTradesNovaDAX[[#This Row],[Qtt]]*P19,0),2)</f>
        <v>0</v>
      </c>
      <c r="D20" s="65">
        <v>44249.656192129631</v>
      </c>
      <c r="E20" s="77" t="s">
        <v>172</v>
      </c>
      <c r="F20" s="77" t="s">
        <v>140</v>
      </c>
      <c r="G20" s="78">
        <v>3400</v>
      </c>
      <c r="H20" s="78">
        <v>0.01</v>
      </c>
      <c r="I20" s="78">
        <v>0.11</v>
      </c>
      <c r="J20" s="77" t="s">
        <v>50</v>
      </c>
      <c r="K20" s="75">
        <v>1</v>
      </c>
      <c r="L20" s="67">
        <f t="shared" si="10"/>
        <v>3400</v>
      </c>
      <c r="M20" s="67">
        <f>IF(OR(TbTradesNovaDAX[[#This Row],[Tipo]]="BUY",TbTradesNovaDAX[[#This Row],[Tipo]]="RECEIVE"),L20*H20,-L20*H20)</f>
        <v>-34</v>
      </c>
      <c r="N20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Row],[Tipo]]="DROP"),N19+TbTradesNovaDAX[[#This Row],[Qtt]],N19-TbTradesNovaDAX[[#This Row],[Qtt]]),IF(TbTradesNovaDAX[[#This Row],[Tipo]]="BUY",N19-TbTradesNovaDAX[[#This Row],[Qtt]]*TbTradesNovaDAX[[#This Row],[Preço]],N19+TbTradesNovaDAX[[#This Row],[Qtt]]*TbTradesNovaDAX[[#This Row],[Preço]])),N19)-IF(TbTradesNovaDAX[[#This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Row],[Tipo]]="DROP"),N19+TbTradesNovaDAX[[#This Row],[Qtt]],N19-TbTradesNovaDAX[[#This Row],[Qtt]]),IF(TbTradesNovaDAX[[#This Row],[Tipo]]="BUY",N19-TbTradesNovaDAX[[#This Row],[Qtt]]*TbTradesNovaDAX[[#This Row],[Preço]],N19+TbTradesNovaDAX[[#This Row],[Qtt]]*TbTradesNovaDAX[[#This Row],[Preço]])),N19)-IF(TbTradesNovaDAX[[#This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Row],[Tipo]]="DROP"),N19+TbTradesNovaDAX[[#This Row],[Qtt]],N19-TbTradesNovaDAX[[#This Row],[Qtt]]),IF(TbTradesNovaDAX[[#This Row],[Tipo]]="BUY",N19-TbTradesNovaDAX[[#This Row],[Qtt]]*TbTradesNovaDAX[[#This Row],[Preço]],N19+TbTradesNovaDAX[[#This Row],[Qtt]]*TbTradesNovaDAX[[#This Row],[Preço]])),N19)-IF(TbTradesNovaDAX[[#This Row],[Moeda da Taxa]]=MID(N$1,9,5),TbTradesNovaDAX[[#This Row],[Taxa]],0),8)))</f>
        <v>33.899686780000003</v>
      </c>
      <c r="O20" s="50" cm="1">
        <f t="array" ref="O20">IF(TbTradesNovaDAX[[#This Row],[Tipo]]="EMPTY",0,O19+IF(TbTradesNovaDAX[[#This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Row],[Par]]))),$1:$1,0)),-(N19-N20)/N19*O19),0),0)+IF(TbTradesNovaDAX[[#This Row],[Tipo]]="SELL",IF(ISNUMBER(FIND(MID(O$1,10,5),TbTradesNovaDAX[[#This Row],[Par]])),IF(FIND(MID(O$1,10,5),TbTradesNovaDAX[[#This Row],[Par]])=1, -(N19-N20)/N19*O19,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Row],[Par]])),(-(N19-N20)/N19*O19)+IF(TbTradesNovaDAX[[#This Row],[Resultado]]&gt;0,0,TbTradesNovaDAX[[#This Row],[Taxa]]),0),0))</f>
        <v>33.780400447370305</v>
      </c>
      <c r="P20" s="41">
        <f t="shared" si="0"/>
        <v>0.99648119661388512</v>
      </c>
      <c r="Q20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Row],[Tipo]]="DROP"),Q19+TbTradesNovaDAX[[#This Row],[Qtt]],Q19-TbTradesNovaDAX[[#This Row],[Qtt]]),IF(TbTradesNovaDAX[[#This Row],[Tipo]]="BUY",Q19-TbTradesNovaDAX[[#This Row],[Qtt]]*TbTradesNovaDAX[[#This Row],[Preço]],Q19+TbTradesNovaDAX[[#This Row],[Qtt]]*TbTradesNovaDAX[[#This Row],[Preço]])),Q19)-IF(TbTradesNovaDAX[[#This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Row],[Tipo]]="DROP"),Q19+TbTradesNovaDAX[[#This Row],[Qtt]],Q19-TbTradesNovaDAX[[#This Row],[Qtt]]),IF(TbTradesNovaDAX[[#This Row],[Tipo]]="BUY",Q19-TbTradesNovaDAX[[#This Row],[Qtt]]*TbTradesNovaDAX[[#This Row],[Preço]],Q19+TbTradesNovaDAX[[#This Row],[Qtt]]*TbTradesNovaDAX[[#This Row],[Preço]])),Q19)-IF(TbTradesNovaDAX[[#This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Row],[Tipo]]="DROP"),Q19+TbTradesNovaDAX[[#This Row],[Qtt]],Q19-TbTradesNovaDAX[[#This Row],[Qtt]]),IF(TbTradesNovaDAX[[#This Row],[Tipo]]="BUY",Q19-TbTradesNovaDAX[[#This Row],[Qtt]]*TbTradesNovaDAX[[#This Row],[Preço]],Q19+TbTradesNovaDAX[[#This Row],[Qtt]]*TbTradesNovaDAX[[#This Row],[Preço]])),Q19)-IF(TbTradesNovaDAX[[#This Row],[Moeda da Taxa]]=MID(Q$1,9,5),TbTradesNovaDAX[[#This Row],[Taxa]],0),8)))</f>
        <v>0</v>
      </c>
      <c r="R20" s="50" cm="1">
        <f t="array" ref="R20">IF(TbTradesNovaDAX[[#This Row],[Tipo]]="EMPTY",0,R19+IF(TbTradesNovaDAX[[#This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Row],[Par]]))),$1:$1,0)),-(Q19-Q20)/Q19*R19),0),0)+IF(TbTradesNovaDAX[[#This Row],[Tipo]]="SELL",IF(ISNUMBER(FIND(MID(R$1,10,5),TbTradesNovaDAX[[#This Row],[Par]])),IF(FIND(MID(R$1,10,5),TbTradesNovaDAX[[#This Row],[Par]])=1, -(Q19-Q20)/Q19*R19,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Row],[Par]])),(-(Q19-Q20)/Q19*R19)+IF(TbTradesNovaDAX[[#This Row],[Resultado]]&gt;0,0,TbTradesNovaDAX[[#This Row],[Taxa]]),0),0))</f>
        <v>0</v>
      </c>
      <c r="S20" s="41">
        <f t="shared" si="1"/>
        <v>0</v>
      </c>
      <c r="T20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Row],[Tipo]]="DROP"),T19+TbTradesNovaDAX[[#This Row],[Qtt]],T19-TbTradesNovaDAX[[#This Row],[Qtt]]),IF(TbTradesNovaDAX[[#This Row],[Tipo]]="BUY",T19-TbTradesNovaDAX[[#This Row],[Qtt]]*TbTradesNovaDAX[[#This Row],[Preço]],T19+TbTradesNovaDAX[[#This Row],[Qtt]]*TbTradesNovaDAX[[#This Row],[Preço]])),T19)-IF(TbTradesNovaDAX[[#This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Row],[Tipo]]="DROP"),T19+TbTradesNovaDAX[[#This Row],[Qtt]],T19-TbTradesNovaDAX[[#This Row],[Qtt]]),IF(TbTradesNovaDAX[[#This Row],[Tipo]]="BUY",T19-TbTradesNovaDAX[[#This Row],[Qtt]]*TbTradesNovaDAX[[#This Row],[Preço]],T19+TbTradesNovaDAX[[#This Row],[Qtt]]*TbTradesNovaDAX[[#This Row],[Preço]])),T19)-IF(TbTradesNovaDAX[[#This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Row],[Tipo]]="DROP"),T19+TbTradesNovaDAX[[#This Row],[Qtt]],T19-TbTradesNovaDAX[[#This Row],[Qtt]]),IF(TbTradesNovaDAX[[#This Row],[Tipo]]="BUY",T19-TbTradesNovaDAX[[#This Row],[Qtt]]*TbTradesNovaDAX[[#This Row],[Preço]],T19+TbTradesNovaDAX[[#This Row],[Qtt]]*TbTradesNovaDAX[[#This Row],[Preço]])),T19)-IF(TbTradesNovaDAX[[#This Row],[Moeda da Taxa]]=MID(T$1,9,5),TbTradesNovaDAX[[#This Row],[Taxa]],0),8)))</f>
        <v>1.3E-7</v>
      </c>
      <c r="U20" s="50" cm="1">
        <f t="array" ref="U20">IF(TbTradesNovaDAX[[#This Row],[Tipo]]="EMPTY",0,U19+IF(TbTradesNovaDAX[[#This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Row],[Par]]))),$1:$1,0)),-(T19-T20)/T19*U19),0),0)+IF(TbTradesNovaDAX[[#This Row],[Tipo]]="SELL",IF(ISNUMBER(FIND(MID(U$1,10,5),TbTradesNovaDAX[[#This Row],[Par]])),IF(FIND(MID(U$1,10,5),TbTradesNovaDAX[[#This Row],[Par]])=1, -(T19-T20)/T19*U19,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Row],[Par]])),(-(T19-T20)/T19*U19)+IF(TbTradesNovaDAX[[#This Row],[Resultado]]&gt;0,0,TbTradesNovaDAX[[#This Row],[Taxa]]),0),0))</f>
        <v>3.2941539001242859E-2</v>
      </c>
      <c r="V20" s="41">
        <f t="shared" si="2"/>
        <v>253396.4538557143</v>
      </c>
      <c r="W20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Row],[Tipo]]="DROP"),W19+TbTradesNovaDAX[[#This Row],[Qtt]],W19-TbTradesNovaDAX[[#This Row],[Qtt]]),IF(TbTradesNovaDAX[[#This Row],[Tipo]]="BUY",W19-TbTradesNovaDAX[[#This Row],[Qtt]]*TbTradesNovaDAX[[#This Row],[Preço]],W19+TbTradesNovaDAX[[#This Row],[Qtt]]*TbTradesNovaDAX[[#This Row],[Preço]])),W19)-IF(TbTradesNovaDAX[[#This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Row],[Tipo]]="DROP"),W19+TbTradesNovaDAX[[#This Row],[Qtt]],W19-TbTradesNovaDAX[[#This Row],[Qtt]]),IF(TbTradesNovaDAX[[#This Row],[Tipo]]="BUY",W19-TbTradesNovaDAX[[#This Row],[Qtt]]*TbTradesNovaDAX[[#This Row],[Preço]],W19+TbTradesNovaDAX[[#This Row],[Qtt]]*TbTradesNovaDAX[[#This Row],[Preço]])),W19)-IF(TbTradesNovaDAX[[#This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Row],[Tipo]]="DROP"),W19+TbTradesNovaDAX[[#This Row],[Qtt]],W19-TbTradesNovaDAX[[#This Row],[Qtt]]),IF(TbTradesNovaDAX[[#This Row],[Tipo]]="BUY",W19-TbTradesNovaDAX[[#This Row],[Qtt]]*TbTradesNovaDAX[[#This Row],[Preço]],W19+TbTradesNovaDAX[[#This Row],[Qtt]]*TbTradesNovaDAX[[#This Row],[Preço]])),W19)-IF(TbTradesNovaDAX[[#This Row],[Moeda da Taxa]]=MID(W$1,9,5),TbTradesNovaDAX[[#This Row],[Taxa]],0),8)))</f>
        <v>9.9773099999999997E-3</v>
      </c>
      <c r="X20" s="50" cm="1">
        <f t="array" ref="X20">IF(TbTradesNovaDAX[[#This Row],[Tipo]]="EMPTY",0,X19+IF(TbTradesNovaDAX[[#This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Row],[Par]]))),$1:$1,0)),-(W19-W20)/W19*X19),0),0)+IF(TbTradesNovaDAX[[#This Row],[Tipo]]="SELL",IF(ISNUMBER(FIND(MID(X$1,10,5),TbTradesNovaDAX[[#This Row],[Par]])),IF(FIND(MID(X$1,10,5),TbTradesNovaDAX[[#This Row],[Par]])=1, -(W19-W20)/W19*X19,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Row],[Par]])),(-(W19-W20)/W19*X19)+IF(TbTradesNovaDAX[[#This Row],[Resultado]]&gt;0,0,TbTradesNovaDAX[[#This Row],[Taxa]]),0),0))</f>
        <v>100.51735394577578</v>
      </c>
      <c r="Y20" s="41">
        <f t="shared" si="3"/>
        <v>10074.594649838062</v>
      </c>
      <c r="Z20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Row],[Tipo]]="DROP"),Z19+TbTradesNovaDAX[[#This Row],[Qtt]],Z19-TbTradesNovaDAX[[#This Row],[Qtt]]),IF(TbTradesNovaDAX[[#This Row],[Tipo]]="BUY",Z19-TbTradesNovaDAX[[#This Row],[Qtt]]*TbTradesNovaDAX[[#This Row],[Preço]],Z19+TbTradesNovaDAX[[#This Row],[Qtt]]*TbTradesNovaDAX[[#This Row],[Preço]])),Z19)-IF(TbTradesNovaDAX[[#This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Row],[Tipo]]="DROP"),Z19+TbTradesNovaDAX[[#This Row],[Qtt]],Z19-TbTradesNovaDAX[[#This Row],[Qtt]]),IF(TbTradesNovaDAX[[#This Row],[Tipo]]="BUY",Z19-TbTradesNovaDAX[[#This Row],[Qtt]]*TbTradesNovaDAX[[#This Row],[Preço]],Z19+TbTradesNovaDAX[[#This Row],[Qtt]]*TbTradesNovaDAX[[#This Row],[Preço]])),Z19)-IF(TbTradesNovaDAX[[#This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Row],[Tipo]]="DROP"),Z19+TbTradesNovaDAX[[#This Row],[Qtt]],Z19-TbTradesNovaDAX[[#This Row],[Qtt]]),IF(TbTradesNovaDAX[[#This Row],[Tipo]]="BUY",Z19-TbTradesNovaDAX[[#This Row],[Qtt]]*TbTradesNovaDAX[[#This Row],[Preço]],Z19+TbTradesNovaDAX[[#This Row],[Qtt]]*TbTradesNovaDAX[[#This Row],[Preço]])),Z19)-IF(TbTradesNovaDAX[[#This Row],[Moeda da Taxa]]=MID(Z$1,9,5),TbTradesNovaDAX[[#This Row],[Taxa]],0),8)))</f>
        <v>2.758043E-2</v>
      </c>
      <c r="AA20" s="50" cm="1">
        <f t="array" ref="AA20">IF(TbTradesNovaDAX[[#This Row],[Tipo]]="EMPTY",0,AA19+IF(TbTradesNovaDAX[[#This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Row],[Par]]))),$1:$1,0)),-(Z19-Z20)/Z19*AA19),0),0)+IF(TbTradesNovaDAX[[#This Row],[Tipo]]="SELL",IF(ISNUMBER(FIND(MID(AA$1,10,5),TbTradesNovaDAX[[#This Row],[Par]])),IF(FIND(MID(AA$1,10,5),TbTradesNovaDAX[[#This Row],[Par]])=1, -(Z19-Z20)/Z19*AA19,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Row],[Par]])),(-(Z19-Z20)/Z19*AA19)+IF(TbTradesNovaDAX[[#This Row],[Resultado]]&gt;0,0,TbTradesNovaDAX[[#This Row],[Taxa]]),0),0))</f>
        <v>93.145100744659118</v>
      </c>
      <c r="AB20" s="41">
        <f t="shared" si="4"/>
        <v>3377.2171334768573</v>
      </c>
      <c r="AC20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Row],[Tipo]]="DROP"),AC19+TbTradesNovaDAX[[#This Row],[Qtt]],AC19-TbTradesNovaDAX[[#This Row],[Qtt]]),IF(TbTradesNovaDAX[[#This Row],[Tipo]]="BUY",AC19-TbTradesNovaDAX[[#This Row],[Qtt]]*TbTradesNovaDAX[[#This Row],[Preço]],AC19+TbTradesNovaDAX[[#This Row],[Qtt]]*TbTradesNovaDAX[[#This Row],[Preço]])),AC19)-IF(TbTradesNovaDAX[[#This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Row],[Tipo]]="DROP"),AC19+TbTradesNovaDAX[[#This Row],[Qtt]],AC19-TbTradesNovaDAX[[#This Row],[Qtt]]),IF(TbTradesNovaDAX[[#This Row],[Tipo]]="BUY",AC19-TbTradesNovaDAX[[#This Row],[Qtt]]*TbTradesNovaDAX[[#This Row],[Preço]],AC19+TbTradesNovaDAX[[#This Row],[Qtt]]*TbTradesNovaDAX[[#This Row],[Preço]])),AC19)-IF(TbTradesNovaDAX[[#This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Row],[Tipo]]="DROP"),AC19+TbTradesNovaDAX[[#This Row],[Qtt]],AC19-TbTradesNovaDAX[[#This Row],[Qtt]]),IF(TbTradesNovaDAX[[#This Row],[Tipo]]="BUY",AC19-TbTradesNovaDAX[[#This Row],[Qtt]]*TbTradesNovaDAX[[#This Row],[Preço]],AC19+TbTradesNovaDAX[[#This Row],[Qtt]]*TbTradesNovaDAX[[#This Row],[Preço]])),AC19)-IF(TbTradesNovaDAX[[#This Row],[Moeda da Taxa]]=MID(AC$1,9,5),TbTradesNovaDAX[[#This Row],[Taxa]],0),8)))</f>
        <v>0.36715500000000001</v>
      </c>
      <c r="AD20" s="50" cm="1">
        <f t="array" ref="AD20">IF(TbTradesNovaDAX[[#This Row],[Tipo]]="EMPTY",0,AD19+IF(TbTradesNovaDAX[[#This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Row],[Par]]))),$1:$1,0)),-(AC19-AC20)/AC19*AD19),0),0)+IF(TbTradesNovaDAX[[#This Row],[Tipo]]="SELL",IF(ISNUMBER(FIND(MID(AD$1,10,5),TbTradesNovaDAX[[#This Row],[Par]])),IF(FIND(MID(AD$1,10,5),TbTradesNovaDAX[[#This Row],[Par]])=1, -(AC19-AC20)/AC19*AD19,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Row],[Par]])),(-(AC19-AC20)/AC19*AD19)+IF(TbTradesNovaDAX[[#This Row],[Resultado]]&gt;0,0,TbTradesNovaDAX[[#This Row],[Taxa]]),0),0))</f>
        <v>39.600009900000003</v>
      </c>
      <c r="AE20" s="41">
        <f t="shared" si="5"/>
        <v>107.85638190954775</v>
      </c>
      <c r="AF20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Row],[Tipo]]="DROP"),AF19+TbTradesNovaDAX[[#This Row],[Qtt]],AF19-TbTradesNovaDAX[[#This Row],[Qtt]]),IF(TbTradesNovaDAX[[#This Row],[Tipo]]="BUY",AF19-TbTradesNovaDAX[[#This Row],[Qtt]]*TbTradesNovaDAX[[#This Row],[Preço]],AF19+TbTradesNovaDAX[[#This Row],[Qtt]]*TbTradesNovaDAX[[#This Row],[Preço]])),AF19)-IF(TbTradesNovaDAX[[#This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Row],[Tipo]]="DROP"),AF19+TbTradesNovaDAX[[#This Row],[Qtt]],AF19-TbTradesNovaDAX[[#This Row],[Qtt]]),IF(TbTradesNovaDAX[[#This Row],[Tipo]]="BUY",AF19-TbTradesNovaDAX[[#This Row],[Qtt]]*TbTradesNovaDAX[[#This Row],[Preço]],AF19+TbTradesNovaDAX[[#This Row],[Qtt]]*TbTradesNovaDAX[[#This Row],[Preço]])),AF19)-IF(TbTradesNovaDAX[[#This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Row],[Tipo]]="DROP"),AF19+TbTradesNovaDAX[[#This Row],[Qtt]],AF19-TbTradesNovaDAX[[#This Row],[Qtt]]),IF(TbTradesNovaDAX[[#This Row],[Tipo]]="BUY",AF19-TbTradesNovaDAX[[#This Row],[Qtt]]*TbTradesNovaDAX[[#This Row],[Preço]],AF19+TbTradesNovaDAX[[#This Row],[Qtt]]*TbTradesNovaDAX[[#This Row],[Preço]])),AF19)-IF(TbTradesNovaDAX[[#This Row],[Moeda da Taxa]]=MID(AF$1,9,5),TbTradesNovaDAX[[#This Row],[Taxa]],0),8)))</f>
        <v>1.649E-5</v>
      </c>
      <c r="AG20" s="50" cm="1">
        <f t="array" ref="AG20">IF(TbTradesNovaDAX[[#This Row],[Tipo]]="EMPTY",0,AG19+IF(TbTradesNovaDAX[[#This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Row],[Par]]))),$1:$1,0)),-(AF19-AF20)/AF19*AG19),0),0)+IF(TbTradesNovaDAX[[#This Row],[Tipo]]="SELL",IF(ISNUMBER(FIND(MID(AG$1,10,5),TbTradesNovaDAX[[#This Row],[Par]])),IF(FIND(MID(AG$1,10,5),TbTradesNovaDAX[[#This Row],[Par]])=1, -(AF19-AF20)/AF19*AG19,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Row],[Par]])),(-(AF19-AF20)/AF19*AG19)+IF(TbTradesNovaDAX[[#This Row],[Resultado]]&gt;0,0,TbTradesNovaDAX[[#This Row],[Taxa]]),0),0))</f>
        <v>1.4694429588004709E-3</v>
      </c>
      <c r="AH20" s="41">
        <f t="shared" si="6"/>
        <v>89.111155779288723</v>
      </c>
      <c r="AI20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Row],[Tipo]]="DROP"),AI19+TbTradesNovaDAX[[#This Row],[Qtt]],AI19-TbTradesNovaDAX[[#This Row],[Qtt]]),IF(TbTradesNovaDAX[[#This Row],[Tipo]]="BUY",AI19-TbTradesNovaDAX[[#This Row],[Qtt]]*TbTradesNovaDAX[[#This Row],[Preço]],AI19+TbTradesNovaDAX[[#This Row],[Qtt]]*TbTradesNovaDAX[[#This Row],[Preço]])),AI19)-IF(TbTradesNovaDAX[[#This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Row],[Tipo]]="DROP"),AI19+TbTradesNovaDAX[[#This Row],[Qtt]],AI19-TbTradesNovaDAX[[#This Row],[Qtt]]),IF(TbTradesNovaDAX[[#This Row],[Tipo]]="BUY",AI19-TbTradesNovaDAX[[#This Row],[Qtt]]*TbTradesNovaDAX[[#This Row],[Preço]],AI19+TbTradesNovaDAX[[#This Row],[Qtt]]*TbTradesNovaDAX[[#This Row],[Preço]])),AI19)-IF(TbTradesNovaDAX[[#This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Row],[Tipo]]="DROP"),AI19+TbTradesNovaDAX[[#This Row],[Qtt]],AI19-TbTradesNovaDAX[[#This Row],[Qtt]]),IF(TbTradesNovaDAX[[#This Row],[Tipo]]="BUY",AI19-TbTradesNovaDAX[[#This Row],[Qtt]]*TbTradesNovaDAX[[#This Row],[Preço]],AI19+TbTradesNovaDAX[[#This Row],[Qtt]]*TbTradesNovaDAX[[#This Row],[Preço]])),AI19)-IF(TbTradesNovaDAX[[#This Row],[Moeda da Taxa]]=MID(AI$1,9,5),TbTradesNovaDAX[[#This Row],[Taxa]],0),8)))</f>
        <v>7.6990000000000007E-5</v>
      </c>
      <c r="AJ20" s="50" cm="1">
        <f t="array" ref="AJ20">IF(TbTradesNovaDAX[[#This Row],[Tipo]]="EMPTY",0,AJ19+IF(TbTradesNovaDAX[[#This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Row],[Par]]))),$1:$1,0)),-(AI19-AI20)/AI19*AJ19),0),0)+IF(TbTradesNovaDAX[[#This Row],[Tipo]]="SELL",IF(ISNUMBER(FIND(MID(AJ$1,10,5),TbTradesNovaDAX[[#This Row],[Par]])),IF(FIND(MID(AJ$1,10,5),TbTradesNovaDAX[[#This Row],[Par]])=1, -(AI19-AI20)/AI19*AJ19,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Row],[Par]])),(-(AI19-AI20)/AI19*AJ19)+IF(TbTradesNovaDAX[[#This Row],[Resultado]]&gt;0,0,TbTradesNovaDAX[[#This Row],[Taxa]]),0),0))</f>
        <v>4.7351825995178842E-4</v>
      </c>
      <c r="AK20" s="41">
        <f t="shared" si="7"/>
        <v>6.1503865430807689</v>
      </c>
      <c r="AL20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Row],[Tipo]]="DROP"),AL19+TbTradesNovaDAX[[#This Row],[Qtt]],AL19-TbTradesNovaDAX[[#This Row],[Qtt]]),IF(TbTradesNovaDAX[[#This Row],[Tipo]]="BUY",AL19-TbTradesNovaDAX[[#This Row],[Qtt]]*TbTradesNovaDAX[[#This Row],[Preço]],AL19+TbTradesNovaDAX[[#This Row],[Qtt]]*TbTradesNovaDAX[[#This Row],[Preço]])),AL19)-IF(TbTradesNovaDAX[[#This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Row],[Tipo]]="DROP"),AL19+TbTradesNovaDAX[[#This Row],[Qtt]],AL19-TbTradesNovaDAX[[#This Row],[Qtt]]),IF(TbTradesNovaDAX[[#This Row],[Tipo]]="BUY",AL19-TbTradesNovaDAX[[#This Row],[Qtt]]*TbTradesNovaDAX[[#This Row],[Preço]],AL19+TbTradesNovaDAX[[#This Row],[Qtt]]*TbTradesNovaDAX[[#This Row],[Preço]])),AL19)-IF(TbTradesNovaDAX[[#This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Row],[Tipo]]="DROP"),AL19+TbTradesNovaDAX[[#This Row],[Qtt]],AL19-TbTradesNovaDAX[[#This Row],[Qtt]]),IF(TbTradesNovaDAX[[#This Row],[Tipo]]="BUY",AL19-TbTradesNovaDAX[[#This Row],[Qtt]]*TbTradesNovaDAX[[#This Row],[Preço]],AL19+TbTradesNovaDAX[[#This Row],[Qtt]]*TbTradesNovaDAX[[#This Row],[Preço]])),AL19)-IF(TbTradesNovaDAX[[#This Row],[Moeda da Taxa]]=MID(AL$1,9,5),TbTradesNovaDAX[[#This Row],[Taxa]],0),8)))</f>
        <v>1.15E-5</v>
      </c>
      <c r="AM20" s="50" cm="1">
        <f t="array" ref="AM20">IF(TbTradesNovaDAX[[#This Row],[Tipo]]="EMPTY",0,AM19+IF(TbTradesNovaDAX[[#This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Row],[Par]]))),$1:$1,0)),-(AL19-AL20)/AL19*AM19),0),0)+IF(TbTradesNovaDAX[[#This Row],[Tipo]]="SELL",IF(ISNUMBER(FIND(MID(AM$1,10,5),TbTradesNovaDAX[[#This Row],[Par]])),IF(FIND(MID(AM$1,10,5),TbTradesNovaDAX[[#This Row],[Par]])=1, -(AL19-AL20)/AL19*AM19,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Row],[Par]])),(-(AL19-AL20)/AL19*AM19)+IF(TbTradesNovaDAX[[#This Row],[Resultado]]&gt;0,0,TbTradesNovaDAX[[#This Row],[Taxa]]),0),0))</f>
        <v>7.1604349300216086E-3</v>
      </c>
      <c r="AN20" s="41">
        <f t="shared" si="8"/>
        <v>622.64651565405291</v>
      </c>
      <c r="AO20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Row],[Tipo]]="DROP"),AO19+TbTradesNovaDAX[[#This Row],[Qtt]],AO19-TbTradesNovaDAX[[#This Row],[Qtt]]),IF(TbTradesNovaDAX[[#This Row],[Tipo]]="BUY",AO19-TbTradesNovaDAX[[#This Row],[Qtt]]*TbTradesNovaDAX[[#This Row],[Preço]],AO19+TbTradesNovaDAX[[#This Row],[Qtt]]*TbTradesNovaDAX[[#This Row],[Preço]])),AO19)-IF(TbTradesNovaDAX[[#This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Row],[Tipo]]="DROP"),AO19+TbTradesNovaDAX[[#This Row],[Qtt]],AO19-TbTradesNovaDAX[[#This Row],[Qtt]]),IF(TbTradesNovaDAX[[#This Row],[Tipo]]="BUY",AO19-TbTradesNovaDAX[[#This Row],[Qtt]]*TbTradesNovaDAX[[#This Row],[Preço]],AO19+TbTradesNovaDAX[[#This Row],[Qtt]]*TbTradesNovaDAX[[#This Row],[Preço]])),AO19)-IF(TbTradesNovaDAX[[#This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Row],[Tipo]]="DROP"),AO19+TbTradesNovaDAX[[#This Row],[Qtt]],AO19-TbTradesNovaDAX[[#This Row],[Qtt]]),IF(TbTradesNovaDAX[[#This Row],[Tipo]]="BUY",AO19-TbTradesNovaDAX[[#This Row],[Qtt]]*TbTradesNovaDAX[[#This Row],[Preço]],AO19+TbTradesNovaDAX[[#This Row],[Qtt]]*TbTradesNovaDAX[[#This Row],[Preço]])),AO19)-IF(TbTradesNovaDAX[[#This Row],[Moeda da Taxa]]=MID(AO$1,9,5),TbTradesNovaDAX[[#This Row],[Taxa]],0),8)))</f>
        <v>0</v>
      </c>
      <c r="AP20" s="50" cm="1">
        <f t="array" ref="AP20">IF(TbTradesNovaDAX[[#This Row],[Tipo]]="EMPTY",0,AP19+IF(TbTradesNovaDAX[[#This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Row],[Par]]))),$1:$1,0)),-(AO19-AO20)/AO19*AP19),0),0)+IF(TbTradesNovaDAX[[#This Row],[Tipo]]="SELL",IF(ISNUMBER(FIND(MID(AP$1,10,5),TbTradesNovaDAX[[#This Row],[Par]])),IF(FIND(MID(AP$1,10,5),TbTradesNovaDAX[[#This Row],[Par]])=1, -(AO19-AO20)/AO19*AP19,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Row],[Par]])),(-(AO19-AO20)/AO19*AP19)+IF(TbTradesNovaDAX[[#This Row],[Resultado]]&gt;0,0,TbTradesNovaDAX[[#This Row],[Taxa]]),0),0))</f>
        <v>0</v>
      </c>
      <c r="AQ20" s="41">
        <f t="shared" si="9"/>
        <v>0</v>
      </c>
    </row>
    <row r="21" spans="2:43" x14ac:dyDescent="0.3">
      <c r="B21" s="74"/>
      <c r="C21" s="67">
        <f>TRUNC(IF(AND(TbTradesNovaDAX[[#This Row],[Tipo]]="SEND",TbTradesNovaDAX[[#This Row],[Par]]="BRL"),TbTradesNovaDAX[[#This Row],[Qtt]]*(1-P20)-IF(TbTradesNovaDAX[[#This Row],[Moeda da Taxa]]="BRL",TbTradesNovaDAX[[#This Row],[Taxa]],0),0)+IF(AND(TbTradesNovaDAX[[#This Row],[Tipo]]="BURN",TbTradesNovaDAX[[#This Row],[Par]]="BRL"),-TbTradesNovaDAX[[#This Row],[Qtt]]*P20,0),2)</f>
        <v>0</v>
      </c>
      <c r="D21" s="65">
        <v>44250.398333333331</v>
      </c>
      <c r="E21" s="77" t="s">
        <v>143</v>
      </c>
      <c r="F21" s="77" t="s">
        <v>139</v>
      </c>
      <c r="G21" s="78">
        <v>139.92570000000001</v>
      </c>
      <c r="H21" s="78">
        <v>0.2422</v>
      </c>
      <c r="I21" s="78">
        <v>1.2110000000000001E-3</v>
      </c>
      <c r="J21" s="77" t="s">
        <v>38</v>
      </c>
      <c r="K21" s="75">
        <v>1</v>
      </c>
      <c r="L21" s="67">
        <f t="shared" si="10"/>
        <v>139.91999999999999</v>
      </c>
      <c r="M21" s="67">
        <f>IF(OR(TbTradesNovaDAX[[#This Row],[Tipo]]="BUY",TbTradesNovaDAX[[#This Row],[Tipo]]="RECEIVE"),L21*H21,-L21*H21)</f>
        <v>33.888624</v>
      </c>
      <c r="N21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Row],[Tipo]]="DROP"),N20+TbTradesNovaDAX[[#This Row],[Qtt]],N20-TbTradesNovaDAX[[#This Row],[Qtt]]),IF(TbTradesNovaDAX[[#This Row],[Tipo]]="BUY",N20-TbTradesNovaDAX[[#This Row],[Qtt]]*TbTradesNovaDAX[[#This Row],[Preço]],N20+TbTradesNovaDAX[[#This Row],[Qtt]]*TbTradesNovaDAX[[#This Row],[Preço]])),N20)-IF(TbTradesNovaDAX[[#This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Row],[Tipo]]="DROP"),N20+TbTradesNovaDAX[[#This Row],[Qtt]],N20-TbTradesNovaDAX[[#This Row],[Qtt]]),IF(TbTradesNovaDAX[[#This Row],[Tipo]]="BUY",N20-TbTradesNovaDAX[[#This Row],[Qtt]]*TbTradesNovaDAX[[#This Row],[Preço]],N20+TbTradesNovaDAX[[#This Row],[Qtt]]*TbTradesNovaDAX[[#This Row],[Preço]])),N20)-IF(TbTradesNovaDAX[[#This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Row],[Tipo]]="DROP"),N20+TbTradesNovaDAX[[#This Row],[Qtt]],N20-TbTradesNovaDAX[[#This Row],[Qtt]]),IF(TbTradesNovaDAX[[#This Row],[Tipo]]="BUY",N20-TbTradesNovaDAX[[#This Row],[Qtt]]*TbTradesNovaDAX[[#This Row],[Preço]],N20+TbTradesNovaDAX[[#This Row],[Qtt]]*TbTradesNovaDAX[[#This Row],[Preço]])),N20)-IF(TbTradesNovaDAX[[#This Row],[Moeda da Taxa]]=MID(N$1,9,5),TbTradesNovaDAX[[#This Row],[Taxa]],0),8)))</f>
        <v>9.6822399999999999E-3</v>
      </c>
      <c r="O21" s="50" cm="1">
        <f t="array" ref="O21">IF(TbTradesNovaDAX[[#This Row],[Tipo]]="EMPTY",0,O20+IF(TbTradesNovaDAX[[#This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Row],[Par]]))),$1:$1,0)),-(N20-N21)/N20*O20),0),0)+IF(TbTradesNovaDAX[[#This Row],[Tipo]]="SELL",IF(ISNUMBER(FIND(MID(O$1,10,5),TbTradesNovaDAX[[#This Row],[Par]])),IF(FIND(MID(O$1,10,5),TbTradesNovaDAX[[#This Row],[Par]])=1, -(N20-N21)/N20*O20,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Row],[Par]])),(-(N20-N21)/N20*O20)+IF(TbTradesNovaDAX[[#This Row],[Resultado]]&gt;0,0,TbTradesNovaDAX[[#This Row],[Taxa]]),0),0))</f>
        <v>9.6481701011015275E-3</v>
      </c>
      <c r="P21" s="41">
        <f t="shared" si="0"/>
        <v>0.99648119661375134</v>
      </c>
      <c r="Q21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Row],[Tipo]]="DROP"),Q20+TbTradesNovaDAX[[#This Row],[Qtt]],Q20-TbTradesNovaDAX[[#This Row],[Qtt]]),IF(TbTradesNovaDAX[[#This Row],[Tipo]]="BUY",Q20-TbTradesNovaDAX[[#This Row],[Qtt]]*TbTradesNovaDAX[[#This Row],[Preço]],Q20+TbTradesNovaDAX[[#This Row],[Qtt]]*TbTradesNovaDAX[[#This Row],[Preço]])),Q20)-IF(TbTradesNovaDAX[[#This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Row],[Tipo]]="DROP"),Q20+TbTradesNovaDAX[[#This Row],[Qtt]],Q20-TbTradesNovaDAX[[#This Row],[Qtt]]),IF(TbTradesNovaDAX[[#This Row],[Tipo]]="BUY",Q20-TbTradesNovaDAX[[#This Row],[Qtt]]*TbTradesNovaDAX[[#This Row],[Preço]],Q20+TbTradesNovaDAX[[#This Row],[Qtt]]*TbTradesNovaDAX[[#This Row],[Preço]])),Q20)-IF(TbTradesNovaDAX[[#This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Row],[Tipo]]="DROP"),Q20+TbTradesNovaDAX[[#This Row],[Qtt]],Q20-TbTradesNovaDAX[[#This Row],[Qtt]]),IF(TbTradesNovaDAX[[#This Row],[Tipo]]="BUY",Q20-TbTradesNovaDAX[[#This Row],[Qtt]]*TbTradesNovaDAX[[#This Row],[Preço]],Q20+TbTradesNovaDAX[[#This Row],[Qtt]]*TbTradesNovaDAX[[#This Row],[Preço]])),Q20)-IF(TbTradesNovaDAX[[#This Row],[Moeda da Taxa]]=MID(Q$1,9,5),TbTradesNovaDAX[[#This Row],[Taxa]],0),8)))</f>
        <v>0</v>
      </c>
      <c r="R21" s="50" cm="1">
        <f t="array" ref="R21">IF(TbTradesNovaDAX[[#This Row],[Tipo]]="EMPTY",0,R20+IF(TbTradesNovaDAX[[#This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Row],[Par]]))),$1:$1,0)),-(Q20-Q21)/Q20*R20),0),0)+IF(TbTradesNovaDAX[[#This Row],[Tipo]]="SELL",IF(ISNUMBER(FIND(MID(R$1,10,5),TbTradesNovaDAX[[#This Row],[Par]])),IF(FIND(MID(R$1,10,5),TbTradesNovaDAX[[#This Row],[Par]])=1, -(Q20-Q21)/Q20*R20,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Row],[Par]])),(-(Q20-Q21)/Q20*R20)+IF(TbTradesNovaDAX[[#This Row],[Resultado]]&gt;0,0,TbTradesNovaDAX[[#This Row],[Taxa]]),0),0))</f>
        <v>0</v>
      </c>
      <c r="S21" s="41">
        <f t="shared" si="1"/>
        <v>0</v>
      </c>
      <c r="T21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Row],[Tipo]]="DROP"),T20+TbTradesNovaDAX[[#This Row],[Qtt]],T20-TbTradesNovaDAX[[#This Row],[Qtt]]),IF(TbTradesNovaDAX[[#This Row],[Tipo]]="BUY",T20-TbTradesNovaDAX[[#This Row],[Qtt]]*TbTradesNovaDAX[[#This Row],[Preço]],T20+TbTradesNovaDAX[[#This Row],[Qtt]]*TbTradesNovaDAX[[#This Row],[Preço]])),T20)-IF(TbTradesNovaDAX[[#This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Row],[Tipo]]="DROP"),T20+TbTradesNovaDAX[[#This Row],[Qtt]],T20-TbTradesNovaDAX[[#This Row],[Qtt]]),IF(TbTradesNovaDAX[[#This Row],[Tipo]]="BUY",T20-TbTradesNovaDAX[[#This Row],[Qtt]]*TbTradesNovaDAX[[#This Row],[Preço]],T20+TbTradesNovaDAX[[#This Row],[Qtt]]*TbTradesNovaDAX[[#This Row],[Preço]])),T20)-IF(TbTradesNovaDAX[[#This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Row],[Tipo]]="DROP"),T20+TbTradesNovaDAX[[#This Row],[Qtt]],T20-TbTradesNovaDAX[[#This Row],[Qtt]]),IF(TbTradesNovaDAX[[#This Row],[Tipo]]="BUY",T20-TbTradesNovaDAX[[#This Row],[Qtt]]*TbTradesNovaDAX[[#This Row],[Preço]],T20+TbTradesNovaDAX[[#This Row],[Qtt]]*TbTradesNovaDAX[[#This Row],[Preço]])),T20)-IF(TbTradesNovaDAX[[#This Row],[Moeda da Taxa]]=MID(T$1,9,5),TbTradesNovaDAX[[#This Row],[Taxa]],0),8)))</f>
        <v>1.3E-7</v>
      </c>
      <c r="U21" s="50" cm="1">
        <f t="array" ref="U21">IF(TbTradesNovaDAX[[#This Row],[Tipo]]="EMPTY",0,U20+IF(TbTradesNovaDAX[[#This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Row],[Par]]))),$1:$1,0)),-(T20-T21)/T20*U20),0),0)+IF(TbTradesNovaDAX[[#This Row],[Tipo]]="SELL",IF(ISNUMBER(FIND(MID(U$1,10,5),TbTradesNovaDAX[[#This Row],[Par]])),IF(FIND(MID(U$1,10,5),TbTradesNovaDAX[[#This Row],[Par]])=1, -(T20-T21)/T20*U20,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Row],[Par]])),(-(T20-T21)/T20*U20)+IF(TbTradesNovaDAX[[#This Row],[Resultado]]&gt;0,0,TbTradesNovaDAX[[#This Row],[Taxa]]),0),0))</f>
        <v>3.2941539001242859E-2</v>
      </c>
      <c r="V21" s="41">
        <f t="shared" si="2"/>
        <v>253396.4538557143</v>
      </c>
      <c r="W21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Row],[Tipo]]="DROP"),W20+TbTradesNovaDAX[[#This Row],[Qtt]],W20-TbTradesNovaDAX[[#This Row],[Qtt]]),IF(TbTradesNovaDAX[[#This Row],[Tipo]]="BUY",W20-TbTradesNovaDAX[[#This Row],[Qtt]]*TbTradesNovaDAX[[#This Row],[Preço]],W20+TbTradesNovaDAX[[#This Row],[Qtt]]*TbTradesNovaDAX[[#This Row],[Preço]])),W20)-IF(TbTradesNovaDAX[[#This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Row],[Tipo]]="DROP"),W20+TbTradesNovaDAX[[#This Row],[Qtt]],W20-TbTradesNovaDAX[[#This Row],[Qtt]]),IF(TbTradesNovaDAX[[#This Row],[Tipo]]="BUY",W20-TbTradesNovaDAX[[#This Row],[Qtt]]*TbTradesNovaDAX[[#This Row],[Preço]],W20+TbTradesNovaDAX[[#This Row],[Qtt]]*TbTradesNovaDAX[[#This Row],[Preço]])),W20)-IF(TbTradesNovaDAX[[#This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Row],[Tipo]]="DROP"),W20+TbTradesNovaDAX[[#This Row],[Qtt]],W20-TbTradesNovaDAX[[#This Row],[Qtt]]),IF(TbTradesNovaDAX[[#This Row],[Tipo]]="BUY",W20-TbTradesNovaDAX[[#This Row],[Qtt]]*TbTradesNovaDAX[[#This Row],[Preço]],W20+TbTradesNovaDAX[[#This Row],[Qtt]]*TbTradesNovaDAX[[#This Row],[Preço]])),W20)-IF(TbTradesNovaDAX[[#This Row],[Moeda da Taxa]]=MID(W$1,9,5),TbTradesNovaDAX[[#This Row],[Taxa]],0),8)))</f>
        <v>9.9773099999999997E-3</v>
      </c>
      <c r="X21" s="50" cm="1">
        <f t="array" ref="X21">IF(TbTradesNovaDAX[[#This Row],[Tipo]]="EMPTY",0,X20+IF(TbTradesNovaDAX[[#This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Row],[Par]]))),$1:$1,0)),-(W20-W21)/W20*X20),0),0)+IF(TbTradesNovaDAX[[#This Row],[Tipo]]="SELL",IF(ISNUMBER(FIND(MID(X$1,10,5),TbTradesNovaDAX[[#This Row],[Par]])),IF(FIND(MID(X$1,10,5),TbTradesNovaDAX[[#This Row],[Par]])=1, -(W20-W21)/W20*X20,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Row],[Par]])),(-(W20-W21)/W20*X20)+IF(TbTradesNovaDAX[[#This Row],[Resultado]]&gt;0,0,TbTradesNovaDAX[[#This Row],[Taxa]]),0),0))</f>
        <v>100.51735394577578</v>
      </c>
      <c r="Y21" s="41">
        <f t="shared" si="3"/>
        <v>10074.594649838062</v>
      </c>
      <c r="Z21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Row],[Tipo]]="DROP"),Z20+TbTradesNovaDAX[[#This Row],[Qtt]],Z20-TbTradesNovaDAX[[#This Row],[Qtt]]),IF(TbTradesNovaDAX[[#This Row],[Tipo]]="BUY",Z20-TbTradesNovaDAX[[#This Row],[Qtt]]*TbTradesNovaDAX[[#This Row],[Preço]],Z20+TbTradesNovaDAX[[#This Row],[Qtt]]*TbTradesNovaDAX[[#This Row],[Preço]])),Z20)-IF(TbTradesNovaDAX[[#This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Row],[Tipo]]="DROP"),Z20+TbTradesNovaDAX[[#This Row],[Qtt]],Z20-TbTradesNovaDAX[[#This Row],[Qtt]]),IF(TbTradesNovaDAX[[#This Row],[Tipo]]="BUY",Z20-TbTradesNovaDAX[[#This Row],[Qtt]]*TbTradesNovaDAX[[#This Row],[Preço]],Z20+TbTradesNovaDAX[[#This Row],[Qtt]]*TbTradesNovaDAX[[#This Row],[Preço]])),Z20)-IF(TbTradesNovaDAX[[#This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Row],[Tipo]]="DROP"),Z20+TbTradesNovaDAX[[#This Row],[Qtt]],Z20-TbTradesNovaDAX[[#This Row],[Qtt]]),IF(TbTradesNovaDAX[[#This Row],[Tipo]]="BUY",Z20-TbTradesNovaDAX[[#This Row],[Qtt]]*TbTradesNovaDAX[[#This Row],[Preço]],Z20+TbTradesNovaDAX[[#This Row],[Qtt]]*TbTradesNovaDAX[[#This Row],[Preço]])),Z20)-IF(TbTradesNovaDAX[[#This Row],[Moeda da Taxa]]=MID(Z$1,9,5),TbTradesNovaDAX[[#This Row],[Taxa]],0),8)))</f>
        <v>2.758043E-2</v>
      </c>
      <c r="AA21" s="50" cm="1">
        <f t="array" ref="AA21">IF(TbTradesNovaDAX[[#This Row],[Tipo]]="EMPTY",0,AA20+IF(TbTradesNovaDAX[[#This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Row],[Par]]))),$1:$1,0)),-(Z20-Z21)/Z20*AA20),0),0)+IF(TbTradesNovaDAX[[#This Row],[Tipo]]="SELL",IF(ISNUMBER(FIND(MID(AA$1,10,5),TbTradesNovaDAX[[#This Row],[Par]])),IF(FIND(MID(AA$1,10,5),TbTradesNovaDAX[[#This Row],[Par]])=1, -(Z20-Z21)/Z20*AA20,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Row],[Par]])),(-(Z20-Z21)/Z20*AA20)+IF(TbTradesNovaDAX[[#This Row],[Resultado]]&gt;0,0,TbTradesNovaDAX[[#This Row],[Taxa]]),0),0))</f>
        <v>93.145100744659118</v>
      </c>
      <c r="AB21" s="41">
        <f t="shared" si="4"/>
        <v>3377.2171334768573</v>
      </c>
      <c r="AC21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Row],[Tipo]]="DROP"),AC20+TbTradesNovaDAX[[#This Row],[Qtt]],AC20-TbTradesNovaDAX[[#This Row],[Qtt]]),IF(TbTradesNovaDAX[[#This Row],[Tipo]]="BUY",AC20-TbTradesNovaDAX[[#This Row],[Qtt]]*TbTradesNovaDAX[[#This Row],[Preço]],AC20+TbTradesNovaDAX[[#This Row],[Qtt]]*TbTradesNovaDAX[[#This Row],[Preço]])),AC20)-IF(TbTradesNovaDAX[[#This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Row],[Tipo]]="DROP"),AC20+TbTradesNovaDAX[[#This Row],[Qtt]],AC20-TbTradesNovaDAX[[#This Row],[Qtt]]),IF(TbTradesNovaDAX[[#This Row],[Tipo]]="BUY",AC20-TbTradesNovaDAX[[#This Row],[Qtt]]*TbTradesNovaDAX[[#This Row],[Preço]],AC20+TbTradesNovaDAX[[#This Row],[Qtt]]*TbTradesNovaDAX[[#This Row],[Preço]])),AC20)-IF(TbTradesNovaDAX[[#This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Row],[Tipo]]="DROP"),AC20+TbTradesNovaDAX[[#This Row],[Qtt]],AC20-TbTradesNovaDAX[[#This Row],[Qtt]]),IF(TbTradesNovaDAX[[#This Row],[Tipo]]="BUY",AC20-TbTradesNovaDAX[[#This Row],[Qtt]]*TbTradesNovaDAX[[#This Row],[Preço]],AC20+TbTradesNovaDAX[[#This Row],[Qtt]]*TbTradesNovaDAX[[#This Row],[Preço]])),AC20)-IF(TbTradesNovaDAX[[#This Row],[Moeda da Taxa]]=MID(AC$1,9,5),TbTradesNovaDAX[[#This Row],[Taxa]],0),8)))</f>
        <v>0.36715500000000001</v>
      </c>
      <c r="AD21" s="50" cm="1">
        <f t="array" ref="AD21">IF(TbTradesNovaDAX[[#This Row],[Tipo]]="EMPTY",0,AD20+IF(TbTradesNovaDAX[[#This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Row],[Par]]))),$1:$1,0)),-(AC20-AC21)/AC20*AD20),0),0)+IF(TbTradesNovaDAX[[#This Row],[Tipo]]="SELL",IF(ISNUMBER(FIND(MID(AD$1,10,5),TbTradesNovaDAX[[#This Row],[Par]])),IF(FIND(MID(AD$1,10,5),TbTradesNovaDAX[[#This Row],[Par]])=1, -(AC20-AC21)/AC20*AD20,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Row],[Par]])),(-(AC20-AC21)/AC20*AD20)+IF(TbTradesNovaDAX[[#This Row],[Resultado]]&gt;0,0,TbTradesNovaDAX[[#This Row],[Taxa]]),0),0))</f>
        <v>39.600009900000003</v>
      </c>
      <c r="AE21" s="41">
        <f t="shared" si="5"/>
        <v>107.85638190954775</v>
      </c>
      <c r="AF21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Row],[Tipo]]="DROP"),AF20+TbTradesNovaDAX[[#This Row],[Qtt]],AF20-TbTradesNovaDAX[[#This Row],[Qtt]]),IF(TbTradesNovaDAX[[#This Row],[Tipo]]="BUY",AF20-TbTradesNovaDAX[[#This Row],[Qtt]]*TbTradesNovaDAX[[#This Row],[Preço]],AF20+TbTradesNovaDAX[[#This Row],[Qtt]]*TbTradesNovaDAX[[#This Row],[Preço]])),AF20)-IF(TbTradesNovaDAX[[#This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Row],[Tipo]]="DROP"),AF20+TbTradesNovaDAX[[#This Row],[Qtt]],AF20-TbTradesNovaDAX[[#This Row],[Qtt]]),IF(TbTradesNovaDAX[[#This Row],[Tipo]]="BUY",AF20-TbTradesNovaDAX[[#This Row],[Qtt]]*TbTradesNovaDAX[[#This Row],[Preço]],AF20+TbTradesNovaDAX[[#This Row],[Qtt]]*TbTradesNovaDAX[[#This Row],[Preço]])),AF20)-IF(TbTradesNovaDAX[[#This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Row],[Tipo]]="DROP"),AF20+TbTradesNovaDAX[[#This Row],[Qtt]],AF20-TbTradesNovaDAX[[#This Row],[Qtt]]),IF(TbTradesNovaDAX[[#This Row],[Tipo]]="BUY",AF20-TbTradesNovaDAX[[#This Row],[Qtt]]*TbTradesNovaDAX[[#This Row],[Preço]],AF20+TbTradesNovaDAX[[#This Row],[Qtt]]*TbTradesNovaDAX[[#This Row],[Preço]])),AF20)-IF(TbTradesNovaDAX[[#This Row],[Moeda da Taxa]]=MID(AF$1,9,5),TbTradesNovaDAX[[#This Row],[Taxa]],0),8)))</f>
        <v>1.649E-5</v>
      </c>
      <c r="AG21" s="50" cm="1">
        <f t="array" ref="AG21">IF(TbTradesNovaDAX[[#This Row],[Tipo]]="EMPTY",0,AG20+IF(TbTradesNovaDAX[[#This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Row],[Par]]))),$1:$1,0)),-(AF20-AF21)/AF20*AG20),0),0)+IF(TbTradesNovaDAX[[#This Row],[Tipo]]="SELL",IF(ISNUMBER(FIND(MID(AG$1,10,5),TbTradesNovaDAX[[#This Row],[Par]])),IF(FIND(MID(AG$1,10,5),TbTradesNovaDAX[[#This Row],[Par]])=1, -(AF20-AF21)/AF20*AG20,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Row],[Par]])),(-(AF20-AF21)/AF20*AG20)+IF(TbTradesNovaDAX[[#This Row],[Resultado]]&gt;0,0,TbTradesNovaDAX[[#This Row],[Taxa]]),0),0))</f>
        <v>1.4694429588004709E-3</v>
      </c>
      <c r="AH21" s="41">
        <f t="shared" si="6"/>
        <v>89.111155779288723</v>
      </c>
      <c r="AI21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Row],[Tipo]]="DROP"),AI20+TbTradesNovaDAX[[#This Row],[Qtt]],AI20-TbTradesNovaDAX[[#This Row],[Qtt]]),IF(TbTradesNovaDAX[[#This Row],[Tipo]]="BUY",AI20-TbTradesNovaDAX[[#This Row],[Qtt]]*TbTradesNovaDAX[[#This Row],[Preço]],AI20+TbTradesNovaDAX[[#This Row],[Qtt]]*TbTradesNovaDAX[[#This Row],[Preço]])),AI20)-IF(TbTradesNovaDAX[[#This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Row],[Tipo]]="DROP"),AI20+TbTradesNovaDAX[[#This Row],[Qtt]],AI20-TbTradesNovaDAX[[#This Row],[Qtt]]),IF(TbTradesNovaDAX[[#This Row],[Tipo]]="BUY",AI20-TbTradesNovaDAX[[#This Row],[Qtt]]*TbTradesNovaDAX[[#This Row],[Preço]],AI20+TbTradesNovaDAX[[#This Row],[Qtt]]*TbTradesNovaDAX[[#This Row],[Preço]])),AI20)-IF(TbTradesNovaDAX[[#This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Row],[Tipo]]="DROP"),AI20+TbTradesNovaDAX[[#This Row],[Qtt]],AI20-TbTradesNovaDAX[[#This Row],[Qtt]]),IF(TbTradesNovaDAX[[#This Row],[Tipo]]="BUY",AI20-TbTradesNovaDAX[[#This Row],[Qtt]]*TbTradesNovaDAX[[#This Row],[Preço]],AI20+TbTradesNovaDAX[[#This Row],[Qtt]]*TbTradesNovaDAX[[#This Row],[Preço]])),AI20)-IF(TbTradesNovaDAX[[#This Row],[Moeda da Taxa]]=MID(AI$1,9,5),TbTradesNovaDAX[[#This Row],[Taxa]],0),8)))</f>
        <v>7.6990000000000007E-5</v>
      </c>
      <c r="AJ21" s="50" cm="1">
        <f t="array" ref="AJ21">IF(TbTradesNovaDAX[[#This Row],[Tipo]]="EMPTY",0,AJ20+IF(TbTradesNovaDAX[[#This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Row],[Par]]))),$1:$1,0)),-(AI20-AI21)/AI20*AJ20),0),0)+IF(TbTradesNovaDAX[[#This Row],[Tipo]]="SELL",IF(ISNUMBER(FIND(MID(AJ$1,10,5),TbTradesNovaDAX[[#This Row],[Par]])),IF(FIND(MID(AJ$1,10,5),TbTradesNovaDAX[[#This Row],[Par]])=1, -(AI20-AI21)/AI20*AJ20,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Row],[Par]])),(-(AI20-AI21)/AI20*AJ20)+IF(TbTradesNovaDAX[[#This Row],[Resultado]]&gt;0,0,TbTradesNovaDAX[[#This Row],[Taxa]]),0),0))</f>
        <v>4.7351825995178842E-4</v>
      </c>
      <c r="AK21" s="41">
        <f t="shared" si="7"/>
        <v>6.1503865430807689</v>
      </c>
      <c r="AL21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Row],[Tipo]]="DROP"),AL20+TbTradesNovaDAX[[#This Row],[Qtt]],AL20-TbTradesNovaDAX[[#This Row],[Qtt]]),IF(TbTradesNovaDAX[[#This Row],[Tipo]]="BUY",AL20-TbTradesNovaDAX[[#This Row],[Qtt]]*TbTradesNovaDAX[[#This Row],[Preço]],AL20+TbTradesNovaDAX[[#This Row],[Qtt]]*TbTradesNovaDAX[[#This Row],[Preço]])),AL20)-IF(TbTradesNovaDAX[[#This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Row],[Tipo]]="DROP"),AL20+TbTradesNovaDAX[[#This Row],[Qtt]],AL20-TbTradesNovaDAX[[#This Row],[Qtt]]),IF(TbTradesNovaDAX[[#This Row],[Tipo]]="BUY",AL20-TbTradesNovaDAX[[#This Row],[Qtt]]*TbTradesNovaDAX[[#This Row],[Preço]],AL20+TbTradesNovaDAX[[#This Row],[Qtt]]*TbTradesNovaDAX[[#This Row],[Preço]])),AL20)-IF(TbTradesNovaDAX[[#This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Row],[Tipo]]="DROP"),AL20+TbTradesNovaDAX[[#This Row],[Qtt]],AL20-TbTradesNovaDAX[[#This Row],[Qtt]]),IF(TbTradesNovaDAX[[#This Row],[Tipo]]="BUY",AL20-TbTradesNovaDAX[[#This Row],[Qtt]]*TbTradesNovaDAX[[#This Row],[Preço]],AL20+TbTradesNovaDAX[[#This Row],[Qtt]]*TbTradesNovaDAX[[#This Row],[Preço]])),AL20)-IF(TbTradesNovaDAX[[#This Row],[Moeda da Taxa]]=MID(AL$1,9,5),TbTradesNovaDAX[[#This Row],[Taxa]],0),8)))</f>
        <v>1.15E-5</v>
      </c>
      <c r="AM21" s="50" cm="1">
        <f t="array" ref="AM21">IF(TbTradesNovaDAX[[#This Row],[Tipo]]="EMPTY",0,AM20+IF(TbTradesNovaDAX[[#This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Row],[Par]]))),$1:$1,0)),-(AL20-AL21)/AL20*AM20),0),0)+IF(TbTradesNovaDAX[[#This Row],[Tipo]]="SELL",IF(ISNUMBER(FIND(MID(AM$1,10,5),TbTradesNovaDAX[[#This Row],[Par]])),IF(FIND(MID(AM$1,10,5),TbTradesNovaDAX[[#This Row],[Par]])=1, -(AL20-AL21)/AL20*AM20,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Row],[Par]])),(-(AL20-AL21)/AL20*AM20)+IF(TbTradesNovaDAX[[#This Row],[Resultado]]&gt;0,0,TbTradesNovaDAX[[#This Row],[Taxa]]),0),0))</f>
        <v>7.1604349300216086E-3</v>
      </c>
      <c r="AN21" s="41">
        <f t="shared" si="8"/>
        <v>622.64651565405291</v>
      </c>
      <c r="AO21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Row],[Tipo]]="DROP"),AO20+TbTradesNovaDAX[[#This Row],[Qtt]],AO20-TbTradesNovaDAX[[#This Row],[Qtt]]),IF(TbTradesNovaDAX[[#This Row],[Tipo]]="BUY",AO20-TbTradesNovaDAX[[#This Row],[Qtt]]*TbTradesNovaDAX[[#This Row],[Preço]],AO20+TbTradesNovaDAX[[#This Row],[Qtt]]*TbTradesNovaDAX[[#This Row],[Preço]])),AO20)-IF(TbTradesNovaDAX[[#This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Row],[Tipo]]="DROP"),AO20+TbTradesNovaDAX[[#This Row],[Qtt]],AO20-TbTradesNovaDAX[[#This Row],[Qtt]]),IF(TbTradesNovaDAX[[#This Row],[Tipo]]="BUY",AO20-TbTradesNovaDAX[[#This Row],[Qtt]]*TbTradesNovaDAX[[#This Row],[Preço]],AO20+TbTradesNovaDAX[[#This Row],[Qtt]]*TbTradesNovaDAX[[#This Row],[Preço]])),AO20)-IF(TbTradesNovaDAX[[#This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Row],[Tipo]]="DROP"),AO20+TbTradesNovaDAX[[#This Row],[Qtt]],AO20-TbTradesNovaDAX[[#This Row],[Qtt]]),IF(TbTradesNovaDAX[[#This Row],[Tipo]]="BUY",AO20-TbTradesNovaDAX[[#This Row],[Qtt]]*TbTradesNovaDAX[[#This Row],[Preço]],AO20+TbTradesNovaDAX[[#This Row],[Qtt]]*TbTradesNovaDAX[[#This Row],[Preço]])),AO20)-IF(TbTradesNovaDAX[[#This Row],[Moeda da Taxa]]=MID(AO$1,9,5),TbTradesNovaDAX[[#This Row],[Taxa]],0),8)))</f>
        <v>0.24098900000000001</v>
      </c>
      <c r="AP21" s="50" cm="1">
        <f t="array" ref="AP21">IF(TbTradesNovaDAX[[#This Row],[Tipo]]="EMPTY",0,AP20+IF(TbTradesNovaDAX[[#This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Row],[Par]]))),$1:$1,0)),-(AO20-AO21)/AO20*AP20),0),0)+IF(TbTradesNovaDAX[[#This Row],[Tipo]]="SELL",IF(ISNUMBER(FIND(MID(AP$1,10,5),TbTradesNovaDAX[[#This Row],[Par]])),IF(FIND(MID(AP$1,10,5),TbTradesNovaDAX[[#This Row],[Par]])=1, -(AO20-AO21)/AO20*AP20,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Row],[Par]])),(-(AO20-AO21)/AO20*AP20)+IF(TbTradesNovaDAX[[#This Row],[Resultado]]&gt;0,0,TbTradesNovaDAX[[#This Row],[Taxa]]),0),0))</f>
        <v>33.770752277269203</v>
      </c>
      <c r="AQ21" s="41">
        <f t="shared" si="9"/>
        <v>140.1339989678749</v>
      </c>
    </row>
    <row r="22" spans="2:43" x14ac:dyDescent="0.3">
      <c r="B22" s="74"/>
      <c r="C22" s="67">
        <f>TRUNC(IF(AND(TbTradesNovaDAX[[#This Row],[Tipo]]="SEND",TbTradesNovaDAX[[#This Row],[Par]]="BRL"),TbTradesNovaDAX[[#This Row],[Qtt]]*(1-P21)-IF(TbTradesNovaDAX[[#This Row],[Moeda da Taxa]]="BRL",TbTradesNovaDAX[[#This Row],[Taxa]],0),0)+IF(AND(TbTradesNovaDAX[[#This Row],[Tipo]]="BURN",TbTradesNovaDAX[[#This Row],[Par]]="BRL"),-TbTradesNovaDAX[[#This Row],[Qtt]]*P21,0),2)</f>
        <v>0</v>
      </c>
      <c r="D22" s="65">
        <v>44267.496990740743</v>
      </c>
      <c r="E22" s="77" t="s">
        <v>146</v>
      </c>
      <c r="F22" s="77" t="s">
        <v>140</v>
      </c>
      <c r="G22" s="78">
        <f>6.753024/TbTradesNovaDAX[[#This Row],[Qtt]]</f>
        <v>28.137599999999999</v>
      </c>
      <c r="H22" s="78">
        <v>0.24</v>
      </c>
      <c r="I22" s="78">
        <v>2.026E-2</v>
      </c>
      <c r="J22" s="77" t="s">
        <v>42</v>
      </c>
      <c r="K22" s="75">
        <v>5.56</v>
      </c>
      <c r="L22" s="67">
        <f t="shared" si="10"/>
        <v>156.44</v>
      </c>
      <c r="M22" s="67">
        <f>IF(OR(TbTradesNovaDAX[[#This Row],[Tipo]]="BUY",TbTradesNovaDAX[[#This Row],[Tipo]]="RECEIVE"),L22*H22,-L22*H22)</f>
        <v>-37.5456</v>
      </c>
      <c r="N22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Row],[Tipo]]="DROP"),N21+TbTradesNovaDAX[[#This Row],[Qtt]],N21-TbTradesNovaDAX[[#This Row],[Qtt]]),IF(TbTradesNovaDAX[[#This Row],[Tipo]]="BUY",N21-TbTradesNovaDAX[[#This Row],[Qtt]]*TbTradesNovaDAX[[#This Row],[Preço]],N21+TbTradesNovaDAX[[#This Row],[Qtt]]*TbTradesNovaDAX[[#This Row],[Preço]])),N21)-IF(TbTradesNovaDAX[[#This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Row],[Tipo]]="DROP"),N21+TbTradesNovaDAX[[#This Row],[Qtt]],N21-TbTradesNovaDAX[[#This Row],[Qtt]]),IF(TbTradesNovaDAX[[#This Row],[Tipo]]="BUY",N21-TbTradesNovaDAX[[#This Row],[Qtt]]*TbTradesNovaDAX[[#This Row],[Preço]],N21+TbTradesNovaDAX[[#This Row],[Qtt]]*TbTradesNovaDAX[[#This Row],[Preço]])),N21)-IF(TbTradesNovaDAX[[#This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Row],[Tipo]]="DROP"),N21+TbTradesNovaDAX[[#This Row],[Qtt]],N21-TbTradesNovaDAX[[#This Row],[Qtt]]),IF(TbTradesNovaDAX[[#This Row],[Tipo]]="BUY",N21-TbTradesNovaDAX[[#This Row],[Qtt]]*TbTradesNovaDAX[[#This Row],[Preço]],N21+TbTradesNovaDAX[[#This Row],[Qtt]]*TbTradesNovaDAX[[#This Row],[Preço]])),N21)-IF(TbTradesNovaDAX[[#This Row],[Moeda da Taxa]]=MID(N$1,9,5),TbTradesNovaDAX[[#This Row],[Taxa]],0),8)))</f>
        <v>9.6822399999999999E-3</v>
      </c>
      <c r="O22" s="50" cm="1">
        <f t="array" ref="O22">IF(TbTradesNovaDAX[[#This Row],[Tipo]]="EMPTY",0,O21+IF(TbTradesNovaDAX[[#This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Row],[Par]]))),$1:$1,0)),-(N21-N22)/N21*O21),0),0)+IF(TbTradesNovaDAX[[#This Row],[Tipo]]="SELL",IF(ISNUMBER(FIND(MID(O$1,10,5),TbTradesNovaDAX[[#This Row],[Par]])),IF(FIND(MID(O$1,10,5),TbTradesNovaDAX[[#This Row],[Par]])=1, -(N21-N22)/N21*O21,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Row],[Par]])),(-(N21-N22)/N21*O21)+IF(TbTradesNovaDAX[[#This Row],[Resultado]]&gt;0,0,TbTradesNovaDAX[[#This Row],[Taxa]]),0),0))</f>
        <v>9.6481701011015275E-3</v>
      </c>
      <c r="P22" s="41">
        <f t="shared" si="0"/>
        <v>0.99648119661375134</v>
      </c>
      <c r="Q22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Row],[Tipo]]="DROP"),Q21+TbTradesNovaDAX[[#This Row],[Qtt]],Q21-TbTradesNovaDAX[[#This Row],[Qtt]]),IF(TbTradesNovaDAX[[#This Row],[Tipo]]="BUY",Q21-TbTradesNovaDAX[[#This Row],[Qtt]]*TbTradesNovaDAX[[#This Row],[Preço]],Q21+TbTradesNovaDAX[[#This Row],[Qtt]]*TbTradesNovaDAX[[#This Row],[Preço]])),Q21)-IF(TbTradesNovaDAX[[#This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Row],[Tipo]]="DROP"),Q21+TbTradesNovaDAX[[#This Row],[Qtt]],Q21-TbTradesNovaDAX[[#This Row],[Qtt]]),IF(TbTradesNovaDAX[[#This Row],[Tipo]]="BUY",Q21-TbTradesNovaDAX[[#This Row],[Qtt]]*TbTradesNovaDAX[[#This Row],[Preço]],Q21+TbTradesNovaDAX[[#This Row],[Qtt]]*TbTradesNovaDAX[[#This Row],[Preço]])),Q21)-IF(TbTradesNovaDAX[[#This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Row],[Tipo]]="DROP"),Q21+TbTradesNovaDAX[[#This Row],[Qtt]],Q21-TbTradesNovaDAX[[#This Row],[Qtt]]),IF(TbTradesNovaDAX[[#This Row],[Tipo]]="BUY",Q21-TbTradesNovaDAX[[#This Row],[Qtt]]*TbTradesNovaDAX[[#This Row],[Preço]],Q21+TbTradesNovaDAX[[#This Row],[Qtt]]*TbTradesNovaDAX[[#This Row],[Preço]])),Q21)-IF(TbTradesNovaDAX[[#This Row],[Moeda da Taxa]]=MID(Q$1,9,5),TbTradesNovaDAX[[#This Row],[Taxa]],0),8)))</f>
        <v>6.7327640000000004</v>
      </c>
      <c r="R22" s="50" cm="1">
        <f t="array" ref="R22">IF(TbTradesNovaDAX[[#This Row],[Tipo]]="EMPTY",0,R21+IF(TbTradesNovaDAX[[#This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Row],[Par]]))),$1:$1,0)),-(Q21-Q22)/Q21*R21),0),0)+IF(TbTradesNovaDAX[[#This Row],[Tipo]]="SELL",IF(ISNUMBER(FIND(MID(R$1,10,5),TbTradesNovaDAX[[#This Row],[Par]])),IF(FIND(MID(R$1,10,5),TbTradesNovaDAX[[#This Row],[Par]])=1, -(Q21-Q22)/Q21*R21,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Row],[Par]])),(-(Q21-Q22)/Q21*R21)+IF(TbTradesNovaDAX[[#This Row],[Resultado]]&gt;0,0,TbTradesNovaDAX[[#This Row],[Taxa]]),0),0))</f>
        <v>33.632159752289972</v>
      </c>
      <c r="S22" s="41">
        <f t="shared" si="1"/>
        <v>4.9952975854032564</v>
      </c>
      <c r="T22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Row],[Tipo]]="DROP"),T21+TbTradesNovaDAX[[#This Row],[Qtt]],T21-TbTradesNovaDAX[[#This Row],[Qtt]]),IF(TbTradesNovaDAX[[#This Row],[Tipo]]="BUY",T21-TbTradesNovaDAX[[#This Row],[Qtt]]*TbTradesNovaDAX[[#This Row],[Preço]],T21+TbTradesNovaDAX[[#This Row],[Qtt]]*TbTradesNovaDAX[[#This Row],[Preço]])),T21)-IF(TbTradesNovaDAX[[#This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Row],[Tipo]]="DROP"),T21+TbTradesNovaDAX[[#This Row],[Qtt]],T21-TbTradesNovaDAX[[#This Row],[Qtt]]),IF(TbTradesNovaDAX[[#This Row],[Tipo]]="BUY",T21-TbTradesNovaDAX[[#This Row],[Qtt]]*TbTradesNovaDAX[[#This Row],[Preço]],T21+TbTradesNovaDAX[[#This Row],[Qtt]]*TbTradesNovaDAX[[#This Row],[Preço]])),T21)-IF(TbTradesNovaDAX[[#This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Row],[Tipo]]="DROP"),T21+TbTradesNovaDAX[[#This Row],[Qtt]],T21-TbTradesNovaDAX[[#This Row],[Qtt]]),IF(TbTradesNovaDAX[[#This Row],[Tipo]]="BUY",T21-TbTradesNovaDAX[[#This Row],[Qtt]]*TbTradesNovaDAX[[#This Row],[Preço]],T21+TbTradesNovaDAX[[#This Row],[Qtt]]*TbTradesNovaDAX[[#This Row],[Preço]])),T21)-IF(TbTradesNovaDAX[[#This Row],[Moeda da Taxa]]=MID(T$1,9,5),TbTradesNovaDAX[[#This Row],[Taxa]],0),8)))</f>
        <v>1.3E-7</v>
      </c>
      <c r="U22" s="50" cm="1">
        <f t="array" ref="U22">IF(TbTradesNovaDAX[[#This Row],[Tipo]]="EMPTY",0,U21+IF(TbTradesNovaDAX[[#This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Row],[Par]]))),$1:$1,0)),-(T21-T22)/T21*U21),0),0)+IF(TbTradesNovaDAX[[#This Row],[Tipo]]="SELL",IF(ISNUMBER(FIND(MID(U$1,10,5),TbTradesNovaDAX[[#This Row],[Par]])),IF(FIND(MID(U$1,10,5),TbTradesNovaDAX[[#This Row],[Par]])=1, -(T21-T22)/T21*U21,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Row],[Par]])),(-(T21-T22)/T21*U21)+IF(TbTradesNovaDAX[[#This Row],[Resultado]]&gt;0,0,TbTradesNovaDAX[[#This Row],[Taxa]]),0),0))</f>
        <v>3.2941539001242859E-2</v>
      </c>
      <c r="V22" s="41">
        <f t="shared" si="2"/>
        <v>253396.4538557143</v>
      </c>
      <c r="W22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Row],[Tipo]]="DROP"),W21+TbTradesNovaDAX[[#This Row],[Qtt]],W21-TbTradesNovaDAX[[#This Row],[Qtt]]),IF(TbTradesNovaDAX[[#This Row],[Tipo]]="BUY",W21-TbTradesNovaDAX[[#This Row],[Qtt]]*TbTradesNovaDAX[[#This Row],[Preço]],W21+TbTradesNovaDAX[[#This Row],[Qtt]]*TbTradesNovaDAX[[#This Row],[Preço]])),W21)-IF(TbTradesNovaDAX[[#This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Row],[Tipo]]="DROP"),W21+TbTradesNovaDAX[[#This Row],[Qtt]],W21-TbTradesNovaDAX[[#This Row],[Qtt]]),IF(TbTradesNovaDAX[[#This Row],[Tipo]]="BUY",W21-TbTradesNovaDAX[[#This Row],[Qtt]]*TbTradesNovaDAX[[#This Row],[Preço]],W21+TbTradesNovaDAX[[#This Row],[Qtt]]*TbTradesNovaDAX[[#This Row],[Preço]])),W21)-IF(TbTradesNovaDAX[[#This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Row],[Tipo]]="DROP"),W21+TbTradesNovaDAX[[#This Row],[Qtt]],W21-TbTradesNovaDAX[[#This Row],[Qtt]]),IF(TbTradesNovaDAX[[#This Row],[Tipo]]="BUY",W21-TbTradesNovaDAX[[#This Row],[Qtt]]*TbTradesNovaDAX[[#This Row],[Preço]],W21+TbTradesNovaDAX[[#This Row],[Qtt]]*TbTradesNovaDAX[[#This Row],[Preço]])),W21)-IF(TbTradesNovaDAX[[#This Row],[Moeda da Taxa]]=MID(W$1,9,5),TbTradesNovaDAX[[#This Row],[Taxa]],0),8)))</f>
        <v>9.9773099999999997E-3</v>
      </c>
      <c r="X22" s="50" cm="1">
        <f t="array" ref="X22">IF(TbTradesNovaDAX[[#This Row],[Tipo]]="EMPTY",0,X21+IF(TbTradesNovaDAX[[#This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Row],[Par]]))),$1:$1,0)),-(W21-W22)/W21*X21),0),0)+IF(TbTradesNovaDAX[[#This Row],[Tipo]]="SELL",IF(ISNUMBER(FIND(MID(X$1,10,5),TbTradesNovaDAX[[#This Row],[Par]])),IF(FIND(MID(X$1,10,5),TbTradesNovaDAX[[#This Row],[Par]])=1, -(W21-W22)/W21*X21,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Row],[Par]])),(-(W21-W22)/W21*X21)+IF(TbTradesNovaDAX[[#This Row],[Resultado]]&gt;0,0,TbTradesNovaDAX[[#This Row],[Taxa]]),0),0))</f>
        <v>100.51735394577578</v>
      </c>
      <c r="Y22" s="41">
        <f t="shared" si="3"/>
        <v>10074.594649838062</v>
      </c>
      <c r="Z22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Row],[Tipo]]="DROP"),Z21+TbTradesNovaDAX[[#This Row],[Qtt]],Z21-TbTradesNovaDAX[[#This Row],[Qtt]]),IF(TbTradesNovaDAX[[#This Row],[Tipo]]="BUY",Z21-TbTradesNovaDAX[[#This Row],[Qtt]]*TbTradesNovaDAX[[#This Row],[Preço]],Z21+TbTradesNovaDAX[[#This Row],[Qtt]]*TbTradesNovaDAX[[#This Row],[Preço]])),Z21)-IF(TbTradesNovaDAX[[#This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Row],[Tipo]]="DROP"),Z21+TbTradesNovaDAX[[#This Row],[Qtt]],Z21-TbTradesNovaDAX[[#This Row],[Qtt]]),IF(TbTradesNovaDAX[[#This Row],[Tipo]]="BUY",Z21-TbTradesNovaDAX[[#This Row],[Qtt]]*TbTradesNovaDAX[[#This Row],[Preço]],Z21+TbTradesNovaDAX[[#This Row],[Qtt]]*TbTradesNovaDAX[[#This Row],[Preço]])),Z21)-IF(TbTradesNovaDAX[[#This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Row],[Tipo]]="DROP"),Z21+TbTradesNovaDAX[[#This Row],[Qtt]],Z21-TbTradesNovaDAX[[#This Row],[Qtt]]),IF(TbTradesNovaDAX[[#This Row],[Tipo]]="BUY",Z21-TbTradesNovaDAX[[#This Row],[Qtt]]*TbTradesNovaDAX[[#This Row],[Preço]],Z21+TbTradesNovaDAX[[#This Row],[Qtt]]*TbTradesNovaDAX[[#This Row],[Preço]])),Z21)-IF(TbTradesNovaDAX[[#This Row],[Moeda da Taxa]]=MID(Z$1,9,5),TbTradesNovaDAX[[#This Row],[Taxa]],0),8)))</f>
        <v>2.758043E-2</v>
      </c>
      <c r="AA22" s="50" cm="1">
        <f t="array" ref="AA22">IF(TbTradesNovaDAX[[#This Row],[Tipo]]="EMPTY",0,AA21+IF(TbTradesNovaDAX[[#This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Row],[Par]]))),$1:$1,0)),-(Z21-Z22)/Z21*AA21),0),0)+IF(TbTradesNovaDAX[[#This Row],[Tipo]]="SELL",IF(ISNUMBER(FIND(MID(AA$1,10,5),TbTradesNovaDAX[[#This Row],[Par]])),IF(FIND(MID(AA$1,10,5),TbTradesNovaDAX[[#This Row],[Par]])=1, -(Z21-Z22)/Z21*AA21,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Row],[Par]])),(-(Z21-Z22)/Z21*AA21)+IF(TbTradesNovaDAX[[#This Row],[Resultado]]&gt;0,0,TbTradesNovaDAX[[#This Row],[Taxa]]),0),0))</f>
        <v>93.145100744659118</v>
      </c>
      <c r="AB22" s="41">
        <f t="shared" si="4"/>
        <v>3377.2171334768573</v>
      </c>
      <c r="AC22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Row],[Tipo]]="DROP"),AC21+TbTradesNovaDAX[[#This Row],[Qtt]],AC21-TbTradesNovaDAX[[#This Row],[Qtt]]),IF(TbTradesNovaDAX[[#This Row],[Tipo]]="BUY",AC21-TbTradesNovaDAX[[#This Row],[Qtt]]*TbTradesNovaDAX[[#This Row],[Preço]],AC21+TbTradesNovaDAX[[#This Row],[Qtt]]*TbTradesNovaDAX[[#This Row],[Preço]])),AC21)-IF(TbTradesNovaDAX[[#This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Row],[Tipo]]="DROP"),AC21+TbTradesNovaDAX[[#This Row],[Qtt]],AC21-TbTradesNovaDAX[[#This Row],[Qtt]]),IF(TbTradesNovaDAX[[#This Row],[Tipo]]="BUY",AC21-TbTradesNovaDAX[[#This Row],[Qtt]]*TbTradesNovaDAX[[#This Row],[Preço]],AC21+TbTradesNovaDAX[[#This Row],[Qtt]]*TbTradesNovaDAX[[#This Row],[Preço]])),AC21)-IF(TbTradesNovaDAX[[#This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Row],[Tipo]]="DROP"),AC21+TbTradesNovaDAX[[#This Row],[Qtt]],AC21-TbTradesNovaDAX[[#This Row],[Qtt]]),IF(TbTradesNovaDAX[[#This Row],[Tipo]]="BUY",AC21-TbTradesNovaDAX[[#This Row],[Qtt]]*TbTradesNovaDAX[[#This Row],[Preço]],AC21+TbTradesNovaDAX[[#This Row],[Qtt]]*TbTradesNovaDAX[[#This Row],[Preço]])),AC21)-IF(TbTradesNovaDAX[[#This Row],[Moeda da Taxa]]=MID(AC$1,9,5),TbTradesNovaDAX[[#This Row],[Taxa]],0),8)))</f>
        <v>0.36715500000000001</v>
      </c>
      <c r="AD22" s="50" cm="1">
        <f t="array" ref="AD22">IF(TbTradesNovaDAX[[#This Row],[Tipo]]="EMPTY",0,AD21+IF(TbTradesNovaDAX[[#This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Row],[Par]]))),$1:$1,0)),-(AC21-AC22)/AC21*AD21),0),0)+IF(TbTradesNovaDAX[[#This Row],[Tipo]]="SELL",IF(ISNUMBER(FIND(MID(AD$1,10,5),TbTradesNovaDAX[[#This Row],[Par]])),IF(FIND(MID(AD$1,10,5),TbTradesNovaDAX[[#This Row],[Par]])=1, -(AC21-AC22)/AC21*AD21,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Row],[Par]])),(-(AC21-AC22)/AC21*AD21)+IF(TbTradesNovaDAX[[#This Row],[Resultado]]&gt;0,0,TbTradesNovaDAX[[#This Row],[Taxa]]),0),0))</f>
        <v>39.600009900000003</v>
      </c>
      <c r="AE22" s="41">
        <f t="shared" si="5"/>
        <v>107.85638190954775</v>
      </c>
      <c r="AF22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Row],[Tipo]]="DROP"),AF21+TbTradesNovaDAX[[#This Row],[Qtt]],AF21-TbTradesNovaDAX[[#This Row],[Qtt]]),IF(TbTradesNovaDAX[[#This Row],[Tipo]]="BUY",AF21-TbTradesNovaDAX[[#This Row],[Qtt]]*TbTradesNovaDAX[[#This Row],[Preço]],AF21+TbTradesNovaDAX[[#This Row],[Qtt]]*TbTradesNovaDAX[[#This Row],[Preço]])),AF21)-IF(TbTradesNovaDAX[[#This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Row],[Tipo]]="DROP"),AF21+TbTradesNovaDAX[[#This Row],[Qtt]],AF21-TbTradesNovaDAX[[#This Row],[Qtt]]),IF(TbTradesNovaDAX[[#This Row],[Tipo]]="BUY",AF21-TbTradesNovaDAX[[#This Row],[Qtt]]*TbTradesNovaDAX[[#This Row],[Preço]],AF21+TbTradesNovaDAX[[#This Row],[Qtt]]*TbTradesNovaDAX[[#This Row],[Preço]])),AF21)-IF(TbTradesNovaDAX[[#This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Row],[Tipo]]="DROP"),AF21+TbTradesNovaDAX[[#This Row],[Qtt]],AF21-TbTradesNovaDAX[[#This Row],[Qtt]]),IF(TbTradesNovaDAX[[#This Row],[Tipo]]="BUY",AF21-TbTradesNovaDAX[[#This Row],[Qtt]]*TbTradesNovaDAX[[#This Row],[Preço]],AF21+TbTradesNovaDAX[[#This Row],[Qtt]]*TbTradesNovaDAX[[#This Row],[Preço]])),AF21)-IF(TbTradesNovaDAX[[#This Row],[Moeda da Taxa]]=MID(AF$1,9,5),TbTradesNovaDAX[[#This Row],[Taxa]],0),8)))</f>
        <v>1.649E-5</v>
      </c>
      <c r="AG22" s="50" cm="1">
        <f t="array" ref="AG22">IF(TbTradesNovaDAX[[#This Row],[Tipo]]="EMPTY",0,AG21+IF(TbTradesNovaDAX[[#This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Row],[Par]]))),$1:$1,0)),-(AF21-AF22)/AF21*AG21),0),0)+IF(TbTradesNovaDAX[[#This Row],[Tipo]]="SELL",IF(ISNUMBER(FIND(MID(AG$1,10,5),TbTradesNovaDAX[[#This Row],[Par]])),IF(FIND(MID(AG$1,10,5),TbTradesNovaDAX[[#This Row],[Par]])=1, -(AF21-AF22)/AF21*AG21,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Row],[Par]])),(-(AF21-AF22)/AF21*AG21)+IF(TbTradesNovaDAX[[#This Row],[Resultado]]&gt;0,0,TbTradesNovaDAX[[#This Row],[Taxa]]),0),0))</f>
        <v>1.4694429588004709E-3</v>
      </c>
      <c r="AH22" s="41">
        <f t="shared" si="6"/>
        <v>89.111155779288723</v>
      </c>
      <c r="AI22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Row],[Tipo]]="DROP"),AI21+TbTradesNovaDAX[[#This Row],[Qtt]],AI21-TbTradesNovaDAX[[#This Row],[Qtt]]),IF(TbTradesNovaDAX[[#This Row],[Tipo]]="BUY",AI21-TbTradesNovaDAX[[#This Row],[Qtt]]*TbTradesNovaDAX[[#This Row],[Preço]],AI21+TbTradesNovaDAX[[#This Row],[Qtt]]*TbTradesNovaDAX[[#This Row],[Preço]])),AI21)-IF(TbTradesNovaDAX[[#This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Row],[Tipo]]="DROP"),AI21+TbTradesNovaDAX[[#This Row],[Qtt]],AI21-TbTradesNovaDAX[[#This Row],[Qtt]]),IF(TbTradesNovaDAX[[#This Row],[Tipo]]="BUY",AI21-TbTradesNovaDAX[[#This Row],[Qtt]]*TbTradesNovaDAX[[#This Row],[Preço]],AI21+TbTradesNovaDAX[[#This Row],[Qtt]]*TbTradesNovaDAX[[#This Row],[Preço]])),AI21)-IF(TbTradesNovaDAX[[#This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Row],[Tipo]]="DROP"),AI21+TbTradesNovaDAX[[#This Row],[Qtt]],AI21-TbTradesNovaDAX[[#This Row],[Qtt]]),IF(TbTradesNovaDAX[[#This Row],[Tipo]]="BUY",AI21-TbTradesNovaDAX[[#This Row],[Qtt]]*TbTradesNovaDAX[[#This Row],[Preço]],AI21+TbTradesNovaDAX[[#This Row],[Qtt]]*TbTradesNovaDAX[[#This Row],[Preço]])),AI21)-IF(TbTradesNovaDAX[[#This Row],[Moeda da Taxa]]=MID(AI$1,9,5),TbTradesNovaDAX[[#This Row],[Taxa]],0),8)))</f>
        <v>7.6990000000000007E-5</v>
      </c>
      <c r="AJ22" s="50" cm="1">
        <f t="array" ref="AJ22">IF(TbTradesNovaDAX[[#This Row],[Tipo]]="EMPTY",0,AJ21+IF(TbTradesNovaDAX[[#This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Row],[Par]]))),$1:$1,0)),-(AI21-AI22)/AI21*AJ21),0),0)+IF(TbTradesNovaDAX[[#This Row],[Tipo]]="SELL",IF(ISNUMBER(FIND(MID(AJ$1,10,5),TbTradesNovaDAX[[#This Row],[Par]])),IF(FIND(MID(AJ$1,10,5),TbTradesNovaDAX[[#This Row],[Par]])=1, -(AI21-AI22)/AI21*AJ21,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Row],[Par]])),(-(AI21-AI22)/AI21*AJ21)+IF(TbTradesNovaDAX[[#This Row],[Resultado]]&gt;0,0,TbTradesNovaDAX[[#This Row],[Taxa]]),0),0))</f>
        <v>4.7351825995178842E-4</v>
      </c>
      <c r="AK22" s="41">
        <f t="shared" si="7"/>
        <v>6.1503865430807689</v>
      </c>
      <c r="AL22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Row],[Tipo]]="DROP"),AL21+TbTradesNovaDAX[[#This Row],[Qtt]],AL21-TbTradesNovaDAX[[#This Row],[Qtt]]),IF(TbTradesNovaDAX[[#This Row],[Tipo]]="BUY",AL21-TbTradesNovaDAX[[#This Row],[Qtt]]*TbTradesNovaDAX[[#This Row],[Preço]],AL21+TbTradesNovaDAX[[#This Row],[Qtt]]*TbTradesNovaDAX[[#This Row],[Preço]])),AL21)-IF(TbTradesNovaDAX[[#This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Row],[Tipo]]="DROP"),AL21+TbTradesNovaDAX[[#This Row],[Qtt]],AL21-TbTradesNovaDAX[[#This Row],[Qtt]]),IF(TbTradesNovaDAX[[#This Row],[Tipo]]="BUY",AL21-TbTradesNovaDAX[[#This Row],[Qtt]]*TbTradesNovaDAX[[#This Row],[Preço]],AL21+TbTradesNovaDAX[[#This Row],[Qtt]]*TbTradesNovaDAX[[#This Row],[Preço]])),AL21)-IF(TbTradesNovaDAX[[#This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Row],[Tipo]]="DROP"),AL21+TbTradesNovaDAX[[#This Row],[Qtt]],AL21-TbTradesNovaDAX[[#This Row],[Qtt]]),IF(TbTradesNovaDAX[[#This Row],[Tipo]]="BUY",AL21-TbTradesNovaDAX[[#This Row],[Qtt]]*TbTradesNovaDAX[[#This Row],[Preço]],AL21+TbTradesNovaDAX[[#This Row],[Qtt]]*TbTradesNovaDAX[[#This Row],[Preço]])),AL21)-IF(TbTradesNovaDAX[[#This Row],[Moeda da Taxa]]=MID(AL$1,9,5),TbTradesNovaDAX[[#This Row],[Taxa]],0),8)))</f>
        <v>1.15E-5</v>
      </c>
      <c r="AM22" s="50" cm="1">
        <f t="array" ref="AM22">IF(TbTradesNovaDAX[[#This Row],[Tipo]]="EMPTY",0,AM21+IF(TbTradesNovaDAX[[#This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Row],[Par]]))),$1:$1,0)),-(AL21-AL22)/AL21*AM21),0),0)+IF(TbTradesNovaDAX[[#This Row],[Tipo]]="SELL",IF(ISNUMBER(FIND(MID(AM$1,10,5),TbTradesNovaDAX[[#This Row],[Par]])),IF(FIND(MID(AM$1,10,5),TbTradesNovaDAX[[#This Row],[Par]])=1, -(AL21-AL22)/AL21*AM21,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Row],[Par]])),(-(AL21-AL22)/AL21*AM21)+IF(TbTradesNovaDAX[[#This Row],[Resultado]]&gt;0,0,TbTradesNovaDAX[[#This Row],[Taxa]]),0),0))</f>
        <v>7.1604349300216086E-3</v>
      </c>
      <c r="AN22" s="41">
        <f t="shared" si="8"/>
        <v>622.64651565405291</v>
      </c>
      <c r="AO22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Row],[Tipo]]="DROP"),AO21+TbTradesNovaDAX[[#This Row],[Qtt]],AO21-TbTradesNovaDAX[[#This Row],[Qtt]]),IF(TbTradesNovaDAX[[#This Row],[Tipo]]="BUY",AO21-TbTradesNovaDAX[[#This Row],[Qtt]]*TbTradesNovaDAX[[#This Row],[Preço]],AO21+TbTradesNovaDAX[[#This Row],[Qtt]]*TbTradesNovaDAX[[#This Row],[Preço]])),AO21)-IF(TbTradesNovaDAX[[#This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Row],[Tipo]]="DROP"),AO21+TbTradesNovaDAX[[#This Row],[Qtt]],AO21-TbTradesNovaDAX[[#This Row],[Qtt]]),IF(TbTradesNovaDAX[[#This Row],[Tipo]]="BUY",AO21-TbTradesNovaDAX[[#This Row],[Qtt]]*TbTradesNovaDAX[[#This Row],[Preço]],AO21+TbTradesNovaDAX[[#This Row],[Qtt]]*TbTradesNovaDAX[[#This Row],[Preço]])),AO21)-IF(TbTradesNovaDAX[[#This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Row],[Tipo]]="DROP"),AO21+TbTradesNovaDAX[[#This Row],[Qtt]],AO21-TbTradesNovaDAX[[#This Row],[Qtt]]),IF(TbTradesNovaDAX[[#This Row],[Tipo]]="BUY",AO21-TbTradesNovaDAX[[#This Row],[Qtt]]*TbTradesNovaDAX[[#This Row],[Preço]],AO21+TbTradesNovaDAX[[#This Row],[Qtt]]*TbTradesNovaDAX[[#This Row],[Preço]])),AO21)-IF(TbTradesNovaDAX[[#This Row],[Moeda da Taxa]]=MID(AO$1,9,5),TbTradesNovaDAX[[#This Row],[Taxa]],0),8)))</f>
        <v>9.8900000000000008E-4</v>
      </c>
      <c r="AP22" s="50" cm="1">
        <f t="array" ref="AP22">IF(TbTradesNovaDAX[[#This Row],[Tipo]]="EMPTY",0,AP21+IF(TbTradesNovaDAX[[#This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Row],[Par]]))),$1:$1,0)),-(AO21-AO22)/AO21*AP21),0),0)+IF(TbTradesNovaDAX[[#This Row],[Tipo]]="SELL",IF(ISNUMBER(FIND(MID(AP$1,10,5),TbTradesNovaDAX[[#This Row],[Par]])),IF(FIND(MID(AP$1,10,5),TbTradesNovaDAX[[#This Row],[Par]])=1, -(AO21-AO22)/AO21*AP21,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Row],[Par]])),(-(AO21-AO22)/AO21*AP21)+IF(TbTradesNovaDAX[[#This Row],[Resultado]]&gt;0,0,TbTradesNovaDAX[[#This Row],[Taxa]]),0),0))</f>
        <v>0.1385925249792308</v>
      </c>
      <c r="AQ22" s="41">
        <f t="shared" si="9"/>
        <v>140.13399896787743</v>
      </c>
    </row>
    <row r="23" spans="2:43" x14ac:dyDescent="0.3">
      <c r="B23" s="74"/>
      <c r="C23" s="67">
        <f>TRUNC(IF(AND(TbTradesNovaDAX[[#This Row],[Tipo]]="SEND",TbTradesNovaDAX[[#This Row],[Par]]="BRL"),TbTradesNovaDAX[[#This Row],[Qtt]]*(1-P22)-IF(TbTradesNovaDAX[[#This Row],[Moeda da Taxa]]="BRL",TbTradesNovaDAX[[#This Row],[Taxa]],0),0)+IF(AND(TbTradesNovaDAX[[#This Row],[Tipo]]="BURN",TbTradesNovaDAX[[#This Row],[Par]]="BRL"),-TbTradesNovaDAX[[#This Row],[Qtt]]*P22,0),2)</f>
        <v>0</v>
      </c>
      <c r="D23" s="65">
        <v>44267.498854166668</v>
      </c>
      <c r="E23" s="77" t="s">
        <v>144</v>
      </c>
      <c r="F23" s="77" t="s">
        <v>140</v>
      </c>
      <c r="G23" s="78">
        <f>72.85/TbTradesNovaDAX[[#This Row],[Qtt]]</f>
        <v>198.4472895668755</v>
      </c>
      <c r="H23" s="78">
        <v>0.36709999999999998</v>
      </c>
      <c r="I23" s="78">
        <v>0.22</v>
      </c>
      <c r="J23" s="77" t="s">
        <v>50</v>
      </c>
      <c r="K23" s="75">
        <v>1</v>
      </c>
      <c r="L23" s="67">
        <f t="shared" si="10"/>
        <v>198.44</v>
      </c>
      <c r="M23" s="67">
        <f>IF(OR(TbTradesNovaDAX[[#This Row],[Tipo]]="BUY",TbTradesNovaDAX[[#This Row],[Tipo]]="RECEIVE"),L23*H23,-L23*H23)</f>
        <v>-72.847324</v>
      </c>
      <c r="N23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Row],[Tipo]]="DROP"),N22+TbTradesNovaDAX[[#This Row],[Qtt]],N22-TbTradesNovaDAX[[#This Row],[Qtt]]),IF(TbTradesNovaDAX[[#This Row],[Tipo]]="BUY",N22-TbTradesNovaDAX[[#This Row],[Qtt]]*TbTradesNovaDAX[[#This Row],[Preço]],N22+TbTradesNovaDAX[[#This Row],[Qtt]]*TbTradesNovaDAX[[#This Row],[Preço]])),N22)-IF(TbTradesNovaDAX[[#This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Row],[Tipo]]="DROP"),N22+TbTradesNovaDAX[[#This Row],[Qtt]],N22-TbTradesNovaDAX[[#This Row],[Qtt]]),IF(TbTradesNovaDAX[[#This Row],[Tipo]]="BUY",N22-TbTradesNovaDAX[[#This Row],[Qtt]]*TbTradesNovaDAX[[#This Row],[Preço]],N22+TbTradesNovaDAX[[#This Row],[Qtt]]*TbTradesNovaDAX[[#This Row],[Preço]])),N22)-IF(TbTradesNovaDAX[[#This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Row],[Tipo]]="DROP"),N22+TbTradesNovaDAX[[#This Row],[Qtt]],N22-TbTradesNovaDAX[[#This Row],[Qtt]]),IF(TbTradesNovaDAX[[#This Row],[Tipo]]="BUY",N22-TbTradesNovaDAX[[#This Row],[Qtt]]*TbTradesNovaDAX[[#This Row],[Preço]],N22+TbTradesNovaDAX[[#This Row],[Qtt]]*TbTradesNovaDAX[[#This Row],[Preço]])),N22)-IF(TbTradesNovaDAX[[#This Row],[Moeda da Taxa]]=MID(N$1,9,5),TbTradesNovaDAX[[#This Row],[Taxa]],0),8)))</f>
        <v>72.639682239999999</v>
      </c>
      <c r="O23" s="50" cm="1">
        <f t="array" ref="O23">IF(TbTradesNovaDAX[[#This Row],[Tipo]]="EMPTY",0,O22+IF(TbTradesNovaDAX[[#This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Row],[Par]]))),$1:$1,0)),-(N22-N23)/N22*O22),0),0)+IF(TbTradesNovaDAX[[#This Row],[Tipo]]="SELL",IF(ISNUMBER(FIND(MID(O$1,10,5),TbTradesNovaDAX[[#This Row],[Par]])),IF(FIND(MID(O$1,10,5),TbTradesNovaDAX[[#This Row],[Par]])=1, -(N22-N23)/N22*O22,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Row],[Par]])),(-(N22-N23)/N22*O22)+IF(TbTradesNovaDAX[[#This Row],[Resultado]]&gt;0,0,TbTradesNovaDAX[[#This Row],[Taxa]]),0),0))</f>
        <v>39.603725969096075</v>
      </c>
      <c r="P23" s="41">
        <f t="shared" si="0"/>
        <v>0.54520786363362916</v>
      </c>
      <c r="Q23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Row],[Tipo]]="DROP"),Q22+TbTradesNovaDAX[[#This Row],[Qtt]],Q22-TbTradesNovaDAX[[#This Row],[Qtt]]),IF(TbTradesNovaDAX[[#This Row],[Tipo]]="BUY",Q22-TbTradesNovaDAX[[#This Row],[Qtt]]*TbTradesNovaDAX[[#This Row],[Preço]],Q22+TbTradesNovaDAX[[#This Row],[Qtt]]*TbTradesNovaDAX[[#This Row],[Preço]])),Q22)-IF(TbTradesNovaDAX[[#This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Row],[Tipo]]="DROP"),Q22+TbTradesNovaDAX[[#This Row],[Qtt]],Q22-TbTradesNovaDAX[[#This Row],[Qtt]]),IF(TbTradesNovaDAX[[#This Row],[Tipo]]="BUY",Q22-TbTradesNovaDAX[[#This Row],[Qtt]]*TbTradesNovaDAX[[#This Row],[Preço]],Q22+TbTradesNovaDAX[[#This Row],[Qtt]]*TbTradesNovaDAX[[#This Row],[Preço]])),Q22)-IF(TbTradesNovaDAX[[#This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Row],[Tipo]]="DROP"),Q22+TbTradesNovaDAX[[#This Row],[Qtt]],Q22-TbTradesNovaDAX[[#This Row],[Qtt]]),IF(TbTradesNovaDAX[[#This Row],[Tipo]]="BUY",Q22-TbTradesNovaDAX[[#This Row],[Qtt]]*TbTradesNovaDAX[[#This Row],[Preço]],Q22+TbTradesNovaDAX[[#This Row],[Qtt]]*TbTradesNovaDAX[[#This Row],[Preço]])),Q22)-IF(TbTradesNovaDAX[[#This Row],[Moeda da Taxa]]=MID(Q$1,9,5),TbTradesNovaDAX[[#This Row],[Taxa]],0),8)))</f>
        <v>6.7327640000000004</v>
      </c>
      <c r="R23" s="50" cm="1">
        <f t="array" ref="R23">IF(TbTradesNovaDAX[[#This Row],[Tipo]]="EMPTY",0,R22+IF(TbTradesNovaDAX[[#This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Row],[Par]]))),$1:$1,0)),-(Q22-Q23)/Q22*R22),0),0)+IF(TbTradesNovaDAX[[#This Row],[Tipo]]="SELL",IF(ISNUMBER(FIND(MID(R$1,10,5),TbTradesNovaDAX[[#This Row],[Par]])),IF(FIND(MID(R$1,10,5),TbTradesNovaDAX[[#This Row],[Par]])=1, -(Q22-Q23)/Q22*R22,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Row],[Par]])),(-(Q22-Q23)/Q22*R22)+IF(TbTradesNovaDAX[[#This Row],[Resultado]]&gt;0,0,TbTradesNovaDAX[[#This Row],[Taxa]]),0),0))</f>
        <v>33.632159752289972</v>
      </c>
      <c r="S23" s="41">
        <f t="shared" si="1"/>
        <v>4.9952975854032564</v>
      </c>
      <c r="T23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Row],[Tipo]]="DROP"),T22+TbTradesNovaDAX[[#This Row],[Qtt]],T22-TbTradesNovaDAX[[#This Row],[Qtt]]),IF(TbTradesNovaDAX[[#This Row],[Tipo]]="BUY",T22-TbTradesNovaDAX[[#This Row],[Qtt]]*TbTradesNovaDAX[[#This Row],[Preço]],T22+TbTradesNovaDAX[[#This Row],[Qtt]]*TbTradesNovaDAX[[#This Row],[Preço]])),T22)-IF(TbTradesNovaDAX[[#This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Row],[Tipo]]="DROP"),T22+TbTradesNovaDAX[[#This Row],[Qtt]],T22-TbTradesNovaDAX[[#This Row],[Qtt]]),IF(TbTradesNovaDAX[[#This Row],[Tipo]]="BUY",T22-TbTradesNovaDAX[[#This Row],[Qtt]]*TbTradesNovaDAX[[#This Row],[Preço]],T22+TbTradesNovaDAX[[#This Row],[Qtt]]*TbTradesNovaDAX[[#This Row],[Preço]])),T22)-IF(TbTradesNovaDAX[[#This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Row],[Tipo]]="DROP"),T22+TbTradesNovaDAX[[#This Row],[Qtt]],T22-TbTradesNovaDAX[[#This Row],[Qtt]]),IF(TbTradesNovaDAX[[#This Row],[Tipo]]="BUY",T22-TbTradesNovaDAX[[#This Row],[Qtt]]*TbTradesNovaDAX[[#This Row],[Preço]],T22+TbTradesNovaDAX[[#This Row],[Qtt]]*TbTradesNovaDAX[[#This Row],[Preço]])),T22)-IF(TbTradesNovaDAX[[#This Row],[Moeda da Taxa]]=MID(T$1,9,5),TbTradesNovaDAX[[#This Row],[Taxa]],0),8)))</f>
        <v>1.3E-7</v>
      </c>
      <c r="U23" s="50" cm="1">
        <f t="array" ref="U23">IF(TbTradesNovaDAX[[#This Row],[Tipo]]="EMPTY",0,U22+IF(TbTradesNovaDAX[[#This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Row],[Par]]))),$1:$1,0)),-(T22-T23)/T22*U22),0),0)+IF(TbTradesNovaDAX[[#This Row],[Tipo]]="SELL",IF(ISNUMBER(FIND(MID(U$1,10,5),TbTradesNovaDAX[[#This Row],[Par]])),IF(FIND(MID(U$1,10,5),TbTradesNovaDAX[[#This Row],[Par]])=1, -(T22-T23)/T22*U22,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Row],[Par]])),(-(T22-T23)/T22*U22)+IF(TbTradesNovaDAX[[#This Row],[Resultado]]&gt;0,0,TbTradesNovaDAX[[#This Row],[Taxa]]),0),0))</f>
        <v>3.2941539001242859E-2</v>
      </c>
      <c r="V23" s="41">
        <f t="shared" si="2"/>
        <v>253396.4538557143</v>
      </c>
      <c r="W23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Row],[Tipo]]="DROP"),W22+TbTradesNovaDAX[[#This Row],[Qtt]],W22-TbTradesNovaDAX[[#This Row],[Qtt]]),IF(TbTradesNovaDAX[[#This Row],[Tipo]]="BUY",W22-TbTradesNovaDAX[[#This Row],[Qtt]]*TbTradesNovaDAX[[#This Row],[Preço]],W22+TbTradesNovaDAX[[#This Row],[Qtt]]*TbTradesNovaDAX[[#This Row],[Preço]])),W22)-IF(TbTradesNovaDAX[[#This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Row],[Tipo]]="DROP"),W22+TbTradesNovaDAX[[#This Row],[Qtt]],W22-TbTradesNovaDAX[[#This Row],[Qtt]]),IF(TbTradesNovaDAX[[#This Row],[Tipo]]="BUY",W22-TbTradesNovaDAX[[#This Row],[Qtt]]*TbTradesNovaDAX[[#This Row],[Preço]],W22+TbTradesNovaDAX[[#This Row],[Qtt]]*TbTradesNovaDAX[[#This Row],[Preço]])),W22)-IF(TbTradesNovaDAX[[#This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Row],[Tipo]]="DROP"),W22+TbTradesNovaDAX[[#This Row],[Qtt]],W22-TbTradesNovaDAX[[#This Row],[Qtt]]),IF(TbTradesNovaDAX[[#This Row],[Tipo]]="BUY",W22-TbTradesNovaDAX[[#This Row],[Qtt]]*TbTradesNovaDAX[[#This Row],[Preço]],W22+TbTradesNovaDAX[[#This Row],[Qtt]]*TbTradesNovaDAX[[#This Row],[Preço]])),W22)-IF(TbTradesNovaDAX[[#This Row],[Moeda da Taxa]]=MID(W$1,9,5),TbTradesNovaDAX[[#This Row],[Taxa]],0),8)))</f>
        <v>9.9773099999999997E-3</v>
      </c>
      <c r="X23" s="50" cm="1">
        <f t="array" ref="X23">IF(TbTradesNovaDAX[[#This Row],[Tipo]]="EMPTY",0,X22+IF(TbTradesNovaDAX[[#This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Row],[Par]]))),$1:$1,0)),-(W22-W23)/W22*X22),0),0)+IF(TbTradesNovaDAX[[#This Row],[Tipo]]="SELL",IF(ISNUMBER(FIND(MID(X$1,10,5),TbTradesNovaDAX[[#This Row],[Par]])),IF(FIND(MID(X$1,10,5),TbTradesNovaDAX[[#This Row],[Par]])=1, -(W22-W23)/W22*X22,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Row],[Par]])),(-(W22-W23)/W22*X22)+IF(TbTradesNovaDAX[[#This Row],[Resultado]]&gt;0,0,TbTradesNovaDAX[[#This Row],[Taxa]]),0),0))</f>
        <v>100.51735394577578</v>
      </c>
      <c r="Y23" s="41">
        <f t="shared" si="3"/>
        <v>10074.594649838062</v>
      </c>
      <c r="Z23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Row],[Tipo]]="DROP"),Z22+TbTradesNovaDAX[[#This Row],[Qtt]],Z22-TbTradesNovaDAX[[#This Row],[Qtt]]),IF(TbTradesNovaDAX[[#This Row],[Tipo]]="BUY",Z22-TbTradesNovaDAX[[#This Row],[Qtt]]*TbTradesNovaDAX[[#This Row],[Preço]],Z22+TbTradesNovaDAX[[#This Row],[Qtt]]*TbTradesNovaDAX[[#This Row],[Preço]])),Z22)-IF(TbTradesNovaDAX[[#This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Row],[Tipo]]="DROP"),Z22+TbTradesNovaDAX[[#This Row],[Qtt]],Z22-TbTradesNovaDAX[[#This Row],[Qtt]]),IF(TbTradesNovaDAX[[#This Row],[Tipo]]="BUY",Z22-TbTradesNovaDAX[[#This Row],[Qtt]]*TbTradesNovaDAX[[#This Row],[Preço]],Z22+TbTradesNovaDAX[[#This Row],[Qtt]]*TbTradesNovaDAX[[#This Row],[Preço]])),Z22)-IF(TbTradesNovaDAX[[#This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Row],[Tipo]]="DROP"),Z22+TbTradesNovaDAX[[#This Row],[Qtt]],Z22-TbTradesNovaDAX[[#This Row],[Qtt]]),IF(TbTradesNovaDAX[[#This Row],[Tipo]]="BUY",Z22-TbTradesNovaDAX[[#This Row],[Qtt]]*TbTradesNovaDAX[[#This Row],[Preço]],Z22+TbTradesNovaDAX[[#This Row],[Qtt]]*TbTradesNovaDAX[[#This Row],[Preço]])),Z22)-IF(TbTradesNovaDAX[[#This Row],[Moeda da Taxa]]=MID(Z$1,9,5),TbTradesNovaDAX[[#This Row],[Taxa]],0),8)))</f>
        <v>2.758043E-2</v>
      </c>
      <c r="AA23" s="50" cm="1">
        <f t="array" ref="AA23">IF(TbTradesNovaDAX[[#This Row],[Tipo]]="EMPTY",0,AA22+IF(TbTradesNovaDAX[[#This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Row],[Par]]))),$1:$1,0)),-(Z22-Z23)/Z22*AA22),0),0)+IF(TbTradesNovaDAX[[#This Row],[Tipo]]="SELL",IF(ISNUMBER(FIND(MID(AA$1,10,5),TbTradesNovaDAX[[#This Row],[Par]])),IF(FIND(MID(AA$1,10,5),TbTradesNovaDAX[[#This Row],[Par]])=1, -(Z22-Z23)/Z22*AA22,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Row],[Par]])),(-(Z22-Z23)/Z22*AA22)+IF(TbTradesNovaDAX[[#This Row],[Resultado]]&gt;0,0,TbTradesNovaDAX[[#This Row],[Taxa]]),0),0))</f>
        <v>93.145100744659118</v>
      </c>
      <c r="AB23" s="41">
        <f t="shared" si="4"/>
        <v>3377.2171334768573</v>
      </c>
      <c r="AC23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Row],[Tipo]]="DROP"),AC22+TbTradesNovaDAX[[#This Row],[Qtt]],AC22-TbTradesNovaDAX[[#This Row],[Qtt]]),IF(TbTradesNovaDAX[[#This Row],[Tipo]]="BUY",AC22-TbTradesNovaDAX[[#This Row],[Qtt]]*TbTradesNovaDAX[[#This Row],[Preço]],AC22+TbTradesNovaDAX[[#This Row],[Qtt]]*TbTradesNovaDAX[[#This Row],[Preço]])),AC22)-IF(TbTradesNovaDAX[[#This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Row],[Tipo]]="DROP"),AC22+TbTradesNovaDAX[[#This Row],[Qtt]],AC22-TbTradesNovaDAX[[#This Row],[Qtt]]),IF(TbTradesNovaDAX[[#This Row],[Tipo]]="BUY",AC22-TbTradesNovaDAX[[#This Row],[Qtt]]*TbTradesNovaDAX[[#This Row],[Preço]],AC22+TbTradesNovaDAX[[#This Row],[Qtt]]*TbTradesNovaDAX[[#This Row],[Preço]])),AC22)-IF(TbTradesNovaDAX[[#This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Row],[Tipo]]="DROP"),AC22+TbTradesNovaDAX[[#This Row],[Qtt]],AC22-TbTradesNovaDAX[[#This Row],[Qtt]]),IF(TbTradesNovaDAX[[#This Row],[Tipo]]="BUY",AC22-TbTradesNovaDAX[[#This Row],[Qtt]]*TbTradesNovaDAX[[#This Row],[Preço]],AC22+TbTradesNovaDAX[[#This Row],[Qtt]]*TbTradesNovaDAX[[#This Row],[Preço]])),AC22)-IF(TbTradesNovaDAX[[#This Row],[Moeda da Taxa]]=MID(AC$1,9,5),TbTradesNovaDAX[[#This Row],[Taxa]],0),8)))</f>
        <v>5.5000000000000002E-5</v>
      </c>
      <c r="AD23" s="50" cm="1">
        <f t="array" ref="AD23">IF(TbTradesNovaDAX[[#This Row],[Tipo]]="EMPTY",0,AD22+IF(TbTradesNovaDAX[[#This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Row],[Par]]))),$1:$1,0)),-(AC22-AC23)/AC22*AD22),0),0)+IF(TbTradesNovaDAX[[#This Row],[Tipo]]="SELL",IF(ISNUMBER(FIND(MID(AD$1,10,5),TbTradesNovaDAX[[#This Row],[Par]])),IF(FIND(MID(AD$1,10,5),TbTradesNovaDAX[[#This Row],[Par]])=1, -(AC22-AC23)/AC22*AD22,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Row],[Par]])),(-(AC22-AC23)/AC22*AD22)+IF(TbTradesNovaDAX[[#This Row],[Resultado]]&gt;0,0,TbTradesNovaDAX[[#This Row],[Taxa]]),0),0))</f>
        <v>5.9321010050297218E-3</v>
      </c>
      <c r="AE23" s="41">
        <f t="shared" si="5"/>
        <v>107.8563819096313</v>
      </c>
      <c r="AF23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Row],[Tipo]]="DROP"),AF22+TbTradesNovaDAX[[#This Row],[Qtt]],AF22-TbTradesNovaDAX[[#This Row],[Qtt]]),IF(TbTradesNovaDAX[[#This Row],[Tipo]]="BUY",AF22-TbTradesNovaDAX[[#This Row],[Qtt]]*TbTradesNovaDAX[[#This Row],[Preço]],AF22+TbTradesNovaDAX[[#This Row],[Qtt]]*TbTradesNovaDAX[[#This Row],[Preço]])),AF22)-IF(TbTradesNovaDAX[[#This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Row],[Tipo]]="DROP"),AF22+TbTradesNovaDAX[[#This Row],[Qtt]],AF22-TbTradesNovaDAX[[#This Row],[Qtt]]),IF(TbTradesNovaDAX[[#This Row],[Tipo]]="BUY",AF22-TbTradesNovaDAX[[#This Row],[Qtt]]*TbTradesNovaDAX[[#This Row],[Preço]],AF22+TbTradesNovaDAX[[#This Row],[Qtt]]*TbTradesNovaDAX[[#This Row],[Preço]])),AF22)-IF(TbTradesNovaDAX[[#This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Row],[Tipo]]="DROP"),AF22+TbTradesNovaDAX[[#This Row],[Qtt]],AF22-TbTradesNovaDAX[[#This Row],[Qtt]]),IF(TbTradesNovaDAX[[#This Row],[Tipo]]="BUY",AF22-TbTradesNovaDAX[[#This Row],[Qtt]]*TbTradesNovaDAX[[#This Row],[Preço]],AF22+TbTradesNovaDAX[[#This Row],[Qtt]]*TbTradesNovaDAX[[#This Row],[Preço]])),AF22)-IF(TbTradesNovaDAX[[#This Row],[Moeda da Taxa]]=MID(AF$1,9,5),TbTradesNovaDAX[[#This Row],[Taxa]],0),8)))</f>
        <v>1.649E-5</v>
      </c>
      <c r="AG23" s="50" cm="1">
        <f t="array" ref="AG23">IF(TbTradesNovaDAX[[#This Row],[Tipo]]="EMPTY",0,AG22+IF(TbTradesNovaDAX[[#This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Row],[Par]]))),$1:$1,0)),-(AF22-AF23)/AF22*AG22),0),0)+IF(TbTradesNovaDAX[[#This Row],[Tipo]]="SELL",IF(ISNUMBER(FIND(MID(AG$1,10,5),TbTradesNovaDAX[[#This Row],[Par]])),IF(FIND(MID(AG$1,10,5),TbTradesNovaDAX[[#This Row],[Par]])=1, -(AF22-AF23)/AF22*AG22,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Row],[Par]])),(-(AF22-AF23)/AF22*AG22)+IF(TbTradesNovaDAX[[#This Row],[Resultado]]&gt;0,0,TbTradesNovaDAX[[#This Row],[Taxa]]),0),0))</f>
        <v>1.4694429588004709E-3</v>
      </c>
      <c r="AH23" s="41">
        <f t="shared" si="6"/>
        <v>89.111155779288723</v>
      </c>
      <c r="AI23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Row],[Tipo]]="DROP"),AI22+TbTradesNovaDAX[[#This Row],[Qtt]],AI22-TbTradesNovaDAX[[#This Row],[Qtt]]),IF(TbTradesNovaDAX[[#This Row],[Tipo]]="BUY",AI22-TbTradesNovaDAX[[#This Row],[Qtt]]*TbTradesNovaDAX[[#This Row],[Preço]],AI22+TbTradesNovaDAX[[#This Row],[Qtt]]*TbTradesNovaDAX[[#This Row],[Preço]])),AI22)-IF(TbTradesNovaDAX[[#This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Row],[Tipo]]="DROP"),AI22+TbTradesNovaDAX[[#This Row],[Qtt]],AI22-TbTradesNovaDAX[[#This Row],[Qtt]]),IF(TbTradesNovaDAX[[#This Row],[Tipo]]="BUY",AI22-TbTradesNovaDAX[[#This Row],[Qtt]]*TbTradesNovaDAX[[#This Row],[Preço]],AI22+TbTradesNovaDAX[[#This Row],[Qtt]]*TbTradesNovaDAX[[#This Row],[Preço]])),AI22)-IF(TbTradesNovaDAX[[#This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Row],[Tipo]]="DROP"),AI22+TbTradesNovaDAX[[#This Row],[Qtt]],AI22-TbTradesNovaDAX[[#This Row],[Qtt]]),IF(TbTradesNovaDAX[[#This Row],[Tipo]]="BUY",AI22-TbTradesNovaDAX[[#This Row],[Qtt]]*TbTradesNovaDAX[[#This Row],[Preço]],AI22+TbTradesNovaDAX[[#This Row],[Qtt]]*TbTradesNovaDAX[[#This Row],[Preço]])),AI22)-IF(TbTradesNovaDAX[[#This Row],[Moeda da Taxa]]=MID(AI$1,9,5),TbTradesNovaDAX[[#This Row],[Taxa]],0),8)))</f>
        <v>7.6990000000000007E-5</v>
      </c>
      <c r="AJ23" s="50" cm="1">
        <f t="array" ref="AJ23">IF(TbTradesNovaDAX[[#This Row],[Tipo]]="EMPTY",0,AJ22+IF(TbTradesNovaDAX[[#This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Row],[Par]]))),$1:$1,0)),-(AI22-AI23)/AI22*AJ22),0),0)+IF(TbTradesNovaDAX[[#This Row],[Tipo]]="SELL",IF(ISNUMBER(FIND(MID(AJ$1,10,5),TbTradesNovaDAX[[#This Row],[Par]])),IF(FIND(MID(AJ$1,10,5),TbTradesNovaDAX[[#This Row],[Par]])=1, -(AI22-AI23)/AI22*AJ22,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Row],[Par]])),(-(AI22-AI23)/AI22*AJ22)+IF(TbTradesNovaDAX[[#This Row],[Resultado]]&gt;0,0,TbTradesNovaDAX[[#This Row],[Taxa]]),0),0))</f>
        <v>4.7351825995178842E-4</v>
      </c>
      <c r="AK23" s="41">
        <f t="shared" si="7"/>
        <v>6.1503865430807689</v>
      </c>
      <c r="AL23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Row],[Tipo]]="DROP"),AL22+TbTradesNovaDAX[[#This Row],[Qtt]],AL22-TbTradesNovaDAX[[#This Row],[Qtt]]),IF(TbTradesNovaDAX[[#This Row],[Tipo]]="BUY",AL22-TbTradesNovaDAX[[#This Row],[Qtt]]*TbTradesNovaDAX[[#This Row],[Preço]],AL22+TbTradesNovaDAX[[#This Row],[Qtt]]*TbTradesNovaDAX[[#This Row],[Preço]])),AL22)-IF(TbTradesNovaDAX[[#This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Row],[Tipo]]="DROP"),AL22+TbTradesNovaDAX[[#This Row],[Qtt]],AL22-TbTradesNovaDAX[[#This Row],[Qtt]]),IF(TbTradesNovaDAX[[#This Row],[Tipo]]="BUY",AL22-TbTradesNovaDAX[[#This Row],[Qtt]]*TbTradesNovaDAX[[#This Row],[Preço]],AL22+TbTradesNovaDAX[[#This Row],[Qtt]]*TbTradesNovaDAX[[#This Row],[Preço]])),AL22)-IF(TbTradesNovaDAX[[#This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Row],[Tipo]]="DROP"),AL22+TbTradesNovaDAX[[#This Row],[Qtt]],AL22-TbTradesNovaDAX[[#This Row],[Qtt]]),IF(TbTradesNovaDAX[[#This Row],[Tipo]]="BUY",AL22-TbTradesNovaDAX[[#This Row],[Qtt]]*TbTradesNovaDAX[[#This Row],[Preço]],AL22+TbTradesNovaDAX[[#This Row],[Qtt]]*TbTradesNovaDAX[[#This Row],[Preço]])),AL22)-IF(TbTradesNovaDAX[[#This Row],[Moeda da Taxa]]=MID(AL$1,9,5),TbTradesNovaDAX[[#This Row],[Taxa]],0),8)))</f>
        <v>1.15E-5</v>
      </c>
      <c r="AM23" s="50" cm="1">
        <f t="array" ref="AM23">IF(TbTradesNovaDAX[[#This Row],[Tipo]]="EMPTY",0,AM22+IF(TbTradesNovaDAX[[#This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Row],[Par]]))),$1:$1,0)),-(AL22-AL23)/AL22*AM22),0),0)+IF(TbTradesNovaDAX[[#This Row],[Tipo]]="SELL",IF(ISNUMBER(FIND(MID(AM$1,10,5),TbTradesNovaDAX[[#This Row],[Par]])),IF(FIND(MID(AM$1,10,5),TbTradesNovaDAX[[#This Row],[Par]])=1, -(AL22-AL23)/AL22*AM22,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Row],[Par]])),(-(AL22-AL23)/AL22*AM22)+IF(TbTradesNovaDAX[[#This Row],[Resultado]]&gt;0,0,TbTradesNovaDAX[[#This Row],[Taxa]]),0),0))</f>
        <v>7.1604349300216086E-3</v>
      </c>
      <c r="AN23" s="41">
        <f t="shared" si="8"/>
        <v>622.64651565405291</v>
      </c>
      <c r="AO23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Row],[Tipo]]="DROP"),AO22+TbTradesNovaDAX[[#This Row],[Qtt]],AO22-TbTradesNovaDAX[[#This Row],[Qtt]]),IF(TbTradesNovaDAX[[#This Row],[Tipo]]="BUY",AO22-TbTradesNovaDAX[[#This Row],[Qtt]]*TbTradesNovaDAX[[#This Row],[Preço]],AO22+TbTradesNovaDAX[[#This Row],[Qtt]]*TbTradesNovaDAX[[#This Row],[Preço]])),AO22)-IF(TbTradesNovaDAX[[#This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Row],[Tipo]]="DROP"),AO22+TbTradesNovaDAX[[#This Row],[Qtt]],AO22-TbTradesNovaDAX[[#This Row],[Qtt]]),IF(TbTradesNovaDAX[[#This Row],[Tipo]]="BUY",AO22-TbTradesNovaDAX[[#This Row],[Qtt]]*TbTradesNovaDAX[[#This Row],[Preço]],AO22+TbTradesNovaDAX[[#This Row],[Qtt]]*TbTradesNovaDAX[[#This Row],[Preço]])),AO22)-IF(TbTradesNovaDAX[[#This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Row],[Tipo]]="DROP"),AO22+TbTradesNovaDAX[[#This Row],[Qtt]],AO22-TbTradesNovaDAX[[#This Row],[Qtt]]),IF(TbTradesNovaDAX[[#This Row],[Tipo]]="BUY",AO22-TbTradesNovaDAX[[#This Row],[Qtt]]*TbTradesNovaDAX[[#This Row],[Preço]],AO22+TbTradesNovaDAX[[#This Row],[Qtt]]*TbTradesNovaDAX[[#This Row],[Preço]])),AO22)-IF(TbTradesNovaDAX[[#This Row],[Moeda da Taxa]]=MID(AO$1,9,5),TbTradesNovaDAX[[#This Row],[Taxa]],0),8)))</f>
        <v>9.8900000000000008E-4</v>
      </c>
      <c r="AP23" s="50" cm="1">
        <f t="array" ref="AP23">IF(TbTradesNovaDAX[[#This Row],[Tipo]]="EMPTY",0,AP22+IF(TbTradesNovaDAX[[#This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Row],[Par]]))),$1:$1,0)),-(AO22-AO23)/AO22*AP22),0),0)+IF(TbTradesNovaDAX[[#This Row],[Tipo]]="SELL",IF(ISNUMBER(FIND(MID(AP$1,10,5),TbTradesNovaDAX[[#This Row],[Par]])),IF(FIND(MID(AP$1,10,5),TbTradesNovaDAX[[#This Row],[Par]])=1, -(AO22-AO23)/AO22*AP22,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Row],[Par]])),(-(AO22-AO23)/AO22*AP22)+IF(TbTradesNovaDAX[[#This Row],[Resultado]]&gt;0,0,TbTradesNovaDAX[[#This Row],[Taxa]]),0),0))</f>
        <v>0.1385925249792308</v>
      </c>
      <c r="AQ23" s="41">
        <f t="shared" si="9"/>
        <v>140.13399896787743</v>
      </c>
    </row>
    <row r="24" spans="2:43" x14ac:dyDescent="0.3">
      <c r="B24" s="74"/>
      <c r="C24" s="67">
        <f>TRUNC(IF(AND(TbTradesNovaDAX[[#This Row],[Tipo]]="SEND",TbTradesNovaDAX[[#This Row],[Par]]="BRL"),TbTradesNovaDAX[[#This Row],[Qtt]]*(1-P23)-IF(TbTradesNovaDAX[[#This Row],[Moeda da Taxa]]="BRL",TbTradesNovaDAX[[#This Row],[Taxa]],0),0)+IF(AND(TbTradesNovaDAX[[#This Row],[Tipo]]="BURN",TbTradesNovaDAX[[#This Row],[Par]]="BRL"),-TbTradesNovaDAX[[#This Row],[Qtt]]*P23,0),2)</f>
        <v>0</v>
      </c>
      <c r="D24" s="65">
        <v>44267.506782407407</v>
      </c>
      <c r="E24" s="77" t="s">
        <v>172</v>
      </c>
      <c r="F24" s="77" t="s">
        <v>140</v>
      </c>
      <c r="G24" s="78">
        <f>81.5/TbTradesNovaDAX[[#This Row],[Qtt]]</f>
        <v>2954.9938126417901</v>
      </c>
      <c r="H24" s="78">
        <v>2.758043E-2</v>
      </c>
      <c r="I24" s="78">
        <v>0.25</v>
      </c>
      <c r="J24" s="77" t="s">
        <v>50</v>
      </c>
      <c r="K24" s="75">
        <v>1</v>
      </c>
      <c r="L24" s="67">
        <f t="shared" si="10"/>
        <v>2954.99</v>
      </c>
      <c r="M24" s="67">
        <f>IF(OR(TbTradesNovaDAX[[#This Row],[Tipo]]="BUY",TbTradesNovaDAX[[#This Row],[Tipo]]="RECEIVE"),L24*H24,-L24*H24)</f>
        <v>-81.499894845699998</v>
      </c>
      <c r="N24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Row],[Tipo]]="DROP"),N23+TbTradesNovaDAX[[#This Row],[Qtt]],N23-TbTradesNovaDAX[[#This Row],[Qtt]]),IF(TbTradesNovaDAX[[#This Row],[Tipo]]="BUY",N23-TbTradesNovaDAX[[#This Row],[Qtt]]*TbTradesNovaDAX[[#This Row],[Preço]],N23+TbTradesNovaDAX[[#This Row],[Qtt]]*TbTradesNovaDAX[[#This Row],[Preço]])),N23)-IF(TbTradesNovaDAX[[#This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Row],[Tipo]]="DROP"),N23+TbTradesNovaDAX[[#This Row],[Qtt]],N23-TbTradesNovaDAX[[#This Row],[Qtt]]),IF(TbTradesNovaDAX[[#This Row],[Tipo]]="BUY",N23-TbTradesNovaDAX[[#This Row],[Qtt]]*TbTradesNovaDAX[[#This Row],[Preço]],N23+TbTradesNovaDAX[[#This Row],[Qtt]]*TbTradesNovaDAX[[#This Row],[Preço]])),N23)-IF(TbTradesNovaDAX[[#This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Row],[Tipo]]="DROP"),N23+TbTradesNovaDAX[[#This Row],[Qtt]],N23-TbTradesNovaDAX[[#This Row],[Qtt]]),IF(TbTradesNovaDAX[[#This Row],[Tipo]]="BUY",N23-TbTradesNovaDAX[[#This Row],[Qtt]]*TbTradesNovaDAX[[#This Row],[Preço]],N23+TbTradesNovaDAX[[#This Row],[Qtt]]*TbTradesNovaDAX[[#This Row],[Preço]])),N23)-IF(TbTradesNovaDAX[[#This Row],[Moeda da Taxa]]=MID(N$1,9,5),TbTradesNovaDAX[[#This Row],[Taxa]],0),8)))</f>
        <v>153.88968224000001</v>
      </c>
      <c r="O24" s="50" cm="1">
        <f t="array" ref="O24">IF(TbTradesNovaDAX[[#This Row],[Tipo]]="EMPTY",0,O23+IF(TbTradesNovaDAX[[#This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Row],[Par]]))),$1:$1,0)),-(N23-N24)/N23*O23),0),0)+IF(TbTradesNovaDAX[[#This Row],[Tipo]]="SELL",IF(ISNUMBER(FIND(MID(O$1,10,5),TbTradesNovaDAX[[#This Row],[Par]])),IF(FIND(MID(O$1,10,5),TbTradesNovaDAX[[#This Row],[Par]])=1, -(N23-N24)/N23*O23,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Row],[Par]])),(-(N23-N24)/N23*O23)+IF(TbTradesNovaDAX[[#This Row],[Resultado]]&gt;0,0,TbTradesNovaDAX[[#This Row],[Taxa]]),0),0))</f>
        <v>132.74882671375519</v>
      </c>
      <c r="P24" s="41">
        <f t="shared" si="0"/>
        <v>0.86262330769340068</v>
      </c>
      <c r="Q24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Row],[Tipo]]="DROP"),Q23+TbTradesNovaDAX[[#This Row],[Qtt]],Q23-TbTradesNovaDAX[[#This Row],[Qtt]]),IF(TbTradesNovaDAX[[#This Row],[Tipo]]="BUY",Q23-TbTradesNovaDAX[[#This Row],[Qtt]]*TbTradesNovaDAX[[#This Row],[Preço]],Q23+TbTradesNovaDAX[[#This Row],[Qtt]]*TbTradesNovaDAX[[#This Row],[Preço]])),Q23)-IF(TbTradesNovaDAX[[#This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Row],[Tipo]]="DROP"),Q23+TbTradesNovaDAX[[#This Row],[Qtt]],Q23-TbTradesNovaDAX[[#This Row],[Qtt]]),IF(TbTradesNovaDAX[[#This Row],[Tipo]]="BUY",Q23-TbTradesNovaDAX[[#This Row],[Qtt]]*TbTradesNovaDAX[[#This Row],[Preço]],Q23+TbTradesNovaDAX[[#This Row],[Qtt]]*TbTradesNovaDAX[[#This Row],[Preço]])),Q23)-IF(TbTradesNovaDAX[[#This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Row],[Tipo]]="DROP"),Q23+TbTradesNovaDAX[[#This Row],[Qtt]],Q23-TbTradesNovaDAX[[#This Row],[Qtt]]),IF(TbTradesNovaDAX[[#This Row],[Tipo]]="BUY",Q23-TbTradesNovaDAX[[#This Row],[Qtt]]*TbTradesNovaDAX[[#This Row],[Preço]],Q23+TbTradesNovaDAX[[#This Row],[Qtt]]*TbTradesNovaDAX[[#This Row],[Preço]])),Q23)-IF(TbTradesNovaDAX[[#This Row],[Moeda da Taxa]]=MID(Q$1,9,5),TbTradesNovaDAX[[#This Row],[Taxa]],0),8)))</f>
        <v>6.7327640000000004</v>
      </c>
      <c r="R24" s="50" cm="1">
        <f t="array" ref="R24">IF(TbTradesNovaDAX[[#This Row],[Tipo]]="EMPTY",0,R23+IF(TbTradesNovaDAX[[#This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Row],[Par]]))),$1:$1,0)),-(Q23-Q24)/Q23*R23),0),0)+IF(TbTradesNovaDAX[[#This Row],[Tipo]]="SELL",IF(ISNUMBER(FIND(MID(R$1,10,5),TbTradesNovaDAX[[#This Row],[Par]])),IF(FIND(MID(R$1,10,5),TbTradesNovaDAX[[#This Row],[Par]])=1, -(Q23-Q24)/Q23*R23,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Row],[Par]])),(-(Q23-Q24)/Q23*R23)+IF(TbTradesNovaDAX[[#This Row],[Resultado]]&gt;0,0,TbTradesNovaDAX[[#This Row],[Taxa]]),0),0))</f>
        <v>33.632159752289972</v>
      </c>
      <c r="S24" s="41">
        <f t="shared" si="1"/>
        <v>4.9952975854032564</v>
      </c>
      <c r="T24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Row],[Tipo]]="DROP"),T23+TbTradesNovaDAX[[#This Row],[Qtt]],T23-TbTradesNovaDAX[[#This Row],[Qtt]]),IF(TbTradesNovaDAX[[#This Row],[Tipo]]="BUY",T23-TbTradesNovaDAX[[#This Row],[Qtt]]*TbTradesNovaDAX[[#This Row],[Preço]],T23+TbTradesNovaDAX[[#This Row],[Qtt]]*TbTradesNovaDAX[[#This Row],[Preço]])),T23)-IF(TbTradesNovaDAX[[#This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Row],[Tipo]]="DROP"),T23+TbTradesNovaDAX[[#This Row],[Qtt]],T23-TbTradesNovaDAX[[#This Row],[Qtt]]),IF(TbTradesNovaDAX[[#This Row],[Tipo]]="BUY",T23-TbTradesNovaDAX[[#This Row],[Qtt]]*TbTradesNovaDAX[[#This Row],[Preço]],T23+TbTradesNovaDAX[[#This Row],[Qtt]]*TbTradesNovaDAX[[#This Row],[Preço]])),T23)-IF(TbTradesNovaDAX[[#This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Row],[Tipo]]="DROP"),T23+TbTradesNovaDAX[[#This Row],[Qtt]],T23-TbTradesNovaDAX[[#This Row],[Qtt]]),IF(TbTradesNovaDAX[[#This Row],[Tipo]]="BUY",T23-TbTradesNovaDAX[[#This Row],[Qtt]]*TbTradesNovaDAX[[#This Row],[Preço]],T23+TbTradesNovaDAX[[#This Row],[Qtt]]*TbTradesNovaDAX[[#This Row],[Preço]])),T23)-IF(TbTradesNovaDAX[[#This Row],[Moeda da Taxa]]=MID(T$1,9,5),TbTradesNovaDAX[[#This Row],[Taxa]],0),8)))</f>
        <v>1.3E-7</v>
      </c>
      <c r="U24" s="50" cm="1">
        <f t="array" ref="U24">IF(TbTradesNovaDAX[[#This Row],[Tipo]]="EMPTY",0,U23+IF(TbTradesNovaDAX[[#This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Row],[Par]]))),$1:$1,0)),-(T23-T24)/T23*U23),0),0)+IF(TbTradesNovaDAX[[#This Row],[Tipo]]="SELL",IF(ISNUMBER(FIND(MID(U$1,10,5),TbTradesNovaDAX[[#This Row],[Par]])),IF(FIND(MID(U$1,10,5),TbTradesNovaDAX[[#This Row],[Par]])=1, -(T23-T24)/T23*U23,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Row],[Par]])),(-(T23-T24)/T23*U23)+IF(TbTradesNovaDAX[[#This Row],[Resultado]]&gt;0,0,TbTradesNovaDAX[[#This Row],[Taxa]]),0),0))</f>
        <v>3.2941539001242859E-2</v>
      </c>
      <c r="V24" s="41">
        <f t="shared" si="2"/>
        <v>253396.4538557143</v>
      </c>
      <c r="W24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Row],[Tipo]]="DROP"),W23+TbTradesNovaDAX[[#This Row],[Qtt]],W23-TbTradesNovaDAX[[#This Row],[Qtt]]),IF(TbTradesNovaDAX[[#This Row],[Tipo]]="BUY",W23-TbTradesNovaDAX[[#This Row],[Qtt]]*TbTradesNovaDAX[[#This Row],[Preço]],W23+TbTradesNovaDAX[[#This Row],[Qtt]]*TbTradesNovaDAX[[#This Row],[Preço]])),W23)-IF(TbTradesNovaDAX[[#This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Row],[Tipo]]="DROP"),W23+TbTradesNovaDAX[[#This Row],[Qtt]],W23-TbTradesNovaDAX[[#This Row],[Qtt]]),IF(TbTradesNovaDAX[[#This Row],[Tipo]]="BUY",W23-TbTradesNovaDAX[[#This Row],[Qtt]]*TbTradesNovaDAX[[#This Row],[Preço]],W23+TbTradesNovaDAX[[#This Row],[Qtt]]*TbTradesNovaDAX[[#This Row],[Preço]])),W23)-IF(TbTradesNovaDAX[[#This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Row],[Tipo]]="DROP"),W23+TbTradesNovaDAX[[#This Row],[Qtt]],W23-TbTradesNovaDAX[[#This Row],[Qtt]]),IF(TbTradesNovaDAX[[#This Row],[Tipo]]="BUY",W23-TbTradesNovaDAX[[#This Row],[Qtt]]*TbTradesNovaDAX[[#This Row],[Preço]],W23+TbTradesNovaDAX[[#This Row],[Qtt]]*TbTradesNovaDAX[[#This Row],[Preço]])),W23)-IF(TbTradesNovaDAX[[#This Row],[Moeda da Taxa]]=MID(W$1,9,5),TbTradesNovaDAX[[#This Row],[Taxa]],0),8)))</f>
        <v>9.9773099999999997E-3</v>
      </c>
      <c r="X24" s="50" cm="1">
        <f t="array" ref="X24">IF(TbTradesNovaDAX[[#This Row],[Tipo]]="EMPTY",0,X23+IF(TbTradesNovaDAX[[#This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Row],[Par]]))),$1:$1,0)),-(W23-W24)/W23*X23),0),0)+IF(TbTradesNovaDAX[[#This Row],[Tipo]]="SELL",IF(ISNUMBER(FIND(MID(X$1,10,5),TbTradesNovaDAX[[#This Row],[Par]])),IF(FIND(MID(X$1,10,5),TbTradesNovaDAX[[#This Row],[Par]])=1, -(W23-W24)/W23*X23,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Row],[Par]])),(-(W23-W24)/W23*X23)+IF(TbTradesNovaDAX[[#This Row],[Resultado]]&gt;0,0,TbTradesNovaDAX[[#This Row],[Taxa]]),0),0))</f>
        <v>100.51735394577578</v>
      </c>
      <c r="Y24" s="41">
        <f t="shared" si="3"/>
        <v>10074.594649838062</v>
      </c>
      <c r="Z24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Row],[Tipo]]="DROP"),Z23+TbTradesNovaDAX[[#This Row],[Qtt]],Z23-TbTradesNovaDAX[[#This Row],[Qtt]]),IF(TbTradesNovaDAX[[#This Row],[Tipo]]="BUY",Z23-TbTradesNovaDAX[[#This Row],[Qtt]]*TbTradesNovaDAX[[#This Row],[Preço]],Z23+TbTradesNovaDAX[[#This Row],[Qtt]]*TbTradesNovaDAX[[#This Row],[Preço]])),Z23)-IF(TbTradesNovaDAX[[#This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Row],[Tipo]]="DROP"),Z23+TbTradesNovaDAX[[#This Row],[Qtt]],Z23-TbTradesNovaDAX[[#This Row],[Qtt]]),IF(TbTradesNovaDAX[[#This Row],[Tipo]]="BUY",Z23-TbTradesNovaDAX[[#This Row],[Qtt]]*TbTradesNovaDAX[[#This Row],[Preço]],Z23+TbTradesNovaDAX[[#This Row],[Qtt]]*TbTradesNovaDAX[[#This Row],[Preço]])),Z23)-IF(TbTradesNovaDAX[[#This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Row],[Tipo]]="DROP"),Z23+TbTradesNovaDAX[[#This Row],[Qtt]],Z23-TbTradesNovaDAX[[#This Row],[Qtt]]),IF(TbTradesNovaDAX[[#This Row],[Tipo]]="BUY",Z23-TbTradesNovaDAX[[#This Row],[Qtt]]*TbTradesNovaDAX[[#This Row],[Preço]],Z23+TbTradesNovaDAX[[#This Row],[Qtt]]*TbTradesNovaDAX[[#This Row],[Preço]])),Z23)-IF(TbTradesNovaDAX[[#This Row],[Moeda da Taxa]]=MID(Z$1,9,5),TbTradesNovaDAX[[#This Row],[Taxa]],0),8)))</f>
        <v>0</v>
      </c>
      <c r="AA24" s="50" cm="1">
        <f t="array" ref="AA24">IF(TbTradesNovaDAX[[#This Row],[Tipo]]="EMPTY",0,AA23+IF(TbTradesNovaDAX[[#This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Row],[Par]]))),$1:$1,0)),-(Z23-Z24)/Z23*AA23),0),0)+IF(TbTradesNovaDAX[[#This Row],[Tipo]]="SELL",IF(ISNUMBER(FIND(MID(AA$1,10,5),TbTradesNovaDAX[[#This Row],[Par]])),IF(FIND(MID(AA$1,10,5),TbTradesNovaDAX[[#This Row],[Par]])=1, -(Z23-Z24)/Z23*AA23,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Row],[Par]])),(-(Z23-Z24)/Z23*AA23)+IF(TbTradesNovaDAX[[#This Row],[Resultado]]&gt;0,0,TbTradesNovaDAX[[#This Row],[Taxa]]),0),0))</f>
        <v>0</v>
      </c>
      <c r="AB24" s="41">
        <f t="shared" si="4"/>
        <v>0</v>
      </c>
      <c r="AC24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Row],[Tipo]]="DROP"),AC23+TbTradesNovaDAX[[#This Row],[Qtt]],AC23-TbTradesNovaDAX[[#This Row],[Qtt]]),IF(TbTradesNovaDAX[[#This Row],[Tipo]]="BUY",AC23-TbTradesNovaDAX[[#This Row],[Qtt]]*TbTradesNovaDAX[[#This Row],[Preço]],AC23+TbTradesNovaDAX[[#This Row],[Qtt]]*TbTradesNovaDAX[[#This Row],[Preço]])),AC23)-IF(TbTradesNovaDAX[[#This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Row],[Tipo]]="DROP"),AC23+TbTradesNovaDAX[[#This Row],[Qtt]],AC23-TbTradesNovaDAX[[#This Row],[Qtt]]),IF(TbTradesNovaDAX[[#This Row],[Tipo]]="BUY",AC23-TbTradesNovaDAX[[#This Row],[Qtt]]*TbTradesNovaDAX[[#This Row],[Preço]],AC23+TbTradesNovaDAX[[#This Row],[Qtt]]*TbTradesNovaDAX[[#This Row],[Preço]])),AC23)-IF(TbTradesNovaDAX[[#This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Row],[Tipo]]="DROP"),AC23+TbTradesNovaDAX[[#This Row],[Qtt]],AC23-TbTradesNovaDAX[[#This Row],[Qtt]]),IF(TbTradesNovaDAX[[#This Row],[Tipo]]="BUY",AC23-TbTradesNovaDAX[[#This Row],[Qtt]]*TbTradesNovaDAX[[#This Row],[Preço]],AC23+TbTradesNovaDAX[[#This Row],[Qtt]]*TbTradesNovaDAX[[#This Row],[Preço]])),AC23)-IF(TbTradesNovaDAX[[#This Row],[Moeda da Taxa]]=MID(AC$1,9,5),TbTradesNovaDAX[[#This Row],[Taxa]],0),8)))</f>
        <v>5.5000000000000002E-5</v>
      </c>
      <c r="AD24" s="50" cm="1">
        <f t="array" ref="AD24">IF(TbTradesNovaDAX[[#This Row],[Tipo]]="EMPTY",0,AD23+IF(TbTradesNovaDAX[[#This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Row],[Par]]))),$1:$1,0)),-(AC23-AC24)/AC23*AD23),0),0)+IF(TbTradesNovaDAX[[#This Row],[Tipo]]="SELL",IF(ISNUMBER(FIND(MID(AD$1,10,5),TbTradesNovaDAX[[#This Row],[Par]])),IF(FIND(MID(AD$1,10,5),TbTradesNovaDAX[[#This Row],[Par]])=1, -(AC23-AC24)/AC23*AD23,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Row],[Par]])),(-(AC23-AC24)/AC23*AD23)+IF(TbTradesNovaDAX[[#This Row],[Resultado]]&gt;0,0,TbTradesNovaDAX[[#This Row],[Taxa]]),0),0))</f>
        <v>5.9321010050297218E-3</v>
      </c>
      <c r="AE24" s="41">
        <f t="shared" si="5"/>
        <v>107.8563819096313</v>
      </c>
      <c r="AF24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Row],[Tipo]]="DROP"),AF23+TbTradesNovaDAX[[#This Row],[Qtt]],AF23-TbTradesNovaDAX[[#This Row],[Qtt]]),IF(TbTradesNovaDAX[[#This Row],[Tipo]]="BUY",AF23-TbTradesNovaDAX[[#This Row],[Qtt]]*TbTradesNovaDAX[[#This Row],[Preço]],AF23+TbTradesNovaDAX[[#This Row],[Qtt]]*TbTradesNovaDAX[[#This Row],[Preço]])),AF23)-IF(TbTradesNovaDAX[[#This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Row],[Tipo]]="DROP"),AF23+TbTradesNovaDAX[[#This Row],[Qtt]],AF23-TbTradesNovaDAX[[#This Row],[Qtt]]),IF(TbTradesNovaDAX[[#This Row],[Tipo]]="BUY",AF23-TbTradesNovaDAX[[#This Row],[Qtt]]*TbTradesNovaDAX[[#This Row],[Preço]],AF23+TbTradesNovaDAX[[#This Row],[Qtt]]*TbTradesNovaDAX[[#This Row],[Preço]])),AF23)-IF(TbTradesNovaDAX[[#This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Row],[Tipo]]="DROP"),AF23+TbTradesNovaDAX[[#This Row],[Qtt]],AF23-TbTradesNovaDAX[[#This Row],[Qtt]]),IF(TbTradesNovaDAX[[#This Row],[Tipo]]="BUY",AF23-TbTradesNovaDAX[[#This Row],[Qtt]]*TbTradesNovaDAX[[#This Row],[Preço]],AF23+TbTradesNovaDAX[[#This Row],[Qtt]]*TbTradesNovaDAX[[#This Row],[Preço]])),AF23)-IF(TbTradesNovaDAX[[#This Row],[Moeda da Taxa]]=MID(AF$1,9,5),TbTradesNovaDAX[[#This Row],[Taxa]],0),8)))</f>
        <v>1.649E-5</v>
      </c>
      <c r="AG24" s="50" cm="1">
        <f t="array" ref="AG24">IF(TbTradesNovaDAX[[#This Row],[Tipo]]="EMPTY",0,AG23+IF(TbTradesNovaDAX[[#This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Row],[Par]]))),$1:$1,0)),-(AF23-AF24)/AF23*AG23),0),0)+IF(TbTradesNovaDAX[[#This Row],[Tipo]]="SELL",IF(ISNUMBER(FIND(MID(AG$1,10,5),TbTradesNovaDAX[[#This Row],[Par]])),IF(FIND(MID(AG$1,10,5),TbTradesNovaDAX[[#This Row],[Par]])=1, -(AF23-AF24)/AF23*AG23,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Row],[Par]])),(-(AF23-AF24)/AF23*AG23)+IF(TbTradesNovaDAX[[#This Row],[Resultado]]&gt;0,0,TbTradesNovaDAX[[#This Row],[Taxa]]),0),0))</f>
        <v>1.4694429588004709E-3</v>
      </c>
      <c r="AH24" s="41">
        <f t="shared" si="6"/>
        <v>89.111155779288723</v>
      </c>
      <c r="AI24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Row],[Tipo]]="DROP"),AI23+TbTradesNovaDAX[[#This Row],[Qtt]],AI23-TbTradesNovaDAX[[#This Row],[Qtt]]),IF(TbTradesNovaDAX[[#This Row],[Tipo]]="BUY",AI23-TbTradesNovaDAX[[#This Row],[Qtt]]*TbTradesNovaDAX[[#This Row],[Preço]],AI23+TbTradesNovaDAX[[#This Row],[Qtt]]*TbTradesNovaDAX[[#This Row],[Preço]])),AI23)-IF(TbTradesNovaDAX[[#This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Row],[Tipo]]="DROP"),AI23+TbTradesNovaDAX[[#This Row],[Qtt]],AI23-TbTradesNovaDAX[[#This Row],[Qtt]]),IF(TbTradesNovaDAX[[#This Row],[Tipo]]="BUY",AI23-TbTradesNovaDAX[[#This Row],[Qtt]]*TbTradesNovaDAX[[#This Row],[Preço]],AI23+TbTradesNovaDAX[[#This Row],[Qtt]]*TbTradesNovaDAX[[#This Row],[Preço]])),AI23)-IF(TbTradesNovaDAX[[#This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Row],[Tipo]]="DROP"),AI23+TbTradesNovaDAX[[#This Row],[Qtt]],AI23-TbTradesNovaDAX[[#This Row],[Qtt]]),IF(TbTradesNovaDAX[[#This Row],[Tipo]]="BUY",AI23-TbTradesNovaDAX[[#This Row],[Qtt]]*TbTradesNovaDAX[[#This Row],[Preço]],AI23+TbTradesNovaDAX[[#This Row],[Qtt]]*TbTradesNovaDAX[[#This Row],[Preço]])),AI23)-IF(TbTradesNovaDAX[[#This Row],[Moeda da Taxa]]=MID(AI$1,9,5),TbTradesNovaDAX[[#This Row],[Taxa]],0),8)))</f>
        <v>7.6990000000000007E-5</v>
      </c>
      <c r="AJ24" s="50" cm="1">
        <f t="array" ref="AJ24">IF(TbTradesNovaDAX[[#This Row],[Tipo]]="EMPTY",0,AJ23+IF(TbTradesNovaDAX[[#This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Row],[Par]]))),$1:$1,0)),-(AI23-AI24)/AI23*AJ23),0),0)+IF(TbTradesNovaDAX[[#This Row],[Tipo]]="SELL",IF(ISNUMBER(FIND(MID(AJ$1,10,5),TbTradesNovaDAX[[#This Row],[Par]])),IF(FIND(MID(AJ$1,10,5),TbTradesNovaDAX[[#This Row],[Par]])=1, -(AI23-AI24)/AI23*AJ23,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Row],[Par]])),(-(AI23-AI24)/AI23*AJ23)+IF(TbTradesNovaDAX[[#This Row],[Resultado]]&gt;0,0,TbTradesNovaDAX[[#This Row],[Taxa]]),0),0))</f>
        <v>4.7351825995178842E-4</v>
      </c>
      <c r="AK24" s="41">
        <f t="shared" si="7"/>
        <v>6.1503865430807689</v>
      </c>
      <c r="AL24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Row],[Tipo]]="DROP"),AL23+TbTradesNovaDAX[[#This Row],[Qtt]],AL23-TbTradesNovaDAX[[#This Row],[Qtt]]),IF(TbTradesNovaDAX[[#This Row],[Tipo]]="BUY",AL23-TbTradesNovaDAX[[#This Row],[Qtt]]*TbTradesNovaDAX[[#This Row],[Preço]],AL23+TbTradesNovaDAX[[#This Row],[Qtt]]*TbTradesNovaDAX[[#This Row],[Preço]])),AL23)-IF(TbTradesNovaDAX[[#This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Row],[Tipo]]="DROP"),AL23+TbTradesNovaDAX[[#This Row],[Qtt]],AL23-TbTradesNovaDAX[[#This Row],[Qtt]]),IF(TbTradesNovaDAX[[#This Row],[Tipo]]="BUY",AL23-TbTradesNovaDAX[[#This Row],[Qtt]]*TbTradesNovaDAX[[#This Row],[Preço]],AL23+TbTradesNovaDAX[[#This Row],[Qtt]]*TbTradesNovaDAX[[#This Row],[Preço]])),AL23)-IF(TbTradesNovaDAX[[#This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Row],[Tipo]]="DROP"),AL23+TbTradesNovaDAX[[#This Row],[Qtt]],AL23-TbTradesNovaDAX[[#This Row],[Qtt]]),IF(TbTradesNovaDAX[[#This Row],[Tipo]]="BUY",AL23-TbTradesNovaDAX[[#This Row],[Qtt]]*TbTradesNovaDAX[[#This Row],[Preço]],AL23+TbTradesNovaDAX[[#This Row],[Qtt]]*TbTradesNovaDAX[[#This Row],[Preço]])),AL23)-IF(TbTradesNovaDAX[[#This Row],[Moeda da Taxa]]=MID(AL$1,9,5),TbTradesNovaDAX[[#This Row],[Taxa]],0),8)))</f>
        <v>1.15E-5</v>
      </c>
      <c r="AM24" s="50" cm="1">
        <f t="array" ref="AM24">IF(TbTradesNovaDAX[[#This Row],[Tipo]]="EMPTY",0,AM23+IF(TbTradesNovaDAX[[#This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Row],[Par]]))),$1:$1,0)),-(AL23-AL24)/AL23*AM23),0),0)+IF(TbTradesNovaDAX[[#This Row],[Tipo]]="SELL",IF(ISNUMBER(FIND(MID(AM$1,10,5),TbTradesNovaDAX[[#This Row],[Par]])),IF(FIND(MID(AM$1,10,5),TbTradesNovaDAX[[#This Row],[Par]])=1, -(AL23-AL24)/AL23*AM23,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Row],[Par]])),(-(AL23-AL24)/AL23*AM23)+IF(TbTradesNovaDAX[[#This Row],[Resultado]]&gt;0,0,TbTradesNovaDAX[[#This Row],[Taxa]]),0),0))</f>
        <v>7.1604349300216086E-3</v>
      </c>
      <c r="AN24" s="41">
        <f t="shared" si="8"/>
        <v>622.64651565405291</v>
      </c>
      <c r="AO24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Row],[Tipo]]="DROP"),AO23+TbTradesNovaDAX[[#This Row],[Qtt]],AO23-TbTradesNovaDAX[[#This Row],[Qtt]]),IF(TbTradesNovaDAX[[#This Row],[Tipo]]="BUY",AO23-TbTradesNovaDAX[[#This Row],[Qtt]]*TbTradesNovaDAX[[#This Row],[Preço]],AO23+TbTradesNovaDAX[[#This Row],[Qtt]]*TbTradesNovaDAX[[#This Row],[Preço]])),AO23)-IF(TbTradesNovaDAX[[#This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Row],[Tipo]]="DROP"),AO23+TbTradesNovaDAX[[#This Row],[Qtt]],AO23-TbTradesNovaDAX[[#This Row],[Qtt]]),IF(TbTradesNovaDAX[[#This Row],[Tipo]]="BUY",AO23-TbTradesNovaDAX[[#This Row],[Qtt]]*TbTradesNovaDAX[[#This Row],[Preço]],AO23+TbTradesNovaDAX[[#This Row],[Qtt]]*TbTradesNovaDAX[[#This Row],[Preço]])),AO23)-IF(TbTradesNovaDAX[[#This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Row],[Tipo]]="DROP"),AO23+TbTradesNovaDAX[[#This Row],[Qtt]],AO23-TbTradesNovaDAX[[#This Row],[Qtt]]),IF(TbTradesNovaDAX[[#This Row],[Tipo]]="BUY",AO23-TbTradesNovaDAX[[#This Row],[Qtt]]*TbTradesNovaDAX[[#This Row],[Preço]],AO23+TbTradesNovaDAX[[#This Row],[Qtt]]*TbTradesNovaDAX[[#This Row],[Preço]])),AO23)-IF(TbTradesNovaDAX[[#This Row],[Moeda da Taxa]]=MID(AO$1,9,5),TbTradesNovaDAX[[#This Row],[Taxa]],0),8)))</f>
        <v>9.8900000000000008E-4</v>
      </c>
      <c r="AP24" s="50" cm="1">
        <f t="array" ref="AP24">IF(TbTradesNovaDAX[[#This Row],[Tipo]]="EMPTY",0,AP23+IF(TbTradesNovaDAX[[#This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Row],[Par]]))),$1:$1,0)),-(AO23-AO24)/AO23*AP23),0),0)+IF(TbTradesNovaDAX[[#This Row],[Tipo]]="SELL",IF(ISNUMBER(FIND(MID(AP$1,10,5),TbTradesNovaDAX[[#This Row],[Par]])),IF(FIND(MID(AP$1,10,5),TbTradesNovaDAX[[#This Row],[Par]])=1, -(AO23-AO24)/AO23*AP23,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Row],[Par]])),(-(AO23-AO24)/AO23*AP23)+IF(TbTradesNovaDAX[[#This Row],[Resultado]]&gt;0,0,TbTradesNovaDAX[[#This Row],[Taxa]]),0),0))</f>
        <v>0.1385925249792308</v>
      </c>
      <c r="AQ24" s="41">
        <f t="shared" si="9"/>
        <v>140.13399896787743</v>
      </c>
    </row>
    <row r="25" spans="2:43" x14ac:dyDescent="0.3">
      <c r="B25" s="74"/>
      <c r="C25" s="67">
        <f>TRUNC(IF(AND(TbTradesNovaDAX[[#This Row],[Tipo]]="SEND",TbTradesNovaDAX[[#This Row],[Par]]="BRL"),TbTradesNovaDAX[[#This Row],[Qtt]]*(1-P24)-IF(TbTradesNovaDAX[[#This Row],[Moeda da Taxa]]="BRL",TbTradesNovaDAX[[#This Row],[Taxa]],0),0)+IF(AND(TbTradesNovaDAX[[#This Row],[Tipo]]="BURN",TbTradesNovaDAX[[#This Row],[Par]]="BRL"),-TbTradesNovaDAX[[#This Row],[Qtt]]*P24,0),2)</f>
        <v>0</v>
      </c>
      <c r="D25" s="65">
        <v>44267.513067129628</v>
      </c>
      <c r="E25" s="77" t="s">
        <v>145</v>
      </c>
      <c r="F25" s="77" t="s">
        <v>139</v>
      </c>
      <c r="G25" s="78">
        <f>6.693814/TbTradesNovaDAX[[#This Row],[Qtt]]</f>
        <v>1761.53</v>
      </c>
      <c r="H25" s="78">
        <v>3.8E-3</v>
      </c>
      <c r="I25" s="78">
        <v>1.9000000000000001E-5</v>
      </c>
      <c r="J25" s="77" t="s">
        <v>8</v>
      </c>
      <c r="K25" s="75">
        <v>5.56</v>
      </c>
      <c r="L25" s="67">
        <f t="shared" si="10"/>
        <v>9794.1</v>
      </c>
      <c r="M25" s="67">
        <f>IF(OR(TbTradesNovaDAX[[#This Row],[Tipo]]="BUY",TbTradesNovaDAX[[#This Row],[Tipo]]="RECEIVE"),L25*H25,-L25*H25)</f>
        <v>37.217579999999998</v>
      </c>
      <c r="N25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Row],[Tipo]]="DROP"),N24+TbTradesNovaDAX[[#This Row],[Qtt]],N24-TbTradesNovaDAX[[#This Row],[Qtt]]),IF(TbTradesNovaDAX[[#This Row],[Tipo]]="BUY",N24-TbTradesNovaDAX[[#This Row],[Qtt]]*TbTradesNovaDAX[[#This Row],[Preço]],N24+TbTradesNovaDAX[[#This Row],[Qtt]]*TbTradesNovaDAX[[#This Row],[Preço]])),N24)-IF(TbTradesNovaDAX[[#This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Row],[Tipo]]="DROP"),N24+TbTradesNovaDAX[[#This Row],[Qtt]],N24-TbTradesNovaDAX[[#This Row],[Qtt]]),IF(TbTradesNovaDAX[[#This Row],[Tipo]]="BUY",N24-TbTradesNovaDAX[[#This Row],[Qtt]]*TbTradesNovaDAX[[#This Row],[Preço]],N24+TbTradesNovaDAX[[#This Row],[Qtt]]*TbTradesNovaDAX[[#This Row],[Preço]])),N24)-IF(TbTradesNovaDAX[[#This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Row],[Tipo]]="DROP"),N24+TbTradesNovaDAX[[#This Row],[Qtt]],N24-TbTradesNovaDAX[[#This Row],[Qtt]]),IF(TbTradesNovaDAX[[#This Row],[Tipo]]="BUY",N24-TbTradesNovaDAX[[#This Row],[Qtt]]*TbTradesNovaDAX[[#This Row],[Preço]],N24+TbTradesNovaDAX[[#This Row],[Qtt]]*TbTradesNovaDAX[[#This Row],[Preço]])),N24)-IF(TbTradesNovaDAX[[#This Row],[Moeda da Taxa]]=MID(N$1,9,5),TbTradesNovaDAX[[#This Row],[Taxa]],0),8)))</f>
        <v>153.88968224000001</v>
      </c>
      <c r="O25" s="50" cm="1">
        <f t="array" ref="O25">IF(TbTradesNovaDAX[[#This Row],[Tipo]]="EMPTY",0,O24+IF(TbTradesNovaDAX[[#This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Row],[Par]]))),$1:$1,0)),-(N24-N25)/N24*O24),0),0)+IF(TbTradesNovaDAX[[#This Row],[Tipo]]="SELL",IF(ISNUMBER(FIND(MID(O$1,10,5),TbTradesNovaDAX[[#This Row],[Par]])),IF(FIND(MID(O$1,10,5),TbTradesNovaDAX[[#This Row],[Par]])=1, -(N24-N25)/N24*O24,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Row],[Par]])),(-(N24-N25)/N24*O24)+IF(TbTradesNovaDAX[[#This Row],[Resultado]]&gt;0,0,TbTradesNovaDAX[[#This Row],[Taxa]]),0),0))</f>
        <v>132.74882671375519</v>
      </c>
      <c r="P25" s="41">
        <f t="shared" si="0"/>
        <v>0.86262330769340068</v>
      </c>
      <c r="Q25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Row],[Tipo]]="DROP"),Q24+TbTradesNovaDAX[[#This Row],[Qtt]],Q24-TbTradesNovaDAX[[#This Row],[Qtt]]),IF(TbTradesNovaDAX[[#This Row],[Tipo]]="BUY",Q24-TbTradesNovaDAX[[#This Row],[Qtt]]*TbTradesNovaDAX[[#This Row],[Preço]],Q24+TbTradesNovaDAX[[#This Row],[Qtt]]*TbTradesNovaDAX[[#This Row],[Preço]])),Q24)-IF(TbTradesNovaDAX[[#This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Row],[Tipo]]="DROP"),Q24+TbTradesNovaDAX[[#This Row],[Qtt]],Q24-TbTradesNovaDAX[[#This Row],[Qtt]]),IF(TbTradesNovaDAX[[#This Row],[Tipo]]="BUY",Q24-TbTradesNovaDAX[[#This Row],[Qtt]]*TbTradesNovaDAX[[#This Row],[Preço]],Q24+TbTradesNovaDAX[[#This Row],[Qtt]]*TbTradesNovaDAX[[#This Row],[Preço]])),Q24)-IF(TbTradesNovaDAX[[#This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Row],[Tipo]]="DROP"),Q24+TbTradesNovaDAX[[#This Row],[Qtt]],Q24-TbTradesNovaDAX[[#This Row],[Qtt]]),IF(TbTradesNovaDAX[[#This Row],[Tipo]]="BUY",Q24-TbTradesNovaDAX[[#This Row],[Qtt]]*TbTradesNovaDAX[[#This Row],[Preço]],Q24+TbTradesNovaDAX[[#This Row],[Qtt]]*TbTradesNovaDAX[[#This Row],[Preço]])),Q24)-IF(TbTradesNovaDAX[[#This Row],[Moeda da Taxa]]=MID(Q$1,9,5),TbTradesNovaDAX[[#This Row],[Taxa]],0),8)))</f>
        <v>3.8949999999999999E-2</v>
      </c>
      <c r="R25" s="50" cm="1">
        <f t="array" ref="R25">IF(TbTradesNovaDAX[[#This Row],[Tipo]]="EMPTY",0,R24+IF(TbTradesNovaDAX[[#This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Row],[Par]]))),$1:$1,0)),-(Q24-Q25)/Q24*R24),0),0)+IF(TbTradesNovaDAX[[#This Row],[Tipo]]="SELL",IF(ISNUMBER(FIND(MID(R$1,10,5),TbTradesNovaDAX[[#This Row],[Par]])),IF(FIND(MID(R$1,10,5),TbTradesNovaDAX[[#This Row],[Par]])=1, -(Q24-Q25)/Q24*R24,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Row],[Par]])),(-(Q24-Q25)/Q24*R24)+IF(TbTradesNovaDAX[[#This Row],[Resultado]]&gt;0,0,TbTradesNovaDAX[[#This Row],[Taxa]]),0),0))</f>
        <v>0.19456684095145249</v>
      </c>
      <c r="S25" s="41">
        <f t="shared" si="1"/>
        <v>4.9952975854031454</v>
      </c>
      <c r="T25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Row],[Tipo]]="DROP"),T24+TbTradesNovaDAX[[#This Row],[Qtt]],T24-TbTradesNovaDAX[[#This Row],[Qtt]]),IF(TbTradesNovaDAX[[#This Row],[Tipo]]="BUY",T24-TbTradesNovaDAX[[#This Row],[Qtt]]*TbTradesNovaDAX[[#This Row],[Preço]],T24+TbTradesNovaDAX[[#This Row],[Qtt]]*TbTradesNovaDAX[[#This Row],[Preço]])),T24)-IF(TbTradesNovaDAX[[#This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Row],[Tipo]]="DROP"),T24+TbTradesNovaDAX[[#This Row],[Qtt]],T24-TbTradesNovaDAX[[#This Row],[Qtt]]),IF(TbTradesNovaDAX[[#This Row],[Tipo]]="BUY",T24-TbTradesNovaDAX[[#This Row],[Qtt]]*TbTradesNovaDAX[[#This Row],[Preço]],T24+TbTradesNovaDAX[[#This Row],[Qtt]]*TbTradesNovaDAX[[#This Row],[Preço]])),T24)-IF(TbTradesNovaDAX[[#This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Row],[Tipo]]="DROP"),T24+TbTradesNovaDAX[[#This Row],[Qtt]],T24-TbTradesNovaDAX[[#This Row],[Qtt]]),IF(TbTradesNovaDAX[[#This Row],[Tipo]]="BUY",T24-TbTradesNovaDAX[[#This Row],[Qtt]]*TbTradesNovaDAX[[#This Row],[Preço]],T24+TbTradesNovaDAX[[#This Row],[Qtt]]*TbTradesNovaDAX[[#This Row],[Preço]])),T24)-IF(TbTradesNovaDAX[[#This Row],[Moeda da Taxa]]=MID(T$1,9,5),TbTradesNovaDAX[[#This Row],[Taxa]],0),8)))</f>
        <v>1.3E-7</v>
      </c>
      <c r="U25" s="50" cm="1">
        <f t="array" ref="U25">IF(TbTradesNovaDAX[[#This Row],[Tipo]]="EMPTY",0,U24+IF(TbTradesNovaDAX[[#This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Row],[Par]]))),$1:$1,0)),-(T24-T25)/T24*U24),0),0)+IF(TbTradesNovaDAX[[#This Row],[Tipo]]="SELL",IF(ISNUMBER(FIND(MID(U$1,10,5),TbTradesNovaDAX[[#This Row],[Par]])),IF(FIND(MID(U$1,10,5),TbTradesNovaDAX[[#This Row],[Par]])=1, -(T24-T25)/T24*U24,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Row],[Par]])),(-(T24-T25)/T24*U24)+IF(TbTradesNovaDAX[[#This Row],[Resultado]]&gt;0,0,TbTradesNovaDAX[[#This Row],[Taxa]]),0),0))</f>
        <v>3.2941539001242859E-2</v>
      </c>
      <c r="V25" s="41">
        <f t="shared" si="2"/>
        <v>253396.4538557143</v>
      </c>
      <c r="W25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Row],[Tipo]]="DROP"),W24+TbTradesNovaDAX[[#This Row],[Qtt]],W24-TbTradesNovaDAX[[#This Row],[Qtt]]),IF(TbTradesNovaDAX[[#This Row],[Tipo]]="BUY",W24-TbTradesNovaDAX[[#This Row],[Qtt]]*TbTradesNovaDAX[[#This Row],[Preço]],W24+TbTradesNovaDAX[[#This Row],[Qtt]]*TbTradesNovaDAX[[#This Row],[Preço]])),W24)-IF(TbTradesNovaDAX[[#This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Row],[Tipo]]="DROP"),W24+TbTradesNovaDAX[[#This Row],[Qtt]],W24-TbTradesNovaDAX[[#This Row],[Qtt]]),IF(TbTradesNovaDAX[[#This Row],[Tipo]]="BUY",W24-TbTradesNovaDAX[[#This Row],[Qtt]]*TbTradesNovaDAX[[#This Row],[Preço]],W24+TbTradesNovaDAX[[#This Row],[Qtt]]*TbTradesNovaDAX[[#This Row],[Preço]])),W24)-IF(TbTradesNovaDAX[[#This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Row],[Tipo]]="DROP"),W24+TbTradesNovaDAX[[#This Row],[Qtt]],W24-TbTradesNovaDAX[[#This Row],[Qtt]]),IF(TbTradesNovaDAX[[#This Row],[Tipo]]="BUY",W24-TbTradesNovaDAX[[#This Row],[Qtt]]*TbTradesNovaDAX[[#This Row],[Preço]],W24+TbTradesNovaDAX[[#This Row],[Qtt]]*TbTradesNovaDAX[[#This Row],[Preço]])),W24)-IF(TbTradesNovaDAX[[#This Row],[Moeda da Taxa]]=MID(W$1,9,5),TbTradesNovaDAX[[#This Row],[Taxa]],0),8)))</f>
        <v>1.3758309999999999E-2</v>
      </c>
      <c r="X25" s="50" cm="1">
        <f t="array" ref="X25">IF(TbTradesNovaDAX[[#This Row],[Tipo]]="EMPTY",0,X24+IF(TbTradesNovaDAX[[#This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Row],[Par]]))),$1:$1,0)),-(W24-W25)/W24*X24),0),0)+IF(TbTradesNovaDAX[[#This Row],[Tipo]]="SELL",IF(ISNUMBER(FIND(MID(X$1,10,5),TbTradesNovaDAX[[#This Row],[Par]])),IF(FIND(MID(X$1,10,5),TbTradesNovaDAX[[#This Row],[Par]])=1, -(W24-W25)/W24*X24,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Row],[Par]])),(-(W24-W25)/W24*X24)+IF(TbTradesNovaDAX[[#This Row],[Resultado]]&gt;0,0,TbTradesNovaDAX[[#This Row],[Taxa]]),0),0))</f>
        <v>133.95494685711429</v>
      </c>
      <c r="Y25" s="41">
        <f t="shared" si="3"/>
        <v>9736.2936913846461</v>
      </c>
      <c r="Z25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Row],[Tipo]]="DROP"),Z24+TbTradesNovaDAX[[#This Row],[Qtt]],Z24-TbTradesNovaDAX[[#This Row],[Qtt]]),IF(TbTradesNovaDAX[[#This Row],[Tipo]]="BUY",Z24-TbTradesNovaDAX[[#This Row],[Qtt]]*TbTradesNovaDAX[[#This Row],[Preço]],Z24+TbTradesNovaDAX[[#This Row],[Qtt]]*TbTradesNovaDAX[[#This Row],[Preço]])),Z24)-IF(TbTradesNovaDAX[[#This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Row],[Tipo]]="DROP"),Z24+TbTradesNovaDAX[[#This Row],[Qtt]],Z24-TbTradesNovaDAX[[#This Row],[Qtt]]),IF(TbTradesNovaDAX[[#This Row],[Tipo]]="BUY",Z24-TbTradesNovaDAX[[#This Row],[Qtt]]*TbTradesNovaDAX[[#This Row],[Preço]],Z24+TbTradesNovaDAX[[#This Row],[Qtt]]*TbTradesNovaDAX[[#This Row],[Preço]])),Z24)-IF(TbTradesNovaDAX[[#This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Row],[Tipo]]="DROP"),Z24+TbTradesNovaDAX[[#This Row],[Qtt]],Z24-TbTradesNovaDAX[[#This Row],[Qtt]]),IF(TbTradesNovaDAX[[#This Row],[Tipo]]="BUY",Z24-TbTradesNovaDAX[[#This Row],[Qtt]]*TbTradesNovaDAX[[#This Row],[Preço]],Z24+TbTradesNovaDAX[[#This Row],[Qtt]]*TbTradesNovaDAX[[#This Row],[Preço]])),Z24)-IF(TbTradesNovaDAX[[#This Row],[Moeda da Taxa]]=MID(Z$1,9,5),TbTradesNovaDAX[[#This Row],[Taxa]],0),8)))</f>
        <v>0</v>
      </c>
      <c r="AA25" s="50" cm="1">
        <f t="array" ref="AA25">IF(TbTradesNovaDAX[[#This Row],[Tipo]]="EMPTY",0,AA24+IF(TbTradesNovaDAX[[#This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Row],[Par]]))),$1:$1,0)),-(Z24-Z25)/Z24*AA24),0),0)+IF(TbTradesNovaDAX[[#This Row],[Tipo]]="SELL",IF(ISNUMBER(FIND(MID(AA$1,10,5),TbTradesNovaDAX[[#This Row],[Par]])),IF(FIND(MID(AA$1,10,5),TbTradesNovaDAX[[#This Row],[Par]])=1, -(Z24-Z25)/Z24*AA24,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Row],[Par]])),(-(Z24-Z25)/Z24*AA24)+IF(TbTradesNovaDAX[[#This Row],[Resultado]]&gt;0,0,TbTradesNovaDAX[[#This Row],[Taxa]]),0),0))</f>
        <v>0</v>
      </c>
      <c r="AB25" s="41">
        <f t="shared" si="4"/>
        <v>0</v>
      </c>
      <c r="AC25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Row],[Tipo]]="DROP"),AC24+TbTradesNovaDAX[[#This Row],[Qtt]],AC24-TbTradesNovaDAX[[#This Row],[Qtt]]),IF(TbTradesNovaDAX[[#This Row],[Tipo]]="BUY",AC24-TbTradesNovaDAX[[#This Row],[Qtt]]*TbTradesNovaDAX[[#This Row],[Preço]],AC24+TbTradesNovaDAX[[#This Row],[Qtt]]*TbTradesNovaDAX[[#This Row],[Preço]])),AC24)-IF(TbTradesNovaDAX[[#This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Row],[Tipo]]="DROP"),AC24+TbTradesNovaDAX[[#This Row],[Qtt]],AC24-TbTradesNovaDAX[[#This Row],[Qtt]]),IF(TbTradesNovaDAX[[#This Row],[Tipo]]="BUY",AC24-TbTradesNovaDAX[[#This Row],[Qtt]]*TbTradesNovaDAX[[#This Row],[Preço]],AC24+TbTradesNovaDAX[[#This Row],[Qtt]]*TbTradesNovaDAX[[#This Row],[Preço]])),AC24)-IF(TbTradesNovaDAX[[#This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Row],[Tipo]]="DROP"),AC24+TbTradesNovaDAX[[#This Row],[Qtt]],AC24-TbTradesNovaDAX[[#This Row],[Qtt]]),IF(TbTradesNovaDAX[[#This Row],[Tipo]]="BUY",AC24-TbTradesNovaDAX[[#This Row],[Qtt]]*TbTradesNovaDAX[[#This Row],[Preço]],AC24+TbTradesNovaDAX[[#This Row],[Qtt]]*TbTradesNovaDAX[[#This Row],[Preço]])),AC24)-IF(TbTradesNovaDAX[[#This Row],[Moeda da Taxa]]=MID(AC$1,9,5),TbTradesNovaDAX[[#This Row],[Taxa]],0),8)))</f>
        <v>5.5000000000000002E-5</v>
      </c>
      <c r="AD25" s="50" cm="1">
        <f t="array" ref="AD25">IF(TbTradesNovaDAX[[#This Row],[Tipo]]="EMPTY",0,AD24+IF(TbTradesNovaDAX[[#This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Row],[Par]]))),$1:$1,0)),-(AC24-AC25)/AC24*AD24),0),0)+IF(TbTradesNovaDAX[[#This Row],[Tipo]]="SELL",IF(ISNUMBER(FIND(MID(AD$1,10,5),TbTradesNovaDAX[[#This Row],[Par]])),IF(FIND(MID(AD$1,10,5),TbTradesNovaDAX[[#This Row],[Par]])=1, -(AC24-AC25)/AC24*AD24,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Row],[Par]])),(-(AC24-AC25)/AC24*AD24)+IF(TbTradesNovaDAX[[#This Row],[Resultado]]&gt;0,0,TbTradesNovaDAX[[#This Row],[Taxa]]),0),0))</f>
        <v>5.9321010050297218E-3</v>
      </c>
      <c r="AE25" s="41">
        <f t="shared" si="5"/>
        <v>107.8563819096313</v>
      </c>
      <c r="AF25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Row],[Tipo]]="DROP"),AF24+TbTradesNovaDAX[[#This Row],[Qtt]],AF24-TbTradesNovaDAX[[#This Row],[Qtt]]),IF(TbTradesNovaDAX[[#This Row],[Tipo]]="BUY",AF24-TbTradesNovaDAX[[#This Row],[Qtt]]*TbTradesNovaDAX[[#This Row],[Preço]],AF24+TbTradesNovaDAX[[#This Row],[Qtt]]*TbTradesNovaDAX[[#This Row],[Preço]])),AF24)-IF(TbTradesNovaDAX[[#This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Row],[Tipo]]="DROP"),AF24+TbTradesNovaDAX[[#This Row],[Qtt]],AF24-TbTradesNovaDAX[[#This Row],[Qtt]]),IF(TbTradesNovaDAX[[#This Row],[Tipo]]="BUY",AF24-TbTradesNovaDAX[[#This Row],[Qtt]]*TbTradesNovaDAX[[#This Row],[Preço]],AF24+TbTradesNovaDAX[[#This Row],[Qtt]]*TbTradesNovaDAX[[#This Row],[Preço]])),AF24)-IF(TbTradesNovaDAX[[#This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Row],[Tipo]]="DROP"),AF24+TbTradesNovaDAX[[#This Row],[Qtt]],AF24-TbTradesNovaDAX[[#This Row],[Qtt]]),IF(TbTradesNovaDAX[[#This Row],[Tipo]]="BUY",AF24-TbTradesNovaDAX[[#This Row],[Qtt]]*TbTradesNovaDAX[[#This Row],[Preço]],AF24+TbTradesNovaDAX[[#This Row],[Qtt]]*TbTradesNovaDAX[[#This Row],[Preço]])),AF24)-IF(TbTradesNovaDAX[[#This Row],[Moeda da Taxa]]=MID(AF$1,9,5),TbTradesNovaDAX[[#This Row],[Taxa]],0),8)))</f>
        <v>1.649E-5</v>
      </c>
      <c r="AG25" s="50" cm="1">
        <f t="array" ref="AG25">IF(TbTradesNovaDAX[[#This Row],[Tipo]]="EMPTY",0,AG24+IF(TbTradesNovaDAX[[#This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Row],[Par]]))),$1:$1,0)),-(AF24-AF25)/AF24*AG24),0),0)+IF(TbTradesNovaDAX[[#This Row],[Tipo]]="SELL",IF(ISNUMBER(FIND(MID(AG$1,10,5),TbTradesNovaDAX[[#This Row],[Par]])),IF(FIND(MID(AG$1,10,5),TbTradesNovaDAX[[#This Row],[Par]])=1, -(AF24-AF25)/AF24*AG24,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Row],[Par]])),(-(AF24-AF25)/AF24*AG24)+IF(TbTradesNovaDAX[[#This Row],[Resultado]]&gt;0,0,TbTradesNovaDAX[[#This Row],[Taxa]]),0),0))</f>
        <v>1.4694429588004709E-3</v>
      </c>
      <c r="AH25" s="41">
        <f t="shared" si="6"/>
        <v>89.111155779288723</v>
      </c>
      <c r="AI25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Row],[Tipo]]="DROP"),AI24+TbTradesNovaDAX[[#This Row],[Qtt]],AI24-TbTradesNovaDAX[[#This Row],[Qtt]]),IF(TbTradesNovaDAX[[#This Row],[Tipo]]="BUY",AI24-TbTradesNovaDAX[[#This Row],[Qtt]]*TbTradesNovaDAX[[#This Row],[Preço]],AI24+TbTradesNovaDAX[[#This Row],[Qtt]]*TbTradesNovaDAX[[#This Row],[Preço]])),AI24)-IF(TbTradesNovaDAX[[#This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Row],[Tipo]]="DROP"),AI24+TbTradesNovaDAX[[#This Row],[Qtt]],AI24-TbTradesNovaDAX[[#This Row],[Qtt]]),IF(TbTradesNovaDAX[[#This Row],[Tipo]]="BUY",AI24-TbTradesNovaDAX[[#This Row],[Qtt]]*TbTradesNovaDAX[[#This Row],[Preço]],AI24+TbTradesNovaDAX[[#This Row],[Qtt]]*TbTradesNovaDAX[[#This Row],[Preço]])),AI24)-IF(TbTradesNovaDAX[[#This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Row],[Tipo]]="DROP"),AI24+TbTradesNovaDAX[[#This Row],[Qtt]],AI24-TbTradesNovaDAX[[#This Row],[Qtt]]),IF(TbTradesNovaDAX[[#This Row],[Tipo]]="BUY",AI24-TbTradesNovaDAX[[#This Row],[Qtt]]*TbTradesNovaDAX[[#This Row],[Preço]],AI24+TbTradesNovaDAX[[#This Row],[Qtt]]*TbTradesNovaDAX[[#This Row],[Preço]])),AI24)-IF(TbTradesNovaDAX[[#This Row],[Moeda da Taxa]]=MID(AI$1,9,5),TbTradesNovaDAX[[#This Row],[Taxa]],0),8)))</f>
        <v>7.6990000000000007E-5</v>
      </c>
      <c r="AJ25" s="50" cm="1">
        <f t="array" ref="AJ25">IF(TbTradesNovaDAX[[#This Row],[Tipo]]="EMPTY",0,AJ24+IF(TbTradesNovaDAX[[#This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Row],[Par]]))),$1:$1,0)),-(AI24-AI25)/AI24*AJ24),0),0)+IF(TbTradesNovaDAX[[#This Row],[Tipo]]="SELL",IF(ISNUMBER(FIND(MID(AJ$1,10,5),TbTradesNovaDAX[[#This Row],[Par]])),IF(FIND(MID(AJ$1,10,5),TbTradesNovaDAX[[#This Row],[Par]])=1, -(AI24-AI25)/AI24*AJ24,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Row],[Par]])),(-(AI24-AI25)/AI24*AJ24)+IF(TbTradesNovaDAX[[#This Row],[Resultado]]&gt;0,0,TbTradesNovaDAX[[#This Row],[Taxa]]),0),0))</f>
        <v>4.7351825995178842E-4</v>
      </c>
      <c r="AK25" s="41">
        <f t="shared" si="7"/>
        <v>6.1503865430807689</v>
      </c>
      <c r="AL25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Row],[Tipo]]="DROP"),AL24+TbTradesNovaDAX[[#This Row],[Qtt]],AL24-TbTradesNovaDAX[[#This Row],[Qtt]]),IF(TbTradesNovaDAX[[#This Row],[Tipo]]="BUY",AL24-TbTradesNovaDAX[[#This Row],[Qtt]]*TbTradesNovaDAX[[#This Row],[Preço]],AL24+TbTradesNovaDAX[[#This Row],[Qtt]]*TbTradesNovaDAX[[#This Row],[Preço]])),AL24)-IF(TbTradesNovaDAX[[#This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Row],[Tipo]]="DROP"),AL24+TbTradesNovaDAX[[#This Row],[Qtt]],AL24-TbTradesNovaDAX[[#This Row],[Qtt]]),IF(TbTradesNovaDAX[[#This Row],[Tipo]]="BUY",AL24-TbTradesNovaDAX[[#This Row],[Qtt]]*TbTradesNovaDAX[[#This Row],[Preço]],AL24+TbTradesNovaDAX[[#This Row],[Qtt]]*TbTradesNovaDAX[[#This Row],[Preço]])),AL24)-IF(TbTradesNovaDAX[[#This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Row],[Tipo]]="DROP"),AL24+TbTradesNovaDAX[[#This Row],[Qtt]],AL24-TbTradesNovaDAX[[#This Row],[Qtt]]),IF(TbTradesNovaDAX[[#This Row],[Tipo]]="BUY",AL24-TbTradesNovaDAX[[#This Row],[Qtt]]*TbTradesNovaDAX[[#This Row],[Preço]],AL24+TbTradesNovaDAX[[#This Row],[Qtt]]*TbTradesNovaDAX[[#This Row],[Preço]])),AL24)-IF(TbTradesNovaDAX[[#This Row],[Moeda da Taxa]]=MID(AL$1,9,5),TbTradesNovaDAX[[#This Row],[Taxa]],0),8)))</f>
        <v>1.15E-5</v>
      </c>
      <c r="AM25" s="50" cm="1">
        <f t="array" ref="AM25">IF(TbTradesNovaDAX[[#This Row],[Tipo]]="EMPTY",0,AM24+IF(TbTradesNovaDAX[[#This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Row],[Par]]))),$1:$1,0)),-(AL24-AL25)/AL24*AM24),0),0)+IF(TbTradesNovaDAX[[#This Row],[Tipo]]="SELL",IF(ISNUMBER(FIND(MID(AM$1,10,5),TbTradesNovaDAX[[#This Row],[Par]])),IF(FIND(MID(AM$1,10,5),TbTradesNovaDAX[[#This Row],[Par]])=1, -(AL24-AL25)/AL24*AM24,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Row],[Par]])),(-(AL24-AL25)/AL24*AM24)+IF(TbTradesNovaDAX[[#This Row],[Resultado]]&gt;0,0,TbTradesNovaDAX[[#This Row],[Taxa]]),0),0))</f>
        <v>7.1604349300216086E-3</v>
      </c>
      <c r="AN25" s="41">
        <f t="shared" si="8"/>
        <v>622.64651565405291</v>
      </c>
      <c r="AO25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Row],[Tipo]]="DROP"),AO24+TbTradesNovaDAX[[#This Row],[Qtt]],AO24-TbTradesNovaDAX[[#This Row],[Qtt]]),IF(TbTradesNovaDAX[[#This Row],[Tipo]]="BUY",AO24-TbTradesNovaDAX[[#This Row],[Qtt]]*TbTradesNovaDAX[[#This Row],[Preço]],AO24+TbTradesNovaDAX[[#This Row],[Qtt]]*TbTradesNovaDAX[[#This Row],[Preço]])),AO24)-IF(TbTradesNovaDAX[[#This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Row],[Tipo]]="DROP"),AO24+TbTradesNovaDAX[[#This Row],[Qtt]],AO24-TbTradesNovaDAX[[#This Row],[Qtt]]),IF(TbTradesNovaDAX[[#This Row],[Tipo]]="BUY",AO24-TbTradesNovaDAX[[#This Row],[Qtt]]*TbTradesNovaDAX[[#This Row],[Preço]],AO24+TbTradesNovaDAX[[#This Row],[Qtt]]*TbTradesNovaDAX[[#This Row],[Preço]])),AO24)-IF(TbTradesNovaDAX[[#This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Row],[Tipo]]="DROP"),AO24+TbTradesNovaDAX[[#This Row],[Qtt]],AO24-TbTradesNovaDAX[[#This Row],[Qtt]]),IF(TbTradesNovaDAX[[#This Row],[Tipo]]="BUY",AO24-TbTradesNovaDAX[[#This Row],[Qtt]]*TbTradesNovaDAX[[#This Row],[Preço]],AO24+TbTradesNovaDAX[[#This Row],[Qtt]]*TbTradesNovaDAX[[#This Row],[Preço]])),AO24)-IF(TbTradesNovaDAX[[#This Row],[Moeda da Taxa]]=MID(AO$1,9,5),TbTradesNovaDAX[[#This Row],[Taxa]],0),8)))</f>
        <v>9.8900000000000008E-4</v>
      </c>
      <c r="AP25" s="50" cm="1">
        <f t="array" ref="AP25">IF(TbTradesNovaDAX[[#This Row],[Tipo]]="EMPTY",0,AP24+IF(TbTradesNovaDAX[[#This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Row],[Par]]))),$1:$1,0)),-(AO24-AO25)/AO24*AP24),0),0)+IF(TbTradesNovaDAX[[#This Row],[Tipo]]="SELL",IF(ISNUMBER(FIND(MID(AP$1,10,5),TbTradesNovaDAX[[#This Row],[Par]])),IF(FIND(MID(AP$1,10,5),TbTradesNovaDAX[[#This Row],[Par]])=1, -(AO24-AO25)/AO24*AP24,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Row],[Par]])),(-(AO24-AO25)/AO24*AP24)+IF(TbTradesNovaDAX[[#This Row],[Resultado]]&gt;0,0,TbTradesNovaDAX[[#This Row],[Taxa]]),0),0))</f>
        <v>0.1385925249792308</v>
      </c>
      <c r="AQ25" s="41">
        <f t="shared" si="9"/>
        <v>140.13399896787743</v>
      </c>
    </row>
    <row r="26" spans="2:43" x14ac:dyDescent="0.3">
      <c r="B26" s="74"/>
      <c r="C26" s="67">
        <f>TRUNC(IF(AND(TbTradesNovaDAX[[#This Row],[Tipo]]="SEND",TbTradesNovaDAX[[#This Row],[Par]]="BRL"),TbTradesNovaDAX[[#This Row],[Qtt]]*(1-P25)-IF(TbTradesNovaDAX[[#This Row],[Moeda da Taxa]]="BRL",TbTradesNovaDAX[[#This Row],[Taxa]],0),0)+IF(AND(TbTradesNovaDAX[[#This Row],[Tipo]]="BURN",TbTradesNovaDAX[[#This Row],[Par]]="BRL"),-TbTradesNovaDAX[[#This Row],[Qtt]]*P25,0),2)</f>
        <v>0</v>
      </c>
      <c r="D26" s="65">
        <v>44267.513611111113</v>
      </c>
      <c r="E26" s="77" t="s">
        <v>147</v>
      </c>
      <c r="F26" s="77" t="s">
        <v>140</v>
      </c>
      <c r="G26" s="78">
        <f>135/TbTradesNovaDAX[[#This Row],[Qtt]]</f>
        <v>9812.2516500936526</v>
      </c>
      <c r="H26" s="78">
        <v>1.3758309999999999E-2</v>
      </c>
      <c r="I26" s="78">
        <v>0.68</v>
      </c>
      <c r="J26" s="77" t="s">
        <v>50</v>
      </c>
      <c r="K26" s="75">
        <v>1</v>
      </c>
      <c r="L26" s="67">
        <f t="shared" si="10"/>
        <v>9812.25</v>
      </c>
      <c r="M26" s="67">
        <f>IF(OR(TbTradesNovaDAX[[#This Row],[Tipo]]="BUY",TbTradesNovaDAX[[#This Row],[Tipo]]="RECEIVE"),L26*H26,-L26*H26)</f>
        <v>-134.99997729749998</v>
      </c>
      <c r="N26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Row],[Tipo]]="DROP"),N25+TbTradesNovaDAX[[#This Row],[Qtt]],N25-TbTradesNovaDAX[[#This Row],[Qtt]]),IF(TbTradesNovaDAX[[#This Row],[Tipo]]="BUY",N25-TbTradesNovaDAX[[#This Row],[Qtt]]*TbTradesNovaDAX[[#This Row],[Preço]],N25+TbTradesNovaDAX[[#This Row],[Qtt]]*TbTradesNovaDAX[[#This Row],[Preço]])),N25)-IF(TbTradesNovaDAX[[#This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Row],[Tipo]]="DROP"),N25+TbTradesNovaDAX[[#This Row],[Qtt]],N25-TbTradesNovaDAX[[#This Row],[Qtt]]),IF(TbTradesNovaDAX[[#This Row],[Tipo]]="BUY",N25-TbTradesNovaDAX[[#This Row],[Qtt]]*TbTradesNovaDAX[[#This Row],[Preço]],N25+TbTradesNovaDAX[[#This Row],[Qtt]]*TbTradesNovaDAX[[#This Row],[Preço]])),N25)-IF(TbTradesNovaDAX[[#This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Row],[Tipo]]="DROP"),N25+TbTradesNovaDAX[[#This Row],[Qtt]],N25-TbTradesNovaDAX[[#This Row],[Qtt]]),IF(TbTradesNovaDAX[[#This Row],[Tipo]]="BUY",N25-TbTradesNovaDAX[[#This Row],[Qtt]]*TbTradesNovaDAX[[#This Row],[Preço]],N25+TbTradesNovaDAX[[#This Row],[Qtt]]*TbTradesNovaDAX[[#This Row],[Preço]])),N25)-IF(TbTradesNovaDAX[[#This Row],[Moeda da Taxa]]=MID(N$1,9,5),TbTradesNovaDAX[[#This Row],[Taxa]],0),8)))</f>
        <v>288.20968224000001</v>
      </c>
      <c r="O26" s="50" cm="1">
        <f t="array" ref="O26">IF(TbTradesNovaDAX[[#This Row],[Tipo]]="EMPTY",0,O25+IF(TbTradesNovaDAX[[#This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Row],[Par]]))),$1:$1,0)),-(N25-N26)/N25*O25),0),0)+IF(TbTradesNovaDAX[[#This Row],[Tipo]]="SELL",IF(ISNUMBER(FIND(MID(O$1,10,5),TbTradesNovaDAX[[#This Row],[Par]])),IF(FIND(MID(O$1,10,5),TbTradesNovaDAX[[#This Row],[Par]])=1, -(N25-N26)/N25*O25,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Row],[Par]])),(-(N25-N26)/N25*O25)+IF(TbTradesNovaDAX[[#This Row],[Resultado]]&gt;0,0,TbTradesNovaDAX[[#This Row],[Taxa]]),0),0))</f>
        <v>266.70377357086949</v>
      </c>
      <c r="P26" s="41">
        <f t="shared" si="0"/>
        <v>0.92538103334355726</v>
      </c>
      <c r="Q26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Row],[Tipo]]="DROP"),Q25+TbTradesNovaDAX[[#This Row],[Qtt]],Q25-TbTradesNovaDAX[[#This Row],[Qtt]]),IF(TbTradesNovaDAX[[#This Row],[Tipo]]="BUY",Q25-TbTradesNovaDAX[[#This Row],[Qtt]]*TbTradesNovaDAX[[#This Row],[Preço]],Q25+TbTradesNovaDAX[[#This Row],[Qtt]]*TbTradesNovaDAX[[#This Row],[Preço]])),Q25)-IF(TbTradesNovaDAX[[#This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Row],[Tipo]]="DROP"),Q25+TbTradesNovaDAX[[#This Row],[Qtt]],Q25-TbTradesNovaDAX[[#This Row],[Qtt]]),IF(TbTradesNovaDAX[[#This Row],[Tipo]]="BUY",Q25-TbTradesNovaDAX[[#This Row],[Qtt]]*TbTradesNovaDAX[[#This Row],[Preço]],Q25+TbTradesNovaDAX[[#This Row],[Qtt]]*TbTradesNovaDAX[[#This Row],[Preço]])),Q25)-IF(TbTradesNovaDAX[[#This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Row],[Tipo]]="DROP"),Q25+TbTradesNovaDAX[[#This Row],[Qtt]],Q25-TbTradesNovaDAX[[#This Row],[Qtt]]),IF(TbTradesNovaDAX[[#This Row],[Tipo]]="BUY",Q25-TbTradesNovaDAX[[#This Row],[Qtt]]*TbTradesNovaDAX[[#This Row],[Preço]],Q25+TbTradesNovaDAX[[#This Row],[Qtt]]*TbTradesNovaDAX[[#This Row],[Preço]])),Q25)-IF(TbTradesNovaDAX[[#This Row],[Moeda da Taxa]]=MID(Q$1,9,5),TbTradesNovaDAX[[#This Row],[Taxa]],0),8)))</f>
        <v>3.8949999999999999E-2</v>
      </c>
      <c r="R26" s="50" cm="1">
        <f t="array" ref="R26">IF(TbTradesNovaDAX[[#This Row],[Tipo]]="EMPTY",0,R25+IF(TbTradesNovaDAX[[#This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Row],[Par]]))),$1:$1,0)),-(Q25-Q26)/Q25*R25),0),0)+IF(TbTradesNovaDAX[[#This Row],[Tipo]]="SELL",IF(ISNUMBER(FIND(MID(R$1,10,5),TbTradesNovaDAX[[#This Row],[Par]])),IF(FIND(MID(R$1,10,5),TbTradesNovaDAX[[#This Row],[Par]])=1, -(Q25-Q26)/Q25*R25,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Row],[Par]])),(-(Q25-Q26)/Q25*R25)+IF(TbTradesNovaDAX[[#This Row],[Resultado]]&gt;0,0,TbTradesNovaDAX[[#This Row],[Taxa]]),0),0))</f>
        <v>0.19456684095145249</v>
      </c>
      <c r="S26" s="41">
        <f t="shared" si="1"/>
        <v>4.9952975854031454</v>
      </c>
      <c r="T26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Row],[Tipo]]="DROP"),T25+TbTradesNovaDAX[[#This Row],[Qtt]],T25-TbTradesNovaDAX[[#This Row],[Qtt]]),IF(TbTradesNovaDAX[[#This Row],[Tipo]]="BUY",T25-TbTradesNovaDAX[[#This Row],[Qtt]]*TbTradesNovaDAX[[#This Row],[Preço]],T25+TbTradesNovaDAX[[#This Row],[Qtt]]*TbTradesNovaDAX[[#This Row],[Preço]])),T25)-IF(TbTradesNovaDAX[[#This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Row],[Tipo]]="DROP"),T25+TbTradesNovaDAX[[#This Row],[Qtt]],T25-TbTradesNovaDAX[[#This Row],[Qtt]]),IF(TbTradesNovaDAX[[#This Row],[Tipo]]="BUY",T25-TbTradesNovaDAX[[#This Row],[Qtt]]*TbTradesNovaDAX[[#This Row],[Preço]],T25+TbTradesNovaDAX[[#This Row],[Qtt]]*TbTradesNovaDAX[[#This Row],[Preço]])),T25)-IF(TbTradesNovaDAX[[#This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Row],[Tipo]]="DROP"),T25+TbTradesNovaDAX[[#This Row],[Qtt]],T25-TbTradesNovaDAX[[#This Row],[Qtt]]),IF(TbTradesNovaDAX[[#This Row],[Tipo]]="BUY",T25-TbTradesNovaDAX[[#This Row],[Qtt]]*TbTradesNovaDAX[[#This Row],[Preço]],T25+TbTradesNovaDAX[[#This Row],[Qtt]]*TbTradesNovaDAX[[#This Row],[Preço]])),T25)-IF(TbTradesNovaDAX[[#This Row],[Moeda da Taxa]]=MID(T$1,9,5),TbTradesNovaDAX[[#This Row],[Taxa]],0),8)))</f>
        <v>1.3E-7</v>
      </c>
      <c r="U26" s="50" cm="1">
        <f t="array" ref="U26">IF(TbTradesNovaDAX[[#This Row],[Tipo]]="EMPTY",0,U25+IF(TbTradesNovaDAX[[#This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Row],[Par]]))),$1:$1,0)),-(T25-T26)/T25*U25),0),0)+IF(TbTradesNovaDAX[[#This Row],[Tipo]]="SELL",IF(ISNUMBER(FIND(MID(U$1,10,5),TbTradesNovaDAX[[#This Row],[Par]])),IF(FIND(MID(U$1,10,5),TbTradesNovaDAX[[#This Row],[Par]])=1, -(T25-T26)/T25*U25,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Row],[Par]])),(-(T25-T26)/T25*U25)+IF(TbTradesNovaDAX[[#This Row],[Resultado]]&gt;0,0,TbTradesNovaDAX[[#This Row],[Taxa]]),0),0))</f>
        <v>3.2941539001242859E-2</v>
      </c>
      <c r="V26" s="41">
        <f t="shared" si="2"/>
        <v>253396.4538557143</v>
      </c>
      <c r="W26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Row],[Tipo]]="DROP"),W25+TbTradesNovaDAX[[#This Row],[Qtt]],W25-TbTradesNovaDAX[[#This Row],[Qtt]]),IF(TbTradesNovaDAX[[#This Row],[Tipo]]="BUY",W25-TbTradesNovaDAX[[#This Row],[Qtt]]*TbTradesNovaDAX[[#This Row],[Preço]],W25+TbTradesNovaDAX[[#This Row],[Qtt]]*TbTradesNovaDAX[[#This Row],[Preço]])),W25)-IF(TbTradesNovaDAX[[#This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Row],[Tipo]]="DROP"),W25+TbTradesNovaDAX[[#This Row],[Qtt]],W25-TbTradesNovaDAX[[#This Row],[Qtt]]),IF(TbTradesNovaDAX[[#This Row],[Tipo]]="BUY",W25-TbTradesNovaDAX[[#This Row],[Qtt]]*TbTradesNovaDAX[[#This Row],[Preço]],W25+TbTradesNovaDAX[[#This Row],[Qtt]]*TbTradesNovaDAX[[#This Row],[Preço]])),W25)-IF(TbTradesNovaDAX[[#This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Row],[Tipo]]="DROP"),W25+TbTradesNovaDAX[[#This Row],[Qtt]],W25-TbTradesNovaDAX[[#This Row],[Qtt]]),IF(TbTradesNovaDAX[[#This Row],[Tipo]]="BUY",W25-TbTradesNovaDAX[[#This Row],[Qtt]]*TbTradesNovaDAX[[#This Row],[Preço]],W25+TbTradesNovaDAX[[#This Row],[Qtt]]*TbTradesNovaDAX[[#This Row],[Preço]])),W25)-IF(TbTradesNovaDAX[[#This Row],[Moeda da Taxa]]=MID(W$1,9,5),TbTradesNovaDAX[[#This Row],[Taxa]],0),8)))</f>
        <v>0</v>
      </c>
      <c r="X26" s="50" cm="1">
        <f t="array" ref="X26">IF(TbTradesNovaDAX[[#This Row],[Tipo]]="EMPTY",0,X25+IF(TbTradesNovaDAX[[#This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Row],[Par]]))),$1:$1,0)),-(W25-W26)/W25*X25),0),0)+IF(TbTradesNovaDAX[[#This Row],[Tipo]]="SELL",IF(ISNUMBER(FIND(MID(X$1,10,5),TbTradesNovaDAX[[#This Row],[Par]])),IF(FIND(MID(X$1,10,5),TbTradesNovaDAX[[#This Row],[Par]])=1, -(W25-W26)/W25*X25,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Row],[Par]])),(-(W25-W26)/W25*X25)+IF(TbTradesNovaDAX[[#This Row],[Resultado]]&gt;0,0,TbTradesNovaDAX[[#This Row],[Taxa]]),0),0))</f>
        <v>0</v>
      </c>
      <c r="Y26" s="41">
        <f t="shared" si="3"/>
        <v>0</v>
      </c>
      <c r="Z26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Row],[Tipo]]="DROP"),Z25+TbTradesNovaDAX[[#This Row],[Qtt]],Z25-TbTradesNovaDAX[[#This Row],[Qtt]]),IF(TbTradesNovaDAX[[#This Row],[Tipo]]="BUY",Z25-TbTradesNovaDAX[[#This Row],[Qtt]]*TbTradesNovaDAX[[#This Row],[Preço]],Z25+TbTradesNovaDAX[[#This Row],[Qtt]]*TbTradesNovaDAX[[#This Row],[Preço]])),Z25)-IF(TbTradesNovaDAX[[#This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Row],[Tipo]]="DROP"),Z25+TbTradesNovaDAX[[#This Row],[Qtt]],Z25-TbTradesNovaDAX[[#This Row],[Qtt]]),IF(TbTradesNovaDAX[[#This Row],[Tipo]]="BUY",Z25-TbTradesNovaDAX[[#This Row],[Qtt]]*TbTradesNovaDAX[[#This Row],[Preço]],Z25+TbTradesNovaDAX[[#This Row],[Qtt]]*TbTradesNovaDAX[[#This Row],[Preço]])),Z25)-IF(TbTradesNovaDAX[[#This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Row],[Tipo]]="DROP"),Z25+TbTradesNovaDAX[[#This Row],[Qtt]],Z25-TbTradesNovaDAX[[#This Row],[Qtt]]),IF(TbTradesNovaDAX[[#This Row],[Tipo]]="BUY",Z25-TbTradesNovaDAX[[#This Row],[Qtt]]*TbTradesNovaDAX[[#This Row],[Preço]],Z25+TbTradesNovaDAX[[#This Row],[Qtt]]*TbTradesNovaDAX[[#This Row],[Preço]])),Z25)-IF(TbTradesNovaDAX[[#This Row],[Moeda da Taxa]]=MID(Z$1,9,5),TbTradesNovaDAX[[#This Row],[Taxa]],0),8)))</f>
        <v>0</v>
      </c>
      <c r="AA26" s="50" cm="1">
        <f t="array" ref="AA26">IF(TbTradesNovaDAX[[#This Row],[Tipo]]="EMPTY",0,AA25+IF(TbTradesNovaDAX[[#This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Row],[Par]]))),$1:$1,0)),-(Z25-Z26)/Z25*AA25),0),0)+IF(TbTradesNovaDAX[[#This Row],[Tipo]]="SELL",IF(ISNUMBER(FIND(MID(AA$1,10,5),TbTradesNovaDAX[[#This Row],[Par]])),IF(FIND(MID(AA$1,10,5),TbTradesNovaDAX[[#This Row],[Par]])=1, -(Z25-Z26)/Z25*AA25,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Row],[Par]])),(-(Z25-Z26)/Z25*AA25)+IF(TbTradesNovaDAX[[#This Row],[Resultado]]&gt;0,0,TbTradesNovaDAX[[#This Row],[Taxa]]),0),0))</f>
        <v>0</v>
      </c>
      <c r="AB26" s="41">
        <f t="shared" si="4"/>
        <v>0</v>
      </c>
      <c r="AC26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Row],[Tipo]]="DROP"),AC25+TbTradesNovaDAX[[#This Row],[Qtt]],AC25-TbTradesNovaDAX[[#This Row],[Qtt]]),IF(TbTradesNovaDAX[[#This Row],[Tipo]]="BUY",AC25-TbTradesNovaDAX[[#This Row],[Qtt]]*TbTradesNovaDAX[[#This Row],[Preço]],AC25+TbTradesNovaDAX[[#This Row],[Qtt]]*TbTradesNovaDAX[[#This Row],[Preço]])),AC25)-IF(TbTradesNovaDAX[[#This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Row],[Tipo]]="DROP"),AC25+TbTradesNovaDAX[[#This Row],[Qtt]],AC25-TbTradesNovaDAX[[#This Row],[Qtt]]),IF(TbTradesNovaDAX[[#This Row],[Tipo]]="BUY",AC25-TbTradesNovaDAX[[#This Row],[Qtt]]*TbTradesNovaDAX[[#This Row],[Preço]],AC25+TbTradesNovaDAX[[#This Row],[Qtt]]*TbTradesNovaDAX[[#This Row],[Preço]])),AC25)-IF(TbTradesNovaDAX[[#This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Row],[Tipo]]="DROP"),AC25+TbTradesNovaDAX[[#This Row],[Qtt]],AC25-TbTradesNovaDAX[[#This Row],[Qtt]]),IF(TbTradesNovaDAX[[#This Row],[Tipo]]="BUY",AC25-TbTradesNovaDAX[[#This Row],[Qtt]]*TbTradesNovaDAX[[#This Row],[Preço]],AC25+TbTradesNovaDAX[[#This Row],[Qtt]]*TbTradesNovaDAX[[#This Row],[Preço]])),AC25)-IF(TbTradesNovaDAX[[#This Row],[Moeda da Taxa]]=MID(AC$1,9,5),TbTradesNovaDAX[[#This Row],[Taxa]],0),8)))</f>
        <v>5.5000000000000002E-5</v>
      </c>
      <c r="AD26" s="50" cm="1">
        <f t="array" ref="AD26">IF(TbTradesNovaDAX[[#This Row],[Tipo]]="EMPTY",0,AD25+IF(TbTradesNovaDAX[[#This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Row],[Par]]))),$1:$1,0)),-(AC25-AC26)/AC25*AD25),0),0)+IF(TbTradesNovaDAX[[#This Row],[Tipo]]="SELL",IF(ISNUMBER(FIND(MID(AD$1,10,5),TbTradesNovaDAX[[#This Row],[Par]])),IF(FIND(MID(AD$1,10,5),TbTradesNovaDAX[[#This Row],[Par]])=1, -(AC25-AC26)/AC25*AD25,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Row],[Par]])),(-(AC25-AC26)/AC25*AD25)+IF(TbTradesNovaDAX[[#This Row],[Resultado]]&gt;0,0,TbTradesNovaDAX[[#This Row],[Taxa]]),0),0))</f>
        <v>5.9321010050297218E-3</v>
      </c>
      <c r="AE26" s="41">
        <f t="shared" si="5"/>
        <v>107.8563819096313</v>
      </c>
      <c r="AF26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Row],[Tipo]]="DROP"),AF25+TbTradesNovaDAX[[#This Row],[Qtt]],AF25-TbTradesNovaDAX[[#This Row],[Qtt]]),IF(TbTradesNovaDAX[[#This Row],[Tipo]]="BUY",AF25-TbTradesNovaDAX[[#This Row],[Qtt]]*TbTradesNovaDAX[[#This Row],[Preço]],AF25+TbTradesNovaDAX[[#This Row],[Qtt]]*TbTradesNovaDAX[[#This Row],[Preço]])),AF25)-IF(TbTradesNovaDAX[[#This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Row],[Tipo]]="DROP"),AF25+TbTradesNovaDAX[[#This Row],[Qtt]],AF25-TbTradesNovaDAX[[#This Row],[Qtt]]),IF(TbTradesNovaDAX[[#This Row],[Tipo]]="BUY",AF25-TbTradesNovaDAX[[#This Row],[Qtt]]*TbTradesNovaDAX[[#This Row],[Preço]],AF25+TbTradesNovaDAX[[#This Row],[Qtt]]*TbTradesNovaDAX[[#This Row],[Preço]])),AF25)-IF(TbTradesNovaDAX[[#This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Row],[Tipo]]="DROP"),AF25+TbTradesNovaDAX[[#This Row],[Qtt]],AF25-TbTradesNovaDAX[[#This Row],[Qtt]]),IF(TbTradesNovaDAX[[#This Row],[Tipo]]="BUY",AF25-TbTradesNovaDAX[[#This Row],[Qtt]]*TbTradesNovaDAX[[#This Row],[Preço]],AF25+TbTradesNovaDAX[[#This Row],[Qtt]]*TbTradesNovaDAX[[#This Row],[Preço]])),AF25)-IF(TbTradesNovaDAX[[#This Row],[Moeda da Taxa]]=MID(AF$1,9,5),TbTradesNovaDAX[[#This Row],[Taxa]],0),8)))</f>
        <v>1.649E-5</v>
      </c>
      <c r="AG26" s="50" cm="1">
        <f t="array" ref="AG26">IF(TbTradesNovaDAX[[#This Row],[Tipo]]="EMPTY",0,AG25+IF(TbTradesNovaDAX[[#This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Row],[Par]]))),$1:$1,0)),-(AF25-AF26)/AF25*AG25),0),0)+IF(TbTradesNovaDAX[[#This Row],[Tipo]]="SELL",IF(ISNUMBER(FIND(MID(AG$1,10,5),TbTradesNovaDAX[[#This Row],[Par]])),IF(FIND(MID(AG$1,10,5),TbTradesNovaDAX[[#This Row],[Par]])=1, -(AF25-AF26)/AF25*AG25,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Row],[Par]])),(-(AF25-AF26)/AF25*AG25)+IF(TbTradesNovaDAX[[#This Row],[Resultado]]&gt;0,0,TbTradesNovaDAX[[#This Row],[Taxa]]),0),0))</f>
        <v>1.4694429588004709E-3</v>
      </c>
      <c r="AH26" s="41">
        <f t="shared" si="6"/>
        <v>89.111155779288723</v>
      </c>
      <c r="AI26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Row],[Tipo]]="DROP"),AI25+TbTradesNovaDAX[[#This Row],[Qtt]],AI25-TbTradesNovaDAX[[#This Row],[Qtt]]),IF(TbTradesNovaDAX[[#This Row],[Tipo]]="BUY",AI25-TbTradesNovaDAX[[#This Row],[Qtt]]*TbTradesNovaDAX[[#This Row],[Preço]],AI25+TbTradesNovaDAX[[#This Row],[Qtt]]*TbTradesNovaDAX[[#This Row],[Preço]])),AI25)-IF(TbTradesNovaDAX[[#This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Row],[Tipo]]="DROP"),AI25+TbTradesNovaDAX[[#This Row],[Qtt]],AI25-TbTradesNovaDAX[[#This Row],[Qtt]]),IF(TbTradesNovaDAX[[#This Row],[Tipo]]="BUY",AI25-TbTradesNovaDAX[[#This Row],[Qtt]]*TbTradesNovaDAX[[#This Row],[Preço]],AI25+TbTradesNovaDAX[[#This Row],[Qtt]]*TbTradesNovaDAX[[#This Row],[Preço]])),AI25)-IF(TbTradesNovaDAX[[#This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Row],[Tipo]]="DROP"),AI25+TbTradesNovaDAX[[#This Row],[Qtt]],AI25-TbTradesNovaDAX[[#This Row],[Qtt]]),IF(TbTradesNovaDAX[[#This Row],[Tipo]]="BUY",AI25-TbTradesNovaDAX[[#This Row],[Qtt]]*TbTradesNovaDAX[[#This Row],[Preço]],AI25+TbTradesNovaDAX[[#This Row],[Qtt]]*TbTradesNovaDAX[[#This Row],[Preço]])),AI25)-IF(TbTradesNovaDAX[[#This Row],[Moeda da Taxa]]=MID(AI$1,9,5),TbTradesNovaDAX[[#This Row],[Taxa]],0),8)))</f>
        <v>7.6990000000000007E-5</v>
      </c>
      <c r="AJ26" s="50" cm="1">
        <f t="array" ref="AJ26">IF(TbTradesNovaDAX[[#This Row],[Tipo]]="EMPTY",0,AJ25+IF(TbTradesNovaDAX[[#This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Row],[Par]]))),$1:$1,0)),-(AI25-AI26)/AI25*AJ25),0),0)+IF(TbTradesNovaDAX[[#This Row],[Tipo]]="SELL",IF(ISNUMBER(FIND(MID(AJ$1,10,5),TbTradesNovaDAX[[#This Row],[Par]])),IF(FIND(MID(AJ$1,10,5),TbTradesNovaDAX[[#This Row],[Par]])=1, -(AI25-AI26)/AI25*AJ25,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Row],[Par]])),(-(AI25-AI26)/AI25*AJ25)+IF(TbTradesNovaDAX[[#This Row],[Resultado]]&gt;0,0,TbTradesNovaDAX[[#This Row],[Taxa]]),0),0))</f>
        <v>4.7351825995178842E-4</v>
      </c>
      <c r="AK26" s="41">
        <f t="shared" si="7"/>
        <v>6.1503865430807689</v>
      </c>
      <c r="AL26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Row],[Tipo]]="DROP"),AL25+TbTradesNovaDAX[[#This Row],[Qtt]],AL25-TbTradesNovaDAX[[#This Row],[Qtt]]),IF(TbTradesNovaDAX[[#This Row],[Tipo]]="BUY",AL25-TbTradesNovaDAX[[#This Row],[Qtt]]*TbTradesNovaDAX[[#This Row],[Preço]],AL25+TbTradesNovaDAX[[#This Row],[Qtt]]*TbTradesNovaDAX[[#This Row],[Preço]])),AL25)-IF(TbTradesNovaDAX[[#This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Row],[Tipo]]="DROP"),AL25+TbTradesNovaDAX[[#This Row],[Qtt]],AL25-TbTradesNovaDAX[[#This Row],[Qtt]]),IF(TbTradesNovaDAX[[#This Row],[Tipo]]="BUY",AL25-TbTradesNovaDAX[[#This Row],[Qtt]]*TbTradesNovaDAX[[#This Row],[Preço]],AL25+TbTradesNovaDAX[[#This Row],[Qtt]]*TbTradesNovaDAX[[#This Row],[Preço]])),AL25)-IF(TbTradesNovaDAX[[#This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Row],[Tipo]]="DROP"),AL25+TbTradesNovaDAX[[#This Row],[Qtt]],AL25-TbTradesNovaDAX[[#This Row],[Qtt]]),IF(TbTradesNovaDAX[[#This Row],[Tipo]]="BUY",AL25-TbTradesNovaDAX[[#This Row],[Qtt]]*TbTradesNovaDAX[[#This Row],[Preço]],AL25+TbTradesNovaDAX[[#This Row],[Qtt]]*TbTradesNovaDAX[[#This Row],[Preço]])),AL25)-IF(TbTradesNovaDAX[[#This Row],[Moeda da Taxa]]=MID(AL$1,9,5),TbTradesNovaDAX[[#This Row],[Taxa]],0),8)))</f>
        <v>1.15E-5</v>
      </c>
      <c r="AM26" s="50" cm="1">
        <f t="array" ref="AM26">IF(TbTradesNovaDAX[[#This Row],[Tipo]]="EMPTY",0,AM25+IF(TbTradesNovaDAX[[#This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Row],[Par]]))),$1:$1,0)),-(AL25-AL26)/AL25*AM25),0),0)+IF(TbTradesNovaDAX[[#This Row],[Tipo]]="SELL",IF(ISNUMBER(FIND(MID(AM$1,10,5),TbTradesNovaDAX[[#This Row],[Par]])),IF(FIND(MID(AM$1,10,5),TbTradesNovaDAX[[#This Row],[Par]])=1, -(AL25-AL26)/AL25*AM25,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Row],[Par]])),(-(AL25-AL26)/AL25*AM25)+IF(TbTradesNovaDAX[[#This Row],[Resultado]]&gt;0,0,TbTradesNovaDAX[[#This Row],[Taxa]]),0),0))</f>
        <v>7.1604349300216086E-3</v>
      </c>
      <c r="AN26" s="41">
        <f t="shared" si="8"/>
        <v>622.64651565405291</v>
      </c>
      <c r="AO26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Row],[Tipo]]="DROP"),AO25+TbTradesNovaDAX[[#This Row],[Qtt]],AO25-TbTradesNovaDAX[[#This Row],[Qtt]]),IF(TbTradesNovaDAX[[#This Row],[Tipo]]="BUY",AO25-TbTradesNovaDAX[[#This Row],[Qtt]]*TbTradesNovaDAX[[#This Row],[Preço]],AO25+TbTradesNovaDAX[[#This Row],[Qtt]]*TbTradesNovaDAX[[#This Row],[Preço]])),AO25)-IF(TbTradesNovaDAX[[#This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Row],[Tipo]]="DROP"),AO25+TbTradesNovaDAX[[#This Row],[Qtt]],AO25-TbTradesNovaDAX[[#This Row],[Qtt]]),IF(TbTradesNovaDAX[[#This Row],[Tipo]]="BUY",AO25-TbTradesNovaDAX[[#This Row],[Qtt]]*TbTradesNovaDAX[[#This Row],[Preço]],AO25+TbTradesNovaDAX[[#This Row],[Qtt]]*TbTradesNovaDAX[[#This Row],[Preço]])),AO25)-IF(TbTradesNovaDAX[[#This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Row],[Tipo]]="DROP"),AO25+TbTradesNovaDAX[[#This Row],[Qtt]],AO25-TbTradesNovaDAX[[#This Row],[Qtt]]),IF(TbTradesNovaDAX[[#This Row],[Tipo]]="BUY",AO25-TbTradesNovaDAX[[#This Row],[Qtt]]*TbTradesNovaDAX[[#This Row],[Preço]],AO25+TbTradesNovaDAX[[#This Row],[Qtt]]*TbTradesNovaDAX[[#This Row],[Preço]])),AO25)-IF(TbTradesNovaDAX[[#This Row],[Moeda da Taxa]]=MID(AO$1,9,5),TbTradesNovaDAX[[#This Row],[Taxa]],0),8)))</f>
        <v>9.8900000000000008E-4</v>
      </c>
      <c r="AP26" s="50" cm="1">
        <f t="array" ref="AP26">IF(TbTradesNovaDAX[[#This Row],[Tipo]]="EMPTY",0,AP25+IF(TbTradesNovaDAX[[#This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Row],[Par]]))),$1:$1,0)),-(AO25-AO26)/AO25*AP25),0),0)+IF(TbTradesNovaDAX[[#This Row],[Tipo]]="SELL",IF(ISNUMBER(FIND(MID(AP$1,10,5),TbTradesNovaDAX[[#This Row],[Par]])),IF(FIND(MID(AP$1,10,5),TbTradesNovaDAX[[#This Row],[Par]])=1, -(AO25-AO26)/AO25*AP25,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Row],[Par]])),(-(AO25-AO26)/AO25*AP25)+IF(TbTradesNovaDAX[[#This Row],[Resultado]]&gt;0,0,TbTradesNovaDAX[[#This Row],[Taxa]]),0),0))</f>
        <v>0.1385925249792308</v>
      </c>
      <c r="AQ26" s="41">
        <f t="shared" si="9"/>
        <v>140.13399896787743</v>
      </c>
    </row>
    <row r="27" spans="2:43" x14ac:dyDescent="0.3">
      <c r="B27" s="74" t="s">
        <v>141</v>
      </c>
      <c r="C27" s="67">
        <f>TRUNC(IF(AND(TbTradesNovaDAX[[#This Row],[Tipo]]="SEND",TbTradesNovaDAX[[#This Row],[Par]]="BRL"),TbTradesNovaDAX[[#This Row],[Qtt]]*(1-P26)-IF(TbTradesNovaDAX[[#This Row],[Moeda da Taxa]]="BRL",TbTradesNovaDAX[[#This Row],[Taxa]],0),0)+IF(AND(TbTradesNovaDAX[[#This Row],[Tipo]]="BURN",TbTradesNovaDAX[[#This Row],[Par]]="BRL"),-TbTradesNovaDAX[[#This Row],[Qtt]]*P26,0),2)</f>
        <v>7.29</v>
      </c>
      <c r="D27" s="65">
        <v>44267.514652777776</v>
      </c>
      <c r="E27" s="77" t="s">
        <v>50</v>
      </c>
      <c r="F27" s="77" t="s">
        <v>142</v>
      </c>
      <c r="G27" s="78">
        <v>1</v>
      </c>
      <c r="H27" s="78">
        <v>274.98</v>
      </c>
      <c r="I27" s="78">
        <v>13.22</v>
      </c>
      <c r="J27" s="77" t="s">
        <v>50</v>
      </c>
      <c r="K27" s="75">
        <v>1</v>
      </c>
      <c r="L27" s="67">
        <f t="shared" si="10"/>
        <v>1</v>
      </c>
      <c r="M27" s="67">
        <f>IF(OR(TbTradesNovaDAX[[#This Row],[Tipo]]="BUY",TbTradesNovaDAX[[#This Row],[Tipo]]="RECEIVE"),L27*H27,-L27*H27)</f>
        <v>-274.98</v>
      </c>
      <c r="N27" s="41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Row],[Tipo]]="DROP"),N26+TbTradesNovaDAX[[#This Row],[Qtt]],N26-TbTradesNovaDAX[[#This Row],[Qtt]]),IF(TbTradesNovaDAX[[#This Row],[Tipo]]="BUY",N26-TbTradesNovaDAX[[#This Row],[Qtt]]*TbTradesNovaDAX[[#This Row],[Preço]],N26+TbTradesNovaDAX[[#This Row],[Qtt]]*TbTradesNovaDAX[[#This Row],[Preço]])),N26)-IF(TbTradesNovaDAX[[#This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Row],[Tipo]]="DROP"),N26+TbTradesNovaDAX[[#This Row],[Qtt]],N26-TbTradesNovaDAX[[#This Row],[Qtt]]),IF(TbTradesNovaDAX[[#This Row],[Tipo]]="BUY",N26-TbTradesNovaDAX[[#This Row],[Qtt]]*TbTradesNovaDAX[[#This Row],[Preço]],N26+TbTradesNovaDAX[[#This Row],[Qtt]]*TbTradesNovaDAX[[#This Row],[Preço]])),N26)-IF(TbTradesNovaDAX[[#This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Row],[Tipo]]="DROP"),N26+TbTradesNovaDAX[[#This Row],[Qtt]],N26-TbTradesNovaDAX[[#This Row],[Qtt]]),IF(TbTradesNovaDAX[[#This Row],[Tipo]]="BUY",N26-TbTradesNovaDAX[[#This Row],[Qtt]]*TbTradesNovaDAX[[#This Row],[Preço]],N26+TbTradesNovaDAX[[#This Row],[Qtt]]*TbTradesNovaDAX[[#This Row],[Preço]])),N26)-IF(TbTradesNovaDAX[[#This Row],[Moeda da Taxa]]=MID(N$1,9,5),TbTradesNovaDAX[[#This Row],[Taxa]],0),8)))</f>
        <v>9.68223E-3</v>
      </c>
      <c r="O27" s="50" cm="1">
        <f t="array" ref="O27">IF(TbTradesNovaDAX[[#This Row],[Tipo]]="EMPTY",0,O26+IF(TbTradesNovaDAX[[#This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Row],[Par]]))),$1:$1,0)),-(N26-N27)/N26*O26),0),0)+IF(TbTradesNovaDAX[[#This Row],[Tipo]]="SELL",IF(ISNUMBER(FIND(MID(O$1,10,5),TbTradesNovaDAX[[#This Row],[Par]])),IF(FIND(MID(O$1,10,5),TbTradesNovaDAX[[#This Row],[Par]])=1, -(N26-N27)/N26*O26,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Row],[Par]])),(-(N26-N27)/N26*O26)+IF(TbTradesNovaDAX[[#This Row],[Resultado]]&gt;0,0,TbTradesNovaDAX[[#This Row],[Taxa]]),0),0))</f>
        <v>8.9597520024540245E-3</v>
      </c>
      <c r="P27" s="41">
        <f t="shared" si="0"/>
        <v>0.92538103334190824</v>
      </c>
      <c r="Q27" s="42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Row],[Tipo]]="DROP"),Q26+TbTradesNovaDAX[[#This Row],[Qtt]],Q26-TbTradesNovaDAX[[#This Row],[Qtt]]),IF(TbTradesNovaDAX[[#This Row],[Tipo]]="BUY",Q26-TbTradesNovaDAX[[#This Row],[Qtt]]*TbTradesNovaDAX[[#This Row],[Preço]],Q26+TbTradesNovaDAX[[#This Row],[Qtt]]*TbTradesNovaDAX[[#This Row],[Preço]])),Q26)-IF(TbTradesNovaDAX[[#This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Row],[Tipo]]="DROP"),Q26+TbTradesNovaDAX[[#This Row],[Qtt]],Q26-TbTradesNovaDAX[[#This Row],[Qtt]]),IF(TbTradesNovaDAX[[#This Row],[Tipo]]="BUY",Q26-TbTradesNovaDAX[[#This Row],[Qtt]]*TbTradesNovaDAX[[#This Row],[Preço]],Q26+TbTradesNovaDAX[[#This Row],[Qtt]]*TbTradesNovaDAX[[#This Row],[Preço]])),Q26)-IF(TbTradesNovaDAX[[#This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Row],[Tipo]]="DROP"),Q26+TbTradesNovaDAX[[#This Row],[Qtt]],Q26-TbTradesNovaDAX[[#This Row],[Qtt]]),IF(TbTradesNovaDAX[[#This Row],[Tipo]]="BUY",Q26-TbTradesNovaDAX[[#This Row],[Qtt]]*TbTradesNovaDAX[[#This Row],[Preço]],Q26+TbTradesNovaDAX[[#This Row],[Qtt]]*TbTradesNovaDAX[[#This Row],[Preço]])),Q26)-IF(TbTradesNovaDAX[[#This Row],[Moeda da Taxa]]=MID(Q$1,9,5),TbTradesNovaDAX[[#This Row],[Taxa]],0),8)))</f>
        <v>3.8949999999999999E-2</v>
      </c>
      <c r="R27" s="50" cm="1">
        <f t="array" ref="R27">IF(TbTradesNovaDAX[[#This Row],[Tipo]]="EMPTY",0,R26+IF(TbTradesNovaDAX[[#This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Row],[Par]]))),$1:$1,0)),-(Q26-Q27)/Q26*R26),0),0)+IF(TbTradesNovaDAX[[#This Row],[Tipo]]="SELL",IF(ISNUMBER(FIND(MID(R$1,10,5),TbTradesNovaDAX[[#This Row],[Par]])),IF(FIND(MID(R$1,10,5),TbTradesNovaDAX[[#This Row],[Par]])=1, -(Q26-Q27)/Q26*R26,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Row],[Par]])),(-(Q26-Q27)/Q26*R26)+IF(TbTradesNovaDAX[[#This Row],[Resultado]]&gt;0,0,TbTradesNovaDAX[[#This Row],[Taxa]]),0),0))</f>
        <v>0.19456684095145249</v>
      </c>
      <c r="S27" s="41">
        <f t="shared" si="1"/>
        <v>4.9952975854031454</v>
      </c>
      <c r="T27" s="43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Row],[Tipo]]="DROP"),T26+TbTradesNovaDAX[[#This Row],[Qtt]],T26-TbTradesNovaDAX[[#This Row],[Qtt]]),IF(TbTradesNovaDAX[[#This Row],[Tipo]]="BUY",T26-TbTradesNovaDAX[[#This Row],[Qtt]]*TbTradesNovaDAX[[#This Row],[Preço]],T26+TbTradesNovaDAX[[#This Row],[Qtt]]*TbTradesNovaDAX[[#This Row],[Preço]])),T26)-IF(TbTradesNovaDAX[[#This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Row],[Tipo]]="DROP"),T26+TbTradesNovaDAX[[#This Row],[Qtt]],T26-TbTradesNovaDAX[[#This Row],[Qtt]]),IF(TbTradesNovaDAX[[#This Row],[Tipo]]="BUY",T26-TbTradesNovaDAX[[#This Row],[Qtt]]*TbTradesNovaDAX[[#This Row],[Preço]],T26+TbTradesNovaDAX[[#This Row],[Qtt]]*TbTradesNovaDAX[[#This Row],[Preço]])),T26)-IF(TbTradesNovaDAX[[#This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Row],[Tipo]]="DROP"),T26+TbTradesNovaDAX[[#This Row],[Qtt]],T26-TbTradesNovaDAX[[#This Row],[Qtt]]),IF(TbTradesNovaDAX[[#This Row],[Tipo]]="BUY",T26-TbTradesNovaDAX[[#This Row],[Qtt]]*TbTradesNovaDAX[[#This Row],[Preço]],T26+TbTradesNovaDAX[[#This Row],[Qtt]]*TbTradesNovaDAX[[#This Row],[Preço]])),T26)-IF(TbTradesNovaDAX[[#This Row],[Moeda da Taxa]]=MID(T$1,9,5),TbTradesNovaDAX[[#This Row],[Taxa]],0),8)))</f>
        <v>1.3E-7</v>
      </c>
      <c r="U27" s="50" cm="1">
        <f t="array" ref="U27">IF(TbTradesNovaDAX[[#This Row],[Tipo]]="EMPTY",0,U26+IF(TbTradesNovaDAX[[#This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Row],[Par]]))),$1:$1,0)),-(T26-T27)/T26*U26),0),0)+IF(TbTradesNovaDAX[[#This Row],[Tipo]]="SELL",IF(ISNUMBER(FIND(MID(U$1,10,5),TbTradesNovaDAX[[#This Row],[Par]])),IF(FIND(MID(U$1,10,5),TbTradesNovaDAX[[#This Row],[Par]])=1, -(T26-T27)/T26*U26,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Row],[Par]])),(-(T26-T27)/T26*U26)+IF(TbTradesNovaDAX[[#This Row],[Resultado]]&gt;0,0,TbTradesNovaDAX[[#This Row],[Taxa]]),0),0))</f>
        <v>3.2941539001242859E-2</v>
      </c>
      <c r="V27" s="41">
        <f t="shared" si="2"/>
        <v>253396.4538557143</v>
      </c>
      <c r="W27" s="43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Row],[Tipo]]="DROP"),W26+TbTradesNovaDAX[[#This Row],[Qtt]],W26-TbTradesNovaDAX[[#This Row],[Qtt]]),IF(TbTradesNovaDAX[[#This Row],[Tipo]]="BUY",W26-TbTradesNovaDAX[[#This Row],[Qtt]]*TbTradesNovaDAX[[#This Row],[Preço]],W26+TbTradesNovaDAX[[#This Row],[Qtt]]*TbTradesNovaDAX[[#This Row],[Preço]])),W26)-IF(TbTradesNovaDAX[[#This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Row],[Tipo]]="DROP"),W26+TbTradesNovaDAX[[#This Row],[Qtt]],W26-TbTradesNovaDAX[[#This Row],[Qtt]]),IF(TbTradesNovaDAX[[#This Row],[Tipo]]="BUY",W26-TbTradesNovaDAX[[#This Row],[Qtt]]*TbTradesNovaDAX[[#This Row],[Preço]],W26+TbTradesNovaDAX[[#This Row],[Qtt]]*TbTradesNovaDAX[[#This Row],[Preço]])),W26)-IF(TbTradesNovaDAX[[#This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Row],[Tipo]]="DROP"),W26+TbTradesNovaDAX[[#This Row],[Qtt]],W26-TbTradesNovaDAX[[#This Row],[Qtt]]),IF(TbTradesNovaDAX[[#This Row],[Tipo]]="BUY",W26-TbTradesNovaDAX[[#This Row],[Qtt]]*TbTradesNovaDAX[[#This Row],[Preço]],W26+TbTradesNovaDAX[[#This Row],[Qtt]]*TbTradesNovaDAX[[#This Row],[Preço]])),W26)-IF(TbTradesNovaDAX[[#This Row],[Moeda da Taxa]]=MID(W$1,9,5),TbTradesNovaDAX[[#This Row],[Taxa]],0),8)))</f>
        <v>0</v>
      </c>
      <c r="X27" s="50" cm="1">
        <f t="array" ref="X27">IF(TbTradesNovaDAX[[#This Row],[Tipo]]="EMPTY",0,X26+IF(TbTradesNovaDAX[[#This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Row],[Par]]))),$1:$1,0)),-(W26-W27)/W26*X26),0),0)+IF(TbTradesNovaDAX[[#This Row],[Tipo]]="SELL",IF(ISNUMBER(FIND(MID(X$1,10,5),TbTradesNovaDAX[[#This Row],[Par]])),IF(FIND(MID(X$1,10,5),TbTradesNovaDAX[[#This Row],[Par]])=1, -(W26-W27)/W26*X26,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Row],[Par]])),(-(W26-W27)/W26*X26)+IF(TbTradesNovaDAX[[#This Row],[Resultado]]&gt;0,0,TbTradesNovaDAX[[#This Row],[Taxa]]),0),0))</f>
        <v>0</v>
      </c>
      <c r="Y27" s="41">
        <f t="shared" si="3"/>
        <v>0</v>
      </c>
      <c r="Z27" s="43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Row],[Tipo]]="DROP"),Z26+TbTradesNovaDAX[[#This Row],[Qtt]],Z26-TbTradesNovaDAX[[#This Row],[Qtt]]),IF(TbTradesNovaDAX[[#This Row],[Tipo]]="BUY",Z26-TbTradesNovaDAX[[#This Row],[Qtt]]*TbTradesNovaDAX[[#This Row],[Preço]],Z26+TbTradesNovaDAX[[#This Row],[Qtt]]*TbTradesNovaDAX[[#This Row],[Preço]])),Z26)-IF(TbTradesNovaDAX[[#This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Row],[Tipo]]="DROP"),Z26+TbTradesNovaDAX[[#This Row],[Qtt]],Z26-TbTradesNovaDAX[[#This Row],[Qtt]]),IF(TbTradesNovaDAX[[#This Row],[Tipo]]="BUY",Z26-TbTradesNovaDAX[[#This Row],[Qtt]]*TbTradesNovaDAX[[#This Row],[Preço]],Z26+TbTradesNovaDAX[[#This Row],[Qtt]]*TbTradesNovaDAX[[#This Row],[Preço]])),Z26)-IF(TbTradesNovaDAX[[#This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Row],[Tipo]]="DROP"),Z26+TbTradesNovaDAX[[#This Row],[Qtt]],Z26-TbTradesNovaDAX[[#This Row],[Qtt]]),IF(TbTradesNovaDAX[[#This Row],[Tipo]]="BUY",Z26-TbTradesNovaDAX[[#This Row],[Qtt]]*TbTradesNovaDAX[[#This Row],[Preço]],Z26+TbTradesNovaDAX[[#This Row],[Qtt]]*TbTradesNovaDAX[[#This Row],[Preço]])),Z26)-IF(TbTradesNovaDAX[[#This Row],[Moeda da Taxa]]=MID(Z$1,9,5),TbTradesNovaDAX[[#This Row],[Taxa]],0),8)))</f>
        <v>0</v>
      </c>
      <c r="AA27" s="50" cm="1">
        <f t="array" ref="AA27">IF(TbTradesNovaDAX[[#This Row],[Tipo]]="EMPTY",0,AA26+IF(TbTradesNovaDAX[[#This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Row],[Par]]))),$1:$1,0)),-(Z26-Z27)/Z26*AA26),0),0)+IF(TbTradesNovaDAX[[#This Row],[Tipo]]="SELL",IF(ISNUMBER(FIND(MID(AA$1,10,5),TbTradesNovaDAX[[#This Row],[Par]])),IF(FIND(MID(AA$1,10,5),TbTradesNovaDAX[[#This Row],[Par]])=1, -(Z26-Z27)/Z26*AA26,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Row],[Par]])),(-(Z26-Z27)/Z26*AA26)+IF(TbTradesNovaDAX[[#This Row],[Resultado]]&gt;0,0,TbTradesNovaDAX[[#This Row],[Taxa]]),0),0))</f>
        <v>0</v>
      </c>
      <c r="AB27" s="41">
        <f t="shared" si="4"/>
        <v>0</v>
      </c>
      <c r="AC27" s="43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Row],[Tipo]]="DROP"),AC26+TbTradesNovaDAX[[#This Row],[Qtt]],AC26-TbTradesNovaDAX[[#This Row],[Qtt]]),IF(TbTradesNovaDAX[[#This Row],[Tipo]]="BUY",AC26-TbTradesNovaDAX[[#This Row],[Qtt]]*TbTradesNovaDAX[[#This Row],[Preço]],AC26+TbTradesNovaDAX[[#This Row],[Qtt]]*TbTradesNovaDAX[[#This Row],[Preço]])),AC26)-IF(TbTradesNovaDAX[[#This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Row],[Tipo]]="DROP"),AC26+TbTradesNovaDAX[[#This Row],[Qtt]],AC26-TbTradesNovaDAX[[#This Row],[Qtt]]),IF(TbTradesNovaDAX[[#This Row],[Tipo]]="BUY",AC26-TbTradesNovaDAX[[#This Row],[Qtt]]*TbTradesNovaDAX[[#This Row],[Preço]],AC26+TbTradesNovaDAX[[#This Row],[Qtt]]*TbTradesNovaDAX[[#This Row],[Preço]])),AC26)-IF(TbTradesNovaDAX[[#This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Row],[Tipo]]="DROP"),AC26+TbTradesNovaDAX[[#This Row],[Qtt]],AC26-TbTradesNovaDAX[[#This Row],[Qtt]]),IF(TbTradesNovaDAX[[#This Row],[Tipo]]="BUY",AC26-TbTradesNovaDAX[[#This Row],[Qtt]]*TbTradesNovaDAX[[#This Row],[Preço]],AC26+TbTradesNovaDAX[[#This Row],[Qtt]]*TbTradesNovaDAX[[#This Row],[Preço]])),AC26)-IF(TbTradesNovaDAX[[#This Row],[Moeda da Taxa]]=MID(AC$1,9,5),TbTradesNovaDAX[[#This Row],[Taxa]],0),8)))</f>
        <v>5.5000000000000002E-5</v>
      </c>
      <c r="AD27" s="50" cm="1">
        <f t="array" ref="AD27">IF(TbTradesNovaDAX[[#This Row],[Tipo]]="EMPTY",0,AD26+IF(TbTradesNovaDAX[[#This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Row],[Par]]))),$1:$1,0)),-(AC26-AC27)/AC26*AD26),0),0)+IF(TbTradesNovaDAX[[#This Row],[Tipo]]="SELL",IF(ISNUMBER(FIND(MID(AD$1,10,5),TbTradesNovaDAX[[#This Row],[Par]])),IF(FIND(MID(AD$1,10,5),TbTradesNovaDAX[[#This Row],[Par]])=1, -(AC26-AC27)/AC26*AD26,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Row],[Par]])),(-(AC26-AC27)/AC26*AD26)+IF(TbTradesNovaDAX[[#This Row],[Resultado]]&gt;0,0,TbTradesNovaDAX[[#This Row],[Taxa]]),0),0))</f>
        <v>5.9321010050297218E-3</v>
      </c>
      <c r="AE27" s="41">
        <f t="shared" si="5"/>
        <v>107.8563819096313</v>
      </c>
      <c r="AF27" s="43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Row],[Tipo]]="DROP"),AF26+TbTradesNovaDAX[[#This Row],[Qtt]],AF26-TbTradesNovaDAX[[#This Row],[Qtt]]),IF(TbTradesNovaDAX[[#This Row],[Tipo]]="BUY",AF26-TbTradesNovaDAX[[#This Row],[Qtt]]*TbTradesNovaDAX[[#This Row],[Preço]],AF26+TbTradesNovaDAX[[#This Row],[Qtt]]*TbTradesNovaDAX[[#This Row],[Preço]])),AF26)-IF(TbTradesNovaDAX[[#This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Row],[Tipo]]="DROP"),AF26+TbTradesNovaDAX[[#This Row],[Qtt]],AF26-TbTradesNovaDAX[[#This Row],[Qtt]]),IF(TbTradesNovaDAX[[#This Row],[Tipo]]="BUY",AF26-TbTradesNovaDAX[[#This Row],[Qtt]]*TbTradesNovaDAX[[#This Row],[Preço]],AF26+TbTradesNovaDAX[[#This Row],[Qtt]]*TbTradesNovaDAX[[#This Row],[Preço]])),AF26)-IF(TbTradesNovaDAX[[#This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Row],[Tipo]]="DROP"),AF26+TbTradesNovaDAX[[#This Row],[Qtt]],AF26-TbTradesNovaDAX[[#This Row],[Qtt]]),IF(TbTradesNovaDAX[[#This Row],[Tipo]]="BUY",AF26-TbTradesNovaDAX[[#This Row],[Qtt]]*TbTradesNovaDAX[[#This Row],[Preço]],AF26+TbTradesNovaDAX[[#This Row],[Qtt]]*TbTradesNovaDAX[[#This Row],[Preço]])),AF26)-IF(TbTradesNovaDAX[[#This Row],[Moeda da Taxa]]=MID(AF$1,9,5),TbTradesNovaDAX[[#This Row],[Taxa]],0),8)))</f>
        <v>1.649E-5</v>
      </c>
      <c r="AG27" s="50" cm="1">
        <f t="array" ref="AG27">IF(TbTradesNovaDAX[[#This Row],[Tipo]]="EMPTY",0,AG26+IF(TbTradesNovaDAX[[#This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Row],[Par]]))),$1:$1,0)),-(AF26-AF27)/AF26*AG26),0),0)+IF(TbTradesNovaDAX[[#This Row],[Tipo]]="SELL",IF(ISNUMBER(FIND(MID(AG$1,10,5),TbTradesNovaDAX[[#This Row],[Par]])),IF(FIND(MID(AG$1,10,5),TbTradesNovaDAX[[#This Row],[Par]])=1, -(AF26-AF27)/AF26*AG26,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Row],[Par]])),(-(AF26-AF27)/AF26*AG26)+IF(TbTradesNovaDAX[[#This Row],[Resultado]]&gt;0,0,TbTradesNovaDAX[[#This Row],[Taxa]]),0),0))</f>
        <v>1.4694429588004709E-3</v>
      </c>
      <c r="AH27" s="41">
        <f t="shared" si="6"/>
        <v>89.111155779288723</v>
      </c>
      <c r="AI27" s="43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Row],[Tipo]]="DROP"),AI26+TbTradesNovaDAX[[#This Row],[Qtt]],AI26-TbTradesNovaDAX[[#This Row],[Qtt]]),IF(TbTradesNovaDAX[[#This Row],[Tipo]]="BUY",AI26-TbTradesNovaDAX[[#This Row],[Qtt]]*TbTradesNovaDAX[[#This Row],[Preço]],AI26+TbTradesNovaDAX[[#This Row],[Qtt]]*TbTradesNovaDAX[[#This Row],[Preço]])),AI26)-IF(TbTradesNovaDAX[[#This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Row],[Tipo]]="DROP"),AI26+TbTradesNovaDAX[[#This Row],[Qtt]],AI26-TbTradesNovaDAX[[#This Row],[Qtt]]),IF(TbTradesNovaDAX[[#This Row],[Tipo]]="BUY",AI26-TbTradesNovaDAX[[#This Row],[Qtt]]*TbTradesNovaDAX[[#This Row],[Preço]],AI26+TbTradesNovaDAX[[#This Row],[Qtt]]*TbTradesNovaDAX[[#This Row],[Preço]])),AI26)-IF(TbTradesNovaDAX[[#This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Row],[Tipo]]="DROP"),AI26+TbTradesNovaDAX[[#This Row],[Qtt]],AI26-TbTradesNovaDAX[[#This Row],[Qtt]]),IF(TbTradesNovaDAX[[#This Row],[Tipo]]="BUY",AI26-TbTradesNovaDAX[[#This Row],[Qtt]]*TbTradesNovaDAX[[#This Row],[Preço]],AI26+TbTradesNovaDAX[[#This Row],[Qtt]]*TbTradesNovaDAX[[#This Row],[Preço]])),AI26)-IF(TbTradesNovaDAX[[#This Row],[Moeda da Taxa]]=MID(AI$1,9,5),TbTradesNovaDAX[[#This Row],[Taxa]],0),8)))</f>
        <v>7.6990000000000007E-5</v>
      </c>
      <c r="AJ27" s="50" cm="1">
        <f t="array" ref="AJ27">IF(TbTradesNovaDAX[[#This Row],[Tipo]]="EMPTY",0,AJ26+IF(TbTradesNovaDAX[[#This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Row],[Par]]))),$1:$1,0)),-(AI26-AI27)/AI26*AJ26),0),0)+IF(TbTradesNovaDAX[[#This Row],[Tipo]]="SELL",IF(ISNUMBER(FIND(MID(AJ$1,10,5),TbTradesNovaDAX[[#This Row],[Par]])),IF(FIND(MID(AJ$1,10,5),TbTradesNovaDAX[[#This Row],[Par]])=1, -(AI26-AI27)/AI26*AJ26,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Row],[Par]])),(-(AI26-AI27)/AI26*AJ26)+IF(TbTradesNovaDAX[[#This Row],[Resultado]]&gt;0,0,TbTradesNovaDAX[[#This Row],[Taxa]]),0),0))</f>
        <v>4.7351825995178842E-4</v>
      </c>
      <c r="AK27" s="41">
        <f t="shared" si="7"/>
        <v>6.1503865430807689</v>
      </c>
      <c r="AL27" s="43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Row],[Tipo]]="DROP"),AL26+TbTradesNovaDAX[[#This Row],[Qtt]],AL26-TbTradesNovaDAX[[#This Row],[Qtt]]),IF(TbTradesNovaDAX[[#This Row],[Tipo]]="BUY",AL26-TbTradesNovaDAX[[#This Row],[Qtt]]*TbTradesNovaDAX[[#This Row],[Preço]],AL26+TbTradesNovaDAX[[#This Row],[Qtt]]*TbTradesNovaDAX[[#This Row],[Preço]])),AL26)-IF(TbTradesNovaDAX[[#This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Row],[Tipo]]="DROP"),AL26+TbTradesNovaDAX[[#This Row],[Qtt]],AL26-TbTradesNovaDAX[[#This Row],[Qtt]]),IF(TbTradesNovaDAX[[#This Row],[Tipo]]="BUY",AL26-TbTradesNovaDAX[[#This Row],[Qtt]]*TbTradesNovaDAX[[#This Row],[Preço]],AL26+TbTradesNovaDAX[[#This Row],[Qtt]]*TbTradesNovaDAX[[#This Row],[Preço]])),AL26)-IF(TbTradesNovaDAX[[#This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Row],[Tipo]]="DROP"),AL26+TbTradesNovaDAX[[#This Row],[Qtt]],AL26-TbTradesNovaDAX[[#This Row],[Qtt]]),IF(TbTradesNovaDAX[[#This Row],[Tipo]]="BUY",AL26-TbTradesNovaDAX[[#This Row],[Qtt]]*TbTradesNovaDAX[[#This Row],[Preço]],AL26+TbTradesNovaDAX[[#This Row],[Qtt]]*TbTradesNovaDAX[[#This Row],[Preço]])),AL26)-IF(TbTradesNovaDAX[[#This Row],[Moeda da Taxa]]=MID(AL$1,9,5),TbTradesNovaDAX[[#This Row],[Taxa]],0),8)))</f>
        <v>1.15E-5</v>
      </c>
      <c r="AM27" s="50" cm="1">
        <f t="array" ref="AM27">IF(TbTradesNovaDAX[[#This Row],[Tipo]]="EMPTY",0,AM26+IF(TbTradesNovaDAX[[#This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Row],[Par]]))),$1:$1,0)),-(AL26-AL27)/AL26*AM26),0),0)+IF(TbTradesNovaDAX[[#This Row],[Tipo]]="SELL",IF(ISNUMBER(FIND(MID(AM$1,10,5),TbTradesNovaDAX[[#This Row],[Par]])),IF(FIND(MID(AM$1,10,5),TbTradesNovaDAX[[#This Row],[Par]])=1, -(AL26-AL27)/AL26*AM26,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Row],[Par]])),(-(AL26-AL27)/AL26*AM26)+IF(TbTradesNovaDAX[[#This Row],[Resultado]]&gt;0,0,TbTradesNovaDAX[[#This Row],[Taxa]]),0),0))</f>
        <v>7.1604349300216086E-3</v>
      </c>
      <c r="AN27" s="41">
        <f t="shared" si="8"/>
        <v>622.64651565405291</v>
      </c>
      <c r="AO27" s="43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Row],[Tipo]]="DROP"),AO26+TbTradesNovaDAX[[#This Row],[Qtt]],AO26-TbTradesNovaDAX[[#This Row],[Qtt]]),IF(TbTradesNovaDAX[[#This Row],[Tipo]]="BUY",AO26-TbTradesNovaDAX[[#This Row],[Qtt]]*TbTradesNovaDAX[[#This Row],[Preço]],AO26+TbTradesNovaDAX[[#This Row],[Qtt]]*TbTradesNovaDAX[[#This Row],[Preço]])),AO26)-IF(TbTradesNovaDAX[[#This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Row],[Tipo]]="DROP"),AO26+TbTradesNovaDAX[[#This Row],[Qtt]],AO26-TbTradesNovaDAX[[#This Row],[Qtt]]),IF(TbTradesNovaDAX[[#This Row],[Tipo]]="BUY",AO26-TbTradesNovaDAX[[#This Row],[Qtt]]*TbTradesNovaDAX[[#This Row],[Preço]],AO26+TbTradesNovaDAX[[#This Row],[Qtt]]*TbTradesNovaDAX[[#This Row],[Preço]])),AO26)-IF(TbTradesNovaDAX[[#This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Row],[Tipo]]="DROP"),AO26+TbTradesNovaDAX[[#This Row],[Qtt]],AO26-TbTradesNovaDAX[[#This Row],[Qtt]]),IF(TbTradesNovaDAX[[#This Row],[Tipo]]="BUY",AO26-TbTradesNovaDAX[[#This Row],[Qtt]]*TbTradesNovaDAX[[#This Row],[Preço]],AO26+TbTradesNovaDAX[[#This Row],[Qtt]]*TbTradesNovaDAX[[#This Row],[Preço]])),AO26)-IF(TbTradesNovaDAX[[#This Row],[Moeda da Taxa]]=MID(AO$1,9,5),TbTradesNovaDAX[[#This Row],[Taxa]],0),8)))</f>
        <v>9.8900000000000008E-4</v>
      </c>
      <c r="AP27" s="50" cm="1">
        <f t="array" ref="AP27">IF(TbTradesNovaDAX[[#This Row],[Tipo]]="EMPTY",0,AP26+IF(TbTradesNovaDAX[[#This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Row],[Par]]))),$1:$1,0)),-(AO26-AO27)/AO26*AP26),0),0)+IF(TbTradesNovaDAX[[#This Row],[Tipo]]="SELL",IF(ISNUMBER(FIND(MID(AP$1,10,5),TbTradesNovaDAX[[#This Row],[Par]])),IF(FIND(MID(AP$1,10,5),TbTradesNovaDAX[[#This Row],[Par]])=1, -(AO26-AO27)/AO26*AP26,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Row],[Par]])),(-(AO26-AO27)/AO26*AP26)+IF(TbTradesNovaDAX[[#This Row],[Resultado]]&gt;0,0,TbTradesNovaDAX[[#This Row],[Taxa]]),0),0))</f>
        <v>0.1385925249792308</v>
      </c>
      <c r="AQ27" s="41">
        <f t="shared" si="9"/>
        <v>140.13399896787743</v>
      </c>
    </row>
    <row r="28" spans="2:43" x14ac:dyDescent="0.3">
      <c r="B28" s="91" t="s">
        <v>149</v>
      </c>
      <c r="C28" s="58">
        <f>SUBTOTAL(109,TbTradesNovaDAX[Resultado])</f>
        <v>28.25</v>
      </c>
      <c r="D28" s="80"/>
      <c r="E28" s="80"/>
      <c r="F28" s="80"/>
      <c r="G28" s="80"/>
      <c r="H28" s="80"/>
      <c r="I28" s="80"/>
      <c r="J28" s="80"/>
      <c r="K28" s="81"/>
      <c r="L28" s="82"/>
      <c r="M28" s="83">
        <f>SUBTOTAL(107,TbTradesNovaDAX[Volume])</f>
        <v>126.91936831839351</v>
      </c>
      <c r="N28" s="54"/>
      <c r="O28" s="54"/>
      <c r="P28" s="54"/>
      <c r="Q28" s="84"/>
      <c r="R28" s="54"/>
      <c r="S28" s="54"/>
      <c r="T28" s="85"/>
      <c r="U28" s="86"/>
      <c r="V28" s="86"/>
      <c r="W28" s="87"/>
      <c r="X28" s="79"/>
      <c r="Y28" s="79"/>
      <c r="Z28" s="87"/>
      <c r="AA28" s="79"/>
      <c r="AB28" s="79"/>
      <c r="AC28" s="87"/>
      <c r="AD28" s="79"/>
      <c r="AE28" s="79"/>
      <c r="AF28" s="87"/>
      <c r="AG28" s="79"/>
      <c r="AH28" s="79"/>
      <c r="AI28" s="87"/>
      <c r="AJ28" s="79"/>
      <c r="AK28" s="79"/>
      <c r="AL28" s="87"/>
      <c r="AM28" s="79"/>
      <c r="AN28" s="79"/>
      <c r="AO28" s="87"/>
      <c r="AP28" s="79"/>
      <c r="AQ28" s="88"/>
    </row>
    <row r="29" spans="2:43" x14ac:dyDescent="0.3">
      <c r="B29" s="61" t="s">
        <v>74</v>
      </c>
    </row>
    <row r="30" spans="2:43" x14ac:dyDescent="0.3">
      <c r="B30" s="119" t="s">
        <v>90</v>
      </c>
    </row>
    <row r="37" ht="13.95" customHeight="1" x14ac:dyDescent="0.3"/>
  </sheetData>
  <conditionalFormatting sqref="B3:B20">
    <cfRule type="cellIs" dxfId="1722" priority="41" operator="lessThan">
      <formula>$D$2</formula>
    </cfRule>
  </conditionalFormatting>
  <conditionalFormatting sqref="C2:C28">
    <cfRule type="cellIs" dxfId="1721" priority="21" operator="greaterThan">
      <formula>0</formula>
    </cfRule>
    <cfRule type="cellIs" dxfId="1720" priority="22" operator="lessThan">
      <formula>0</formula>
    </cfRule>
  </conditionalFormatting>
  <conditionalFormatting sqref="D3:D27">
    <cfRule type="cellIs" dxfId="1719" priority="172" operator="lessThan">
      <formula>$D$2</formula>
    </cfRule>
  </conditionalFormatting>
  <conditionalFormatting sqref="F1:F27">
    <cfRule type="containsText" dxfId="1718" priority="134" operator="containsText" text="DROP">
      <formula>NOT(ISERROR(SEARCH("DROP",F1)))</formula>
    </cfRule>
    <cfRule type="containsText" dxfId="1717" priority="137" operator="containsText" text="SELL">
      <formula>NOT(ISERROR(SEARCH("SELL",F1)))</formula>
    </cfRule>
    <cfRule type="containsText" dxfId="1716" priority="138" operator="containsText" text="BUY">
      <formula>NOT(ISERROR(SEARCH("BUY",F1)))</formula>
    </cfRule>
  </conditionalFormatting>
  <conditionalFormatting sqref="F2:F27">
    <cfRule type="containsText" dxfId="1715" priority="135" operator="containsText" text="RECEIVE">
      <formula>NOT(ISERROR(SEARCH("RECEIVE",F2)))</formula>
    </cfRule>
    <cfRule type="containsText" dxfId="1714" priority="136" operator="containsText" text="SEND">
      <formula>NOT(ISERROR(SEARCH("SEND",F2)))</formula>
    </cfRule>
  </conditionalFormatting>
  <conditionalFormatting sqref="F29:F1048576">
    <cfRule type="containsText" dxfId="1713" priority="167" operator="containsText" text="DROP">
      <formula>NOT(ISERROR(SEARCH("DROP",F29)))</formula>
    </cfRule>
    <cfRule type="containsText" dxfId="1712" priority="168" operator="containsText" text="RECEIVE">
      <formula>NOT(ISERROR(SEARCH("RECEIVE",F29)))</formula>
    </cfRule>
    <cfRule type="containsText" dxfId="1711" priority="169" operator="containsText" text="SEND">
      <formula>NOT(ISERROR(SEARCH("SEND",F29)))</formula>
    </cfRule>
  </conditionalFormatting>
  <conditionalFormatting sqref="M2:M27">
    <cfRule type="cellIs" dxfId="1710" priority="68" operator="greaterThan">
      <formula>0</formula>
    </cfRule>
    <cfRule type="cellIs" dxfId="1709" priority="69" operator="lessThan">
      <formula>0</formula>
    </cfRule>
  </conditionalFormatting>
  <conditionalFormatting sqref="P2:P27">
    <cfRule type="expression" dxfId="1708" priority="19">
      <formula>P2&gt;P1</formula>
    </cfRule>
    <cfRule type="expression" dxfId="1707" priority="20">
      <formula>P2&lt;P1</formula>
    </cfRule>
  </conditionalFormatting>
  <conditionalFormatting sqref="S2:S27">
    <cfRule type="expression" dxfId="1706" priority="17">
      <formula>S2&gt;S1</formula>
    </cfRule>
    <cfRule type="expression" dxfId="1705" priority="18">
      <formula>S2&lt;S1</formula>
    </cfRule>
  </conditionalFormatting>
  <conditionalFormatting sqref="V2:V27">
    <cfRule type="expression" dxfId="1704" priority="15">
      <formula>V2&gt;V1</formula>
    </cfRule>
    <cfRule type="expression" dxfId="1703" priority="16">
      <formula>V2&lt;V1</formula>
    </cfRule>
  </conditionalFormatting>
  <hyperlinks>
    <hyperlink ref="A1" location="Sumário!A1" display="SUMÁRIO" xr:uid="{176E5EEA-2E2C-4A58-9335-1D47E9CAA82C}"/>
    <hyperlink ref="B29" location="Sumário!A1" display="SUMÁRIO" xr:uid="{554F2BCD-7497-4E30-A0EC-7B6F456B7C3C}"/>
    <hyperlink ref="A2" location="'ARCA NovaDAX'!A1" display="ARCA" xr:uid="{2A0C4DD7-6A5B-49B9-ADA7-EDBFDE164E8A}"/>
    <hyperlink ref="B30" location="'ARCA NovaDAX'!A1" display="ARCA" xr:uid="{C0A08D05-C7A1-4013-B197-8BFF3C7F5785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9590F-4743-41EA-BDE8-8AE375597626}">
  <dimension ref="A1:S37"/>
  <sheetViews>
    <sheetView tabSelected="1" zoomScale="115" zoomScaleNormal="115" workbookViewId="0"/>
  </sheetViews>
  <sheetFormatPr defaultColWidth="20.33203125" defaultRowHeight="15" x14ac:dyDescent="0.3"/>
  <cols>
    <col min="1" max="1" width="10.88671875" style="35" bestFit="1" customWidth="1"/>
    <col min="2" max="2" width="18.109375" style="90" bestFit="1" customWidth="1"/>
    <col min="3" max="3" width="15.88671875" style="76" bestFit="1" customWidth="1"/>
    <col min="4" max="4" width="16.6640625" style="65" bestFit="1" customWidth="1"/>
    <col min="5" max="5" width="8.44140625" style="77" bestFit="1" customWidth="1"/>
    <col min="6" max="6" width="9.44140625" style="77" bestFit="1" customWidth="1"/>
    <col min="7" max="7" width="10.5546875" style="78" bestFit="1" customWidth="1"/>
    <col min="8" max="8" width="13.6640625" style="78" bestFit="1" customWidth="1"/>
    <col min="9" max="9" width="11.44140625" style="78" bestFit="1" customWidth="1"/>
    <col min="10" max="10" width="19" style="77" bestFit="1" customWidth="1"/>
    <col min="11" max="11" width="16.33203125" style="75" bestFit="1" customWidth="1"/>
    <col min="12" max="12" width="17.6640625" style="67" bestFit="1" customWidth="1"/>
    <col min="13" max="13" width="14" style="67" bestFit="1" customWidth="1"/>
    <col min="14" max="14" width="15.5546875" style="68" bestFit="1" customWidth="1"/>
    <col min="15" max="15" width="16.44140625" style="41" bestFit="1" customWidth="1"/>
    <col min="16" max="16" width="19.33203125" style="41" bestFit="1" customWidth="1"/>
    <col min="17" max="17" width="18" style="43" bestFit="1" customWidth="1"/>
    <col min="18" max="18" width="18.5546875" style="41" bestFit="1" customWidth="1"/>
    <col min="19" max="19" width="22.33203125" style="41" bestFit="1" customWidth="1"/>
    <col min="20" max="16384" width="20.33203125" style="35"/>
  </cols>
  <sheetData>
    <row r="1" spans="1:19" x14ac:dyDescent="0.3">
      <c r="A1" s="61" t="s">
        <v>74</v>
      </c>
      <c r="B1" s="64" t="s">
        <v>98</v>
      </c>
      <c r="C1" s="15" t="s">
        <v>99</v>
      </c>
      <c r="D1" s="65" t="s">
        <v>100</v>
      </c>
      <c r="E1" s="77" t="s">
        <v>101</v>
      </c>
      <c r="F1" s="77" t="s">
        <v>102</v>
      </c>
      <c r="G1" s="77" t="s">
        <v>103</v>
      </c>
      <c r="H1" s="78" t="s">
        <v>104</v>
      </c>
      <c r="I1" s="78" t="s">
        <v>105</v>
      </c>
      <c r="J1" s="77" t="s">
        <v>106</v>
      </c>
      <c r="K1" s="66" t="s">
        <v>107</v>
      </c>
      <c r="L1" s="67" t="s">
        <v>108</v>
      </c>
      <c r="M1" s="67" t="s">
        <v>109</v>
      </c>
      <c r="N1" s="68" t="s">
        <v>110</v>
      </c>
      <c r="O1" s="40" t="s">
        <v>111</v>
      </c>
      <c r="P1" s="40" t="s">
        <v>112</v>
      </c>
      <c r="Q1" s="25" t="s">
        <v>116</v>
      </c>
      <c r="R1" s="67" t="s">
        <v>117</v>
      </c>
      <c r="S1" s="67" t="s">
        <v>118</v>
      </c>
    </row>
    <row r="2" spans="1:19" x14ac:dyDescent="0.3">
      <c r="A2" s="119" t="s">
        <v>90</v>
      </c>
      <c r="B2" s="69" t="s">
        <v>134</v>
      </c>
      <c r="C2" s="67">
        <f>TRUNC(IF(AND(TbTradesAlter[[#This Row],[Tipo]]="SEND",TbTradesAlter[[#This Row],[Par]]="BRL"),TbTradesAlter[[#This Row],[Qtt]]*(1-P1)-IF(TbTradesAlter[[#This Row],[Moeda da Taxa]]="BRL",TbTradesAlter[[#This Row],[Taxa]],0),0)+IF(AND(TbTradesAlter[[#This Row],[Tipo]]="BURN",TbTradesAlter[[#This Row],[Par]]="BRL"),-TbTradesAlter[[#This Row],[Qtt]]*P1,0),2)</f>
        <v>0</v>
      </c>
      <c r="D2" s="70"/>
      <c r="E2" s="71"/>
      <c r="F2" s="71" t="s">
        <v>135</v>
      </c>
      <c r="G2" s="72"/>
      <c r="H2" s="72"/>
      <c r="I2" s="72"/>
      <c r="J2" s="71"/>
      <c r="K2" s="73"/>
      <c r="L2" s="67">
        <f t="shared" ref="L2:L8" si="0">TRUNC(K2*G2,2)</f>
        <v>0</v>
      </c>
      <c r="M2" s="67">
        <f>IF(OR(TbTradesAlter[[#This Row],[Tipo]]="BUY",TbTradesAlter[[#This Row],[Tipo]]="RECEIVE",TbTradesAlter[[#This Row],[Tipo]]="DROP"),L2*H2,-L2*H2)</f>
        <v>0</v>
      </c>
      <c r="N2" s="68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Row],[Tipo]]="DROP"),N1+TbTradesAlter[[#This Row],[Qtt]],N1-TbTradesAlter[[#This Row],[Qtt]]),IF(TbTradesAlter[[#This Row],[Tipo]]="BUY",N1-TbTradesAlter[[#This Row],[Qtt]]*TbTradesAlter[[#This Row],[Preço]],N1+TbTradesAlter[[#This Row],[Qtt]]*TbTradesAlter[[#This Row],[Preço]])),N1)-IF(TbTradesAlter[[#This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Row],[Tipo]]="DROP"),N1+TbTradesAlter[[#This Row],[Qtt]],N1-TbTradesAlter[[#This Row],[Qtt]]),IF(TbTradesAlter[[#This Row],[Tipo]]="BUY",N1-TbTradesAlter[[#This Row],[Qtt]]*TbTradesAlter[[#This Row],[Preço]],N1+TbTradesAlter[[#This Row],[Qtt]]*TbTradesAlter[[#This Row],[Preço]])),N1)-IF(TbTradesAlter[[#This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Row],[Tipo]]="DROP"),N1+TbTradesAlter[[#This Row],[Qtt]],N1-TbTradesAlter[[#This Row],[Qtt]]),IF(TbTradesAlter[[#This Row],[Tipo]]="BUY",N1-TbTradesAlter[[#This Row],[Qtt]]*TbTradesAlter[[#This Row],[Preço]],N1+TbTradesAlter[[#This Row],[Qtt]]*TbTradesAlter[[#This Row],[Preço]])),N1)-IF(TbTradesAlter[[#This Row],[Moeda da Taxa]]=MID(N$1,9,5),TbTradesAlter[[#This Row],[Taxa]],0),8)))</f>
        <v>0</v>
      </c>
      <c r="O2" s="50" cm="1">
        <f t="array" ref="O2">IF(TbTradesAlter[[#This Row],[Tipo]]="EMPTY",0,O1+IF(TbTradesAlter[[#This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Row],[Par]]))),$1:$1,0)),-(N1-N2)/N1*O1),0),0)+IF(TbTradesAlter[[#This Row],[Tipo]]="SELL",IF(ISNUMBER(FIND(MID(O$1,10,5),TbTradesAlter[[#This Row],[Par]])),IF(FIND(MID(O$1,10,5),TbTradesAlter[[#This Row],[Par]])=1, -(N1-N2)/N1*O1,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Row],[Par]])),(-(N1-N2)/N1*O1)+IF(TbTradesAlter[[#This Row],[Resultado]]&gt;0,0,TbTradesAlter[[#This Row],[Taxa]]),0),0))</f>
        <v>0</v>
      </c>
      <c r="P2" s="41">
        <f t="shared" ref="P2:P9" si="1">IF(N2=0,0,O2/N2)</f>
        <v>0</v>
      </c>
      <c r="Q2" s="43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Row],[Tipo]]="DROP"),Q1+TbTradesAlter[[#This Row],[Qtt]],Q1-TbTradesAlter[[#This Row],[Qtt]]),IF(TbTradesAlter[[#This Row],[Tipo]]="BUY",Q1-TbTradesAlter[[#This Row],[Qtt]]*TbTradesAlter[[#This Row],[Preço]],Q1+TbTradesAlter[[#This Row],[Qtt]]*TbTradesAlter[[#This Row],[Preço]])),Q1)-IF(TbTradesAlter[[#This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Row],[Tipo]]="DROP"),Q1+TbTradesAlter[[#This Row],[Qtt]],Q1-TbTradesAlter[[#This Row],[Qtt]]),IF(TbTradesAlter[[#This Row],[Tipo]]="BUY",Q1-TbTradesAlter[[#This Row],[Qtt]]*TbTradesAlter[[#This Row],[Preço]],Q1+TbTradesAlter[[#This Row],[Qtt]]*TbTradesAlter[[#This Row],[Preço]])),Q1)-IF(TbTradesAlter[[#This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Row],[Tipo]]="DROP"),Q1+TbTradesAlter[[#This Row],[Qtt]],Q1-TbTradesAlter[[#This Row],[Qtt]]),IF(TbTradesAlter[[#This Row],[Tipo]]="BUY",Q1-TbTradesAlter[[#This Row],[Qtt]]*TbTradesAlter[[#This Row],[Preço]],Q1+TbTradesAlter[[#This Row],[Qtt]]*TbTradesAlter[[#This Row],[Preço]])),Q1)-IF(TbTradesAlter[[#This Row],[Moeda da Taxa]]=MID(Q$1,9,5),TbTradesAlter[[#This Row],[Taxa]],0),8)))</f>
        <v>0</v>
      </c>
      <c r="R2" s="50" cm="1">
        <f t="array" ref="R2">IF(TbTradesAlter[[#This Row],[Tipo]]="EMPTY",0,R1+IF(TbTradesAlter[[#This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Row],[Par]]))),$1:$1,0)),-(Q1-Q2)/Q1*R1),0),0)+IF(TbTradesAlter[[#This Row],[Tipo]]="SELL",IF(ISNUMBER(FIND(MID(R$1,10,5),TbTradesAlter[[#This Row],[Par]])),IF(FIND(MID(R$1,10,5),TbTradesAlter[[#This Row],[Par]])=1, -(Q1-Q2)/Q1*R1,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Row],[Par]])),(-(Q1-Q2)/Q1*R1)+IF(TbTradesAlter[[#This Row],[Resultado]]&gt;0,0,TbTradesAlter[[#This Row],[Taxa]]),0),0))</f>
        <v>0</v>
      </c>
      <c r="S2" s="41">
        <f t="shared" ref="S2:S9" si="2">IF(Q2=0,0,R2/Q2)</f>
        <v>0</v>
      </c>
    </row>
    <row r="3" spans="1:19" x14ac:dyDescent="0.3">
      <c r="B3" s="74" t="s">
        <v>179</v>
      </c>
      <c r="C3" s="67">
        <f>TRUNC(IF(AND(TbTradesAlter[[#This Row],[Tipo]]="SEND",TbTradesAlter[[#This Row],[Par]]="BRL"),TbTradesAlter[[#This Row],[Qtt]]*(1-P2)-IF(TbTradesAlter[[#This Row],[Moeda da Taxa]]="BRL",TbTradesAlter[[#This Row],[Taxa]],0),0)+IF(AND(TbTradesAlter[[#This Row],[Tipo]]="BURN",TbTradesAlter[[#This Row],[Par]]="BRL"),-TbTradesAlter[[#This Row],[Qtt]]*P2,0),2)</f>
        <v>0</v>
      </c>
      <c r="D3" s="65">
        <v>44309.785416666666</v>
      </c>
      <c r="E3" s="77" t="s">
        <v>50</v>
      </c>
      <c r="F3" s="77" t="s">
        <v>137</v>
      </c>
      <c r="G3" s="96">
        <v>1</v>
      </c>
      <c r="H3" s="78">
        <v>56.88</v>
      </c>
      <c r="I3" s="78">
        <v>0</v>
      </c>
      <c r="J3" s="77" t="s">
        <v>50</v>
      </c>
      <c r="K3" s="75">
        <v>1</v>
      </c>
      <c r="L3" s="67">
        <f t="shared" si="0"/>
        <v>1</v>
      </c>
      <c r="M3" s="67">
        <f>IF(OR(TbTradesAlter[[#This Row],[Tipo]]="BUY",TbTradesAlter[[#This Row],[Tipo]]="RECEIVE",TbTradesAlter[[#This Row],[Tipo]]="DROP"),L3*H3,-L3*H3)</f>
        <v>56.88</v>
      </c>
      <c r="N3" s="68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Row],[Tipo]]="DROP"),N2+TbTradesAlter[[#This Row],[Qtt]],N2-TbTradesAlter[[#This Row],[Qtt]]),IF(TbTradesAlter[[#This Row],[Tipo]]="BUY",N2-TbTradesAlter[[#This Row],[Qtt]]*TbTradesAlter[[#This Row],[Preço]],N2+TbTradesAlter[[#This Row],[Qtt]]*TbTradesAlter[[#This Row],[Preço]])),N2)-IF(TbTradesAlter[[#This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Row],[Tipo]]="DROP"),N2+TbTradesAlter[[#This Row],[Qtt]],N2-TbTradesAlter[[#This Row],[Qtt]]),IF(TbTradesAlter[[#This Row],[Tipo]]="BUY",N2-TbTradesAlter[[#This Row],[Qtt]]*TbTradesAlter[[#This Row],[Preço]],N2+TbTradesAlter[[#This Row],[Qtt]]*TbTradesAlter[[#This Row],[Preço]])),N2)-IF(TbTradesAlter[[#This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Row],[Tipo]]="DROP"),N2+TbTradesAlter[[#This Row],[Qtt]],N2-TbTradesAlter[[#This Row],[Qtt]]),IF(TbTradesAlter[[#This Row],[Tipo]]="BUY",N2-TbTradesAlter[[#This Row],[Qtt]]*TbTradesAlter[[#This Row],[Preço]],N2+TbTradesAlter[[#This Row],[Qtt]]*TbTradesAlter[[#This Row],[Preço]])),N2)-IF(TbTradesAlter[[#This Row],[Moeda da Taxa]]=MID(N$1,9,5),TbTradesAlter[[#This Row],[Taxa]],0),8)))</f>
        <v>56.88</v>
      </c>
      <c r="O3" s="50" cm="1">
        <f t="array" ref="O3">IF(TbTradesAlter[[#This Row],[Tipo]]="EMPTY",0,O2+IF(TbTradesAlter[[#This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Row],[Par]]))),$1:$1,0)),-(N2-N3)/N2*O2),0),0)+IF(TbTradesAlter[[#This Row],[Tipo]]="SELL",IF(ISNUMBER(FIND(MID(O$1,10,5),TbTradesAlter[[#This Row],[Par]])),IF(FIND(MID(O$1,10,5),TbTradesAlter[[#This Row],[Par]])=1, -(N2-N3)/N2*O2,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Row],[Par]])),(-(N2-N3)/N2*O2)+IF(TbTradesAlter[[#This Row],[Resultado]]&gt;0,0,TbTradesAlter[[#This Row],[Taxa]]),0),0))</f>
        <v>56.88</v>
      </c>
      <c r="P3" s="41">
        <f t="shared" si="1"/>
        <v>1</v>
      </c>
      <c r="Q3" s="43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Row],[Tipo]]="DROP"),Q2+TbTradesAlter[[#This Row],[Qtt]],Q2-TbTradesAlter[[#This Row],[Qtt]]),IF(TbTradesAlter[[#This Row],[Tipo]]="BUY",Q2-TbTradesAlter[[#This Row],[Qtt]]*TbTradesAlter[[#This Row],[Preço]],Q2+TbTradesAlter[[#This Row],[Qtt]]*TbTradesAlter[[#This Row],[Preço]])),Q2)-IF(TbTradesAlter[[#This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Row],[Tipo]]="DROP"),Q2+TbTradesAlter[[#This Row],[Qtt]],Q2-TbTradesAlter[[#This Row],[Qtt]]),IF(TbTradesAlter[[#This Row],[Tipo]]="BUY",Q2-TbTradesAlter[[#This Row],[Qtt]]*TbTradesAlter[[#This Row],[Preço]],Q2+TbTradesAlter[[#This Row],[Qtt]]*TbTradesAlter[[#This Row],[Preço]])),Q2)-IF(TbTradesAlter[[#This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Row],[Tipo]]="DROP"),Q2+TbTradesAlter[[#This Row],[Qtt]],Q2-TbTradesAlter[[#This Row],[Qtt]]),IF(TbTradesAlter[[#This Row],[Tipo]]="BUY",Q2-TbTradesAlter[[#This Row],[Qtt]]*TbTradesAlter[[#This Row],[Preço]],Q2+TbTradesAlter[[#This Row],[Qtt]]*TbTradesAlter[[#This Row],[Preço]])),Q2)-IF(TbTradesAlter[[#This Row],[Moeda da Taxa]]=MID(Q$1,9,5),TbTradesAlter[[#This Row],[Taxa]],0),8)))</f>
        <v>0</v>
      </c>
      <c r="R3" s="50" cm="1">
        <f t="array" ref="R3">IF(TbTradesAlter[[#This Row],[Tipo]]="EMPTY",0,R2+IF(TbTradesAlter[[#This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Row],[Par]]))),$1:$1,0)),-(Q2-Q3)/Q2*R2),0),0)+IF(TbTradesAlter[[#This Row],[Tipo]]="SELL",IF(ISNUMBER(FIND(MID(R$1,10,5),TbTradesAlter[[#This Row],[Par]])),IF(FIND(MID(R$1,10,5),TbTradesAlter[[#This Row],[Par]])=1, -(Q2-Q3)/Q2*R2,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Row],[Par]])),(-(Q2-Q3)/Q2*R2)+IF(TbTradesAlter[[#This Row],[Resultado]]&gt;0,0,TbTradesAlter[[#This Row],[Taxa]]),0),0))</f>
        <v>0</v>
      </c>
      <c r="S3" s="41">
        <f t="shared" si="2"/>
        <v>0</v>
      </c>
    </row>
    <row r="4" spans="1:19" x14ac:dyDescent="0.3">
      <c r="B4" s="74"/>
      <c r="C4" s="67">
        <f>TRUNC(IF(AND(TbTradesAlter[[#This Row],[Tipo]]="SEND",TbTradesAlter[[#This Row],[Par]]="BRL"),TbTradesAlter[[#This Row],[Qtt]]*(1-P3)-IF(TbTradesAlter[[#This Row],[Moeda da Taxa]]="BRL",TbTradesAlter[[#This Row],[Taxa]],0),0)+IF(AND(TbTradesAlter[[#This Row],[Tipo]]="BURN",TbTradesAlter[[#This Row],[Par]]="BRL"),-TbTradesAlter[[#This Row],[Qtt]]*P3,0),2)</f>
        <v>0</v>
      </c>
      <c r="D4" s="65">
        <v>44309.785416666666</v>
      </c>
      <c r="E4" s="77" t="s">
        <v>138</v>
      </c>
      <c r="F4" s="77" t="s">
        <v>139</v>
      </c>
      <c r="G4" s="96">
        <f>N3/TbTradesAlter[[#This Row],[Qtt]]</f>
        <v>281500.54439275461</v>
      </c>
      <c r="H4" s="78">
        <v>2.0206E-4</v>
      </c>
      <c r="I4" s="78">
        <v>0</v>
      </c>
      <c r="J4" s="77" t="s">
        <v>6</v>
      </c>
      <c r="K4" s="75">
        <v>1</v>
      </c>
      <c r="L4" s="67">
        <f t="shared" si="0"/>
        <v>281500.53999999998</v>
      </c>
      <c r="M4" s="67">
        <f>IF(OR(TbTradesAlter[[#This Row],[Tipo]]="BUY",TbTradesAlter[[#This Row],[Tipo]]="RECEIVE",TbTradesAlter[[#This Row],[Tipo]]="DROP"),L4*H4,-L4*H4)</f>
        <v>56.879999112399993</v>
      </c>
      <c r="N4" s="68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Row],[Tipo]]="DROP"),N3+TbTradesAlter[[#This Row],[Qtt]],N3-TbTradesAlter[[#This Row],[Qtt]]),IF(TbTradesAlter[[#This Row],[Tipo]]="BUY",N3-TbTradesAlter[[#This Row],[Qtt]]*TbTradesAlter[[#This Row],[Preço]],N3+TbTradesAlter[[#This Row],[Qtt]]*TbTradesAlter[[#This Row],[Preço]])),N3)-IF(TbTradesAlter[[#This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Row],[Tipo]]="DROP"),N3+TbTradesAlter[[#This Row],[Qtt]],N3-TbTradesAlter[[#This Row],[Qtt]]),IF(TbTradesAlter[[#This Row],[Tipo]]="BUY",N3-TbTradesAlter[[#This Row],[Qtt]]*TbTradesAlter[[#This Row],[Preço]],N3+TbTradesAlter[[#This Row],[Qtt]]*TbTradesAlter[[#This Row],[Preço]])),N3)-IF(TbTradesAlter[[#This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Row],[Tipo]]="DROP"),N3+TbTradesAlter[[#This Row],[Qtt]],N3-TbTradesAlter[[#This Row],[Qtt]]),IF(TbTradesAlter[[#This Row],[Tipo]]="BUY",N3-TbTradesAlter[[#This Row],[Qtt]]*TbTradesAlter[[#This Row],[Preço]],N3+TbTradesAlter[[#This Row],[Qtt]]*TbTradesAlter[[#This Row],[Preço]])),N3)-IF(TbTradesAlter[[#This Row],[Moeda da Taxa]]=MID(N$1,9,5),TbTradesAlter[[#This Row],[Taxa]],0),8)))</f>
        <v>0</v>
      </c>
      <c r="O4" s="50" cm="1">
        <f t="array" ref="O4">IF(TbTradesAlter[[#This Row],[Tipo]]="EMPTY",0,O3+IF(TbTradesAlter[[#This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Row],[Par]]))),$1:$1,0)),-(N3-N4)/N3*O3),0),0)+IF(TbTradesAlter[[#This Row],[Tipo]]="SELL",IF(ISNUMBER(FIND(MID(O$1,10,5),TbTradesAlter[[#This Row],[Par]])),IF(FIND(MID(O$1,10,5),TbTradesAlter[[#This Row],[Par]])=1, -(N3-N4)/N3*O3,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Row],[Par]])),(-(N3-N4)/N3*O3)+IF(TbTradesAlter[[#This Row],[Resultado]]&gt;0,0,TbTradesAlter[[#This Row],[Taxa]]),0),0))</f>
        <v>0</v>
      </c>
      <c r="P4" s="41">
        <f t="shared" si="1"/>
        <v>0</v>
      </c>
      <c r="Q4" s="43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Row],[Tipo]]="DROP"),Q3+TbTradesAlter[[#This Row],[Qtt]],Q3-TbTradesAlter[[#This Row],[Qtt]]),IF(TbTradesAlter[[#This Row],[Tipo]]="BUY",Q3-TbTradesAlter[[#This Row],[Qtt]]*TbTradesAlter[[#This Row],[Preço]],Q3+TbTradesAlter[[#This Row],[Qtt]]*TbTradesAlter[[#This Row],[Preço]])),Q3)-IF(TbTradesAlter[[#This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Row],[Tipo]]="DROP"),Q3+TbTradesAlter[[#This Row],[Qtt]],Q3-TbTradesAlter[[#This Row],[Qtt]]),IF(TbTradesAlter[[#This Row],[Tipo]]="BUY",Q3-TbTradesAlter[[#This Row],[Qtt]]*TbTradesAlter[[#This Row],[Preço]],Q3+TbTradesAlter[[#This Row],[Qtt]]*TbTradesAlter[[#This Row],[Preço]])),Q3)-IF(TbTradesAlter[[#This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Row],[Tipo]]="DROP"),Q3+TbTradesAlter[[#This Row],[Qtt]],Q3-TbTradesAlter[[#This Row],[Qtt]]),IF(TbTradesAlter[[#This Row],[Tipo]]="BUY",Q3-TbTradesAlter[[#This Row],[Qtt]]*TbTradesAlter[[#This Row],[Preço]],Q3+TbTradesAlter[[#This Row],[Qtt]]*TbTradesAlter[[#This Row],[Preço]])),Q3)-IF(TbTradesAlter[[#This Row],[Moeda da Taxa]]=MID(Q$1,9,5),TbTradesAlter[[#This Row],[Taxa]],0),8)))</f>
        <v>2.0206E-4</v>
      </c>
      <c r="R4" s="50" cm="1">
        <f t="array" ref="R4">IF(TbTradesAlter[[#This Row],[Tipo]]="EMPTY",0,R3+IF(TbTradesAlter[[#This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Row],[Par]]))),$1:$1,0)),-(Q3-Q4)/Q3*R3),0),0)+IF(TbTradesAlter[[#This Row],[Tipo]]="SELL",IF(ISNUMBER(FIND(MID(R$1,10,5),TbTradesAlter[[#This Row],[Par]])),IF(FIND(MID(R$1,10,5),TbTradesAlter[[#This Row],[Par]])=1, -(Q3-Q4)/Q3*R3,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Row],[Par]])),(-(Q3-Q4)/Q3*R3)+IF(TbTradesAlter[[#This Row],[Resultado]]&gt;0,0,TbTradesAlter[[#This Row],[Taxa]]),0),0))</f>
        <v>56.88</v>
      </c>
      <c r="S4" s="41">
        <f t="shared" si="2"/>
        <v>281500.54439275461</v>
      </c>
    </row>
    <row r="5" spans="1:19" x14ac:dyDescent="0.3">
      <c r="B5" s="74" t="s">
        <v>179</v>
      </c>
      <c r="C5" s="67">
        <f>TRUNC(IF(AND(TbTradesAlter[[#This Row],[Tipo]]="SEND",TbTradesAlter[[#This Row],[Par]]="BRL"),TbTradesAlter[[#This Row],[Qtt]]*(1-P4)-IF(TbTradesAlter[[#This Row],[Moeda da Taxa]]="BRL",TbTradesAlter[[#This Row],[Taxa]],0),0)+IF(AND(TbTradesAlter[[#This Row],[Tipo]]="BURN",TbTradesAlter[[#This Row],[Par]]="BRL"),-TbTradesAlter[[#This Row],[Qtt]]*P4,0),2)</f>
        <v>0</v>
      </c>
      <c r="D5" s="65">
        <v>44335.95</v>
      </c>
      <c r="E5" s="77" t="s">
        <v>50</v>
      </c>
      <c r="F5" s="77" t="s">
        <v>137</v>
      </c>
      <c r="G5" s="96">
        <v>1</v>
      </c>
      <c r="H5" s="78">
        <v>52.72</v>
      </c>
      <c r="I5" s="78">
        <v>0</v>
      </c>
      <c r="J5" s="77" t="s">
        <v>50</v>
      </c>
      <c r="K5" s="75">
        <v>1</v>
      </c>
      <c r="L5" s="67">
        <f t="shared" si="0"/>
        <v>1</v>
      </c>
      <c r="M5" s="67">
        <f>IF(OR(TbTradesAlter[[#This Row],[Tipo]]="BUY",TbTradesAlter[[#This Row],[Tipo]]="RECEIVE",TbTradesAlter[[#This Row],[Tipo]]="DROP"),L5*H5,-L5*H5)</f>
        <v>52.72</v>
      </c>
      <c r="N5" s="68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Row],[Tipo]]="DROP"),N4+TbTradesAlter[[#This Row],[Qtt]],N4-TbTradesAlter[[#This Row],[Qtt]]),IF(TbTradesAlter[[#This Row],[Tipo]]="BUY",N4-TbTradesAlter[[#This Row],[Qtt]]*TbTradesAlter[[#This Row],[Preço]],N4+TbTradesAlter[[#This Row],[Qtt]]*TbTradesAlter[[#This Row],[Preço]])),N4)-IF(TbTradesAlter[[#This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Row],[Tipo]]="DROP"),N4+TbTradesAlter[[#This Row],[Qtt]],N4-TbTradesAlter[[#This Row],[Qtt]]),IF(TbTradesAlter[[#This Row],[Tipo]]="BUY",N4-TbTradesAlter[[#This Row],[Qtt]]*TbTradesAlter[[#This Row],[Preço]],N4+TbTradesAlter[[#This Row],[Qtt]]*TbTradesAlter[[#This Row],[Preço]])),N4)-IF(TbTradesAlter[[#This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Row],[Tipo]]="DROP"),N4+TbTradesAlter[[#This Row],[Qtt]],N4-TbTradesAlter[[#This Row],[Qtt]]),IF(TbTradesAlter[[#This Row],[Tipo]]="BUY",N4-TbTradesAlter[[#This Row],[Qtt]]*TbTradesAlter[[#This Row],[Preço]],N4+TbTradesAlter[[#This Row],[Qtt]]*TbTradesAlter[[#This Row],[Preço]])),N4)-IF(TbTradesAlter[[#This Row],[Moeda da Taxa]]=MID(N$1,9,5),TbTradesAlter[[#This Row],[Taxa]],0),8)))</f>
        <v>52.72</v>
      </c>
      <c r="O5" s="50" cm="1">
        <f t="array" ref="O5">IF(TbTradesAlter[[#This Row],[Tipo]]="EMPTY",0,O4+IF(TbTradesAlter[[#This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Row],[Par]]))),$1:$1,0)),-(N4-N5)/N4*O4),0),0)+IF(TbTradesAlter[[#This Row],[Tipo]]="SELL",IF(ISNUMBER(FIND(MID(O$1,10,5),TbTradesAlter[[#This Row],[Par]])),IF(FIND(MID(O$1,10,5),TbTradesAlter[[#This Row],[Par]])=1, -(N4-N5)/N4*O4,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Row],[Par]])),(-(N4-N5)/N4*O4)+IF(TbTradesAlter[[#This Row],[Resultado]]&gt;0,0,TbTradesAlter[[#This Row],[Taxa]]),0),0))</f>
        <v>52.72</v>
      </c>
      <c r="P5" s="41">
        <f t="shared" si="1"/>
        <v>1</v>
      </c>
      <c r="Q5" s="43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Row],[Tipo]]="DROP"),Q4+TbTradesAlter[[#This Row],[Qtt]],Q4-TbTradesAlter[[#This Row],[Qtt]]),IF(TbTradesAlter[[#This Row],[Tipo]]="BUY",Q4-TbTradesAlter[[#This Row],[Qtt]]*TbTradesAlter[[#This Row],[Preço]],Q4+TbTradesAlter[[#This Row],[Qtt]]*TbTradesAlter[[#This Row],[Preço]])),Q4)-IF(TbTradesAlter[[#This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Row],[Tipo]]="DROP"),Q4+TbTradesAlter[[#This Row],[Qtt]],Q4-TbTradesAlter[[#This Row],[Qtt]]),IF(TbTradesAlter[[#This Row],[Tipo]]="BUY",Q4-TbTradesAlter[[#This Row],[Qtt]]*TbTradesAlter[[#This Row],[Preço]],Q4+TbTradesAlter[[#This Row],[Qtt]]*TbTradesAlter[[#This Row],[Preço]])),Q4)-IF(TbTradesAlter[[#This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Row],[Tipo]]="DROP"),Q4+TbTradesAlter[[#This Row],[Qtt]],Q4-TbTradesAlter[[#This Row],[Qtt]]),IF(TbTradesAlter[[#This Row],[Tipo]]="BUY",Q4-TbTradesAlter[[#This Row],[Qtt]]*TbTradesAlter[[#This Row],[Preço]],Q4+TbTradesAlter[[#This Row],[Qtt]]*TbTradesAlter[[#This Row],[Preço]])),Q4)-IF(TbTradesAlter[[#This Row],[Moeda da Taxa]]=MID(Q$1,9,5),TbTradesAlter[[#This Row],[Taxa]],0),8)))</f>
        <v>2.0206E-4</v>
      </c>
      <c r="R5" s="50" cm="1">
        <f t="array" ref="R5">IF(TbTradesAlter[[#This Row],[Tipo]]="EMPTY",0,R4+IF(TbTradesAlter[[#This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Row],[Par]]))),$1:$1,0)),-(Q4-Q5)/Q4*R4),0),0)+IF(TbTradesAlter[[#This Row],[Tipo]]="SELL",IF(ISNUMBER(FIND(MID(R$1,10,5),TbTradesAlter[[#This Row],[Par]])),IF(FIND(MID(R$1,10,5),TbTradesAlter[[#This Row],[Par]])=1, -(Q4-Q5)/Q4*R4,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Row],[Par]])),(-(Q4-Q5)/Q4*R4)+IF(TbTradesAlter[[#This Row],[Resultado]]&gt;0,0,TbTradesAlter[[#This Row],[Taxa]]),0),0))</f>
        <v>56.88</v>
      </c>
      <c r="S5" s="41">
        <f t="shared" si="2"/>
        <v>281500.54439275461</v>
      </c>
    </row>
    <row r="6" spans="1:19" x14ac:dyDescent="0.3">
      <c r="B6" s="74"/>
      <c r="C6" s="67">
        <f>TRUNC(IF(AND(TbTradesAlter[[#This Row],[Tipo]]="SEND",TbTradesAlter[[#This Row],[Par]]="BRL"),TbTradesAlter[[#This Row],[Qtt]]*(1-P5)-IF(TbTradesAlter[[#This Row],[Moeda da Taxa]]="BRL",TbTradesAlter[[#This Row],[Taxa]],0),0)+IF(AND(TbTradesAlter[[#This Row],[Tipo]]="BURN",TbTradesAlter[[#This Row],[Par]]="BRL"),-TbTradesAlter[[#This Row],[Qtt]]*P5,0),2)</f>
        <v>0</v>
      </c>
      <c r="D6" s="65">
        <v>44335.95</v>
      </c>
      <c r="E6" s="77" t="s">
        <v>138</v>
      </c>
      <c r="F6" s="77" t="s">
        <v>139</v>
      </c>
      <c r="G6" s="96">
        <f>N5/TbTradesAlter[[#This Row],[Qtt]]</f>
        <v>203175.58193309698</v>
      </c>
      <c r="H6" s="78">
        <v>2.5947999999999998E-4</v>
      </c>
      <c r="I6" s="78">
        <v>0</v>
      </c>
      <c r="J6" s="77" t="s">
        <v>6</v>
      </c>
      <c r="K6" s="75">
        <v>1</v>
      </c>
      <c r="L6" s="67">
        <f t="shared" si="0"/>
        <v>203175.58</v>
      </c>
      <c r="M6" s="67">
        <f>IF(OR(TbTradesAlter[[#This Row],[Tipo]]="BUY",TbTradesAlter[[#This Row],[Tipo]]="RECEIVE",TbTradesAlter[[#This Row],[Tipo]]="DROP"),L6*H6,-L6*H6)</f>
        <v>52.719999498399993</v>
      </c>
      <c r="N6" s="68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Row],[Tipo]]="DROP"),N5+TbTradesAlter[[#This Row],[Qtt]],N5-TbTradesAlter[[#This Row],[Qtt]]),IF(TbTradesAlter[[#This Row],[Tipo]]="BUY",N5-TbTradesAlter[[#This Row],[Qtt]]*TbTradesAlter[[#This Row],[Preço]],N5+TbTradesAlter[[#This Row],[Qtt]]*TbTradesAlter[[#This Row],[Preço]])),N5)-IF(TbTradesAlter[[#This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Row],[Tipo]]="DROP"),N5+TbTradesAlter[[#This Row],[Qtt]],N5-TbTradesAlter[[#This Row],[Qtt]]),IF(TbTradesAlter[[#This Row],[Tipo]]="BUY",N5-TbTradesAlter[[#This Row],[Qtt]]*TbTradesAlter[[#This Row],[Preço]],N5+TbTradesAlter[[#This Row],[Qtt]]*TbTradesAlter[[#This Row],[Preço]])),N5)-IF(TbTradesAlter[[#This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Row],[Tipo]]="DROP"),N5+TbTradesAlter[[#This Row],[Qtt]],N5-TbTradesAlter[[#This Row],[Qtt]]),IF(TbTradesAlter[[#This Row],[Tipo]]="BUY",N5-TbTradesAlter[[#This Row],[Qtt]]*TbTradesAlter[[#This Row],[Preço]],N5+TbTradesAlter[[#This Row],[Qtt]]*TbTradesAlter[[#This Row],[Preço]])),N5)-IF(TbTradesAlter[[#This Row],[Moeda da Taxa]]=MID(N$1,9,5),TbTradesAlter[[#This Row],[Taxa]],0),8)))</f>
        <v>0</v>
      </c>
      <c r="O6" s="50" cm="1">
        <f t="array" ref="O6">IF(TbTradesAlter[[#This Row],[Tipo]]="EMPTY",0,O5+IF(TbTradesAlter[[#This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Row],[Par]]))),$1:$1,0)),-(N5-N6)/N5*O5),0),0)+IF(TbTradesAlter[[#This Row],[Tipo]]="SELL",IF(ISNUMBER(FIND(MID(O$1,10,5),TbTradesAlter[[#This Row],[Par]])),IF(FIND(MID(O$1,10,5),TbTradesAlter[[#This Row],[Par]])=1, -(N5-N6)/N5*O5,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Row],[Par]])),(-(N5-N6)/N5*O5)+IF(TbTradesAlter[[#This Row],[Resultado]]&gt;0,0,TbTradesAlter[[#This Row],[Taxa]]),0),0))</f>
        <v>0</v>
      </c>
      <c r="P6" s="41">
        <f t="shared" si="1"/>
        <v>0</v>
      </c>
      <c r="Q6" s="43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Row],[Tipo]]="DROP"),Q5+TbTradesAlter[[#This Row],[Qtt]],Q5-TbTradesAlter[[#This Row],[Qtt]]),IF(TbTradesAlter[[#This Row],[Tipo]]="BUY",Q5-TbTradesAlter[[#This Row],[Qtt]]*TbTradesAlter[[#This Row],[Preço]],Q5+TbTradesAlter[[#This Row],[Qtt]]*TbTradesAlter[[#This Row],[Preço]])),Q5)-IF(TbTradesAlter[[#This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Row],[Tipo]]="DROP"),Q5+TbTradesAlter[[#This Row],[Qtt]],Q5-TbTradesAlter[[#This Row],[Qtt]]),IF(TbTradesAlter[[#This Row],[Tipo]]="BUY",Q5-TbTradesAlter[[#This Row],[Qtt]]*TbTradesAlter[[#This Row],[Preço]],Q5+TbTradesAlter[[#This Row],[Qtt]]*TbTradesAlter[[#This Row],[Preço]])),Q5)-IF(TbTradesAlter[[#This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Row],[Tipo]]="DROP"),Q5+TbTradesAlter[[#This Row],[Qtt]],Q5-TbTradesAlter[[#This Row],[Qtt]]),IF(TbTradesAlter[[#This Row],[Tipo]]="BUY",Q5-TbTradesAlter[[#This Row],[Qtt]]*TbTradesAlter[[#This Row],[Preço]],Q5+TbTradesAlter[[#This Row],[Qtt]]*TbTradesAlter[[#This Row],[Preço]])),Q5)-IF(TbTradesAlter[[#This Row],[Moeda da Taxa]]=MID(Q$1,9,5),TbTradesAlter[[#This Row],[Taxa]],0),8)))</f>
        <v>4.6153999999999998E-4</v>
      </c>
      <c r="R6" s="50" cm="1">
        <f t="array" ref="R6">IF(TbTradesAlter[[#This Row],[Tipo]]="EMPTY",0,R5+IF(TbTradesAlter[[#This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Row],[Par]]))),$1:$1,0)),-(Q5-Q6)/Q5*R5),0),0)+IF(TbTradesAlter[[#This Row],[Tipo]]="SELL",IF(ISNUMBER(FIND(MID(R$1,10,5),TbTradesAlter[[#This Row],[Par]])),IF(FIND(MID(R$1,10,5),TbTradesAlter[[#This Row],[Par]])=1, -(Q5-Q6)/Q5*R5,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Row],[Par]])),(-(Q5-Q6)/Q5*R5)+IF(TbTradesAlter[[#This Row],[Resultado]]&gt;0,0,TbTradesAlter[[#This Row],[Taxa]]),0),0))</f>
        <v>109.6</v>
      </c>
      <c r="S6" s="41">
        <f t="shared" si="2"/>
        <v>237465.87511374961</v>
      </c>
    </row>
    <row r="7" spans="1:19" x14ac:dyDescent="0.3">
      <c r="B7" s="74" t="s">
        <v>180</v>
      </c>
      <c r="C7" s="67">
        <f>TRUNC(IF(AND(TbTradesAlter[[#This Row],[Tipo]]="SEND",TbTradesAlter[[#This Row],[Par]]="BRL"),TbTradesAlter[[#This Row],[Qtt]]*(1-P6)-IF(TbTradesAlter[[#This Row],[Moeda da Taxa]]="BRL",TbTradesAlter[[#This Row],[Taxa]],0),0)+IF(AND(TbTradesAlter[[#This Row],[Tipo]]="BURN",TbTradesAlter[[#This Row],[Par]]="BRL"),-TbTradesAlter[[#This Row],[Qtt]]*P6,0),2)</f>
        <v>0</v>
      </c>
      <c r="D7" s="65">
        <v>44337.445833333331</v>
      </c>
      <c r="E7" s="77" t="s">
        <v>6</v>
      </c>
      <c r="F7" s="77" t="s">
        <v>148</v>
      </c>
      <c r="G7" s="96">
        <v>221445.04</v>
      </c>
      <c r="H7" s="78">
        <v>3.0800000000000002E-6</v>
      </c>
      <c r="I7" s="78">
        <v>0</v>
      </c>
      <c r="J7" s="77" t="s">
        <v>6</v>
      </c>
      <c r="K7" s="75">
        <v>1</v>
      </c>
      <c r="L7" s="67">
        <f t="shared" si="0"/>
        <v>221445.04</v>
      </c>
      <c r="M7" s="67">
        <f>IF(OR(TbTradesAlter[[#This Row],[Tipo]]="BUY",TbTradesAlter[[#This Row],[Tipo]]="RECEIVE",TbTradesAlter[[#This Row],[Tipo]]="DROP"),L7*H7,-L7*H7)</f>
        <v>0.68205072320000004</v>
      </c>
      <c r="N7" s="68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Row],[Tipo]]="DROP"),N6+TbTradesAlter[[#This Row],[Qtt]],N6-TbTradesAlter[[#This Row],[Qtt]]),IF(TbTradesAlter[[#This Row],[Tipo]]="BUY",N6-TbTradesAlter[[#This Row],[Qtt]]*TbTradesAlter[[#This Row],[Preço]],N6+TbTradesAlter[[#This Row],[Qtt]]*TbTradesAlter[[#This Row],[Preço]])),N6)-IF(TbTradesAlter[[#This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Row],[Tipo]]="DROP"),N6+TbTradesAlter[[#This Row],[Qtt]],N6-TbTradesAlter[[#This Row],[Qtt]]),IF(TbTradesAlter[[#This Row],[Tipo]]="BUY",N6-TbTradesAlter[[#This Row],[Qtt]]*TbTradesAlter[[#This Row],[Preço]],N6+TbTradesAlter[[#This Row],[Qtt]]*TbTradesAlter[[#This Row],[Preço]])),N6)-IF(TbTradesAlter[[#This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Row],[Tipo]]="DROP"),N6+TbTradesAlter[[#This Row],[Qtt]],N6-TbTradesAlter[[#This Row],[Qtt]]),IF(TbTradesAlter[[#This Row],[Tipo]]="BUY",N6-TbTradesAlter[[#This Row],[Qtt]]*TbTradesAlter[[#This Row],[Preço]],N6+TbTradesAlter[[#This Row],[Qtt]]*TbTradesAlter[[#This Row],[Preço]])),N6)-IF(TbTradesAlter[[#This Row],[Moeda da Taxa]]=MID(N$1,9,5),TbTradesAlter[[#This Row],[Taxa]],0),8)))</f>
        <v>0</v>
      </c>
      <c r="O7" s="50" cm="1">
        <f t="array" ref="O7">IF(TbTradesAlter[[#This Row],[Tipo]]="EMPTY",0,O6+IF(TbTradesAlter[[#This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Row],[Par]]))),$1:$1,0)),-(N6-N7)/N6*O6),0),0)+IF(TbTradesAlter[[#This Row],[Tipo]]="SELL",IF(ISNUMBER(FIND(MID(O$1,10,5),TbTradesAlter[[#This Row],[Par]])),IF(FIND(MID(O$1,10,5),TbTradesAlter[[#This Row],[Par]])=1, -(N6-N7)/N6*O6,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Row],[Par]])),(-(N6-N7)/N6*O6)+IF(TbTradesAlter[[#This Row],[Resultado]]&gt;0,0,TbTradesAlter[[#This Row],[Taxa]]),0),0))</f>
        <v>0</v>
      </c>
      <c r="P7" s="41">
        <f t="shared" si="1"/>
        <v>0</v>
      </c>
      <c r="Q7" s="43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Row],[Tipo]]="DROP"),Q6+TbTradesAlter[[#This Row],[Qtt]],Q6-TbTradesAlter[[#This Row],[Qtt]]),IF(TbTradesAlter[[#This Row],[Tipo]]="BUY",Q6-TbTradesAlter[[#This Row],[Qtt]]*TbTradesAlter[[#This Row],[Preço]],Q6+TbTradesAlter[[#This Row],[Qtt]]*TbTradesAlter[[#This Row],[Preço]])),Q6)-IF(TbTradesAlter[[#This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Row],[Tipo]]="DROP"),Q6+TbTradesAlter[[#This Row],[Qtt]],Q6-TbTradesAlter[[#This Row],[Qtt]]),IF(TbTradesAlter[[#This Row],[Tipo]]="BUY",Q6-TbTradesAlter[[#This Row],[Qtt]]*TbTradesAlter[[#This Row],[Preço]],Q6+TbTradesAlter[[#This Row],[Qtt]]*TbTradesAlter[[#This Row],[Preço]])),Q6)-IF(TbTradesAlter[[#This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Row],[Tipo]]="DROP"),Q6+TbTradesAlter[[#This Row],[Qtt]],Q6-TbTradesAlter[[#This Row],[Qtt]]),IF(TbTradesAlter[[#This Row],[Tipo]]="BUY",Q6-TbTradesAlter[[#This Row],[Qtt]]*TbTradesAlter[[#This Row],[Preço]],Q6+TbTradesAlter[[#This Row],[Qtt]]*TbTradesAlter[[#This Row],[Preço]])),Q6)-IF(TbTradesAlter[[#This Row],[Moeda da Taxa]]=MID(Q$1,9,5),TbTradesAlter[[#This Row],[Taxa]],0),8)))</f>
        <v>4.6462000000000001E-4</v>
      </c>
      <c r="R7" s="50" cm="1">
        <f t="array" ref="R7">IF(TbTradesAlter[[#This Row],[Tipo]]="EMPTY",0,R6+IF(TbTradesAlter[[#This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Row],[Par]]))),$1:$1,0)),-(Q6-Q7)/Q6*R6),0),0)+IF(TbTradesAlter[[#This Row],[Tipo]]="SELL",IF(ISNUMBER(FIND(MID(R$1,10,5),TbTradesAlter[[#This Row],[Par]])),IF(FIND(MID(R$1,10,5),TbTradesAlter[[#This Row],[Par]])=1, -(Q6-Q7)/Q6*R6,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Row],[Par]])),(-(Q6-Q7)/Q6*R6)+IF(TbTradesAlter[[#This Row],[Resultado]]&gt;0,0,TbTradesAlter[[#This Row],[Taxa]]),0),0))</f>
        <v>109.6</v>
      </c>
      <c r="S7" s="41">
        <f t="shared" si="2"/>
        <v>235891.69644010157</v>
      </c>
    </row>
    <row r="8" spans="1:19" x14ac:dyDescent="0.3">
      <c r="B8" s="74"/>
      <c r="C8" s="67">
        <f>TRUNC(IF(AND(TbTradesAlter[[#This Row],[Tipo]]="SEND",TbTradesAlter[[#This Row],[Par]]="BRL"),TbTradesAlter[[#This Row],[Qtt]]*(1-P7)-IF(TbTradesAlter[[#This Row],[Moeda da Taxa]]="BRL",TbTradesAlter[[#This Row],[Taxa]],0),0)+IF(AND(TbTradesAlter[[#This Row],[Tipo]]="BURN",TbTradesAlter[[#This Row],[Par]]="BRL"),-TbTradesAlter[[#This Row],[Qtt]]*P7,0),2)</f>
        <v>0</v>
      </c>
      <c r="D8" s="65">
        <v>44373.462500000001</v>
      </c>
      <c r="E8" s="77" t="s">
        <v>50</v>
      </c>
      <c r="F8" s="77" t="s">
        <v>137</v>
      </c>
      <c r="G8" s="96">
        <v>1</v>
      </c>
      <c r="H8" s="78">
        <v>150</v>
      </c>
      <c r="I8" s="78">
        <v>0</v>
      </c>
      <c r="J8" s="77" t="s">
        <v>50</v>
      </c>
      <c r="K8" s="75">
        <v>1</v>
      </c>
      <c r="L8" s="67">
        <f t="shared" si="0"/>
        <v>1</v>
      </c>
      <c r="M8" s="67">
        <f>IF(OR(TbTradesAlter[[#This Row],[Tipo]]="BUY",TbTradesAlter[[#This Row],[Tipo]]="RECEIVE",TbTradesAlter[[#This Row],[Tipo]]="DROP"),L8*H8,-L8*H8)</f>
        <v>150</v>
      </c>
      <c r="N8" s="68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Row],[Tipo]]="DROP"),N7+TbTradesAlter[[#This Row],[Qtt]],N7-TbTradesAlter[[#This Row],[Qtt]]),IF(TbTradesAlter[[#This Row],[Tipo]]="BUY",N7-TbTradesAlter[[#This Row],[Qtt]]*TbTradesAlter[[#This Row],[Preço]],N7+TbTradesAlter[[#This Row],[Qtt]]*TbTradesAlter[[#This Row],[Preço]])),N7)-IF(TbTradesAlter[[#This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Row],[Tipo]]="DROP"),N7+TbTradesAlter[[#This Row],[Qtt]],N7-TbTradesAlter[[#This Row],[Qtt]]),IF(TbTradesAlter[[#This Row],[Tipo]]="BUY",N7-TbTradesAlter[[#This Row],[Qtt]]*TbTradesAlter[[#This Row],[Preço]],N7+TbTradesAlter[[#This Row],[Qtt]]*TbTradesAlter[[#This Row],[Preço]])),N7)-IF(TbTradesAlter[[#This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Row],[Tipo]]="DROP"),N7+TbTradesAlter[[#This Row],[Qtt]],N7-TbTradesAlter[[#This Row],[Qtt]]),IF(TbTradesAlter[[#This Row],[Tipo]]="BUY",N7-TbTradesAlter[[#This Row],[Qtt]]*TbTradesAlter[[#This Row],[Preço]],N7+TbTradesAlter[[#This Row],[Qtt]]*TbTradesAlter[[#This Row],[Preço]])),N7)-IF(TbTradesAlter[[#This Row],[Moeda da Taxa]]=MID(N$1,9,5),TbTradesAlter[[#This Row],[Taxa]],0),8)))</f>
        <v>150</v>
      </c>
      <c r="O8" s="50" cm="1">
        <f t="array" ref="O8">IF(TbTradesAlter[[#This Row],[Tipo]]="EMPTY",0,O7+IF(TbTradesAlter[[#This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Row],[Par]]))),$1:$1,0)),-(N7-N8)/N7*O7),0),0)+IF(TbTradesAlter[[#This Row],[Tipo]]="SELL",IF(ISNUMBER(FIND(MID(O$1,10,5),TbTradesAlter[[#This Row],[Par]])),IF(FIND(MID(O$1,10,5),TbTradesAlter[[#This Row],[Par]])=1, -(N7-N8)/N7*O7,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Row],[Par]])),(-(N7-N8)/N7*O7)+IF(TbTradesAlter[[#This Row],[Resultado]]&gt;0,0,TbTradesAlter[[#This Row],[Taxa]]),0),0))</f>
        <v>150</v>
      </c>
      <c r="P8" s="41">
        <f t="shared" si="1"/>
        <v>1</v>
      </c>
      <c r="Q8" s="43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Row],[Tipo]]="DROP"),Q7+TbTradesAlter[[#This Row],[Qtt]],Q7-TbTradesAlter[[#This Row],[Qtt]]),IF(TbTradesAlter[[#This Row],[Tipo]]="BUY",Q7-TbTradesAlter[[#This Row],[Qtt]]*TbTradesAlter[[#This Row],[Preço]],Q7+TbTradesAlter[[#This Row],[Qtt]]*TbTradesAlter[[#This Row],[Preço]])),Q7)-IF(TbTradesAlter[[#This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Row],[Tipo]]="DROP"),Q7+TbTradesAlter[[#This Row],[Qtt]],Q7-TbTradesAlter[[#This Row],[Qtt]]),IF(TbTradesAlter[[#This Row],[Tipo]]="BUY",Q7-TbTradesAlter[[#This Row],[Qtt]]*TbTradesAlter[[#This Row],[Preço]],Q7+TbTradesAlter[[#This Row],[Qtt]]*TbTradesAlter[[#This Row],[Preço]])),Q7)-IF(TbTradesAlter[[#This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Row],[Tipo]]="DROP"),Q7+TbTradesAlter[[#This Row],[Qtt]],Q7-TbTradesAlter[[#This Row],[Qtt]]),IF(TbTradesAlter[[#This Row],[Tipo]]="BUY",Q7-TbTradesAlter[[#This Row],[Qtt]]*TbTradesAlter[[#This Row],[Preço]],Q7+TbTradesAlter[[#This Row],[Qtt]]*TbTradesAlter[[#This Row],[Preço]])),Q7)-IF(TbTradesAlter[[#This Row],[Moeda da Taxa]]=MID(Q$1,9,5),TbTradesAlter[[#This Row],[Taxa]],0),8)))</f>
        <v>4.6462000000000001E-4</v>
      </c>
      <c r="R8" s="50" cm="1">
        <f t="array" ref="R8">IF(TbTradesAlter[[#This Row],[Tipo]]="EMPTY",0,R7+IF(TbTradesAlter[[#This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Row],[Par]]))),$1:$1,0)),-(Q7-Q8)/Q7*R7),0),0)+IF(TbTradesAlter[[#This Row],[Tipo]]="SELL",IF(ISNUMBER(FIND(MID(R$1,10,5),TbTradesAlter[[#This Row],[Par]])),IF(FIND(MID(R$1,10,5),TbTradesAlter[[#This Row],[Par]])=1, -(Q7-Q8)/Q7*R7,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Row],[Par]])),(-(Q7-Q8)/Q7*R7)+IF(TbTradesAlter[[#This Row],[Resultado]]&gt;0,0,TbTradesAlter[[#This Row],[Taxa]]),0),0))</f>
        <v>109.6</v>
      </c>
      <c r="S8" s="41">
        <f t="shared" si="2"/>
        <v>235891.69644010157</v>
      </c>
    </row>
    <row r="9" spans="1:19" x14ac:dyDescent="0.3">
      <c r="B9" s="74" t="s">
        <v>181</v>
      </c>
      <c r="C9" s="67">
        <f>TRUNC(IF(AND(TbTradesAlter[[#This Row],[Tipo]]="SEND",TbTradesAlter[[#This Row],[Par]]="BRL"),TbTradesAlter[[#This Row],[Qtt]]*(1-P8)-IF(TbTradesAlter[[#This Row],[Moeda da Taxa]]="BRL",TbTradesAlter[[#This Row],[Taxa]],0),0)+IF(AND(TbTradesAlter[[#This Row],[Tipo]]="BURN",TbTradesAlter[[#This Row],[Par]]="BRL"),-TbTradesAlter[[#This Row],[Qtt]]*P8,0),2)</f>
        <v>0</v>
      </c>
      <c r="D9" s="65">
        <v>44373.462673611109</v>
      </c>
      <c r="E9" s="77" t="s">
        <v>138</v>
      </c>
      <c r="F9" s="77" t="s">
        <v>139</v>
      </c>
      <c r="G9" s="96">
        <f>N8/TbTradesAlter[[#This Row],[Qtt]]</f>
        <v>154452.87642740199</v>
      </c>
      <c r="H9" s="78">
        <v>9.7117000000000004E-4</v>
      </c>
      <c r="I9" s="78">
        <v>0</v>
      </c>
      <c r="J9" s="77" t="s">
        <v>6</v>
      </c>
      <c r="K9" s="75">
        <v>1</v>
      </c>
      <c r="L9" s="67">
        <f>TRUNC(K9*G9,2)</f>
        <v>154452.87</v>
      </c>
      <c r="M9" s="67">
        <f>IF(OR(TbTradesAlter[[#This Row],[Tipo]]="BUY",TbTradesAlter[[#This Row],[Tipo]]="RECEIVE",TbTradesAlter[[#This Row],[Tipo]]="DROP"),L9*H9,-L9*H9)</f>
        <v>149.9999937579</v>
      </c>
      <c r="N9" s="68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Row],[Tipo]]="DROP"),N8+TbTradesAlter[[#This Row],[Qtt]],N8-TbTradesAlter[[#This Row],[Qtt]]),IF(TbTradesAlter[[#This Row],[Tipo]]="BUY",N8-TbTradesAlter[[#This Row],[Qtt]]*TbTradesAlter[[#This Row],[Preço]],N8+TbTradesAlter[[#This Row],[Qtt]]*TbTradesAlter[[#This Row],[Preço]])),N8)-IF(TbTradesAlter[[#This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Row],[Tipo]]="DROP"),N8+TbTradesAlter[[#This Row],[Qtt]],N8-TbTradesAlter[[#This Row],[Qtt]]),IF(TbTradesAlter[[#This Row],[Tipo]]="BUY",N8-TbTradesAlter[[#This Row],[Qtt]]*TbTradesAlter[[#This Row],[Preço]],N8+TbTradesAlter[[#This Row],[Qtt]]*TbTradesAlter[[#This Row],[Preço]])),N8)-IF(TbTradesAlter[[#This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Row],[Tipo]]="DROP"),N8+TbTradesAlter[[#This Row],[Qtt]],N8-TbTradesAlter[[#This Row],[Qtt]]),IF(TbTradesAlter[[#This Row],[Tipo]]="BUY",N8-TbTradesAlter[[#This Row],[Qtt]]*TbTradesAlter[[#This Row],[Preço]],N8+TbTradesAlter[[#This Row],[Qtt]]*TbTradesAlter[[#This Row],[Preço]])),N8)-IF(TbTradesAlter[[#This Row],[Moeda da Taxa]]=MID(N$1,9,5),TbTradesAlter[[#This Row],[Taxa]],0),8)))</f>
        <v>0</v>
      </c>
      <c r="O9" s="50" cm="1">
        <f t="array" ref="O9">IF(TbTradesAlter[[#This Row],[Tipo]]="EMPTY",0,O8+IF(TbTradesAlter[[#This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Row],[Par]]))),$1:$1,0)),-(N8-N9)/N8*O8),0),0)+IF(TbTradesAlter[[#This Row],[Tipo]]="SELL",IF(ISNUMBER(FIND(MID(O$1,10,5),TbTradesAlter[[#This Row],[Par]])),IF(FIND(MID(O$1,10,5),TbTradesAlter[[#This Row],[Par]])=1, -(N8-N9)/N8*O8,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Row],[Par]])),(-(N8-N9)/N8*O8)+IF(TbTradesAlter[[#This Row],[Resultado]]&gt;0,0,TbTradesAlter[[#This Row],[Taxa]]),0),0))</f>
        <v>0</v>
      </c>
      <c r="P9" s="41">
        <f t="shared" si="1"/>
        <v>0</v>
      </c>
      <c r="Q9" s="43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Row],[Tipo]]="DROP"),Q8+TbTradesAlter[[#This Row],[Qtt]],Q8-TbTradesAlter[[#This Row],[Qtt]]),IF(TbTradesAlter[[#This Row],[Tipo]]="BUY",Q8-TbTradesAlter[[#This Row],[Qtt]]*TbTradesAlter[[#This Row],[Preço]],Q8+TbTradesAlter[[#This Row],[Qtt]]*TbTradesAlter[[#This Row],[Preço]])),Q8)-IF(TbTradesAlter[[#This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Row],[Tipo]]="DROP"),Q8+TbTradesAlter[[#This Row],[Qtt]],Q8-TbTradesAlter[[#This Row],[Qtt]]),IF(TbTradesAlter[[#This Row],[Tipo]]="BUY",Q8-TbTradesAlter[[#This Row],[Qtt]]*TbTradesAlter[[#This Row],[Preço]],Q8+TbTradesAlter[[#This Row],[Qtt]]*TbTradesAlter[[#This Row],[Preço]])),Q8)-IF(TbTradesAlter[[#This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Row],[Tipo]]="DROP"),Q8+TbTradesAlter[[#This Row],[Qtt]],Q8-TbTradesAlter[[#This Row],[Qtt]]),IF(TbTradesAlter[[#This Row],[Tipo]]="BUY",Q8-TbTradesAlter[[#This Row],[Qtt]]*TbTradesAlter[[#This Row],[Preço]],Q8+TbTradesAlter[[#This Row],[Qtt]]*TbTradesAlter[[#This Row],[Preço]])),Q8)-IF(TbTradesAlter[[#This Row],[Moeda da Taxa]]=MID(Q$1,9,5),TbTradesAlter[[#This Row],[Taxa]],0),8)))</f>
        <v>1.4357899999999999E-3</v>
      </c>
      <c r="R9" s="50" cm="1">
        <f t="array" ref="R9">IF(TbTradesAlter[[#This Row],[Tipo]]="EMPTY",0,R8+IF(TbTradesAlter[[#This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Row],[Par]]))),$1:$1,0)),-(Q8-Q9)/Q8*R8),0),0)+IF(TbTradesAlter[[#This Row],[Tipo]]="SELL",IF(ISNUMBER(FIND(MID(R$1,10,5),TbTradesAlter[[#This Row],[Par]])),IF(FIND(MID(R$1,10,5),TbTradesAlter[[#This Row],[Par]])=1, -(Q8-Q9)/Q8*R8,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Row],[Par]])),(-(Q8-Q9)/Q8*R8)+IF(TbTradesAlter[[#This Row],[Resultado]]&gt;0,0,TbTradesAlter[[#This Row],[Taxa]]),0),0))</f>
        <v>259.60000000000002</v>
      </c>
      <c r="S9" s="41">
        <f t="shared" si="2"/>
        <v>180806.38533490276</v>
      </c>
    </row>
    <row r="10" spans="1:19" x14ac:dyDescent="0.3">
      <c r="B10" s="74"/>
      <c r="C10" s="67">
        <f>TRUNC(IF(AND(TbTradesAlter[[#This Row],[Tipo]]="SEND",TbTradesAlter[[#This Row],[Par]]="BRL"),TbTradesAlter[[#This Row],[Qtt]]*(1-P9)-IF(TbTradesAlter[[#This Row],[Moeda da Taxa]]="BRL",TbTradesAlter[[#This Row],[Taxa]],0),0)+IF(AND(TbTradesAlter[[#This Row],[Tipo]]="BURN",TbTradesAlter[[#This Row],[Par]]="BRL"),-TbTradesAlter[[#This Row],[Qtt]]*P9,0),2)</f>
        <v>0</v>
      </c>
      <c r="D10" s="65">
        <v>44410.629166666666</v>
      </c>
      <c r="E10" s="77" t="s">
        <v>50</v>
      </c>
      <c r="F10" s="77" t="s">
        <v>137</v>
      </c>
      <c r="G10" s="96">
        <v>1</v>
      </c>
      <c r="H10" s="78">
        <v>100</v>
      </c>
      <c r="I10" s="78">
        <v>0</v>
      </c>
      <c r="J10" s="77" t="s">
        <v>50</v>
      </c>
      <c r="K10" s="75">
        <v>1</v>
      </c>
      <c r="L10" s="67">
        <f>TRUNC(K10*G10,2)</f>
        <v>1</v>
      </c>
      <c r="M10" s="67">
        <f>IF(OR(TbTradesAlter[[#This Row],[Tipo]]="BUY",TbTradesAlter[[#This Row],[Tipo]]="RECEIVE",TbTradesAlter[[#This Row],[Tipo]]="DROP"),L10*H10,-L10*H10)</f>
        <v>100</v>
      </c>
      <c r="N10" s="68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Row],[Tipo]]="DROP"),N9+TbTradesAlter[[#This Row],[Qtt]],N9-TbTradesAlter[[#This Row],[Qtt]]),IF(TbTradesAlter[[#This Row],[Tipo]]="BUY",N9-TbTradesAlter[[#This Row],[Qtt]]*TbTradesAlter[[#This Row],[Preço]],N9+TbTradesAlter[[#This Row],[Qtt]]*TbTradesAlter[[#This Row],[Preço]])),N9)-IF(TbTradesAlter[[#This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Row],[Tipo]]="DROP"),N9+TbTradesAlter[[#This Row],[Qtt]],N9-TbTradesAlter[[#This Row],[Qtt]]),IF(TbTradesAlter[[#This Row],[Tipo]]="BUY",N9-TbTradesAlter[[#This Row],[Qtt]]*TbTradesAlter[[#This Row],[Preço]],N9+TbTradesAlter[[#This Row],[Qtt]]*TbTradesAlter[[#This Row],[Preço]])),N9)-IF(TbTradesAlter[[#This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Row],[Tipo]]="DROP"),N9+TbTradesAlter[[#This Row],[Qtt]],N9-TbTradesAlter[[#This Row],[Qtt]]),IF(TbTradesAlter[[#This Row],[Tipo]]="BUY",N9-TbTradesAlter[[#This Row],[Qtt]]*TbTradesAlter[[#This Row],[Preço]],N9+TbTradesAlter[[#This Row],[Qtt]]*TbTradesAlter[[#This Row],[Preço]])),N9)-IF(TbTradesAlter[[#This Row],[Moeda da Taxa]]=MID(N$1,9,5),TbTradesAlter[[#This Row],[Taxa]],0),8)))</f>
        <v>100</v>
      </c>
      <c r="O10" s="50" cm="1">
        <f t="array" ref="O10">IF(TbTradesAlter[[#This Row],[Tipo]]="EMPTY",0,O9+IF(TbTradesAlter[[#This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Row],[Par]]))),$1:$1,0)),-(N9-N10)/N9*O9),0),0)+IF(TbTradesAlter[[#This Row],[Tipo]]="SELL",IF(ISNUMBER(FIND(MID(O$1,10,5),TbTradesAlter[[#This Row],[Par]])),IF(FIND(MID(O$1,10,5),TbTradesAlter[[#This Row],[Par]])=1, -(N9-N10)/N9*O9,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Row],[Par]])),(-(N9-N10)/N9*O9)+IF(TbTradesAlter[[#This Row],[Resultado]]&gt;0,0,TbTradesAlter[[#This Row],[Taxa]]),0),0))</f>
        <v>100</v>
      </c>
      <c r="P10" s="41">
        <f>IF(N10=0,0,O10/N10)</f>
        <v>1</v>
      </c>
      <c r="Q10" s="43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Row],[Tipo]]="DROP"),Q9+TbTradesAlter[[#This Row],[Qtt]],Q9-TbTradesAlter[[#This Row],[Qtt]]),IF(TbTradesAlter[[#This Row],[Tipo]]="BUY",Q9-TbTradesAlter[[#This Row],[Qtt]]*TbTradesAlter[[#This Row],[Preço]],Q9+TbTradesAlter[[#This Row],[Qtt]]*TbTradesAlter[[#This Row],[Preço]])),Q9)-IF(TbTradesAlter[[#This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Row],[Tipo]]="DROP"),Q9+TbTradesAlter[[#This Row],[Qtt]],Q9-TbTradesAlter[[#This Row],[Qtt]]),IF(TbTradesAlter[[#This Row],[Tipo]]="BUY",Q9-TbTradesAlter[[#This Row],[Qtt]]*TbTradesAlter[[#This Row],[Preço]],Q9+TbTradesAlter[[#This Row],[Qtt]]*TbTradesAlter[[#This Row],[Preço]])),Q9)-IF(TbTradesAlter[[#This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Row],[Tipo]]="DROP"),Q9+TbTradesAlter[[#This Row],[Qtt]],Q9-TbTradesAlter[[#This Row],[Qtt]]),IF(TbTradesAlter[[#This Row],[Tipo]]="BUY",Q9-TbTradesAlter[[#This Row],[Qtt]]*TbTradesAlter[[#This Row],[Preço]],Q9+TbTradesAlter[[#This Row],[Qtt]]*TbTradesAlter[[#This Row],[Preço]])),Q9)-IF(TbTradesAlter[[#This Row],[Moeda da Taxa]]=MID(Q$1,9,5),TbTradesAlter[[#This Row],[Taxa]],0),8)))</f>
        <v>1.4357899999999999E-3</v>
      </c>
      <c r="R10" s="50" cm="1">
        <f t="array" ref="R10">IF(TbTradesAlter[[#This Row],[Tipo]]="EMPTY",0,R9+IF(TbTradesAlter[[#This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Row],[Par]]))),$1:$1,0)),-(Q9-Q10)/Q9*R9),0),0)+IF(TbTradesAlter[[#This Row],[Tipo]]="SELL",IF(ISNUMBER(FIND(MID(R$1,10,5),TbTradesAlter[[#This Row],[Par]])),IF(FIND(MID(R$1,10,5),TbTradesAlter[[#This Row],[Par]])=1, -(Q9-Q10)/Q9*R9,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Row],[Par]])),(-(Q9-Q10)/Q9*R9)+IF(TbTradesAlter[[#This Row],[Resultado]]&gt;0,0,TbTradesAlter[[#This Row],[Taxa]]),0),0))</f>
        <v>259.60000000000002</v>
      </c>
      <c r="S10" s="41">
        <f>IF(Q10=0,0,R10/Q10)</f>
        <v>180806.38533490276</v>
      </c>
    </row>
    <row r="11" spans="1:19" x14ac:dyDescent="0.3">
      <c r="B11" s="74"/>
      <c r="C11" s="67">
        <f>TRUNC(IF(AND(TbTradesAlter[[#This Row],[Tipo]]="SEND",TbTradesAlter[[#This Row],[Par]]="BRL"),TbTradesAlter[[#This Row],[Qtt]]*(1-P10)-IF(TbTradesAlter[[#This Row],[Moeda da Taxa]]="BRL",TbTradesAlter[[#This Row],[Taxa]],0),0)+IF(AND(TbTradesAlter[[#This Row],[Tipo]]="BURN",TbTradesAlter[[#This Row],[Par]]="BRL"),-TbTradesAlter[[#This Row],[Qtt]]*P10,0),2)</f>
        <v>0</v>
      </c>
      <c r="D11" s="65">
        <v>44422.424305555556</v>
      </c>
      <c r="E11" s="77" t="s">
        <v>138</v>
      </c>
      <c r="F11" s="77" t="s">
        <v>139</v>
      </c>
      <c r="G11" s="96">
        <f>100/TbTradesAlter[[#This Row],[Qtt]]</f>
        <v>246202.32907403301</v>
      </c>
      <c r="H11" s="78">
        <v>4.0617000000000002E-4</v>
      </c>
      <c r="I11" s="78">
        <v>0</v>
      </c>
      <c r="J11" s="77" t="s">
        <v>6</v>
      </c>
      <c r="K11" s="75">
        <v>1</v>
      </c>
      <c r="L11" s="67">
        <f>TRUNC(K11*G11,2)</f>
        <v>246202.32</v>
      </c>
      <c r="M11" s="67">
        <f>IF(OR(TbTradesAlter[[#This Row],[Tipo]]="BUY",TbTradesAlter[[#This Row],[Tipo]]="RECEIVE",TbTradesAlter[[#This Row],[Tipo]]="DROP"),L11*H11,-L11*H11)</f>
        <v>99.999996314400008</v>
      </c>
      <c r="N11" s="68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Row],[Tipo]]="DROP"),N10+TbTradesAlter[[#This Row],[Qtt]],N10-TbTradesAlter[[#This Row],[Qtt]]),IF(TbTradesAlter[[#This Row],[Tipo]]="BUY",N10-TbTradesAlter[[#This Row],[Qtt]]*TbTradesAlter[[#This Row],[Preço]],N10+TbTradesAlter[[#This Row],[Qtt]]*TbTradesAlter[[#This Row],[Preço]])),N10)-IF(TbTradesAlter[[#This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Row],[Tipo]]="DROP"),N10+TbTradesAlter[[#This Row],[Qtt]],N10-TbTradesAlter[[#This Row],[Qtt]]),IF(TbTradesAlter[[#This Row],[Tipo]]="BUY",N10-TbTradesAlter[[#This Row],[Qtt]]*TbTradesAlter[[#This Row],[Preço]],N10+TbTradesAlter[[#This Row],[Qtt]]*TbTradesAlter[[#This Row],[Preço]])),N10)-IF(TbTradesAlter[[#This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Row],[Tipo]]="DROP"),N10+TbTradesAlter[[#This Row],[Qtt]],N10-TbTradesAlter[[#This Row],[Qtt]]),IF(TbTradesAlter[[#This Row],[Tipo]]="BUY",N10-TbTradesAlter[[#This Row],[Qtt]]*TbTradesAlter[[#This Row],[Preço]],N10+TbTradesAlter[[#This Row],[Qtt]]*TbTradesAlter[[#This Row],[Preço]])),N10)-IF(TbTradesAlter[[#This Row],[Moeda da Taxa]]=MID(N$1,9,5),TbTradesAlter[[#This Row],[Taxa]],0),8)))</f>
        <v>0</v>
      </c>
      <c r="O11" s="50" cm="1">
        <f t="array" ref="O11">IF(TbTradesAlter[[#This Row],[Tipo]]="EMPTY",0,O10+IF(TbTradesAlter[[#This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Row],[Par]]))),$1:$1,0)),-(N10-N11)/N10*O10),0),0)+IF(TbTradesAlter[[#This Row],[Tipo]]="SELL",IF(ISNUMBER(FIND(MID(O$1,10,5),TbTradesAlter[[#This Row],[Par]])),IF(FIND(MID(O$1,10,5),TbTradesAlter[[#This Row],[Par]])=1, -(N10-N11)/N10*O10,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Row],[Par]])),(-(N10-N11)/N10*O10)+IF(TbTradesAlter[[#This Row],[Resultado]]&gt;0,0,TbTradesAlter[[#This Row],[Taxa]]),0),0))</f>
        <v>0</v>
      </c>
      <c r="P11" s="41">
        <f>IF(N11=0,0,O11/N11)</f>
        <v>0</v>
      </c>
      <c r="Q11" s="43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Row],[Tipo]]="DROP"),Q10+TbTradesAlter[[#This Row],[Qtt]],Q10-TbTradesAlter[[#This Row],[Qtt]]),IF(TbTradesAlter[[#This Row],[Tipo]]="BUY",Q10-TbTradesAlter[[#This Row],[Qtt]]*TbTradesAlter[[#This Row],[Preço]],Q10+TbTradesAlter[[#This Row],[Qtt]]*TbTradesAlter[[#This Row],[Preço]])),Q10)-IF(TbTradesAlter[[#This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Row],[Tipo]]="DROP"),Q10+TbTradesAlter[[#This Row],[Qtt]],Q10-TbTradesAlter[[#This Row],[Qtt]]),IF(TbTradesAlter[[#This Row],[Tipo]]="BUY",Q10-TbTradesAlter[[#This Row],[Qtt]]*TbTradesAlter[[#This Row],[Preço]],Q10+TbTradesAlter[[#This Row],[Qtt]]*TbTradesAlter[[#This Row],[Preço]])),Q10)-IF(TbTradesAlter[[#This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Row],[Tipo]]="DROP"),Q10+TbTradesAlter[[#This Row],[Qtt]],Q10-TbTradesAlter[[#This Row],[Qtt]]),IF(TbTradesAlter[[#This Row],[Tipo]]="BUY",Q10-TbTradesAlter[[#This Row],[Qtt]]*TbTradesAlter[[#This Row],[Preço]],Q10+TbTradesAlter[[#This Row],[Qtt]]*TbTradesAlter[[#This Row],[Preço]])),Q10)-IF(TbTradesAlter[[#This Row],[Moeda da Taxa]]=MID(Q$1,9,5),TbTradesAlter[[#This Row],[Taxa]],0),8)))</f>
        <v>1.8419599999999999E-3</v>
      </c>
      <c r="R11" s="50" cm="1">
        <f t="array" ref="R11">IF(TbTradesAlter[[#This Row],[Tipo]]="EMPTY",0,R10+IF(TbTradesAlter[[#This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Row],[Par]]))),$1:$1,0)),-(Q10-Q11)/Q10*R10),0),0)+IF(TbTradesAlter[[#This Row],[Tipo]]="SELL",IF(ISNUMBER(FIND(MID(R$1,10,5),TbTradesAlter[[#This Row],[Par]])),IF(FIND(MID(R$1,10,5),TbTradesAlter[[#This Row],[Par]])=1, -(Q10-Q11)/Q10*R10,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Row],[Par]])),(-(Q10-Q11)/Q10*R10)+IF(TbTradesAlter[[#This Row],[Resultado]]&gt;0,0,TbTradesAlter[[#This Row],[Taxa]]),0),0))</f>
        <v>359.6</v>
      </c>
      <c r="S11" s="41">
        <f>IF(Q11=0,0,R11/Q11)</f>
        <v>195226.82360094684</v>
      </c>
    </row>
    <row r="12" spans="1:19" x14ac:dyDescent="0.3">
      <c r="B12" s="91" t="s">
        <v>149</v>
      </c>
      <c r="C12" s="158">
        <f>SUBTOTAL(109,TbTradesAlter[Resultado])</f>
        <v>0</v>
      </c>
      <c r="D12" s="80"/>
      <c r="E12" s="80"/>
      <c r="F12" s="80"/>
      <c r="G12" s="80"/>
      <c r="H12" s="80"/>
      <c r="I12" s="80"/>
      <c r="J12" s="80"/>
      <c r="K12" s="81"/>
      <c r="L12" s="82"/>
      <c r="M12" s="83">
        <f>SUBTOTAL(107,TbTradesAlter[Volume])</f>
        <v>52.922283653170375</v>
      </c>
      <c r="N12" s="123"/>
      <c r="O12" s="54"/>
      <c r="P12" s="54"/>
      <c r="Q12" s="63"/>
      <c r="R12" s="54"/>
      <c r="S12" s="59"/>
    </row>
    <row r="13" spans="1:19" x14ac:dyDescent="0.3">
      <c r="B13" s="61" t="s">
        <v>74</v>
      </c>
    </row>
    <row r="14" spans="1:19" x14ac:dyDescent="0.3">
      <c r="B14" s="119" t="s">
        <v>90</v>
      </c>
    </row>
    <row r="15" spans="1:19" x14ac:dyDescent="0.3">
      <c r="L15" s="97"/>
    </row>
    <row r="16" spans="1:19" x14ac:dyDescent="0.3">
      <c r="L16" s="98"/>
    </row>
    <row r="37" ht="13.95" customHeight="1" x14ac:dyDescent="0.3"/>
  </sheetData>
  <conditionalFormatting sqref="C2:C11">
    <cfRule type="cellIs" dxfId="1702" priority="13" operator="greaterThan">
      <formula>0</formula>
    </cfRule>
    <cfRule type="cellIs" dxfId="1701" priority="14" operator="lessThan">
      <formula>0</formula>
    </cfRule>
  </conditionalFormatting>
  <conditionalFormatting sqref="D3:D11">
    <cfRule type="cellIs" dxfId="1700" priority="12" operator="lessThan">
      <formula>$D$2</formula>
    </cfRule>
  </conditionalFormatting>
  <conditionalFormatting sqref="F1:F11">
    <cfRule type="containsText" dxfId="1699" priority="7" operator="containsText" text="DROP">
      <formula>NOT(ISERROR(SEARCH("DROP",F1)))</formula>
    </cfRule>
    <cfRule type="containsText" dxfId="1698" priority="10" operator="containsText" text="SELL">
      <formula>NOT(ISERROR(SEARCH("SELL",F1)))</formula>
    </cfRule>
    <cfRule type="containsText" dxfId="1697" priority="11" operator="containsText" text="BUY">
      <formula>NOT(ISERROR(SEARCH("BUY",F1)))</formula>
    </cfRule>
  </conditionalFormatting>
  <conditionalFormatting sqref="F2:F11">
    <cfRule type="containsText" dxfId="1696" priority="8" operator="containsText" text="RECEIVE">
      <formula>NOT(ISERROR(SEARCH("RECEIVE",F2)))</formula>
    </cfRule>
    <cfRule type="containsText" dxfId="1695" priority="9" operator="containsText" text="SEND">
      <formula>NOT(ISERROR(SEARCH("SEND",F2)))</formula>
    </cfRule>
  </conditionalFormatting>
  <conditionalFormatting sqref="M2:M11">
    <cfRule type="cellIs" dxfId="1694" priority="5" operator="greaterThan">
      <formula>0</formula>
    </cfRule>
    <cfRule type="cellIs" dxfId="1693" priority="6" operator="lessThan">
      <formula>0</formula>
    </cfRule>
  </conditionalFormatting>
  <conditionalFormatting sqref="P2:P11">
    <cfRule type="expression" dxfId="1692" priority="3">
      <formula>P2&gt;P1</formula>
    </cfRule>
    <cfRule type="expression" dxfId="1691" priority="4">
      <formula>P2&lt;P1</formula>
    </cfRule>
  </conditionalFormatting>
  <conditionalFormatting sqref="S2:S11">
    <cfRule type="expression" dxfId="1690" priority="1">
      <formula>S2&gt;S1</formula>
    </cfRule>
    <cfRule type="expression" dxfId="1689" priority="2">
      <formula>S2&lt;S1</formula>
    </cfRule>
  </conditionalFormatting>
  <hyperlinks>
    <hyperlink ref="A1" location="Sumário!A1" display="SUMÁRIO" xr:uid="{5999BE2D-BC03-4EC3-B502-54146E93D943}"/>
    <hyperlink ref="B13" location="Sumário!A1" display="SUMÁRIO" xr:uid="{732C9FA6-20BD-4362-A9F1-A41D664C73F1}"/>
    <hyperlink ref="A2" location="'ARCA Alter'!A1" display="ARCA" xr:uid="{CAE0FA29-5B71-43E7-9A08-D186BBAC7A17}"/>
    <hyperlink ref="B14" location="'ARCA Alter'!A1" display="ARCA" xr:uid="{D034108E-31A5-4A04-B33D-51D1C22F025C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D4B47-473B-4234-AFC0-1672D40B2941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IF(A1="SUMÁRIO",TbCRFF11_DT[[#This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IF(A2="SUMÁRIO",TbCRFF11_DT[[#This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  <c r="L4" s="127"/>
    </row>
    <row r="5" spans="1:13" x14ac:dyDescent="0.3">
      <c r="I5" s="137"/>
      <c r="L5" s="127"/>
    </row>
    <row r="6" spans="1:13" x14ac:dyDescent="0.3">
      <c r="I6" s="137"/>
      <c r="L6" s="127"/>
    </row>
    <row r="7" spans="1:13" x14ac:dyDescent="0.3">
      <c r="I7" s="137"/>
      <c r="L7" s="127"/>
    </row>
    <row r="8" spans="1:13" x14ac:dyDescent="0.3">
      <c r="I8" s="137"/>
      <c r="L8" s="127"/>
      <c r="M8" s="64"/>
    </row>
    <row r="9" spans="1:13" x14ac:dyDescent="0.3">
      <c r="I9" s="137"/>
      <c r="L9" s="127"/>
      <c r="M9" s="64"/>
    </row>
    <row r="10" spans="1:13" x14ac:dyDescent="0.3">
      <c r="I10" s="137"/>
      <c r="L10" s="127"/>
      <c r="M10" s="64"/>
    </row>
  </sheetData>
  <conditionalFormatting sqref="B1:B1048576">
    <cfRule type="cellIs" dxfId="1688" priority="31" operator="lessThan">
      <formula>$B$2</formula>
    </cfRule>
  </conditionalFormatting>
  <conditionalFormatting sqref="L3:L10">
    <cfRule type="containsText" dxfId="1687" priority="1" operator="containsText" text="Não">
      <formula>NOT(ISERROR(SEARCH("Não",L3)))</formula>
    </cfRule>
    <cfRule type="containsText" dxfId="1686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685" priority="5" operator="containsText" text="Não">
      <formula>NOT(ISERROR(SEARCH("Não",L3)))</formula>
    </cfRule>
    <cfRule type="containsText" dxfId="1684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683" priority="8" operator="containsText" text="&quot;&quot;">
      <formula>NOT(ISERROR(SEARCH("""""",L3)))</formula>
    </cfRule>
    <cfRule type="cellIs" dxfId="1682" priority="9" operator="equal">
      <formula>"""Não aplicável"""</formula>
    </cfRule>
    <cfRule type="cellIs" dxfId="1681" priority="10" operator="equal">
      <formula>""""""</formula>
    </cfRule>
    <cfRule type="containsText" dxfId="1680" priority="11" operator="containsText" text="Não">
      <formula>NOT(ISERROR(SEARCH("Não",L3)))</formula>
    </cfRule>
    <cfRule type="containsText" dxfId="1679" priority="12" operator="containsText" text="Não">
      <formula>NOT(ISERROR(SEARCH("Não",L3)))</formula>
    </cfRule>
    <cfRule type="containsText" dxfId="1678" priority="14" operator="containsText" text="Não">
      <formula>NOT(ISERROR(SEARCH("Não",L3)))</formula>
    </cfRule>
    <cfRule type="containsText" dxfId="1677" priority="15" operator="containsText" text="&quot;Não aplicável&quot;">
      <formula>NOT(ISERROR(SEARCH("""Não aplicável""",L3)))</formula>
    </cfRule>
    <cfRule type="containsText" dxfId="1676" priority="17" operator="containsText" text="&quot;&quot;">
      <formula>NOT(ISERROR(SEARCH("""""",L3)))</formula>
    </cfRule>
    <cfRule type="cellIs" dxfId="1675" priority="18" operator="equal">
      <formula>"""Não aplicável"""</formula>
    </cfRule>
    <cfRule type="cellIs" dxfId="1674" priority="19" operator="equal">
      <formula>""""""</formula>
    </cfRule>
    <cfRule type="containsText" dxfId="1673" priority="20" operator="containsText" text="Não">
      <formula>NOT(ISERROR(SEARCH("Não",L3)))</formula>
    </cfRule>
    <cfRule type="containsText" dxfId="1672" priority="22" operator="containsText" text="Não">
      <formula>NOT(ISERROR(SEARCH("Não",L3)))</formula>
    </cfRule>
    <cfRule type="containsText" dxfId="1671" priority="23" operator="containsText" text="&quot;Não aplicável&quot;">
      <formula>NOT(ISERROR(SEARCH("""Não aplicável""",L3)))</formula>
    </cfRule>
    <cfRule type="containsText" dxfId="1670" priority="25" operator="containsText" text="&quot;&quot;">
      <formula>NOT(ISERROR(SEARCH("""""",L3)))</formula>
    </cfRule>
    <cfRule type="cellIs" dxfId="1669" priority="26" operator="equal">
      <formula>"""Não aplicável"""</formula>
    </cfRule>
    <cfRule type="cellIs" dxfId="1668" priority="27" operator="equal">
      <formula>""""""</formula>
    </cfRule>
    <cfRule type="cellIs" dxfId="1667" priority="28" operator="equal">
      <formula>""""""</formula>
    </cfRule>
    <cfRule type="cellIs" dxfId="1666" priority="29" operator="lessThan">
      <formula>0</formula>
    </cfRule>
    <cfRule type="cellIs" dxfId="1665" priority="30" operator="greaterThan">
      <formula>0</formula>
    </cfRule>
  </conditionalFormatting>
  <hyperlinks>
    <hyperlink ref="A1" location="Sumário!A1" display="SUMÁRIO" xr:uid="{6F951C10-369A-468B-845B-C9CBE9C87E97}"/>
    <hyperlink ref="A2" location="'Resumo DT Bolsa'!A1" display="Resumo DT" xr:uid="{68EF7986-D8C5-4847-B28A-BC9C9C4A45C9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8EEE1-559B-4C9E-9440-AA28A74CD8DD}">
  <dimension ref="A1:M9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43948</v>
      </c>
      <c r="C2" s="35">
        <v>1</v>
      </c>
      <c r="D2" s="5"/>
      <c r="E2" s="136">
        <v>80</v>
      </c>
      <c r="F2" s="136">
        <v>0</v>
      </c>
      <c r="G2" s="111">
        <f>IF(A1="SUMÁRIO",TbCRFF11_ST[[#This Row],[Qtt Compra]],IF(G1+C2-D2&lt;0, "ERRO", G1+C2-D2))</f>
        <v>1</v>
      </c>
      <c r="H2" s="137">
        <f t="shared" ref="H2:H3" si="0">IF(AND(TRUNC((C2+D2)*E2*0.03%,2)=0,OR(C2&gt;0,D2&gt;0)),0.01,ROUNDUP((C2+D2)*E2*0.03%,2))</f>
        <v>0.03</v>
      </c>
      <c r="I2" s="137">
        <f>F2+H2</f>
        <v>0.03</v>
      </c>
      <c r="J2" s="15">
        <f t="shared" ref="J2:J3" si="1">IF(A1="SUMÁRIO",E2*C2+I2,J1+IF(C2&gt;0,I2+C2*E2,-D2*K1))</f>
        <v>80.03</v>
      </c>
      <c r="K2" s="15">
        <f t="shared" ref="K2:K3" si="2">IF(G2=0,0,J2/G2)</f>
        <v>80.03</v>
      </c>
      <c r="L2" s="116"/>
      <c r="M2" s="77" t="s">
        <v>201</v>
      </c>
    </row>
    <row r="3" spans="1:13" x14ac:dyDescent="0.3">
      <c r="G3" s="111">
        <f>IF(A2="SUMÁRIO",TbCRFF11_ST[[#This Row],[Qtt Compra]],IF(G2+C3-D3&lt;0, "ERRO", G2+C3-D3))</f>
        <v>1</v>
      </c>
      <c r="H3" s="137">
        <f t="shared" si="0"/>
        <v>0</v>
      </c>
      <c r="I3" s="137">
        <f t="shared" ref="I3" si="3">F3+H3</f>
        <v>0</v>
      </c>
      <c r="J3" s="15">
        <f t="shared" si="1"/>
        <v>80.03</v>
      </c>
      <c r="K3" s="15">
        <f t="shared" si="2"/>
        <v>80.03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M7" s="64"/>
    </row>
    <row r="8" spans="1:13" x14ac:dyDescent="0.3">
      <c r="M8" s="64"/>
    </row>
    <row r="9" spans="1:13" x14ac:dyDescent="0.3">
      <c r="M9" s="64"/>
    </row>
  </sheetData>
  <conditionalFormatting sqref="L3">
    <cfRule type="containsText" dxfId="1664" priority="1" operator="containsText" text="Não">
      <formula>NOT(ISERROR(SEARCH("Não",L3)))</formula>
    </cfRule>
    <cfRule type="cellIs" dxfId="1663" priority="27" operator="equal">
      <formula>""""""</formula>
    </cfRule>
    <cfRule type="containsText" dxfId="1662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661" priority="5" operator="containsText" text="Não">
      <formula>NOT(ISERROR(SEARCH("Não",L3)))</formula>
    </cfRule>
    <cfRule type="containsText" dxfId="1660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659" priority="8" operator="containsText" text="&quot;&quot;">
      <formula>NOT(ISERROR(SEARCH("""""",L3)))</formula>
    </cfRule>
    <cfRule type="cellIs" dxfId="1658" priority="9" operator="equal">
      <formula>"""Não aplicável"""</formula>
    </cfRule>
    <cfRule type="cellIs" dxfId="1657" priority="10" operator="equal">
      <formula>""""""</formula>
    </cfRule>
    <cfRule type="containsText" dxfId="1656" priority="11" operator="containsText" text="Não">
      <formula>NOT(ISERROR(SEARCH("Não",L3)))</formula>
    </cfRule>
    <cfRule type="containsText" dxfId="1655" priority="12" operator="containsText" text="Não">
      <formula>NOT(ISERROR(SEARCH("Não",L3)))</formula>
    </cfRule>
    <cfRule type="cellIs" dxfId="1654" priority="28" operator="equal">
      <formula>""""""</formula>
    </cfRule>
    <cfRule type="containsText" dxfId="1653" priority="14" operator="containsText" text="Não">
      <formula>NOT(ISERROR(SEARCH("Não",L3)))</formula>
    </cfRule>
    <cfRule type="containsText" dxfId="1652" priority="15" operator="containsText" text="&quot;Não aplicável&quot;">
      <formula>NOT(ISERROR(SEARCH("""Não aplicável""",L3)))</formula>
    </cfRule>
    <cfRule type="cellIs" dxfId="1651" priority="29" operator="lessThan">
      <formula>0</formula>
    </cfRule>
    <cfRule type="containsText" dxfId="1650" priority="17" operator="containsText" text="&quot;&quot;">
      <formula>NOT(ISERROR(SEARCH("""""",L3)))</formula>
    </cfRule>
    <cfRule type="cellIs" dxfId="1649" priority="18" operator="equal">
      <formula>"""Não aplicável"""</formula>
    </cfRule>
    <cfRule type="cellIs" dxfId="1648" priority="19" operator="equal">
      <formula>""""""</formula>
    </cfRule>
    <cfRule type="containsText" dxfId="1647" priority="20" operator="containsText" text="Não">
      <formula>NOT(ISERROR(SEARCH("Não",L3)))</formula>
    </cfRule>
    <cfRule type="cellIs" dxfId="1646" priority="30" operator="greaterThan">
      <formula>0</formula>
    </cfRule>
    <cfRule type="containsText" dxfId="1645" priority="22" operator="containsText" text="Não">
      <formula>NOT(ISERROR(SEARCH("Não",L3)))</formula>
    </cfRule>
    <cfRule type="containsText" dxfId="1644" priority="23" operator="containsText" text="&quot;Não aplicável&quot;">
      <formula>NOT(ISERROR(SEARCH("""Não aplicável""",L3)))</formula>
    </cfRule>
    <cfRule type="containsText" dxfId="1643" priority="25" operator="containsText" text="&quot;&quot;">
      <formula>NOT(ISERROR(SEARCH("""""",L3)))</formula>
    </cfRule>
    <cfRule type="cellIs" dxfId="1642" priority="26" operator="equal">
      <formula>"""Não aplicável"""</formula>
    </cfRule>
  </conditionalFormatting>
  <conditionalFormatting sqref="L4:L5">
    <cfRule type="containsText" dxfId="1641" priority="32" operator="containsText" text="Não">
      <formula>NOT(ISERROR(SEARCH("Não",L4)))</formula>
    </cfRule>
    <cfRule type="containsText" dxfId="1640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639" priority="36" operator="containsText" text="Não">
      <formula>NOT(ISERROR(SEARCH("Não",L4)))</formula>
    </cfRule>
    <cfRule type="containsText" dxfId="1638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637" priority="39" operator="containsText" text="&quot;&quot;">
      <formula>NOT(ISERROR(SEARCH("""""",L4)))</formula>
    </cfRule>
    <cfRule type="cellIs" dxfId="1636" priority="40" operator="equal">
      <formula>"""Não aplicável"""</formula>
    </cfRule>
    <cfRule type="cellIs" dxfId="1635" priority="41" operator="equal">
      <formula>""""""</formula>
    </cfRule>
    <cfRule type="cellIs" dxfId="1634" priority="42" operator="equal">
      <formula>""""""</formula>
    </cfRule>
    <cfRule type="cellIs" dxfId="1633" priority="43" operator="lessThan">
      <formula>0</formula>
    </cfRule>
    <cfRule type="cellIs" dxfId="1632" priority="44" operator="greaterThan">
      <formula>0</formula>
    </cfRule>
  </conditionalFormatting>
  <hyperlinks>
    <hyperlink ref="A1" location="Sumário!A1" display="SUMÁRIO" xr:uid="{D64A13C6-88E4-473A-92BA-C2B123F14919}"/>
    <hyperlink ref="A2" location="'Resumo ST Bolsa'!A1" display="Resumo ST" xr:uid="{F8BF60DA-0673-4ECB-99B5-23CA7125DF61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4A1EE-78AF-4954-8204-79A6D95C6424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IF(A1="SUMÁRIO",TbHGLG11_DT[[#This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IF(A2="SUMÁRIO",TbHGLG11_DT[[#This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8" spans="1:13" x14ac:dyDescent="0.3">
      <c r="M8" s="64"/>
    </row>
    <row r="9" spans="1:13" x14ac:dyDescent="0.3">
      <c r="M9" s="64"/>
    </row>
    <row r="10" spans="1:13" x14ac:dyDescent="0.3">
      <c r="M10" s="64"/>
    </row>
  </sheetData>
  <conditionalFormatting sqref="B1:B1048576">
    <cfRule type="cellIs" dxfId="1631" priority="31" operator="lessThan">
      <formula>$B$2</formula>
    </cfRule>
  </conditionalFormatting>
  <conditionalFormatting sqref="L3">
    <cfRule type="containsText" dxfId="1630" priority="1" operator="containsText" text="Não">
      <formula>NOT(ISERROR(SEARCH("Não",L3)))</formula>
    </cfRule>
    <cfRule type="cellIs" dxfId="1629" priority="27" operator="equal">
      <formula>""""""</formula>
    </cfRule>
    <cfRule type="containsText" dxfId="1628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627" priority="5" operator="containsText" text="Não">
      <formula>NOT(ISERROR(SEARCH("Não",L3)))</formula>
    </cfRule>
    <cfRule type="containsText" dxfId="1626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625" priority="8" operator="containsText" text="&quot;&quot;">
      <formula>NOT(ISERROR(SEARCH("""""",L3)))</formula>
    </cfRule>
    <cfRule type="cellIs" dxfId="1624" priority="9" operator="equal">
      <formula>"""Não aplicável"""</formula>
    </cfRule>
    <cfRule type="cellIs" dxfId="1623" priority="10" operator="equal">
      <formula>""""""</formula>
    </cfRule>
    <cfRule type="containsText" dxfId="1622" priority="11" operator="containsText" text="Não">
      <formula>NOT(ISERROR(SEARCH("Não",L3)))</formula>
    </cfRule>
    <cfRule type="containsText" dxfId="1621" priority="12" operator="containsText" text="Não">
      <formula>NOT(ISERROR(SEARCH("Não",L3)))</formula>
    </cfRule>
    <cfRule type="cellIs" dxfId="1620" priority="28" operator="equal">
      <formula>""""""</formula>
    </cfRule>
    <cfRule type="containsText" dxfId="1619" priority="14" operator="containsText" text="Não">
      <formula>NOT(ISERROR(SEARCH("Não",L3)))</formula>
    </cfRule>
    <cfRule type="containsText" dxfId="1618" priority="15" operator="containsText" text="&quot;Não aplicável&quot;">
      <formula>NOT(ISERROR(SEARCH("""Não aplicável""",L3)))</formula>
    </cfRule>
    <cfRule type="cellIs" dxfId="1617" priority="29" operator="lessThan">
      <formula>0</formula>
    </cfRule>
    <cfRule type="containsText" dxfId="1616" priority="17" operator="containsText" text="&quot;&quot;">
      <formula>NOT(ISERROR(SEARCH("""""",L3)))</formula>
    </cfRule>
    <cfRule type="cellIs" dxfId="1615" priority="18" operator="equal">
      <formula>"""Não aplicável"""</formula>
    </cfRule>
    <cfRule type="cellIs" dxfId="1614" priority="19" operator="equal">
      <formula>""""""</formula>
    </cfRule>
    <cfRule type="containsText" dxfId="1613" priority="20" operator="containsText" text="Não">
      <formula>NOT(ISERROR(SEARCH("Não",L3)))</formula>
    </cfRule>
    <cfRule type="cellIs" dxfId="1612" priority="30" operator="greaterThan">
      <formula>0</formula>
    </cfRule>
    <cfRule type="containsText" dxfId="1611" priority="22" operator="containsText" text="Não">
      <formula>NOT(ISERROR(SEARCH("Não",L3)))</formula>
    </cfRule>
    <cfRule type="containsText" dxfId="1610" priority="23" operator="containsText" text="&quot;Não aplicável&quot;">
      <formula>NOT(ISERROR(SEARCH("""Não aplicável""",L3)))</formula>
    </cfRule>
    <cfRule type="containsText" dxfId="1609" priority="25" operator="containsText" text="&quot;&quot;">
      <formula>NOT(ISERROR(SEARCH("""""",L3)))</formula>
    </cfRule>
    <cfRule type="cellIs" dxfId="1608" priority="26" operator="equal">
      <formula>"""Não aplicável"""</formula>
    </cfRule>
  </conditionalFormatting>
  <conditionalFormatting sqref="L4">
    <cfRule type="cellIs" dxfId="1607" priority="41" operator="equal">
      <formula>""""""</formula>
    </cfRule>
    <cfRule type="containsText" dxfId="1606" priority="44" operator="containsText" text="Não">
      <formula>NOT(ISERROR(SEARCH("Não",L4)))</formula>
    </cfRule>
    <cfRule type="containsText" dxfId="1605" priority="46" operator="containsText" text="Não">
      <formula>NOT(ISERROR(SEARCH("Não",L4)))</formula>
    </cfRule>
    <cfRule type="containsText" dxfId="1604" priority="47" operator="containsText" text="&quot;Não aplicável&quot;">
      <formula>NOT(ISERROR(SEARCH("""Não aplicável""",L4)))</formula>
    </cfRule>
    <cfRule type="containsText" dxfId="1603" priority="49" operator="containsText" text="&quot;&quot;">
      <formula>NOT(ISERROR(SEARCH("""""",L4)))</formula>
    </cfRule>
    <cfRule type="containsText" dxfId="1602" priority="32" operator="containsText" text="Não">
      <formula>NOT(ISERROR(SEARCH("Não",L4)))</formula>
    </cfRule>
    <cfRule type="cellIs" dxfId="1601" priority="50" operator="equal">
      <formula>"""Não aplicável"""</formula>
    </cfRule>
    <cfRule type="containsText" dxfId="1600" priority="34" operator="containsText" text="Não">
      <formula>NOT(ISERROR(SEARCH("Não",L4)))</formula>
    </cfRule>
    <cfRule type="cellIs" dxfId="1599" priority="51" operator="equal">
      <formula>""""""</formula>
    </cfRule>
    <cfRule type="containsText" dxfId="1598" priority="36" operator="containsText" text="Não">
      <formula>NOT(ISERROR(SEARCH("Não",L4)))</formula>
    </cfRule>
    <cfRule type="containsText" dxfId="1597" priority="37" operator="containsText" text="&quot;Não aplicável&quot;">
      <formula>NOT(ISERROR(SEARCH("""Não aplicável""",L4)))</formula>
    </cfRule>
    <cfRule type="containsText" dxfId="1596" priority="39" operator="containsText" text="&quot;&quot;">
      <formula>NOT(ISERROR(SEARCH("""""",L4)))</formula>
    </cfRule>
    <cfRule type="cellIs" dxfId="1595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1594" priority="42" operator="containsText" text="Não">
      <formula>NOT(ISERROR(SEARCH("Não",L4)))</formula>
    </cfRule>
    <cfRule type="containsText" dxfId="1593" priority="53" operator="containsText" text="Não">
      <formula>NOT(ISERROR(SEARCH("Não",L4)))</formula>
    </cfRule>
    <cfRule type="containsText" dxfId="1592" priority="55" operator="containsText" text="Não">
      <formula>NOT(ISERROR(SEARCH("Não",L4)))</formula>
    </cfRule>
    <cfRule type="containsText" dxfId="1591" priority="56" operator="containsText" text="&quot;Não aplicável&quot;">
      <formula>NOT(ISERROR(SEARCH("""Não aplicável""",L4)))</formula>
    </cfRule>
    <cfRule type="containsText" dxfId="1590" priority="58" operator="containsText" text="&quot;&quot;">
      <formula>NOT(ISERROR(SEARCH("""""",L4)))</formula>
    </cfRule>
    <cfRule type="cellIs" dxfId="1589" priority="59" operator="equal">
      <formula>"""Não aplicável"""</formula>
    </cfRule>
    <cfRule type="cellIs" dxfId="1588" priority="60" operator="equal">
      <formula>""""""</formula>
    </cfRule>
    <cfRule type="cellIs" dxfId="1587" priority="71" operator="greaterThan">
      <formula>0</formula>
    </cfRule>
    <cfRule type="cellIs" dxfId="1586" priority="69" operator="equal">
      <formula>""""""</formula>
    </cfRule>
    <cfRule type="cellIs" dxfId="1585" priority="70" operator="lessThan">
      <formula>0</formula>
    </cfRule>
  </conditionalFormatting>
  <hyperlinks>
    <hyperlink ref="A1" location="Sumário!A1" display="SUMÁRIO" xr:uid="{5520DB81-3383-4CFD-85A4-C01DFAB1D2C2}"/>
    <hyperlink ref="A2" location="'Resumo DT Bolsa'!A1" display="Resumo DT" xr:uid="{429050EC-C3B1-4A42-AEB4-E68C22B63F40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5924D-512A-4E7D-95FD-8D7E6EC9228F}">
  <dimension ref="A1:M9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44375.529085648152</v>
      </c>
      <c r="C2" s="35">
        <v>1</v>
      </c>
      <c r="D2" s="5"/>
      <c r="E2" s="136">
        <v>161.75</v>
      </c>
      <c r="F2" s="136">
        <v>0</v>
      </c>
      <c r="G2" s="111">
        <f>IF(A1="SUMÁRIO",TbHGLG11_ST[[#This Row],[Qtt Compra]],IF(G1+C2-D2&lt;0, "ERRO", G1+C2-D2))</f>
        <v>1</v>
      </c>
      <c r="H2" s="137">
        <f t="shared" ref="H2:H3" si="0">IF(AND(TRUNC((C2+D2)*E2*0.03%,2)=0,OR(C2&gt;0,D2&gt;0)),0.01,ROUNDUP((C2+D2)*E2*0.03%,2))</f>
        <v>0.05</v>
      </c>
      <c r="I2" s="137">
        <f>F2+H2</f>
        <v>0.05</v>
      </c>
      <c r="J2" s="15">
        <f t="shared" ref="J2:J3" si="1">IF(A1="SUMÁRIO",E2*C2+I2,J1+IF(C2&gt;0,I2+C2*E2,-D2*K1))</f>
        <v>161.80000000000001</v>
      </c>
      <c r="K2" s="15">
        <f t="shared" ref="K2:K3" si="2">IF(G2=0,0,J2/G2)</f>
        <v>161.80000000000001</v>
      </c>
      <c r="L2" s="116"/>
      <c r="M2" s="77" t="s">
        <v>201</v>
      </c>
    </row>
    <row r="3" spans="1:13" x14ac:dyDescent="0.3">
      <c r="G3" s="111">
        <f>IF(A2="SUMÁRIO",TbHGLG11_ST[[#This Row],[Qtt Compra]],IF(G2+C3-D3&lt;0, "ERRO", G2+C3-D3))</f>
        <v>1</v>
      </c>
      <c r="H3" s="137">
        <f t="shared" si="0"/>
        <v>0</v>
      </c>
      <c r="I3" s="137">
        <f t="shared" ref="I3" si="3">F3+H3</f>
        <v>0</v>
      </c>
      <c r="J3" s="15">
        <f t="shared" si="1"/>
        <v>161.80000000000001</v>
      </c>
      <c r="K3" s="15">
        <f t="shared" si="2"/>
        <v>161.80000000000001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M7" s="64"/>
    </row>
    <row r="8" spans="1:13" x14ac:dyDescent="0.3">
      <c r="M8" s="64"/>
    </row>
    <row r="9" spans="1:13" x14ac:dyDescent="0.3">
      <c r="M9" s="64"/>
    </row>
  </sheetData>
  <conditionalFormatting sqref="L3">
    <cfRule type="containsText" dxfId="1584" priority="1" operator="containsText" text="Não">
      <formula>NOT(ISERROR(SEARCH("Não",L3)))</formula>
    </cfRule>
    <cfRule type="cellIs" dxfId="1583" priority="27" operator="equal">
      <formula>""""""</formula>
    </cfRule>
    <cfRule type="containsText" dxfId="1582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581" priority="5" operator="containsText" text="Não">
      <formula>NOT(ISERROR(SEARCH("Não",L3)))</formula>
    </cfRule>
    <cfRule type="containsText" dxfId="1580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579" priority="8" operator="containsText" text="&quot;&quot;">
      <formula>NOT(ISERROR(SEARCH("""""",L3)))</formula>
    </cfRule>
    <cfRule type="cellIs" dxfId="1578" priority="9" operator="equal">
      <formula>"""Não aplicável"""</formula>
    </cfRule>
    <cfRule type="cellIs" dxfId="1577" priority="10" operator="equal">
      <formula>""""""</formula>
    </cfRule>
    <cfRule type="containsText" dxfId="1576" priority="11" operator="containsText" text="Não">
      <formula>NOT(ISERROR(SEARCH("Não",L3)))</formula>
    </cfRule>
    <cfRule type="containsText" dxfId="1575" priority="12" operator="containsText" text="Não">
      <formula>NOT(ISERROR(SEARCH("Não",L3)))</formula>
    </cfRule>
    <cfRule type="cellIs" dxfId="1574" priority="28" operator="equal">
      <formula>""""""</formula>
    </cfRule>
    <cfRule type="containsText" dxfId="1573" priority="14" operator="containsText" text="Não">
      <formula>NOT(ISERROR(SEARCH("Não",L3)))</formula>
    </cfRule>
    <cfRule type="containsText" dxfId="1572" priority="15" operator="containsText" text="&quot;Não aplicável&quot;">
      <formula>NOT(ISERROR(SEARCH("""Não aplicável""",L3)))</formula>
    </cfRule>
    <cfRule type="cellIs" dxfId="1571" priority="29" operator="lessThan">
      <formula>0</formula>
    </cfRule>
    <cfRule type="containsText" dxfId="1570" priority="17" operator="containsText" text="&quot;&quot;">
      <formula>NOT(ISERROR(SEARCH("""""",L3)))</formula>
    </cfRule>
    <cfRule type="cellIs" dxfId="1569" priority="18" operator="equal">
      <formula>"""Não aplicável"""</formula>
    </cfRule>
    <cfRule type="cellIs" dxfId="1568" priority="19" operator="equal">
      <formula>""""""</formula>
    </cfRule>
    <cfRule type="containsText" dxfId="1567" priority="20" operator="containsText" text="Não">
      <formula>NOT(ISERROR(SEARCH("Não",L3)))</formula>
    </cfRule>
    <cfRule type="cellIs" dxfId="1566" priority="30" operator="greaterThan">
      <formula>0</formula>
    </cfRule>
    <cfRule type="containsText" dxfId="1565" priority="22" operator="containsText" text="Não">
      <formula>NOT(ISERROR(SEARCH("Não",L3)))</formula>
    </cfRule>
    <cfRule type="containsText" dxfId="1564" priority="23" operator="containsText" text="&quot;Não aplicável&quot;">
      <formula>NOT(ISERROR(SEARCH("""Não aplicável""",L3)))</formula>
    </cfRule>
    <cfRule type="containsText" dxfId="1563" priority="25" operator="containsText" text="&quot;&quot;">
      <formula>NOT(ISERROR(SEARCH("""""",L3)))</formula>
    </cfRule>
    <cfRule type="cellIs" dxfId="1562" priority="26" operator="equal">
      <formula>"""Não aplicável"""</formula>
    </cfRule>
  </conditionalFormatting>
  <conditionalFormatting sqref="L4:L5">
    <cfRule type="containsText" dxfId="1561" priority="32" operator="containsText" text="Não">
      <formula>NOT(ISERROR(SEARCH("Não",L4)))</formula>
    </cfRule>
    <cfRule type="containsText" dxfId="1560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559" priority="36" operator="containsText" text="Não">
      <formula>NOT(ISERROR(SEARCH("Não",L4)))</formula>
    </cfRule>
    <cfRule type="containsText" dxfId="1558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557" priority="39" operator="containsText" text="&quot;&quot;">
      <formula>NOT(ISERROR(SEARCH("""""",L4)))</formula>
    </cfRule>
    <cfRule type="cellIs" dxfId="1556" priority="40" operator="equal">
      <formula>"""Não aplicável"""</formula>
    </cfRule>
    <cfRule type="cellIs" dxfId="1555" priority="41" operator="equal">
      <formula>""""""</formula>
    </cfRule>
    <cfRule type="cellIs" dxfId="1554" priority="42" operator="equal">
      <formula>""""""</formula>
    </cfRule>
    <cfRule type="cellIs" dxfId="1553" priority="43" operator="lessThan">
      <formula>0</formula>
    </cfRule>
    <cfRule type="cellIs" dxfId="1552" priority="44" operator="greaterThan">
      <formula>0</formula>
    </cfRule>
  </conditionalFormatting>
  <hyperlinks>
    <hyperlink ref="A1" location="Sumário!A1" display="SUMÁRIO" xr:uid="{6FE08D1F-1695-4E56-9CEE-C5B3A43AFB87}"/>
    <hyperlink ref="A2" location="'Resumo ST Bolsa'!A1" display="Resumo ST" xr:uid="{BAD0503B-2BFD-48CD-9629-333DCB2DCFA2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DAC8D-FCED-4758-B110-9350D9D017AF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IF(A1="SUMÁRIO",TbKNCR11_DT[[#This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IF(A2="SUMÁRIO",TbKNCR11_DT[[#This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8" spans="1:13" x14ac:dyDescent="0.3">
      <c r="M8" s="64"/>
    </row>
    <row r="9" spans="1:13" x14ac:dyDescent="0.3">
      <c r="M9" s="64"/>
    </row>
    <row r="10" spans="1:13" x14ac:dyDescent="0.3">
      <c r="M10" s="64"/>
    </row>
  </sheetData>
  <conditionalFormatting sqref="B1:B1048576">
    <cfRule type="cellIs" dxfId="1551" priority="31" operator="lessThan">
      <formula>$B$2</formula>
    </cfRule>
  </conditionalFormatting>
  <conditionalFormatting sqref="L3">
    <cfRule type="containsText" dxfId="1550" priority="1" operator="containsText" text="Não">
      <formula>NOT(ISERROR(SEARCH("Não",L3)))</formula>
    </cfRule>
    <cfRule type="cellIs" dxfId="1549" priority="27" operator="equal">
      <formula>""""""</formula>
    </cfRule>
    <cfRule type="containsText" dxfId="1548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547" priority="5" operator="containsText" text="Não">
      <formula>NOT(ISERROR(SEARCH("Não",L3)))</formula>
    </cfRule>
    <cfRule type="containsText" dxfId="1546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545" priority="8" operator="containsText" text="&quot;&quot;">
      <formula>NOT(ISERROR(SEARCH("""""",L3)))</formula>
    </cfRule>
    <cfRule type="cellIs" dxfId="1544" priority="9" operator="equal">
      <formula>"""Não aplicável"""</formula>
    </cfRule>
    <cfRule type="cellIs" dxfId="1543" priority="10" operator="equal">
      <formula>""""""</formula>
    </cfRule>
    <cfRule type="containsText" dxfId="1542" priority="11" operator="containsText" text="Não">
      <formula>NOT(ISERROR(SEARCH("Não",L3)))</formula>
    </cfRule>
    <cfRule type="containsText" dxfId="1541" priority="12" operator="containsText" text="Não">
      <formula>NOT(ISERROR(SEARCH("Não",L3)))</formula>
    </cfRule>
    <cfRule type="cellIs" dxfId="1540" priority="28" operator="equal">
      <formula>""""""</formula>
    </cfRule>
    <cfRule type="containsText" dxfId="1539" priority="14" operator="containsText" text="Não">
      <formula>NOT(ISERROR(SEARCH("Não",L3)))</formula>
    </cfRule>
    <cfRule type="containsText" dxfId="1538" priority="15" operator="containsText" text="&quot;Não aplicável&quot;">
      <formula>NOT(ISERROR(SEARCH("""Não aplicável""",L3)))</formula>
    </cfRule>
    <cfRule type="cellIs" dxfId="1537" priority="29" operator="lessThan">
      <formula>0</formula>
    </cfRule>
    <cfRule type="containsText" dxfId="1536" priority="17" operator="containsText" text="&quot;&quot;">
      <formula>NOT(ISERROR(SEARCH("""""",L3)))</formula>
    </cfRule>
    <cfRule type="cellIs" dxfId="1535" priority="18" operator="equal">
      <formula>"""Não aplicável"""</formula>
    </cfRule>
    <cfRule type="cellIs" dxfId="1534" priority="19" operator="equal">
      <formula>""""""</formula>
    </cfRule>
    <cfRule type="containsText" dxfId="1533" priority="20" operator="containsText" text="Não">
      <formula>NOT(ISERROR(SEARCH("Não",L3)))</formula>
    </cfRule>
    <cfRule type="cellIs" dxfId="1532" priority="30" operator="greaterThan">
      <formula>0</formula>
    </cfRule>
    <cfRule type="containsText" dxfId="1531" priority="22" operator="containsText" text="Não">
      <formula>NOT(ISERROR(SEARCH("Não",L3)))</formula>
    </cfRule>
    <cfRule type="containsText" dxfId="1530" priority="23" operator="containsText" text="&quot;Não aplicável&quot;">
      <formula>NOT(ISERROR(SEARCH("""Não aplicável""",L3)))</formula>
    </cfRule>
    <cfRule type="containsText" dxfId="1529" priority="25" operator="containsText" text="&quot;&quot;">
      <formula>NOT(ISERROR(SEARCH("""""",L3)))</formula>
    </cfRule>
    <cfRule type="cellIs" dxfId="1528" priority="26" operator="equal">
      <formula>"""Não aplicável"""</formula>
    </cfRule>
  </conditionalFormatting>
  <conditionalFormatting sqref="L4">
    <cfRule type="cellIs" dxfId="1527" priority="41" operator="equal">
      <formula>""""""</formula>
    </cfRule>
    <cfRule type="containsText" dxfId="1526" priority="44" operator="containsText" text="Não">
      <formula>NOT(ISERROR(SEARCH("Não",L4)))</formula>
    </cfRule>
    <cfRule type="containsText" dxfId="1525" priority="46" operator="containsText" text="Não">
      <formula>NOT(ISERROR(SEARCH("Não",L4)))</formula>
    </cfRule>
    <cfRule type="containsText" dxfId="1524" priority="47" operator="containsText" text="&quot;Não aplicável&quot;">
      <formula>NOT(ISERROR(SEARCH("""Não aplicável""",L4)))</formula>
    </cfRule>
    <cfRule type="containsText" dxfId="1523" priority="49" operator="containsText" text="&quot;&quot;">
      <formula>NOT(ISERROR(SEARCH("""""",L4)))</formula>
    </cfRule>
    <cfRule type="containsText" dxfId="1522" priority="32" operator="containsText" text="Não">
      <formula>NOT(ISERROR(SEARCH("Não",L4)))</formula>
    </cfRule>
    <cfRule type="cellIs" dxfId="1521" priority="50" operator="equal">
      <formula>"""Não aplicável"""</formula>
    </cfRule>
    <cfRule type="containsText" dxfId="1520" priority="34" operator="containsText" text="Não">
      <formula>NOT(ISERROR(SEARCH("Não",L4)))</formula>
    </cfRule>
    <cfRule type="cellIs" dxfId="1519" priority="51" operator="equal">
      <formula>""""""</formula>
    </cfRule>
    <cfRule type="containsText" dxfId="1518" priority="36" operator="containsText" text="Não">
      <formula>NOT(ISERROR(SEARCH("Não",L4)))</formula>
    </cfRule>
    <cfRule type="containsText" dxfId="1517" priority="37" operator="containsText" text="&quot;Não aplicável&quot;">
      <formula>NOT(ISERROR(SEARCH("""Não aplicável""",L4)))</formula>
    </cfRule>
    <cfRule type="containsText" dxfId="1516" priority="39" operator="containsText" text="&quot;&quot;">
      <formula>NOT(ISERROR(SEARCH("""""",L4)))</formula>
    </cfRule>
    <cfRule type="cellIs" dxfId="1515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1514" priority="42" operator="containsText" text="Não">
      <formula>NOT(ISERROR(SEARCH("Não",L4)))</formula>
    </cfRule>
    <cfRule type="containsText" dxfId="1513" priority="53" operator="containsText" text="Não">
      <formula>NOT(ISERROR(SEARCH("Não",L4)))</formula>
    </cfRule>
    <cfRule type="containsText" dxfId="1512" priority="55" operator="containsText" text="Não">
      <formula>NOT(ISERROR(SEARCH("Não",L4)))</formula>
    </cfRule>
    <cfRule type="containsText" dxfId="1511" priority="56" operator="containsText" text="&quot;Não aplicável&quot;">
      <formula>NOT(ISERROR(SEARCH("""Não aplicável""",L4)))</formula>
    </cfRule>
    <cfRule type="containsText" dxfId="1510" priority="58" operator="containsText" text="&quot;&quot;">
      <formula>NOT(ISERROR(SEARCH("""""",L4)))</formula>
    </cfRule>
    <cfRule type="cellIs" dxfId="1509" priority="59" operator="equal">
      <formula>"""Não aplicável"""</formula>
    </cfRule>
    <cfRule type="cellIs" dxfId="1508" priority="60" operator="equal">
      <formula>""""""</formula>
    </cfRule>
    <cfRule type="cellIs" dxfId="1507" priority="71" operator="greaterThan">
      <formula>0</formula>
    </cfRule>
    <cfRule type="cellIs" dxfId="1506" priority="69" operator="equal">
      <formula>""""""</formula>
    </cfRule>
    <cfRule type="cellIs" dxfId="1505" priority="70" operator="lessThan">
      <formula>0</formula>
    </cfRule>
  </conditionalFormatting>
  <hyperlinks>
    <hyperlink ref="A1" location="Sumário!A1" display="SUMÁRIO" xr:uid="{D06BED7D-3560-4143-A083-153C3BEA3B36}"/>
    <hyperlink ref="A2" location="'Resumo DT Bolsa'!A1" display="Resumo DT" xr:uid="{43832F50-39BE-481F-9C05-87AE69ACEB2A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066AD-E17B-4110-9445-38A13B7A1AC4}">
  <dimension ref="A1:M9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44375.529768518521</v>
      </c>
      <c r="C2" s="35">
        <v>1</v>
      </c>
      <c r="D2" s="5"/>
      <c r="E2" s="136">
        <v>87.6</v>
      </c>
      <c r="F2" s="136">
        <v>0</v>
      </c>
      <c r="G2" s="111">
        <f>IF(A1="SUMÁRIO",TbKNCR11_ST[[#This Row],[Qtt Compra]],IF(G1+C2-D2&lt;0, "ERRO", G1+C2-D2))</f>
        <v>1</v>
      </c>
      <c r="H2" s="137">
        <f t="shared" ref="H2:H3" si="0">IF(AND(TRUNC((C2+D2)*E2*0.03%,2)=0,OR(C2&gt;0,D2&gt;0)),0.01,ROUNDUP((C2+D2)*E2*0.03%,2))</f>
        <v>0.03</v>
      </c>
      <c r="I2" s="137">
        <f>F2+H2</f>
        <v>0.03</v>
      </c>
      <c r="J2" s="15">
        <f t="shared" ref="J2:J3" si="1">IF(A1="SUMÁRIO",E2*C2+I2,J1+IF(C2&gt;0,I2+C2*E2,-D2*K1))</f>
        <v>87.63</v>
      </c>
      <c r="K2" s="15">
        <f t="shared" ref="K2:K3" si="2">IF(G2=0,0,J2/G2)</f>
        <v>87.63</v>
      </c>
      <c r="L2" s="116"/>
      <c r="M2" s="77" t="s">
        <v>201</v>
      </c>
    </row>
    <row r="3" spans="1:13" x14ac:dyDescent="0.3">
      <c r="B3" s="135">
        <v>44375.530462962961</v>
      </c>
      <c r="C3" s="35">
        <v>1</v>
      </c>
      <c r="E3" s="136">
        <v>87.61</v>
      </c>
      <c r="F3" s="136">
        <v>0</v>
      </c>
      <c r="G3" s="111">
        <f>IF(A2="SUMÁRIO",TbKNCR11_ST[[#This Row],[Qtt Compra]],IF(G2+C3-D3&lt;0, "ERRO", G2+C3-D3))</f>
        <v>2</v>
      </c>
      <c r="H3" s="137">
        <f t="shared" si="0"/>
        <v>0.03</v>
      </c>
      <c r="I3" s="137">
        <f t="shared" ref="I3" si="3">F3+H3</f>
        <v>0.03</v>
      </c>
      <c r="J3" s="15">
        <f t="shared" si="1"/>
        <v>175.26999999999998</v>
      </c>
      <c r="K3" s="15">
        <f t="shared" si="2"/>
        <v>87.634999999999991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M7" s="64"/>
    </row>
    <row r="8" spans="1:13" x14ac:dyDescent="0.3">
      <c r="M8" s="64"/>
    </row>
    <row r="9" spans="1:13" x14ac:dyDescent="0.3">
      <c r="M9" s="64"/>
    </row>
  </sheetData>
  <conditionalFormatting sqref="L3">
    <cfRule type="containsText" dxfId="1504" priority="1" operator="containsText" text="Não">
      <formula>NOT(ISERROR(SEARCH("Não",L3)))</formula>
    </cfRule>
    <cfRule type="cellIs" dxfId="1503" priority="27" operator="equal">
      <formula>""""""</formula>
    </cfRule>
    <cfRule type="containsText" dxfId="1502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501" priority="5" operator="containsText" text="Não">
      <formula>NOT(ISERROR(SEARCH("Não",L3)))</formula>
    </cfRule>
    <cfRule type="containsText" dxfId="1500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499" priority="8" operator="containsText" text="&quot;&quot;">
      <formula>NOT(ISERROR(SEARCH("""""",L3)))</formula>
    </cfRule>
    <cfRule type="cellIs" dxfId="1498" priority="9" operator="equal">
      <formula>"""Não aplicável"""</formula>
    </cfRule>
    <cfRule type="cellIs" dxfId="1497" priority="10" operator="equal">
      <formula>""""""</formula>
    </cfRule>
    <cfRule type="containsText" dxfId="1496" priority="11" operator="containsText" text="Não">
      <formula>NOT(ISERROR(SEARCH("Não",L3)))</formula>
    </cfRule>
    <cfRule type="containsText" dxfId="1495" priority="12" operator="containsText" text="Não">
      <formula>NOT(ISERROR(SEARCH("Não",L3)))</formula>
    </cfRule>
    <cfRule type="cellIs" dxfId="1494" priority="28" operator="equal">
      <formula>""""""</formula>
    </cfRule>
    <cfRule type="containsText" dxfId="1493" priority="14" operator="containsText" text="Não">
      <formula>NOT(ISERROR(SEARCH("Não",L3)))</formula>
    </cfRule>
    <cfRule type="containsText" dxfId="1492" priority="15" operator="containsText" text="&quot;Não aplicável&quot;">
      <formula>NOT(ISERROR(SEARCH("""Não aplicável""",L3)))</formula>
    </cfRule>
    <cfRule type="cellIs" dxfId="1491" priority="29" operator="lessThan">
      <formula>0</formula>
    </cfRule>
    <cfRule type="containsText" dxfId="1490" priority="17" operator="containsText" text="&quot;&quot;">
      <formula>NOT(ISERROR(SEARCH("""""",L3)))</formula>
    </cfRule>
    <cfRule type="cellIs" dxfId="1489" priority="18" operator="equal">
      <formula>"""Não aplicável"""</formula>
    </cfRule>
    <cfRule type="cellIs" dxfId="1488" priority="19" operator="equal">
      <formula>""""""</formula>
    </cfRule>
    <cfRule type="containsText" dxfId="1487" priority="20" operator="containsText" text="Não">
      <formula>NOT(ISERROR(SEARCH("Não",L3)))</formula>
    </cfRule>
    <cfRule type="cellIs" dxfId="1486" priority="30" operator="greaterThan">
      <formula>0</formula>
    </cfRule>
    <cfRule type="containsText" dxfId="1485" priority="22" operator="containsText" text="Não">
      <formula>NOT(ISERROR(SEARCH("Não",L3)))</formula>
    </cfRule>
    <cfRule type="containsText" dxfId="1484" priority="23" operator="containsText" text="&quot;Não aplicável&quot;">
      <formula>NOT(ISERROR(SEARCH("""Não aplicável""",L3)))</formula>
    </cfRule>
    <cfRule type="containsText" dxfId="1483" priority="25" operator="containsText" text="&quot;&quot;">
      <formula>NOT(ISERROR(SEARCH("""""",L3)))</formula>
    </cfRule>
    <cfRule type="cellIs" dxfId="1482" priority="26" operator="equal">
      <formula>"""Não aplicável"""</formula>
    </cfRule>
  </conditionalFormatting>
  <conditionalFormatting sqref="L4:L5">
    <cfRule type="containsText" dxfId="1481" priority="32" operator="containsText" text="Não">
      <formula>NOT(ISERROR(SEARCH("Não",L4)))</formula>
    </cfRule>
    <cfRule type="containsText" dxfId="1480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479" priority="36" operator="containsText" text="Não">
      <formula>NOT(ISERROR(SEARCH("Não",L4)))</formula>
    </cfRule>
    <cfRule type="containsText" dxfId="1478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477" priority="39" operator="containsText" text="&quot;&quot;">
      <formula>NOT(ISERROR(SEARCH("""""",L4)))</formula>
    </cfRule>
    <cfRule type="cellIs" dxfId="1476" priority="40" operator="equal">
      <formula>"""Não aplicável"""</formula>
    </cfRule>
    <cfRule type="cellIs" dxfId="1475" priority="41" operator="equal">
      <formula>""""""</formula>
    </cfRule>
    <cfRule type="cellIs" dxfId="1474" priority="42" operator="equal">
      <formula>""""""</formula>
    </cfRule>
    <cfRule type="cellIs" dxfId="1473" priority="43" operator="lessThan">
      <formula>0</formula>
    </cfRule>
    <cfRule type="cellIs" dxfId="1472" priority="44" operator="greaterThan">
      <formula>0</formula>
    </cfRule>
  </conditionalFormatting>
  <hyperlinks>
    <hyperlink ref="A1" location="Sumário!A1" display="SUMÁRIO" xr:uid="{3F4EE2F7-D3DD-43FD-BCAC-14FFBC3993C9}"/>
    <hyperlink ref="A2" location="'Resumo ST Bolsa'!A1" display="Resumo ST" xr:uid="{920B0DE5-FD96-454C-BBF7-C20E1A07191F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79CF-4ABA-4901-930D-38F40486221B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IF(A1="SUMÁRIO",TbMXRF11_DT[[#This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IF(A2="SUMÁRIO",TbMXRF11_DT[[#This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8" spans="1:13" x14ac:dyDescent="0.3">
      <c r="M8" s="64"/>
    </row>
    <row r="9" spans="1:13" x14ac:dyDescent="0.3">
      <c r="M9" s="64"/>
    </row>
    <row r="10" spans="1:13" x14ac:dyDescent="0.3">
      <c r="M10" s="64"/>
    </row>
  </sheetData>
  <conditionalFormatting sqref="B1:B1048576">
    <cfRule type="cellIs" dxfId="1471" priority="31" operator="lessThan">
      <formula>$B$2</formula>
    </cfRule>
  </conditionalFormatting>
  <conditionalFormatting sqref="L3">
    <cfRule type="containsText" dxfId="1470" priority="1" operator="containsText" text="Não">
      <formula>NOT(ISERROR(SEARCH("Não",L3)))</formula>
    </cfRule>
    <cfRule type="cellIs" dxfId="1469" priority="27" operator="equal">
      <formula>""""""</formula>
    </cfRule>
    <cfRule type="containsText" dxfId="1468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467" priority="5" operator="containsText" text="Não">
      <formula>NOT(ISERROR(SEARCH("Não",L3)))</formula>
    </cfRule>
    <cfRule type="containsText" dxfId="1466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465" priority="8" operator="containsText" text="&quot;&quot;">
      <formula>NOT(ISERROR(SEARCH("""""",L3)))</formula>
    </cfRule>
    <cfRule type="cellIs" dxfId="1464" priority="9" operator="equal">
      <formula>"""Não aplicável"""</formula>
    </cfRule>
    <cfRule type="cellIs" dxfId="1463" priority="10" operator="equal">
      <formula>""""""</formula>
    </cfRule>
    <cfRule type="containsText" dxfId="1462" priority="11" operator="containsText" text="Não">
      <formula>NOT(ISERROR(SEARCH("Não",L3)))</formula>
    </cfRule>
    <cfRule type="containsText" dxfId="1461" priority="12" operator="containsText" text="Não">
      <formula>NOT(ISERROR(SEARCH("Não",L3)))</formula>
    </cfRule>
    <cfRule type="cellIs" dxfId="1460" priority="28" operator="equal">
      <formula>""""""</formula>
    </cfRule>
    <cfRule type="containsText" dxfId="1459" priority="14" operator="containsText" text="Não">
      <formula>NOT(ISERROR(SEARCH("Não",L3)))</formula>
    </cfRule>
    <cfRule type="containsText" dxfId="1458" priority="15" operator="containsText" text="&quot;Não aplicável&quot;">
      <formula>NOT(ISERROR(SEARCH("""Não aplicável""",L3)))</formula>
    </cfRule>
    <cfRule type="cellIs" dxfId="1457" priority="29" operator="lessThan">
      <formula>0</formula>
    </cfRule>
    <cfRule type="containsText" dxfId="1456" priority="17" operator="containsText" text="&quot;&quot;">
      <formula>NOT(ISERROR(SEARCH("""""",L3)))</formula>
    </cfRule>
    <cfRule type="cellIs" dxfId="1455" priority="18" operator="equal">
      <formula>"""Não aplicável"""</formula>
    </cfRule>
    <cfRule type="cellIs" dxfId="1454" priority="19" operator="equal">
      <formula>""""""</formula>
    </cfRule>
    <cfRule type="containsText" dxfId="1453" priority="20" operator="containsText" text="Não">
      <formula>NOT(ISERROR(SEARCH("Não",L3)))</formula>
    </cfRule>
    <cfRule type="cellIs" dxfId="1452" priority="30" operator="greaterThan">
      <formula>0</formula>
    </cfRule>
    <cfRule type="containsText" dxfId="1451" priority="22" operator="containsText" text="Não">
      <formula>NOT(ISERROR(SEARCH("Não",L3)))</formula>
    </cfRule>
    <cfRule type="containsText" dxfId="1450" priority="23" operator="containsText" text="&quot;Não aplicável&quot;">
      <formula>NOT(ISERROR(SEARCH("""Não aplicável""",L3)))</formula>
    </cfRule>
    <cfRule type="containsText" dxfId="1449" priority="25" operator="containsText" text="&quot;&quot;">
      <formula>NOT(ISERROR(SEARCH("""""",L3)))</formula>
    </cfRule>
    <cfRule type="cellIs" dxfId="1448" priority="26" operator="equal">
      <formula>"""Não aplicável"""</formula>
    </cfRule>
  </conditionalFormatting>
  <conditionalFormatting sqref="L4">
    <cfRule type="cellIs" dxfId="1447" priority="41" operator="equal">
      <formula>""""""</formula>
    </cfRule>
    <cfRule type="containsText" dxfId="1446" priority="44" operator="containsText" text="Não">
      <formula>NOT(ISERROR(SEARCH("Não",L4)))</formula>
    </cfRule>
    <cfRule type="containsText" dxfId="1445" priority="46" operator="containsText" text="Não">
      <formula>NOT(ISERROR(SEARCH("Não",L4)))</formula>
    </cfRule>
    <cfRule type="containsText" dxfId="1444" priority="47" operator="containsText" text="&quot;Não aplicável&quot;">
      <formula>NOT(ISERROR(SEARCH("""Não aplicável""",L4)))</formula>
    </cfRule>
    <cfRule type="containsText" dxfId="1443" priority="49" operator="containsText" text="&quot;&quot;">
      <formula>NOT(ISERROR(SEARCH("""""",L4)))</formula>
    </cfRule>
    <cfRule type="containsText" dxfId="1442" priority="32" operator="containsText" text="Não">
      <formula>NOT(ISERROR(SEARCH("Não",L4)))</formula>
    </cfRule>
    <cfRule type="cellIs" dxfId="1441" priority="50" operator="equal">
      <formula>"""Não aplicável"""</formula>
    </cfRule>
    <cfRule type="containsText" dxfId="1440" priority="34" operator="containsText" text="Não">
      <formula>NOT(ISERROR(SEARCH("Não",L4)))</formula>
    </cfRule>
    <cfRule type="cellIs" dxfId="1439" priority="51" operator="equal">
      <formula>""""""</formula>
    </cfRule>
    <cfRule type="containsText" dxfId="1438" priority="36" operator="containsText" text="Não">
      <formula>NOT(ISERROR(SEARCH("Não",L4)))</formula>
    </cfRule>
    <cfRule type="containsText" dxfId="1437" priority="37" operator="containsText" text="&quot;Não aplicável&quot;">
      <formula>NOT(ISERROR(SEARCH("""Não aplicável""",L4)))</formula>
    </cfRule>
    <cfRule type="containsText" dxfId="1436" priority="39" operator="containsText" text="&quot;&quot;">
      <formula>NOT(ISERROR(SEARCH("""""",L4)))</formula>
    </cfRule>
    <cfRule type="cellIs" dxfId="1435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1434" priority="42" operator="containsText" text="Não">
      <formula>NOT(ISERROR(SEARCH("Não",L4)))</formula>
    </cfRule>
    <cfRule type="containsText" dxfId="1433" priority="53" operator="containsText" text="Não">
      <formula>NOT(ISERROR(SEARCH("Não",L4)))</formula>
    </cfRule>
    <cfRule type="containsText" dxfId="1432" priority="55" operator="containsText" text="Não">
      <formula>NOT(ISERROR(SEARCH("Não",L4)))</formula>
    </cfRule>
    <cfRule type="containsText" dxfId="1431" priority="56" operator="containsText" text="&quot;Não aplicável&quot;">
      <formula>NOT(ISERROR(SEARCH("""Não aplicável""",L4)))</formula>
    </cfRule>
    <cfRule type="containsText" dxfId="1430" priority="58" operator="containsText" text="&quot;&quot;">
      <formula>NOT(ISERROR(SEARCH("""""",L4)))</formula>
    </cfRule>
    <cfRule type="cellIs" dxfId="1429" priority="59" operator="equal">
      <formula>"""Não aplicável"""</formula>
    </cfRule>
    <cfRule type="cellIs" dxfId="1428" priority="60" operator="equal">
      <formula>""""""</formula>
    </cfRule>
    <cfRule type="cellIs" dxfId="1427" priority="71" operator="greaterThan">
      <formula>0</formula>
    </cfRule>
    <cfRule type="cellIs" dxfId="1426" priority="69" operator="equal">
      <formula>""""""</formula>
    </cfRule>
    <cfRule type="cellIs" dxfId="1425" priority="70" operator="lessThan">
      <formula>0</formula>
    </cfRule>
  </conditionalFormatting>
  <hyperlinks>
    <hyperlink ref="A1" location="Sumário!A1" display="SUMÁRIO" xr:uid="{6959ED4B-D644-438E-AFD3-C4D03D41D6E0}"/>
    <hyperlink ref="A2" location="'Resumo DT Bolsa'!A1" display="Resumo DT" xr:uid="{BC08FD27-2AA7-4387-848C-0DBF564ED775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B45B-8938-4857-A70D-09677E899AEF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7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43948</v>
      </c>
      <c r="C2" s="35">
        <v>5</v>
      </c>
      <c r="D2" s="5"/>
      <c r="E2" s="136">
        <v>9.9499999999999993</v>
      </c>
      <c r="F2" s="136">
        <v>2.4900000000000002</v>
      </c>
      <c r="G2" s="111">
        <f>IF(A1="SUMÁRIO",TbMXRF11_ST[[#This Row],[Qtt Compra]],IF(G1+C2-D2&lt;0, "ERRO", G1+C2-D2))</f>
        <v>5</v>
      </c>
      <c r="H2" s="137">
        <f t="shared" ref="H2:H7" si="0">IF(AND(TRUNC((C2+D2)*E2*0.03%,2)=0,OR(C2&gt;0,D2&gt;0)),0.01,ROUNDUP((C2+D2)*E2*0.03%,2))</f>
        <v>0.02</v>
      </c>
      <c r="I2" s="137">
        <f>F2+H2</f>
        <v>2.5100000000000002</v>
      </c>
      <c r="J2" s="15">
        <f t="shared" ref="J2:J7" si="1">IF(A1="SUMÁRIO",E2*C2+I2,J1+IF(C2&gt;0,I2+C2*E2,-D2*K1))</f>
        <v>52.26</v>
      </c>
      <c r="K2" s="15">
        <f t="shared" ref="K2:K7" si="2">IF(G2=0,0,J2/G2)</f>
        <v>10.452</v>
      </c>
      <c r="L2" s="116"/>
      <c r="M2" s="77" t="s">
        <v>202</v>
      </c>
    </row>
    <row r="3" spans="1:13" x14ac:dyDescent="0.3">
      <c r="B3" s="135">
        <v>43949</v>
      </c>
      <c r="D3" s="35">
        <v>1</v>
      </c>
      <c r="E3" s="136">
        <v>9.98</v>
      </c>
      <c r="F3" s="136">
        <v>2.4900000000000002</v>
      </c>
      <c r="G3" s="111">
        <f>IF(A2="SUMÁRIO",TbMXRF11_ST[[#This Row],[Qtt Compra]],IF(G2+C3-D3&lt;0, "ERRO", G2+C3-D3))</f>
        <v>4</v>
      </c>
      <c r="H3" s="137">
        <f t="shared" si="0"/>
        <v>0.01</v>
      </c>
      <c r="I3" s="137">
        <f t="shared" ref="I3:I7" si="3">F3+H3</f>
        <v>2.5</v>
      </c>
      <c r="J3" s="15">
        <f t="shared" si="1"/>
        <v>41.808</v>
      </c>
      <c r="K3" s="15">
        <f t="shared" si="2"/>
        <v>10.452</v>
      </c>
      <c r="L3" s="127">
        <f>IF(D3&gt;0,TRUNC(D3*E3-D3*K2-I3,2),"Não aplicável")</f>
        <v>-2.97</v>
      </c>
      <c r="M3" s="77" t="s">
        <v>202</v>
      </c>
    </row>
    <row r="4" spans="1:13" x14ac:dyDescent="0.3">
      <c r="B4" s="135">
        <v>44222</v>
      </c>
      <c r="D4" s="35">
        <v>4</v>
      </c>
      <c r="E4" s="136">
        <v>10.47</v>
      </c>
      <c r="F4" s="136">
        <v>2.4900000000000002</v>
      </c>
      <c r="G4" s="111">
        <f>IF(A3="SUMÁRIO",TbMXRF11_ST[[#This Row],[Qtt Compra]],IF(G3+C4-D4&lt;0, "ERRO", G3+C4-D4))</f>
        <v>0</v>
      </c>
      <c r="H4" s="137">
        <f t="shared" si="0"/>
        <v>0.02</v>
      </c>
      <c r="I4" s="137">
        <f t="shared" si="3"/>
        <v>2.5100000000000002</v>
      </c>
      <c r="J4" s="15">
        <f t="shared" si="1"/>
        <v>0</v>
      </c>
      <c r="K4" s="15">
        <f t="shared" si="2"/>
        <v>0</v>
      </c>
      <c r="L4" s="127">
        <f t="shared" ref="L4:L7" si="4">IF(D4&gt;0,TRUNC(D4*E4-D4*K3-I4,2),"Não aplicável")</f>
        <v>-2.4300000000000002</v>
      </c>
      <c r="M4" s="77" t="s">
        <v>202</v>
      </c>
    </row>
    <row r="5" spans="1:13" x14ac:dyDescent="0.3">
      <c r="B5" s="135">
        <v>44235</v>
      </c>
      <c r="C5" s="35">
        <v>13</v>
      </c>
      <c r="E5" s="136">
        <v>10.73</v>
      </c>
      <c r="F5" s="136">
        <v>0</v>
      </c>
      <c r="G5" s="111">
        <f>IF(A4="SUMÁRIO",TbMXRF11_ST[[#This Row],[Qtt Compra]],IF(G4+C5-D5&lt;0, "ERRO", G4+C5-D5))</f>
        <v>13</v>
      </c>
      <c r="H5" s="137">
        <f t="shared" si="0"/>
        <v>0.05</v>
      </c>
      <c r="I5" s="137">
        <f t="shared" si="3"/>
        <v>0.05</v>
      </c>
      <c r="J5" s="15">
        <f t="shared" si="1"/>
        <v>139.54000000000002</v>
      </c>
      <c r="K5" s="15">
        <f t="shared" si="2"/>
        <v>10.733846153846155</v>
      </c>
      <c r="L5" s="127" t="str">
        <f t="shared" si="4"/>
        <v>Não aplicável</v>
      </c>
      <c r="M5" s="77" t="s">
        <v>201</v>
      </c>
    </row>
    <row r="6" spans="1:13" x14ac:dyDescent="0.3">
      <c r="B6" s="135">
        <v>44235</v>
      </c>
      <c r="C6" s="35">
        <v>2</v>
      </c>
      <c r="E6" s="136">
        <v>10.72</v>
      </c>
      <c r="F6" s="136">
        <v>0</v>
      </c>
      <c r="G6" s="111">
        <f>IF(A5="SUMÁRIO",TbMXRF11_ST[[#This Row],[Qtt Compra]],IF(G5+C6-D6&lt;0, "ERRO", G5+C6-D6))</f>
        <v>15</v>
      </c>
      <c r="H6" s="137">
        <f t="shared" si="0"/>
        <v>0.01</v>
      </c>
      <c r="I6" s="137">
        <f t="shared" si="3"/>
        <v>0.01</v>
      </c>
      <c r="J6" s="15">
        <f t="shared" si="1"/>
        <v>160.99</v>
      </c>
      <c r="K6" s="15">
        <f t="shared" si="2"/>
        <v>10.732666666666667</v>
      </c>
      <c r="L6" s="127" t="str">
        <f t="shared" si="4"/>
        <v>Não aplicável</v>
      </c>
      <c r="M6" s="77" t="s">
        <v>201</v>
      </c>
    </row>
    <row r="7" spans="1:13" x14ac:dyDescent="0.3">
      <c r="B7" s="135">
        <v>44375.531157407408</v>
      </c>
      <c r="C7" s="35">
        <v>7</v>
      </c>
      <c r="E7" s="136">
        <v>9.82</v>
      </c>
      <c r="F7" s="136">
        <v>0</v>
      </c>
      <c r="G7" s="111">
        <f>IF(A6="SUMÁRIO",TbMXRF11_ST[[#This Row],[Qtt Compra]],IF(G6+C7-D7&lt;0, "ERRO", G6+C7-D7))</f>
        <v>22</v>
      </c>
      <c r="H7" s="137">
        <f t="shared" si="0"/>
        <v>0.03</v>
      </c>
      <c r="I7" s="137">
        <f t="shared" si="3"/>
        <v>0.03</v>
      </c>
      <c r="J7" s="15">
        <f t="shared" si="1"/>
        <v>229.76000000000002</v>
      </c>
      <c r="K7" s="15">
        <f t="shared" si="2"/>
        <v>10.443636363636365</v>
      </c>
      <c r="L7" s="127" t="str">
        <f t="shared" si="4"/>
        <v>Não aplicável</v>
      </c>
      <c r="M7" s="77" t="s">
        <v>201</v>
      </c>
    </row>
    <row r="8" spans="1:13" x14ac:dyDescent="0.3">
      <c r="M8" s="64"/>
    </row>
    <row r="9" spans="1:13" x14ac:dyDescent="0.3">
      <c r="M9" s="64"/>
    </row>
    <row r="10" spans="1:13" x14ac:dyDescent="0.3">
      <c r="M10" s="64"/>
    </row>
  </sheetData>
  <conditionalFormatting sqref="L3">
    <cfRule type="containsText" dxfId="1424" priority="44" operator="containsText" text="Não">
      <formula>NOT(ISERROR(SEARCH("Não",L3)))</formula>
    </cfRule>
    <cfRule type="containsText" dxfId="1423" priority="53" operator="containsText" text="&quot;Não aplicável&quot;">
      <formula>NOT(ISERROR(SEARCH("""Não aplicável""",L3)))</formula>
    </cfRule>
    <cfRule type="cellIs" dxfId="1422" priority="60" operator="greaterThan">
      <formula>0</formula>
    </cfRule>
    <cfRule type="containsText" dxfId="1421" priority="42" operator="containsText" text="Não">
      <formula>NOT(ISERROR(SEARCH("Não",L3)))</formula>
    </cfRule>
    <cfRule type="containsText" dxfId="1420" priority="45" operator="containsText" text="&quot;Não aplicável&quot;">
      <formula>NOT(ISERROR(SEARCH("""Não aplicável""",L3)))</formula>
    </cfRule>
    <cfRule type="containsText" dxfId="1419" priority="41" operator="containsText" text="Não">
      <formula>NOT(ISERROR(SEARCH("Não",L3)))</formula>
    </cfRule>
    <cfRule type="containsText" dxfId="1418" priority="47" operator="containsText" text="&quot;&quot;">
      <formula>NOT(ISERROR(SEARCH("""""",L3)))</formula>
    </cfRule>
    <cfRule type="cellIs" dxfId="1417" priority="48" operator="equal">
      <formula>"""Não aplicável"""</formula>
    </cfRule>
    <cfRule type="cellIs" dxfId="1416" priority="49" operator="equal">
      <formula>""""""</formula>
    </cfRule>
    <cfRule type="containsText" dxfId="1415" priority="50" operator="containsText" text="Não">
      <formula>NOT(ISERROR(SEARCH("Não",L3)))</formula>
    </cfRule>
    <cfRule type="containsText" dxfId="1414" priority="52" operator="containsText" text="Não">
      <formula>NOT(ISERROR(SEARCH("Não",L3)))</formula>
    </cfRule>
    <cfRule type="containsText" dxfId="1413" priority="55" operator="containsText" text="&quot;&quot;">
      <formula>NOT(ISERROR(SEARCH("""""",L3)))</formula>
    </cfRule>
    <cfRule type="cellIs" dxfId="1412" priority="56" operator="equal">
      <formula>"""Não aplicável"""</formula>
    </cfRule>
    <cfRule type="cellIs" dxfId="1411" priority="57" operator="equal">
      <formula>""""""</formula>
    </cfRule>
    <cfRule type="cellIs" dxfId="1410" priority="58" operator="equal">
      <formula>""""""</formula>
    </cfRule>
    <cfRule type="cellIs" dxfId="1409" priority="59" operator="lessThan">
      <formula>0</formula>
    </cfRule>
  </conditionalFormatting>
  <conditionalFormatting sqref="L3:L7">
    <cfRule type="containsText" dxfId="1408" priority="25" operator="containsText" text="&quot;&quot;">
      <formula>NOT(ISERROR(SEARCH("""""",L3)))</formula>
    </cfRule>
    <cfRule type="containsText" priority="4" operator="containsText" text="Não">
      <formula>NOT(ISERROR(SEARCH("Não",L3)))</formula>
    </cfRule>
    <cfRule type="cellIs" dxfId="1407" priority="26" operator="equal">
      <formula>"""Não aplicável"""</formula>
    </cfRule>
    <cfRule type="cellIs" dxfId="1406" priority="27" operator="equal">
      <formula>""""""</formula>
    </cfRule>
    <cfRule type="containsText" priority="7" operator="containsText" text="Não aplicável">
      <formula>NOT(ISERROR(SEARCH("Não aplicável",L3)))</formula>
    </cfRule>
    <cfRule type="containsText" dxfId="1405" priority="20" operator="containsText" text="Não">
      <formula>NOT(ISERROR(SEARCH("Não",L3)))</formula>
    </cfRule>
    <cfRule type="containsText" dxfId="1404" priority="11" operator="containsText" text="Não">
      <formula>NOT(ISERROR(SEARCH("Não",L3)))</formula>
    </cfRule>
    <cfRule type="containsText" dxfId="1403" priority="22" operator="containsText" text="Não">
      <formula>NOT(ISERROR(SEARCH("Não",L3)))</formula>
    </cfRule>
    <cfRule type="containsText" dxfId="1402" priority="23" operator="containsText" text="&quot;Não aplicável&quot;">
      <formula>NOT(ISERROR(SEARCH("""Não aplicável""",L3)))</formula>
    </cfRule>
  </conditionalFormatting>
  <conditionalFormatting sqref="L4:L7">
    <cfRule type="cellIs" dxfId="1401" priority="18" operator="equal">
      <formula>"""Não aplicável"""</formula>
    </cfRule>
    <cfRule type="cellIs" dxfId="1400" priority="19" operator="equal">
      <formula>""""""</formula>
    </cfRule>
    <cfRule type="cellIs" dxfId="1399" priority="28" operator="equal">
      <formula>""""""</formula>
    </cfRule>
    <cfRule type="cellIs" dxfId="1398" priority="29" operator="lessThan">
      <formula>0</formula>
    </cfRule>
    <cfRule type="cellIs" dxfId="1397" priority="30" operator="greaterThan">
      <formula>0</formula>
    </cfRule>
    <cfRule type="containsText" dxfId="1396" priority="8" operator="containsText" text="&quot;&quot;">
      <formula>NOT(ISERROR(SEARCH("""""",L4)))</formula>
    </cfRule>
    <cfRule type="containsText" dxfId="1395" priority="1" operator="containsText" text="Não">
      <formula>NOT(ISERROR(SEARCH("Não",L4)))</formula>
    </cfRule>
    <cfRule type="containsText" dxfId="1394" priority="3" operator="containsText" text="Não">
      <formula>NOT(ISERROR(SEARCH("Não",L4)))</formula>
    </cfRule>
    <cfRule type="containsText" dxfId="1393" priority="5" operator="containsText" text="Não">
      <formula>NOT(ISERROR(SEARCH("Não",L4)))</formula>
    </cfRule>
    <cfRule type="containsText" dxfId="1392" priority="6" operator="containsText" text="&quot;Não aplicável&quot;">
      <formula>NOT(ISERROR(SEARCH("""Não aplicável""",L4)))</formula>
    </cfRule>
    <cfRule type="cellIs" dxfId="1391" priority="9" operator="equal">
      <formula>"""Não aplicável"""</formula>
    </cfRule>
    <cfRule type="cellIs" dxfId="1390" priority="10" operator="equal">
      <formula>""""""</formula>
    </cfRule>
    <cfRule type="containsText" dxfId="1389" priority="12" operator="containsText" text="Não">
      <formula>NOT(ISERROR(SEARCH("Não",L4)))</formula>
    </cfRule>
    <cfRule type="containsText" dxfId="1388" priority="14" operator="containsText" text="Não">
      <formula>NOT(ISERROR(SEARCH("Não",L4)))</formula>
    </cfRule>
    <cfRule type="containsText" dxfId="1387" priority="15" operator="containsText" text="&quot;Não aplicável&quot;">
      <formula>NOT(ISERROR(SEARCH("""Não aplicável""",L4)))</formula>
    </cfRule>
    <cfRule type="containsText" dxfId="1386" priority="17" operator="containsText" text="&quot;&quot;">
      <formula>NOT(ISERROR(SEARCH("""""",L4)))</formula>
    </cfRule>
  </conditionalFormatting>
  <hyperlinks>
    <hyperlink ref="A1" location="Sumário!A1" display="SUMÁRIO" xr:uid="{BD81662B-473E-4E7C-95F5-A21E54F04584}"/>
    <hyperlink ref="A2" location="'Resumo ST Bolsa'!A1" display="Resumo ST" xr:uid="{D8252000-FFC7-4B81-80E9-51FDDD55E0D6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8A2BC-BD55-486B-94F3-26AD20A6BABC}">
  <dimension ref="A1:M10"/>
  <sheetViews>
    <sheetView zoomScale="115" zoomScaleNormal="115" workbookViewId="0"/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F2" s="136">
        <v>0</v>
      </c>
      <c r="G2" s="111">
        <f>IF(A1="SUMÁRIO",TbAZUL4F_DT[[#This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>IF(A1="SUMÁRIO",E2*C2+I2,J1+IF(C2&gt;0,I2+C2*E2,-D2*K1))</f>
        <v>0</v>
      </c>
      <c r="K2" s="15">
        <f t="shared" ref="K2:K3" si="1">IF(G2=0,0,J2/G2)</f>
        <v>0</v>
      </c>
      <c r="L2" s="116"/>
    </row>
    <row r="3" spans="1:13" x14ac:dyDescent="0.3">
      <c r="G3" s="111">
        <f>IF(A2="SUMÁRIO",TbAZUL4F_DT[[#This Row],[Qtt Compra]],IF(G2+C3-D3&lt;0, "ERRO", G2+C3-D3))</f>
        <v>0</v>
      </c>
      <c r="H3" s="137">
        <f t="shared" si="0"/>
        <v>0</v>
      </c>
      <c r="I3" s="137">
        <f t="shared" ref="I3" si="2">F3+H3</f>
        <v>0</v>
      </c>
      <c r="J3" s="15">
        <f t="shared" ref="J3" si="3">IF(A2="SUMÁRIO",E3*C3+I3,J2+IF(C3&gt;0,I3+C3*E3,-D3*K2))</f>
        <v>0</v>
      </c>
      <c r="K3" s="15">
        <f t="shared" si="1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8" spans="1:13" x14ac:dyDescent="0.3">
      <c r="M8" s="64"/>
    </row>
    <row r="9" spans="1:13" x14ac:dyDescent="0.3">
      <c r="M9" s="64"/>
    </row>
    <row r="10" spans="1:13" x14ac:dyDescent="0.3">
      <c r="M10" s="64"/>
    </row>
  </sheetData>
  <conditionalFormatting sqref="B1:B1048576">
    <cfRule type="cellIs" dxfId="1385" priority="31" operator="lessThan">
      <formula>$B$2</formula>
    </cfRule>
  </conditionalFormatting>
  <conditionalFormatting sqref="L3">
    <cfRule type="containsText" dxfId="1384" priority="1" operator="containsText" text="Não">
      <formula>NOT(ISERROR(SEARCH("Não",L3)))</formula>
    </cfRule>
    <cfRule type="cellIs" dxfId="1383" priority="27" operator="equal">
      <formula>""""""</formula>
    </cfRule>
    <cfRule type="containsText" dxfId="1382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381" priority="5" operator="containsText" text="Não">
      <formula>NOT(ISERROR(SEARCH("Não",L3)))</formula>
    </cfRule>
    <cfRule type="containsText" dxfId="1380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379" priority="8" operator="containsText" text="&quot;&quot;">
      <formula>NOT(ISERROR(SEARCH("""""",L3)))</formula>
    </cfRule>
    <cfRule type="cellIs" dxfId="1378" priority="9" operator="equal">
      <formula>"""Não aplicável"""</formula>
    </cfRule>
    <cfRule type="cellIs" dxfId="1377" priority="10" operator="equal">
      <formula>""""""</formula>
    </cfRule>
    <cfRule type="containsText" dxfId="1376" priority="11" operator="containsText" text="Não">
      <formula>NOT(ISERROR(SEARCH("Não",L3)))</formula>
    </cfRule>
    <cfRule type="containsText" dxfId="1375" priority="12" operator="containsText" text="Não">
      <formula>NOT(ISERROR(SEARCH("Não",L3)))</formula>
    </cfRule>
    <cfRule type="cellIs" dxfId="1374" priority="28" operator="equal">
      <formula>""""""</formula>
    </cfRule>
    <cfRule type="containsText" dxfId="1373" priority="14" operator="containsText" text="Não">
      <formula>NOT(ISERROR(SEARCH("Não",L3)))</formula>
    </cfRule>
    <cfRule type="containsText" dxfId="1372" priority="15" operator="containsText" text="&quot;Não aplicável&quot;">
      <formula>NOT(ISERROR(SEARCH("""Não aplicável""",L3)))</formula>
    </cfRule>
    <cfRule type="cellIs" dxfId="1371" priority="29" operator="lessThan">
      <formula>0</formula>
    </cfRule>
    <cfRule type="containsText" dxfId="1370" priority="17" operator="containsText" text="&quot;&quot;">
      <formula>NOT(ISERROR(SEARCH("""""",L3)))</formula>
    </cfRule>
    <cfRule type="cellIs" dxfId="1369" priority="18" operator="equal">
      <formula>"""Não aplicável"""</formula>
    </cfRule>
    <cfRule type="cellIs" dxfId="1368" priority="19" operator="equal">
      <formula>""""""</formula>
    </cfRule>
    <cfRule type="containsText" dxfId="1367" priority="20" operator="containsText" text="Não">
      <formula>NOT(ISERROR(SEARCH("Não",L3)))</formula>
    </cfRule>
    <cfRule type="cellIs" dxfId="1366" priority="30" operator="greaterThan">
      <formula>0</formula>
    </cfRule>
    <cfRule type="containsText" dxfId="1365" priority="22" operator="containsText" text="Não">
      <formula>NOT(ISERROR(SEARCH("Não",L3)))</formula>
    </cfRule>
    <cfRule type="containsText" dxfId="1364" priority="23" operator="containsText" text="&quot;Não aplicável&quot;">
      <formula>NOT(ISERROR(SEARCH("""Não aplicável""",L3)))</formula>
    </cfRule>
    <cfRule type="containsText" dxfId="1363" priority="25" operator="containsText" text="&quot;&quot;">
      <formula>NOT(ISERROR(SEARCH("""""",L3)))</formula>
    </cfRule>
    <cfRule type="cellIs" dxfId="1362" priority="26" operator="equal">
      <formula>"""Não aplicável"""</formula>
    </cfRule>
  </conditionalFormatting>
  <conditionalFormatting sqref="L4:L5">
    <cfRule type="cellIs" dxfId="1361" priority="51" operator="equal">
      <formula>""""""</formula>
    </cfRule>
    <cfRule type="containsText" dxfId="1360" priority="53" operator="containsText" text="Não">
      <formula>NOT(ISERROR(SEARCH("Não",L4)))</formula>
    </cfRule>
    <cfRule type="containsText" dxfId="1359" priority="55" operator="containsText" text="Não">
      <formula>NOT(ISERROR(SEARCH("Não",L4)))</formula>
    </cfRule>
    <cfRule type="containsText" dxfId="1358" priority="56" operator="containsText" text="&quot;Não aplicável&quot;">
      <formula>NOT(ISERROR(SEARCH("""Não aplicável""",L4)))</formula>
    </cfRule>
    <cfRule type="containsText" dxfId="1357" priority="58" operator="containsText" text="&quot;&quot;">
      <formula>NOT(ISERROR(SEARCH("""""",L4)))</formula>
    </cfRule>
    <cfRule type="containsText" dxfId="1356" priority="32" operator="containsText" text="Não">
      <formula>NOT(ISERROR(SEARCH("Não",L4)))</formula>
    </cfRule>
    <cfRule type="cellIs" dxfId="1355" priority="59" operator="equal">
      <formula>"""Não aplicável"""</formula>
    </cfRule>
    <cfRule type="containsText" dxfId="1354" priority="34" operator="containsText" text="Não">
      <formula>NOT(ISERROR(SEARCH("Não",L4)))</formula>
    </cfRule>
    <cfRule type="cellIs" dxfId="1353" priority="60" operator="equal">
      <formula>""""""</formula>
    </cfRule>
    <cfRule type="containsText" dxfId="1352" priority="36" operator="containsText" text="Não">
      <formula>NOT(ISERROR(SEARCH("Não",L4)))</formula>
    </cfRule>
    <cfRule type="containsText" dxfId="1351" priority="37" operator="containsText" text="&quot;Não aplicável&quot;">
      <formula>NOT(ISERROR(SEARCH("""Não aplicável""",L4)))</formula>
    </cfRule>
    <cfRule type="containsText" dxfId="1350" priority="39" operator="containsText" text="&quot;&quot;">
      <formula>NOT(ISERROR(SEARCH("""""",L4)))</formula>
    </cfRule>
    <cfRule type="cellIs" dxfId="1349" priority="40" operator="equal">
      <formula>"""Não aplicável"""</formula>
    </cfRule>
    <cfRule type="cellIs" dxfId="1348" priority="41" operator="equal">
      <formula>""""""</formula>
    </cfRule>
    <cfRule type="containsText" dxfId="1347" priority="42" operator="containsText" text="Não">
      <formula>NOT(ISERROR(SEARCH("Não",L4)))</formula>
    </cfRule>
    <cfRule type="containsText" dxfId="1346" priority="44" operator="containsText" text="Não">
      <formula>NOT(ISERROR(SEARCH("Não",L4)))</formula>
    </cfRule>
    <cfRule type="containsText" dxfId="1345" priority="46" operator="containsText" text="Não">
      <formula>NOT(ISERROR(SEARCH("Não",L4)))</formula>
    </cfRule>
    <cfRule type="containsText" dxfId="1344" priority="47" operator="containsText" text="&quot;Não aplicável&quot;">
      <formula>NOT(ISERROR(SEARCH("""Não aplicável""",L4)))</formula>
    </cfRule>
    <cfRule type="containsText" dxfId="1343" priority="49" operator="containsText" text="&quot;&quot;">
      <formula>NOT(ISERROR(SEARCH("""""",L4)))</formula>
    </cfRule>
    <cfRule type="cellIs" dxfId="1342" priority="5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ellIs" dxfId="1341" priority="71" operator="greaterThan">
      <formula>0</formula>
    </cfRule>
    <cfRule type="cellIs" dxfId="1340" priority="69" operator="equal">
      <formula>""""""</formula>
    </cfRule>
    <cfRule type="cellIs" dxfId="1339" priority="70" operator="lessThan">
      <formula>0</formula>
    </cfRule>
  </conditionalFormatting>
  <conditionalFormatting sqref="L5:L6">
    <cfRule type="containsText" dxfId="1338" priority="52" operator="containsText" text="Não">
      <formula>NOT(ISERROR(SEARCH("Não",L5)))</formula>
    </cfRule>
    <cfRule type="containsText" dxfId="1337" priority="61" operator="containsText" text="Não">
      <formula>NOT(ISERROR(SEARCH("Não",L5)))</formula>
    </cfRule>
    <cfRule type="containsText" dxfId="1336" priority="64" operator="containsText" text="&quot;Não aplicável&quot;">
      <formula>NOT(ISERROR(SEARCH("""Não aplicável""",L5)))</formula>
    </cfRule>
    <cfRule type="containsText" dxfId="1335" priority="66" operator="containsText" text="&quot;&quot;">
      <formula>NOT(ISERROR(SEARCH("""""",L5)))</formula>
    </cfRule>
    <cfRule type="cellIs" dxfId="1334" priority="67" operator="equal">
      <formula>"""Não aplicável"""</formula>
    </cfRule>
    <cfRule type="cellIs" dxfId="1333" priority="68" operator="equal">
      <formula>""""""</formula>
    </cfRule>
    <cfRule type="containsText" dxfId="1332" priority="63" operator="containsText" text="Não">
      <formula>NOT(ISERROR(SEARCH("Não",L5)))</formula>
    </cfRule>
  </conditionalFormatting>
  <hyperlinks>
    <hyperlink ref="A1" location="Sumário!A1" display="SUMÁRIO" xr:uid="{7603DBFF-4BC1-4293-86DE-D8C3354585F8}"/>
    <hyperlink ref="A2" location="'Resumo DT Bolsa'!A1" display="Resumo DT" xr:uid="{F3E4A857-D7BA-48A8-801F-82D3177302FF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11058-D283-4E8F-B46E-8D303D7907EE}">
  <dimension ref="A1:M10"/>
  <sheetViews>
    <sheetView zoomScale="115" zoomScaleNormal="115" workbookViewId="0"/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43948</v>
      </c>
      <c r="C2" s="35">
        <v>18</v>
      </c>
      <c r="D2" s="5"/>
      <c r="E2" s="136">
        <v>14.14</v>
      </c>
      <c r="F2" s="136">
        <v>2.4900000000000002</v>
      </c>
      <c r="G2" s="111">
        <f>IF(A1="SUMÁRIO",TbAZUL4F_ST[[#This Row],[Qtt Compra]],IF(G1+C2-D2&lt;0, "ERRO", G1+C2-D2))</f>
        <v>18</v>
      </c>
      <c r="H2" s="137">
        <f t="shared" ref="H2:H10" si="0">IF(AND(TRUNC((C2+D2)*E2*0.03%,2)=0,OR(C2&gt;0,D2&gt;0)),0.01,ROUNDUP((C2+D2)*E2*0.03%,2))</f>
        <v>0.08</v>
      </c>
      <c r="I2" s="137">
        <f>F2+H2</f>
        <v>2.5700000000000003</v>
      </c>
      <c r="J2" s="15">
        <f t="shared" ref="J2:J10" si="1">IF(A1="SUMÁRIO",E2*C2+I2,J1+IF(C2&gt;0,I2+C2*E2,-D2*K1))</f>
        <v>257.09000000000003</v>
      </c>
      <c r="K2" s="15">
        <f t="shared" ref="K2:K10" si="2">IF(G2=0,0,J2/G2)</f>
        <v>14.282777777777779</v>
      </c>
      <c r="L2" s="116"/>
    </row>
    <row r="3" spans="1:13" x14ac:dyDescent="0.3">
      <c r="B3" s="135">
        <v>43949</v>
      </c>
      <c r="D3" s="35">
        <v>4</v>
      </c>
      <c r="E3" s="136">
        <v>14.7</v>
      </c>
      <c r="F3" s="136">
        <v>2.4900000000000002</v>
      </c>
      <c r="G3" s="111">
        <f>IF(A2="SUMÁRIO",TbAZUL4F_ST[[#This Row],[Qtt Compra]],IF(G2+C3-D3&lt;0, "ERRO", G2+C3-D3))</f>
        <v>14</v>
      </c>
      <c r="H3" s="137">
        <f t="shared" si="0"/>
        <v>0.02</v>
      </c>
      <c r="I3" s="137">
        <f t="shared" ref="I3:I10" si="3">F3+H3</f>
        <v>2.5100000000000002</v>
      </c>
      <c r="J3" s="15">
        <f t="shared" si="1"/>
        <v>199.95888888888891</v>
      </c>
      <c r="K3" s="15">
        <f t="shared" si="2"/>
        <v>14.282777777777779</v>
      </c>
      <c r="L3" s="127">
        <f>IF(D3&gt;0,TRUNC(D3*E3-D3*K2-I3,2),"Não aplicável")</f>
        <v>-0.84</v>
      </c>
    </row>
    <row r="4" spans="1:13" x14ac:dyDescent="0.3">
      <c r="B4" s="135">
        <v>43949</v>
      </c>
      <c r="D4" s="35">
        <v>4</v>
      </c>
      <c r="E4" s="136">
        <v>14.71</v>
      </c>
      <c r="F4" s="136">
        <v>2.4900000000000002</v>
      </c>
      <c r="G4" s="111">
        <f>IF(A3="SUMÁRIO",TbAZUL4F_ST[[#This Row],[Qtt Compra]],IF(G3+C4-D4&lt;0, "ERRO", G3+C4-D4))</f>
        <v>10</v>
      </c>
      <c r="H4" s="137">
        <f t="shared" si="0"/>
        <v>0.02</v>
      </c>
      <c r="I4" s="137">
        <f t="shared" si="3"/>
        <v>2.5100000000000002</v>
      </c>
      <c r="J4" s="15">
        <f t="shared" si="1"/>
        <v>142.82777777777778</v>
      </c>
      <c r="K4" s="15">
        <f t="shared" si="2"/>
        <v>14.282777777777778</v>
      </c>
      <c r="L4" s="127">
        <f t="shared" ref="L4:L10" si="4">IF(D4&gt;0,TRUNC(D4*E4-D4*K3-I4,2),"Não aplicável")</f>
        <v>-0.8</v>
      </c>
    </row>
    <row r="5" spans="1:13" x14ac:dyDescent="0.3">
      <c r="B5" s="135">
        <v>43956</v>
      </c>
      <c r="D5" s="35">
        <v>6</v>
      </c>
      <c r="E5" s="136">
        <v>15.66</v>
      </c>
      <c r="F5" s="136">
        <v>2.4900000000000002</v>
      </c>
      <c r="G5" s="111">
        <f>IF(A4="SUMÁRIO",TbAZUL4F_ST[[#This Row],[Qtt Compra]],IF(G4+C5-D5&lt;0, "ERRO", G4+C5-D5))</f>
        <v>4</v>
      </c>
      <c r="H5" s="137">
        <f t="shared" si="0"/>
        <v>0.03</v>
      </c>
      <c r="I5" s="137">
        <f t="shared" si="3"/>
        <v>2.52</v>
      </c>
      <c r="J5" s="15">
        <f t="shared" si="1"/>
        <v>57.131111111111125</v>
      </c>
      <c r="K5" s="15">
        <f t="shared" si="2"/>
        <v>14.282777777777781</v>
      </c>
      <c r="L5" s="127">
        <f t="shared" si="4"/>
        <v>5.74</v>
      </c>
    </row>
    <row r="6" spans="1:13" x14ac:dyDescent="0.3">
      <c r="B6" s="135">
        <v>44102</v>
      </c>
      <c r="D6" s="35">
        <v>4</v>
      </c>
      <c r="E6" s="136">
        <v>27.95</v>
      </c>
      <c r="F6" s="136">
        <v>2.4900000000000002</v>
      </c>
      <c r="G6" s="111">
        <f>IF(A5="SUMÁRIO",TbAZUL4F_ST[[#This Row],[Qtt Compra]],IF(G5+C6-D6&lt;0, "ERRO", G5+C6-D6))</f>
        <v>0</v>
      </c>
      <c r="H6" s="137">
        <f t="shared" si="0"/>
        <v>0.04</v>
      </c>
      <c r="I6" s="137">
        <f t="shared" si="3"/>
        <v>2.5300000000000002</v>
      </c>
      <c r="J6" s="15">
        <f t="shared" si="1"/>
        <v>0</v>
      </c>
      <c r="K6" s="15">
        <f t="shared" si="2"/>
        <v>0</v>
      </c>
      <c r="L6" s="127">
        <f t="shared" si="4"/>
        <v>52.13</v>
      </c>
    </row>
    <row r="7" spans="1:13" x14ac:dyDescent="0.3">
      <c r="B7" s="135">
        <v>44235</v>
      </c>
      <c r="C7" s="35">
        <v>2</v>
      </c>
      <c r="E7" s="136">
        <v>43.96</v>
      </c>
      <c r="F7" s="136">
        <v>2.4900000000000002</v>
      </c>
      <c r="G7" s="111">
        <f>IF(A6="SUMÁRIO",TbAZUL4F_ST[[#This Row],[Qtt Compra]],IF(G6+C7-D7&lt;0, "ERRO", G6+C7-D7))</f>
        <v>2</v>
      </c>
      <c r="H7" s="137">
        <f t="shared" si="0"/>
        <v>0.03</v>
      </c>
      <c r="I7" s="137">
        <f t="shared" si="3"/>
        <v>2.52</v>
      </c>
      <c r="J7" s="15">
        <f t="shared" si="1"/>
        <v>90.44</v>
      </c>
      <c r="K7" s="15">
        <f t="shared" si="2"/>
        <v>45.22</v>
      </c>
      <c r="L7" s="127" t="str">
        <f t="shared" si="4"/>
        <v>Não aplicável</v>
      </c>
    </row>
    <row r="8" spans="1:13" x14ac:dyDescent="0.3">
      <c r="B8" s="135">
        <v>44267</v>
      </c>
      <c r="D8" s="35">
        <v>2</v>
      </c>
      <c r="E8" s="136">
        <v>40.450000000000003</v>
      </c>
      <c r="F8" s="136">
        <v>2.4900000000000002</v>
      </c>
      <c r="G8" s="111">
        <f>IF(A7="SUMÁRIO",TbAZUL4F_ST[[#This Row],[Qtt Compra]],IF(G7+C8-D8&lt;0, "ERRO", G7+C8-D8))</f>
        <v>0</v>
      </c>
      <c r="H8" s="137">
        <f t="shared" si="0"/>
        <v>0.03</v>
      </c>
      <c r="I8" s="137">
        <f t="shared" si="3"/>
        <v>2.52</v>
      </c>
      <c r="J8" s="15">
        <f t="shared" si="1"/>
        <v>0</v>
      </c>
      <c r="K8" s="15">
        <f t="shared" si="2"/>
        <v>0</v>
      </c>
      <c r="L8" s="127">
        <f t="shared" si="4"/>
        <v>-12.06</v>
      </c>
      <c r="M8" s="64"/>
    </row>
    <row r="9" spans="1:13" x14ac:dyDescent="0.3">
      <c r="B9" s="135">
        <v>44298</v>
      </c>
      <c r="C9" s="35">
        <v>5</v>
      </c>
      <c r="E9" s="136">
        <v>100</v>
      </c>
      <c r="F9" s="136">
        <v>2.4900000000000002</v>
      </c>
      <c r="G9" s="111">
        <f>IF(A8="SUMÁRIO",TbAZUL4F_ST[[#This Row],[Qtt Compra]],IF(G8+C9-D9&lt;0, "ERRO", G8+C9-D9))</f>
        <v>5</v>
      </c>
      <c r="H9" s="137">
        <f t="shared" si="0"/>
        <v>0.15</v>
      </c>
      <c r="I9" s="137">
        <f t="shared" si="3"/>
        <v>2.64</v>
      </c>
      <c r="J9" s="15">
        <f t="shared" si="1"/>
        <v>502.64</v>
      </c>
      <c r="K9" s="15">
        <f t="shared" si="2"/>
        <v>100.52799999999999</v>
      </c>
      <c r="L9" s="127" t="str">
        <f t="shared" si="4"/>
        <v>Não aplicável</v>
      </c>
      <c r="M9" s="64"/>
    </row>
    <row r="10" spans="1:13" x14ac:dyDescent="0.3">
      <c r="B10" s="135">
        <v>44299</v>
      </c>
      <c r="D10" s="35">
        <v>5</v>
      </c>
      <c r="E10" s="136">
        <v>200</v>
      </c>
      <c r="F10" s="136">
        <v>2.4900000000000002</v>
      </c>
      <c r="G10" s="111">
        <f>IF(A9="SUMÁRIO",TbAZUL4F_ST[[#This Row],[Qtt Compra]],IF(G9+C10-D10&lt;0, "ERRO", G9+C10-D10))</f>
        <v>0</v>
      </c>
      <c r="H10" s="137">
        <f t="shared" si="0"/>
        <v>0.3</v>
      </c>
      <c r="I10" s="137">
        <f t="shared" si="3"/>
        <v>2.79</v>
      </c>
      <c r="J10" s="15">
        <f t="shared" si="1"/>
        <v>0</v>
      </c>
      <c r="K10" s="15">
        <f t="shared" si="2"/>
        <v>0</v>
      </c>
      <c r="L10" s="127">
        <f t="shared" si="4"/>
        <v>494.57</v>
      </c>
    </row>
  </sheetData>
  <conditionalFormatting sqref="L3">
    <cfRule type="containsText" dxfId="1331" priority="44" operator="containsText" text="Não">
      <formula>NOT(ISERROR(SEARCH("Não",L3)))</formula>
    </cfRule>
    <cfRule type="containsText" dxfId="1330" priority="53" operator="containsText" text="&quot;Não aplicável&quot;">
      <formula>NOT(ISERROR(SEARCH("""Não aplicável""",L3)))</formula>
    </cfRule>
    <cfRule type="cellIs" dxfId="1329" priority="60" operator="greaterThan">
      <formula>0</formula>
    </cfRule>
    <cfRule type="containsText" dxfId="1328" priority="42" operator="containsText" text="Não">
      <formula>NOT(ISERROR(SEARCH("Não",L3)))</formula>
    </cfRule>
    <cfRule type="containsText" dxfId="1327" priority="45" operator="containsText" text="&quot;Não aplicável&quot;">
      <formula>NOT(ISERROR(SEARCH("""Não aplicável""",L3)))</formula>
    </cfRule>
    <cfRule type="containsText" dxfId="1326" priority="41" operator="containsText" text="Não">
      <formula>NOT(ISERROR(SEARCH("Não",L3)))</formula>
    </cfRule>
    <cfRule type="containsText" dxfId="1325" priority="47" operator="containsText" text="&quot;&quot;">
      <formula>NOT(ISERROR(SEARCH("""""",L3)))</formula>
    </cfRule>
    <cfRule type="cellIs" dxfId="1324" priority="48" operator="equal">
      <formula>"""Não aplicável"""</formula>
    </cfRule>
    <cfRule type="cellIs" dxfId="1323" priority="49" operator="equal">
      <formula>""""""</formula>
    </cfRule>
    <cfRule type="containsText" dxfId="1322" priority="50" operator="containsText" text="Não">
      <formula>NOT(ISERROR(SEARCH("Não",L3)))</formula>
    </cfRule>
    <cfRule type="containsText" dxfId="1321" priority="52" operator="containsText" text="Não">
      <formula>NOT(ISERROR(SEARCH("Não",L3)))</formula>
    </cfRule>
    <cfRule type="containsText" dxfId="1320" priority="55" operator="containsText" text="&quot;&quot;">
      <formula>NOT(ISERROR(SEARCH("""""",L3)))</formula>
    </cfRule>
    <cfRule type="cellIs" dxfId="1319" priority="56" operator="equal">
      <formula>"""Não aplicável"""</formula>
    </cfRule>
    <cfRule type="cellIs" dxfId="1318" priority="57" operator="equal">
      <formula>""""""</formula>
    </cfRule>
    <cfRule type="cellIs" dxfId="1317" priority="58" operator="equal">
      <formula>""""""</formula>
    </cfRule>
    <cfRule type="cellIs" dxfId="1316" priority="59" operator="lessThan">
      <formula>0</formula>
    </cfRule>
  </conditionalFormatting>
  <conditionalFormatting sqref="L3:L10">
    <cfRule type="containsText" dxfId="1315" priority="25" operator="containsText" text="&quot;&quot;">
      <formula>NOT(ISERROR(SEARCH("""""",L3)))</formula>
    </cfRule>
    <cfRule type="containsText" priority="4" operator="containsText" text="Não">
      <formula>NOT(ISERROR(SEARCH("Não",L3)))</formula>
    </cfRule>
    <cfRule type="cellIs" dxfId="1314" priority="26" operator="equal">
      <formula>"""Não aplicável"""</formula>
    </cfRule>
    <cfRule type="cellIs" dxfId="1313" priority="27" operator="equal">
      <formula>""""""</formula>
    </cfRule>
    <cfRule type="containsText" priority="7" operator="containsText" text="Não aplicável">
      <formula>NOT(ISERROR(SEARCH("Não aplicável",L3)))</formula>
    </cfRule>
    <cfRule type="containsText" dxfId="1312" priority="20" operator="containsText" text="Não">
      <formula>NOT(ISERROR(SEARCH("Não",L3)))</formula>
    </cfRule>
    <cfRule type="containsText" dxfId="1311" priority="11" operator="containsText" text="Não">
      <formula>NOT(ISERROR(SEARCH("Não",L3)))</formula>
    </cfRule>
    <cfRule type="containsText" dxfId="1310" priority="22" operator="containsText" text="Não">
      <formula>NOT(ISERROR(SEARCH("Não",L3)))</formula>
    </cfRule>
    <cfRule type="containsText" dxfId="1309" priority="23" operator="containsText" text="&quot;Não aplicável&quot;">
      <formula>NOT(ISERROR(SEARCH("""Não aplicável""",L3)))</formula>
    </cfRule>
  </conditionalFormatting>
  <conditionalFormatting sqref="L4:L10">
    <cfRule type="cellIs" dxfId="1308" priority="18" operator="equal">
      <formula>"""Não aplicável"""</formula>
    </cfRule>
    <cfRule type="cellIs" dxfId="1307" priority="19" operator="equal">
      <formula>""""""</formula>
    </cfRule>
    <cfRule type="cellIs" dxfId="1306" priority="28" operator="equal">
      <formula>""""""</formula>
    </cfRule>
    <cfRule type="cellIs" dxfId="1305" priority="29" operator="lessThan">
      <formula>0</formula>
    </cfRule>
    <cfRule type="cellIs" dxfId="1304" priority="30" operator="greaterThan">
      <formula>0</formula>
    </cfRule>
    <cfRule type="containsText" dxfId="1303" priority="8" operator="containsText" text="&quot;&quot;">
      <formula>NOT(ISERROR(SEARCH("""""",L4)))</formula>
    </cfRule>
    <cfRule type="containsText" dxfId="1302" priority="1" operator="containsText" text="Não">
      <formula>NOT(ISERROR(SEARCH("Não",L4)))</formula>
    </cfRule>
    <cfRule type="containsText" dxfId="1301" priority="3" operator="containsText" text="Não">
      <formula>NOT(ISERROR(SEARCH("Não",L4)))</formula>
    </cfRule>
    <cfRule type="containsText" dxfId="1300" priority="5" operator="containsText" text="Não">
      <formula>NOT(ISERROR(SEARCH("Não",L4)))</formula>
    </cfRule>
    <cfRule type="containsText" dxfId="1299" priority="6" operator="containsText" text="&quot;Não aplicável&quot;">
      <formula>NOT(ISERROR(SEARCH("""Não aplicável""",L4)))</formula>
    </cfRule>
    <cfRule type="cellIs" dxfId="1298" priority="9" operator="equal">
      <formula>"""Não aplicável"""</formula>
    </cfRule>
    <cfRule type="cellIs" dxfId="1297" priority="10" operator="equal">
      <formula>""""""</formula>
    </cfRule>
    <cfRule type="containsText" dxfId="1296" priority="12" operator="containsText" text="Não">
      <formula>NOT(ISERROR(SEARCH("Não",L4)))</formula>
    </cfRule>
    <cfRule type="containsText" dxfId="1295" priority="14" operator="containsText" text="Não">
      <formula>NOT(ISERROR(SEARCH("Não",L4)))</formula>
    </cfRule>
    <cfRule type="containsText" dxfId="1294" priority="15" operator="containsText" text="&quot;Não aplicável&quot;">
      <formula>NOT(ISERROR(SEARCH("""Não aplicável""",L4)))</formula>
    </cfRule>
    <cfRule type="containsText" dxfId="1293" priority="17" operator="containsText" text="&quot;&quot;">
      <formula>NOT(ISERROR(SEARCH("""""",L4)))</formula>
    </cfRule>
  </conditionalFormatting>
  <hyperlinks>
    <hyperlink ref="A1" location="Sumário!A1" display="SUMÁRIO" xr:uid="{1C166785-C691-41A6-B7E9-DDDAD89E6536}"/>
    <hyperlink ref="A2" location="'Resumo ST Bolsa'!A1" display="Resumo ST" xr:uid="{307FFE7F-7E54-46D9-8C2E-B6F3028EFC0F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0177F-0D82-457B-8ECC-6457A3A95F5D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IF(A1="SUMÁRIO",TbEMBR3_DT[[#This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IF(A2="SUMÁRIO",TbEMBR3_DT[[#This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B1:B1048576">
    <cfRule type="cellIs" dxfId="1292" priority="31" operator="lessThan">
      <formula>$B$2</formula>
    </cfRule>
  </conditionalFormatting>
  <conditionalFormatting sqref="L3">
    <cfRule type="containsText" dxfId="1291" priority="1" operator="containsText" text="Não">
      <formula>NOT(ISERROR(SEARCH("Não",L3)))</formula>
    </cfRule>
    <cfRule type="cellIs" dxfId="1290" priority="27" operator="equal">
      <formula>""""""</formula>
    </cfRule>
    <cfRule type="containsText" dxfId="1289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288" priority="5" operator="containsText" text="Não">
      <formula>NOT(ISERROR(SEARCH("Não",L3)))</formula>
    </cfRule>
    <cfRule type="containsText" dxfId="1287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286" priority="8" operator="containsText" text="&quot;&quot;">
      <formula>NOT(ISERROR(SEARCH("""""",L3)))</formula>
    </cfRule>
    <cfRule type="cellIs" dxfId="1285" priority="9" operator="equal">
      <formula>"""Não aplicável"""</formula>
    </cfRule>
    <cfRule type="cellIs" dxfId="1284" priority="10" operator="equal">
      <formula>""""""</formula>
    </cfRule>
    <cfRule type="containsText" dxfId="1283" priority="11" operator="containsText" text="Não">
      <formula>NOT(ISERROR(SEARCH("Não",L3)))</formula>
    </cfRule>
    <cfRule type="containsText" dxfId="1282" priority="12" operator="containsText" text="Não">
      <formula>NOT(ISERROR(SEARCH("Não",L3)))</formula>
    </cfRule>
    <cfRule type="cellIs" dxfId="1281" priority="28" operator="equal">
      <formula>""""""</formula>
    </cfRule>
    <cfRule type="containsText" dxfId="1280" priority="14" operator="containsText" text="Não">
      <formula>NOT(ISERROR(SEARCH("Não",L3)))</formula>
    </cfRule>
    <cfRule type="containsText" dxfId="1279" priority="15" operator="containsText" text="&quot;Não aplicável&quot;">
      <formula>NOT(ISERROR(SEARCH("""Não aplicável""",L3)))</formula>
    </cfRule>
    <cfRule type="cellIs" dxfId="1278" priority="29" operator="lessThan">
      <formula>0</formula>
    </cfRule>
    <cfRule type="containsText" dxfId="1277" priority="17" operator="containsText" text="&quot;&quot;">
      <formula>NOT(ISERROR(SEARCH("""""",L3)))</formula>
    </cfRule>
    <cfRule type="cellIs" dxfId="1276" priority="18" operator="equal">
      <formula>"""Não aplicável"""</formula>
    </cfRule>
    <cfRule type="cellIs" dxfId="1275" priority="19" operator="equal">
      <formula>""""""</formula>
    </cfRule>
    <cfRule type="containsText" dxfId="1274" priority="20" operator="containsText" text="Não">
      <formula>NOT(ISERROR(SEARCH("Não",L3)))</formula>
    </cfRule>
    <cfRule type="cellIs" dxfId="1273" priority="30" operator="greaterThan">
      <formula>0</formula>
    </cfRule>
    <cfRule type="containsText" dxfId="1272" priority="22" operator="containsText" text="Não">
      <formula>NOT(ISERROR(SEARCH("Não",L3)))</formula>
    </cfRule>
    <cfRule type="containsText" dxfId="1271" priority="23" operator="containsText" text="&quot;Não aplicável&quot;">
      <formula>NOT(ISERROR(SEARCH("""Não aplicável""",L3)))</formula>
    </cfRule>
    <cfRule type="containsText" dxfId="1270" priority="25" operator="containsText" text="&quot;&quot;">
      <formula>NOT(ISERROR(SEARCH("""""",L3)))</formula>
    </cfRule>
    <cfRule type="cellIs" dxfId="1269" priority="26" operator="equal">
      <formula>"""Não aplicável"""</formula>
    </cfRule>
  </conditionalFormatting>
  <conditionalFormatting sqref="L4">
    <cfRule type="cellIs" dxfId="1268" priority="41" operator="equal">
      <formula>""""""</formula>
    </cfRule>
    <cfRule type="containsText" dxfId="1267" priority="44" operator="containsText" text="Não">
      <formula>NOT(ISERROR(SEARCH("Não",L4)))</formula>
    </cfRule>
    <cfRule type="containsText" dxfId="1266" priority="46" operator="containsText" text="Não">
      <formula>NOT(ISERROR(SEARCH("Não",L4)))</formula>
    </cfRule>
    <cfRule type="containsText" dxfId="1265" priority="47" operator="containsText" text="&quot;Não aplicável&quot;">
      <formula>NOT(ISERROR(SEARCH("""Não aplicável""",L4)))</formula>
    </cfRule>
    <cfRule type="containsText" dxfId="1264" priority="49" operator="containsText" text="&quot;&quot;">
      <formula>NOT(ISERROR(SEARCH("""""",L4)))</formula>
    </cfRule>
    <cfRule type="containsText" dxfId="1263" priority="32" operator="containsText" text="Não">
      <formula>NOT(ISERROR(SEARCH("Não",L4)))</formula>
    </cfRule>
    <cfRule type="cellIs" dxfId="1262" priority="50" operator="equal">
      <formula>"""Não aplicável"""</formula>
    </cfRule>
    <cfRule type="containsText" dxfId="1261" priority="34" operator="containsText" text="Não">
      <formula>NOT(ISERROR(SEARCH("Não",L4)))</formula>
    </cfRule>
    <cfRule type="cellIs" dxfId="1260" priority="51" operator="equal">
      <formula>""""""</formula>
    </cfRule>
    <cfRule type="containsText" dxfId="1259" priority="36" operator="containsText" text="Não">
      <formula>NOT(ISERROR(SEARCH("Não",L4)))</formula>
    </cfRule>
    <cfRule type="containsText" dxfId="1258" priority="37" operator="containsText" text="&quot;Não aplicável&quot;">
      <formula>NOT(ISERROR(SEARCH("""Não aplicável""",L4)))</formula>
    </cfRule>
    <cfRule type="containsText" dxfId="1257" priority="39" operator="containsText" text="&quot;&quot;">
      <formula>NOT(ISERROR(SEARCH("""""",L4)))</formula>
    </cfRule>
    <cfRule type="cellIs" dxfId="1256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1255" priority="42" operator="containsText" text="Não">
      <formula>NOT(ISERROR(SEARCH("Não",L4)))</formula>
    </cfRule>
    <cfRule type="containsText" dxfId="1254" priority="53" operator="containsText" text="Não">
      <formula>NOT(ISERROR(SEARCH("Não",L4)))</formula>
    </cfRule>
    <cfRule type="containsText" dxfId="1253" priority="55" operator="containsText" text="Não">
      <formula>NOT(ISERROR(SEARCH("Não",L4)))</formula>
    </cfRule>
    <cfRule type="containsText" dxfId="1252" priority="56" operator="containsText" text="&quot;Não aplicável&quot;">
      <formula>NOT(ISERROR(SEARCH("""Não aplicável""",L4)))</formula>
    </cfRule>
    <cfRule type="containsText" dxfId="1251" priority="58" operator="containsText" text="&quot;&quot;">
      <formula>NOT(ISERROR(SEARCH("""""",L4)))</formula>
    </cfRule>
    <cfRule type="cellIs" dxfId="1250" priority="59" operator="equal">
      <formula>"""Não aplicável"""</formula>
    </cfRule>
    <cfRule type="cellIs" dxfId="1249" priority="60" operator="equal">
      <formula>""""""</formula>
    </cfRule>
    <cfRule type="cellIs" dxfId="1248" priority="71" operator="greaterThan">
      <formula>0</formula>
    </cfRule>
    <cfRule type="cellIs" dxfId="1247" priority="69" operator="equal">
      <formula>""""""</formula>
    </cfRule>
    <cfRule type="cellIs" dxfId="1246" priority="70" operator="lessThan">
      <formula>0</formula>
    </cfRule>
  </conditionalFormatting>
  <hyperlinks>
    <hyperlink ref="A1" location="Sumário!A1" display="SUMÁRIO" xr:uid="{CA7B3329-4F46-4DED-9E6B-423A4B5B8D06}"/>
    <hyperlink ref="A2" location="'Resumo DT Bolsa'!A1" display="Resumo DT" xr:uid="{C9ED8833-5C2A-46FC-8BC8-FF95C4B8B3CE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B5EB8-FB87-478B-91B4-23428A77C215}">
  <dimension ref="A1:M11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43948</v>
      </c>
      <c r="C2" s="35">
        <v>39</v>
      </c>
      <c r="D2" s="5"/>
      <c r="E2" s="136">
        <v>7.8</v>
      </c>
      <c r="F2" s="136">
        <v>2.4900000000000002</v>
      </c>
      <c r="G2" s="111">
        <f>IF(A1="SUMÁRIO",TbEMBR3_ST[[#This Row],[Qtt Compra]],IF(G1+C2-D2&lt;0, "ERRO", G1+C2-D2))</f>
        <v>39</v>
      </c>
      <c r="H2" s="137">
        <f t="shared" ref="H2:H10" si="0">IF(AND(TRUNC((C2+D2)*E2*0.03%,2)=0,OR(C2&gt;0,D2&gt;0)),0.01,ROUNDUP((C2+D2)*E2*0.03%,2))</f>
        <v>9.9999999999999992E-2</v>
      </c>
      <c r="I2" s="137">
        <f>F2+H2</f>
        <v>2.5900000000000003</v>
      </c>
      <c r="J2" s="15">
        <f t="shared" ref="J2:J10" si="1">IF(A1="SUMÁRIO",E2*C2+I2,J1+IF(C2&gt;0,I2+C2*E2,-D2*K1))</f>
        <v>306.78999999999996</v>
      </c>
      <c r="K2" s="15">
        <f t="shared" ref="K2:K9" si="2">IF(G2=0,0,J2/G2)</f>
        <v>7.8664102564102558</v>
      </c>
      <c r="L2" s="116"/>
    </row>
    <row r="3" spans="1:13" x14ac:dyDescent="0.3">
      <c r="B3" s="135">
        <v>43949</v>
      </c>
      <c r="C3" s="35">
        <v>10</v>
      </c>
      <c r="E3" s="136">
        <v>8.1</v>
      </c>
      <c r="F3" s="136">
        <v>2.4900000000000002</v>
      </c>
      <c r="G3" s="111">
        <f>IF(A2="SUMÁRIO",TbEMBR3_ST[[#This Row],[Qtt Compra]],IF(G2+C3-D3&lt;0, "ERRO", G2+C3-D3))</f>
        <v>49</v>
      </c>
      <c r="H3" s="137">
        <f t="shared" si="0"/>
        <v>0.03</v>
      </c>
      <c r="I3" s="137">
        <f t="shared" ref="I3:I10" si="3">F3+H3</f>
        <v>2.52</v>
      </c>
      <c r="J3" s="15">
        <f t="shared" si="1"/>
        <v>390.30999999999995</v>
      </c>
      <c r="K3" s="15">
        <f t="shared" si="2"/>
        <v>7.9655102040816317</v>
      </c>
      <c r="L3" s="127" t="str">
        <f>IF(D3&gt;0,TRUNC(D3*E3-D3*K2-I3,2),"Não aplicável")</f>
        <v>Não aplicável</v>
      </c>
    </row>
    <row r="4" spans="1:13" x14ac:dyDescent="0.3">
      <c r="B4" s="135">
        <v>43965</v>
      </c>
      <c r="C4" s="35">
        <v>14</v>
      </c>
      <c r="E4" s="136">
        <v>6.47</v>
      </c>
      <c r="F4" s="136">
        <v>2.4900000000000002</v>
      </c>
      <c r="G4" s="111">
        <f>IF(A3="SUMÁRIO",TbEMBR3_ST[[#This Row],[Qtt Compra]],IF(G3+C4-D4&lt;0, "ERRO", G3+C4-D4))</f>
        <v>63</v>
      </c>
      <c r="H4" s="137">
        <f t="shared" si="0"/>
        <v>0.03</v>
      </c>
      <c r="I4" s="137">
        <f t="shared" si="3"/>
        <v>2.52</v>
      </c>
      <c r="J4" s="15">
        <f t="shared" si="1"/>
        <v>483.40999999999997</v>
      </c>
      <c r="K4" s="15">
        <f t="shared" si="2"/>
        <v>7.6731746031746031</v>
      </c>
      <c r="L4" s="127" t="str">
        <f t="shared" ref="L4:L10" si="4">IF(D4&gt;0,TRUNC(D4*E4-D4*K3-I4,2),"Não aplicável")</f>
        <v>Não aplicável</v>
      </c>
    </row>
    <row r="5" spans="1:13" x14ac:dyDescent="0.3">
      <c r="B5" s="135">
        <v>44214</v>
      </c>
      <c r="C5" s="35">
        <v>12</v>
      </c>
      <c r="E5" s="136">
        <v>9.52</v>
      </c>
      <c r="F5" s="136">
        <v>2.4900000000000002</v>
      </c>
      <c r="G5" s="111">
        <f>IF(A4="SUMÁRIO",TbEMBR3_ST[[#This Row],[Qtt Compra]],IF(G4+C5-D5&lt;0, "ERRO", G4+C5-D5))</f>
        <v>75</v>
      </c>
      <c r="H5" s="137">
        <f t="shared" si="0"/>
        <v>0.04</v>
      </c>
      <c r="I5" s="137">
        <f t="shared" si="3"/>
        <v>2.5300000000000002</v>
      </c>
      <c r="J5" s="15">
        <f t="shared" si="1"/>
        <v>600.17999999999995</v>
      </c>
      <c r="K5" s="15">
        <f t="shared" si="2"/>
        <v>8.0023999999999997</v>
      </c>
      <c r="L5" s="127" t="str">
        <f t="shared" si="4"/>
        <v>Não aplicável</v>
      </c>
    </row>
    <row r="6" spans="1:13" x14ac:dyDescent="0.3">
      <c r="B6" s="135">
        <v>44235</v>
      </c>
      <c r="D6" s="35">
        <v>20</v>
      </c>
      <c r="E6" s="136">
        <v>9.4700000000000006</v>
      </c>
      <c r="F6" s="136">
        <v>2.4900000000000002</v>
      </c>
      <c r="G6" s="111">
        <f>IF(A5="SUMÁRIO",TbEMBR3_ST[[#This Row],[Qtt Compra]],IF(G5+C6-D6&lt;0, "ERRO", G5+C6-D6))</f>
        <v>55</v>
      </c>
      <c r="H6" s="137">
        <f t="shared" si="0"/>
        <v>6.0000000000000005E-2</v>
      </c>
      <c r="I6" s="137">
        <f t="shared" si="3"/>
        <v>2.5500000000000003</v>
      </c>
      <c r="J6" s="15">
        <f t="shared" si="1"/>
        <v>440.13199999999995</v>
      </c>
      <c r="K6" s="15">
        <f t="shared" si="2"/>
        <v>8.0023999999999997</v>
      </c>
      <c r="L6" s="127">
        <f t="shared" si="4"/>
        <v>26.8</v>
      </c>
    </row>
    <row r="7" spans="1:13" x14ac:dyDescent="0.3">
      <c r="B7" s="135">
        <v>44250</v>
      </c>
      <c r="C7" s="35">
        <v>9</v>
      </c>
      <c r="E7" s="136">
        <v>12.48</v>
      </c>
      <c r="F7" s="136">
        <v>2.4900000000000002</v>
      </c>
      <c r="G7" s="111">
        <f>IF(A6="SUMÁRIO",TbEMBR3_ST[[#This Row],[Qtt Compra]],IF(G6+C7-D7&lt;0, "ERRO", G6+C7-D7))</f>
        <v>64</v>
      </c>
      <c r="H7" s="137">
        <f t="shared" si="0"/>
        <v>0.04</v>
      </c>
      <c r="I7" s="137">
        <f t="shared" si="3"/>
        <v>2.5300000000000002</v>
      </c>
      <c r="J7" s="15">
        <f t="shared" si="1"/>
        <v>554.98199999999997</v>
      </c>
      <c r="K7" s="15">
        <f t="shared" si="2"/>
        <v>8.6715937499999995</v>
      </c>
      <c r="L7" s="127" t="str">
        <f t="shared" si="4"/>
        <v>Não aplicável</v>
      </c>
    </row>
    <row r="8" spans="1:13" x14ac:dyDescent="0.3">
      <c r="B8" s="135">
        <v>44267</v>
      </c>
      <c r="D8" s="35">
        <v>37</v>
      </c>
      <c r="E8" s="136">
        <v>13.74</v>
      </c>
      <c r="F8" s="136">
        <v>2.4900000000000002</v>
      </c>
      <c r="G8" s="111">
        <f>IF(A7="SUMÁRIO",TbEMBR3_ST[[#This Row],[Qtt Compra]],IF(G7+C8-D8&lt;0, "ERRO", G7+C8-D8))</f>
        <v>27</v>
      </c>
      <c r="H8" s="137">
        <f t="shared" si="0"/>
        <v>0.16</v>
      </c>
      <c r="I8" s="137">
        <f t="shared" si="3"/>
        <v>2.6500000000000004</v>
      </c>
      <c r="J8" s="15">
        <f t="shared" si="1"/>
        <v>234.13303124999999</v>
      </c>
      <c r="K8" s="15">
        <f t="shared" si="2"/>
        <v>8.6715937499999995</v>
      </c>
      <c r="L8" s="127">
        <f t="shared" si="4"/>
        <v>184.88</v>
      </c>
      <c r="M8" s="64"/>
    </row>
    <row r="9" spans="1:13" x14ac:dyDescent="0.3">
      <c r="B9" s="135">
        <v>44277</v>
      </c>
      <c r="D9" s="35">
        <v>20</v>
      </c>
      <c r="E9" s="136">
        <v>13.48</v>
      </c>
      <c r="F9" s="136">
        <v>2.4900000000000002</v>
      </c>
      <c r="G9" s="111">
        <f>IF(A8="SUMÁRIO",TbEMBR3_ST[[#This Row],[Qtt Compra]],IF(G8+C9-D9&lt;0, "ERRO", G8+C9-D9))</f>
        <v>7</v>
      </c>
      <c r="H9" s="137">
        <f t="shared" si="0"/>
        <v>0.09</v>
      </c>
      <c r="I9" s="137">
        <f t="shared" si="3"/>
        <v>2.58</v>
      </c>
      <c r="J9" s="15">
        <f t="shared" si="1"/>
        <v>60.701156249999997</v>
      </c>
      <c r="K9" s="15">
        <f t="shared" si="2"/>
        <v>8.6715937499999995</v>
      </c>
      <c r="L9" s="127">
        <f t="shared" si="4"/>
        <v>93.58</v>
      </c>
      <c r="M9" s="64"/>
    </row>
    <row r="10" spans="1:13" x14ac:dyDescent="0.3">
      <c r="B10" s="135">
        <v>44375.582638888889</v>
      </c>
      <c r="C10" s="35">
        <v>3</v>
      </c>
      <c r="E10" s="136">
        <f>56.52/3</f>
        <v>18.84</v>
      </c>
      <c r="F10" s="136">
        <v>0</v>
      </c>
      <c r="G10" s="111">
        <f>IF(A9="SUMÁRIO",TbEMBR3_ST[[#This Row],[Qtt Compra]],IF(G9+C10-D10&lt;0, "ERRO", G9+C10-D10))</f>
        <v>10</v>
      </c>
      <c r="H10" s="137">
        <f t="shared" si="0"/>
        <v>0.02</v>
      </c>
      <c r="I10" s="137">
        <f t="shared" si="3"/>
        <v>0.02</v>
      </c>
      <c r="J10" s="15">
        <f t="shared" si="1"/>
        <v>117.24115624999999</v>
      </c>
      <c r="K10" s="15">
        <f>IF(G10=0,0,J10/G10)</f>
        <v>11.724115625</v>
      </c>
      <c r="L10" s="127" t="str">
        <f t="shared" si="4"/>
        <v>Não aplicável</v>
      </c>
      <c r="M10" s="64"/>
    </row>
    <row r="11" spans="1:13" x14ac:dyDescent="0.3">
      <c r="I11" s="137"/>
      <c r="L11" s="127"/>
    </row>
  </sheetData>
  <conditionalFormatting sqref="L3">
    <cfRule type="containsText" dxfId="1245" priority="1" operator="containsText" text="Não">
      <formula>NOT(ISERROR(SEARCH("Não",L3)))</formula>
    </cfRule>
    <cfRule type="containsText" dxfId="1244" priority="3" operator="containsText" text="Não">
      <formula>NOT(ISERROR(SEARCH("Não",L3)))</formula>
    </cfRule>
    <cfRule type="containsText" dxfId="1243" priority="5" operator="containsText" text="Não">
      <formula>NOT(ISERROR(SEARCH("Não",L3)))</formula>
    </cfRule>
    <cfRule type="containsText" dxfId="1242" priority="6" operator="containsText" text="&quot;Não aplicável&quot;">
      <formula>NOT(ISERROR(SEARCH("""Não aplicável""",L3)))</formula>
    </cfRule>
    <cfRule type="containsText" dxfId="1241" priority="8" operator="containsText" text="&quot;&quot;">
      <formula>NOT(ISERROR(SEARCH("""""",L3)))</formula>
    </cfRule>
    <cfRule type="cellIs" dxfId="1240" priority="9" operator="equal">
      <formula>"""Não aplicável"""</formula>
    </cfRule>
    <cfRule type="cellIs" dxfId="1239" priority="10" operator="equal">
      <formula>""""""</formula>
    </cfRule>
    <cfRule type="containsText" dxfId="1238" priority="12" operator="containsText" text="Não">
      <formula>NOT(ISERROR(SEARCH("Não",L3)))</formula>
    </cfRule>
    <cfRule type="containsText" dxfId="1237" priority="14" operator="containsText" text="Não">
      <formula>NOT(ISERROR(SEARCH("Não",L3)))</formula>
    </cfRule>
    <cfRule type="containsText" dxfId="1236" priority="15" operator="containsText" text="&quot;Não aplicável&quot;">
      <formula>NOT(ISERROR(SEARCH("""Não aplicável""",L3)))</formula>
    </cfRule>
    <cfRule type="cellIs" dxfId="1235" priority="28" operator="equal">
      <formula>""""""</formula>
    </cfRule>
    <cfRule type="containsText" dxfId="1234" priority="17" operator="containsText" text="&quot;&quot;">
      <formula>NOT(ISERROR(SEARCH("""""",L3)))</formula>
    </cfRule>
    <cfRule type="cellIs" dxfId="1233" priority="18" operator="equal">
      <formula>"""Não aplicável"""</formula>
    </cfRule>
    <cfRule type="cellIs" dxfId="1232" priority="19" operator="equal">
      <formula>""""""</formula>
    </cfRule>
    <cfRule type="cellIs" dxfId="1231" priority="29" operator="lessThan">
      <formula>0</formula>
    </cfRule>
    <cfRule type="cellIs" dxfId="1230" priority="30" operator="greaterThan">
      <formula>0</formula>
    </cfRule>
  </conditionalFormatting>
  <conditionalFormatting sqref="L3:L10">
    <cfRule type="cellIs" dxfId="1229" priority="26" operator="equal">
      <formula>"""Não aplicável"""</formula>
    </cfRule>
    <cfRule type="containsText" priority="4" operator="containsText" text="Não">
      <formula>NOT(ISERROR(SEARCH("Não",L3)))</formula>
    </cfRule>
    <cfRule type="containsText" priority="7" operator="containsText" text="Não aplicável">
      <formula>NOT(ISERROR(SEARCH("Não aplicável",L3)))</formula>
    </cfRule>
    <cfRule type="containsText" dxfId="1228" priority="11" operator="containsText" text="Não">
      <formula>NOT(ISERROR(SEARCH("Não",L3)))</formula>
    </cfRule>
    <cfRule type="cellIs" dxfId="1227" priority="27" operator="equal">
      <formula>""""""</formula>
    </cfRule>
    <cfRule type="containsText" dxfId="1226" priority="20" operator="containsText" text="Não">
      <formula>NOT(ISERROR(SEARCH("Não",L3)))</formula>
    </cfRule>
    <cfRule type="containsText" dxfId="1225" priority="22" operator="containsText" text="Não">
      <formula>NOT(ISERROR(SEARCH("Não",L3)))</formula>
    </cfRule>
    <cfRule type="containsText" dxfId="1224" priority="23" operator="containsText" text="&quot;Não aplicável&quot;">
      <formula>NOT(ISERROR(SEARCH("""Não aplicável""",L3)))</formula>
    </cfRule>
    <cfRule type="containsText" dxfId="1223" priority="25" operator="containsText" text="&quot;&quot;">
      <formula>NOT(ISERROR(SEARCH("""""",L3)))</formula>
    </cfRule>
  </conditionalFormatting>
  <conditionalFormatting sqref="L4:L10">
    <cfRule type="cellIs" dxfId="1222" priority="87" operator="equal">
      <formula>"""Não aplicável"""</formula>
    </cfRule>
    <cfRule type="cellIs" dxfId="1221" priority="88" operator="equal">
      <formula>""""""</formula>
    </cfRule>
    <cfRule type="cellIs" dxfId="1220" priority="89" operator="equal">
      <formula>""""""</formula>
    </cfRule>
    <cfRule type="cellIs" dxfId="1219" priority="90" operator="lessThan">
      <formula>0</formula>
    </cfRule>
    <cfRule type="cellIs" dxfId="1218" priority="91" operator="greaterThan">
      <formula>0</formula>
    </cfRule>
    <cfRule type="cellIs" dxfId="1217" priority="80" operator="equal">
      <formula>""""""</formula>
    </cfRule>
    <cfRule type="containsText" dxfId="1216" priority="72" operator="containsText" text="Não">
      <formula>NOT(ISERROR(SEARCH("Não",L4)))</formula>
    </cfRule>
    <cfRule type="containsText" dxfId="1215" priority="73" operator="containsText" text="Não">
      <formula>NOT(ISERROR(SEARCH("Não",L4)))</formula>
    </cfRule>
    <cfRule type="containsText" dxfId="1214" priority="75" operator="containsText" text="Não">
      <formula>NOT(ISERROR(SEARCH("Não",L4)))</formula>
    </cfRule>
    <cfRule type="containsText" dxfId="1213" priority="76" operator="containsText" text="&quot;Não aplicável&quot;">
      <formula>NOT(ISERROR(SEARCH("""Não aplicável""",L4)))</formula>
    </cfRule>
    <cfRule type="containsText" dxfId="1212" priority="78" operator="containsText" text="&quot;&quot;">
      <formula>NOT(ISERROR(SEARCH("""""",L4)))</formula>
    </cfRule>
    <cfRule type="cellIs" dxfId="1211" priority="79" operator="equal">
      <formula>"""Não aplicável"""</formula>
    </cfRule>
    <cfRule type="containsText" dxfId="1210" priority="81" operator="containsText" text="Não">
      <formula>NOT(ISERROR(SEARCH("Não",L4)))</formula>
    </cfRule>
    <cfRule type="containsText" dxfId="1209" priority="83" operator="containsText" text="Não">
      <formula>NOT(ISERROR(SEARCH("Não",L4)))</formula>
    </cfRule>
    <cfRule type="containsText" dxfId="1208" priority="84" operator="containsText" text="&quot;Não aplicável&quot;">
      <formula>NOT(ISERROR(SEARCH("""Não aplicável""",L4)))</formula>
    </cfRule>
    <cfRule type="containsText" dxfId="1207" priority="86" operator="containsText" text="&quot;&quot;">
      <formula>NOT(ISERROR(SEARCH("""""",L4)))</formula>
    </cfRule>
  </conditionalFormatting>
  <conditionalFormatting sqref="L11">
    <cfRule type="containsText" dxfId="1206" priority="38" operator="containsText" text="&quot;&quot;">
      <formula>NOT(ISERROR(SEARCH("""""",L11)))</formula>
    </cfRule>
    <cfRule type="cellIs" dxfId="1205" priority="40" operator="equal">
      <formula>""""""</formula>
    </cfRule>
    <cfRule type="containsText" dxfId="1204" priority="41" operator="containsText" text="Não">
      <formula>NOT(ISERROR(SEARCH("Não",L11)))</formula>
    </cfRule>
    <cfRule type="containsText" dxfId="1203" priority="42" operator="containsText" text="Não">
      <formula>NOT(ISERROR(SEARCH("Não",L11)))</formula>
    </cfRule>
    <cfRule type="containsText" dxfId="1202" priority="45" operator="containsText" text="&quot;Não aplicável&quot;">
      <formula>NOT(ISERROR(SEARCH("""Não aplicável""",L11)))</formula>
    </cfRule>
    <cfRule type="containsText" dxfId="1201" priority="31" operator="containsText" text="Não">
      <formula>NOT(ISERROR(SEARCH("Não",L11)))</formula>
    </cfRule>
    <cfRule type="cellIs" dxfId="1200" priority="49" operator="equal">
      <formula>""""""</formula>
    </cfRule>
    <cfRule type="containsText" dxfId="1199" priority="33" operator="containsText" text="Não">
      <formula>NOT(ISERROR(SEARCH("Não",L11)))</formula>
    </cfRule>
    <cfRule type="containsText" priority="34" operator="containsText" text="Não">
      <formula>NOT(ISERROR(SEARCH("Não",L11)))</formula>
    </cfRule>
    <cfRule type="containsText" dxfId="1198" priority="35" operator="containsText" text="Não">
      <formula>NOT(ISERROR(SEARCH("Não",L11)))</formula>
    </cfRule>
    <cfRule type="containsText" dxfId="1197" priority="36" operator="containsText" text="&quot;Não aplicável&quot;">
      <formula>NOT(ISERROR(SEARCH("""Não aplicável""",L11)))</formula>
    </cfRule>
    <cfRule type="containsText" priority="37" operator="containsText" text="Não aplicável">
      <formula>NOT(ISERROR(SEARCH("Não aplicável",L11)))</formula>
    </cfRule>
    <cfRule type="containsText" dxfId="1196" priority="44" operator="containsText" text="Não">
      <formula>NOT(ISERROR(SEARCH("Não",L11)))</formula>
    </cfRule>
    <cfRule type="cellIs" dxfId="1195" priority="39" operator="equal">
      <formula>"""Não aplicável"""</formula>
    </cfRule>
    <cfRule type="containsText" dxfId="1194" priority="47" operator="containsText" text="&quot;&quot;">
      <formula>NOT(ISERROR(SEARCH("""""",L11)))</formula>
    </cfRule>
    <cfRule type="cellIs" dxfId="1193" priority="48" operator="equal">
      <formula>"""Não aplicável"""</formula>
    </cfRule>
    <cfRule type="containsText" dxfId="1192" priority="50" operator="containsText" text="Não">
      <formula>NOT(ISERROR(SEARCH("Não",L11)))</formula>
    </cfRule>
    <cfRule type="containsText" dxfId="1191" priority="52" operator="containsText" text="Não">
      <formula>NOT(ISERROR(SEARCH("Não",L11)))</formula>
    </cfRule>
    <cfRule type="containsText" dxfId="1190" priority="53" operator="containsText" text="&quot;Não aplicável&quot;">
      <formula>NOT(ISERROR(SEARCH("""Não aplicável""",L11)))</formula>
    </cfRule>
    <cfRule type="cellIs" dxfId="1189" priority="57" operator="equal">
      <formula>""""""</formula>
    </cfRule>
    <cfRule type="containsText" dxfId="1188" priority="55" operator="containsText" text="&quot;&quot;">
      <formula>NOT(ISERROR(SEARCH("""""",L11)))</formula>
    </cfRule>
    <cfRule type="cellIs" dxfId="1187" priority="56" operator="equal">
      <formula>"""Não aplicável"""</formula>
    </cfRule>
    <cfRule type="cellIs" dxfId="1186" priority="58" operator="equal">
      <formula>""""""</formula>
    </cfRule>
    <cfRule type="cellIs" dxfId="1185" priority="59" operator="lessThan">
      <formula>0</formula>
    </cfRule>
    <cfRule type="cellIs" dxfId="1184" priority="60" operator="greaterThan">
      <formula>0</formula>
    </cfRule>
  </conditionalFormatting>
  <hyperlinks>
    <hyperlink ref="A1" location="Sumário!A1" display="SUMÁRIO" xr:uid="{7B947219-1912-49BC-957A-7BAE8DB253E7}"/>
    <hyperlink ref="A2" location="'Resumo ST Bolsa'!A1" display="Resumo ST" xr:uid="{E61B929F-2750-4988-8000-47C5537F0E5C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FD4C2-8BCE-4ACE-8D3C-09174C3A20F6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 t="shared" ref="G2:G3" si="0">IF(A1="SUMÁRIO",E2*C2+I2,J1+IF(C2&gt;0,I2+C2*E2,-D2*K1))</f>
        <v>0</v>
      </c>
      <c r="H2" s="137">
        <f t="shared" ref="H2:H3" si="1">IF(AND(TRUNC((C2+D2)*E2*0.03%,2)=0,OR(C2&gt;0,D2&gt;0)),0.01,ROUNDUP((C2+D2)*E2*0.03%,2))</f>
        <v>0</v>
      </c>
      <c r="I2" s="137">
        <f>F2+H2</f>
        <v>0</v>
      </c>
      <c r="J2" s="15">
        <f t="shared" ref="J2:J3" si="2">IF(A1="SUMÁRIO",E2*C2+I2,J1+IF(C2&gt;0,I2+C2*E2,-D2*K1))</f>
        <v>0</v>
      </c>
      <c r="K2" s="15">
        <f t="shared" ref="K2:K3" si="3">IF(G2=0,0,J2/G2)</f>
        <v>0</v>
      </c>
      <c r="L2" s="116"/>
    </row>
    <row r="3" spans="1:13" x14ac:dyDescent="0.3">
      <c r="G3" s="111">
        <f t="shared" si="0"/>
        <v>0</v>
      </c>
      <c r="H3" s="137">
        <f t="shared" si="1"/>
        <v>0</v>
      </c>
      <c r="I3" s="137">
        <f t="shared" ref="I3" si="4">F3+H3</f>
        <v>0</v>
      </c>
      <c r="J3" s="15">
        <f t="shared" si="2"/>
        <v>0</v>
      </c>
      <c r="K3" s="15">
        <f t="shared" si="3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B1:B1048576">
    <cfRule type="cellIs" dxfId="1183" priority="31" operator="lessThan">
      <formula>$B$2</formula>
    </cfRule>
  </conditionalFormatting>
  <conditionalFormatting sqref="L3">
    <cfRule type="containsText" dxfId="1182" priority="1" operator="containsText" text="Não">
      <formula>NOT(ISERROR(SEARCH("Não",L3)))</formula>
    </cfRule>
    <cfRule type="cellIs" dxfId="1181" priority="27" operator="equal">
      <formula>""""""</formula>
    </cfRule>
    <cfRule type="containsText" dxfId="1180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179" priority="5" operator="containsText" text="Não">
      <formula>NOT(ISERROR(SEARCH("Não",L3)))</formula>
    </cfRule>
    <cfRule type="containsText" dxfId="1178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177" priority="8" operator="containsText" text="&quot;&quot;">
      <formula>NOT(ISERROR(SEARCH("""""",L3)))</formula>
    </cfRule>
    <cfRule type="cellIs" dxfId="1176" priority="9" operator="equal">
      <formula>"""Não aplicável"""</formula>
    </cfRule>
    <cfRule type="cellIs" dxfId="1175" priority="10" operator="equal">
      <formula>""""""</formula>
    </cfRule>
    <cfRule type="containsText" dxfId="1174" priority="11" operator="containsText" text="Não">
      <formula>NOT(ISERROR(SEARCH("Não",L3)))</formula>
    </cfRule>
    <cfRule type="containsText" dxfId="1173" priority="12" operator="containsText" text="Não">
      <formula>NOT(ISERROR(SEARCH("Não",L3)))</formula>
    </cfRule>
    <cfRule type="cellIs" dxfId="1172" priority="28" operator="equal">
      <formula>""""""</formula>
    </cfRule>
    <cfRule type="containsText" dxfId="1171" priority="14" operator="containsText" text="Não">
      <formula>NOT(ISERROR(SEARCH("Não",L3)))</formula>
    </cfRule>
    <cfRule type="containsText" dxfId="1170" priority="15" operator="containsText" text="&quot;Não aplicável&quot;">
      <formula>NOT(ISERROR(SEARCH("""Não aplicável""",L3)))</formula>
    </cfRule>
    <cfRule type="cellIs" dxfId="1169" priority="29" operator="lessThan">
      <formula>0</formula>
    </cfRule>
    <cfRule type="containsText" dxfId="1168" priority="17" operator="containsText" text="&quot;&quot;">
      <formula>NOT(ISERROR(SEARCH("""""",L3)))</formula>
    </cfRule>
    <cfRule type="cellIs" dxfId="1167" priority="18" operator="equal">
      <formula>"""Não aplicável"""</formula>
    </cfRule>
    <cfRule type="cellIs" dxfId="1166" priority="19" operator="equal">
      <formula>""""""</formula>
    </cfRule>
    <cfRule type="containsText" dxfId="1165" priority="20" operator="containsText" text="Não">
      <formula>NOT(ISERROR(SEARCH("Não",L3)))</formula>
    </cfRule>
    <cfRule type="cellIs" dxfId="1164" priority="30" operator="greaterThan">
      <formula>0</formula>
    </cfRule>
    <cfRule type="containsText" dxfId="1163" priority="22" operator="containsText" text="Não">
      <formula>NOT(ISERROR(SEARCH("Não",L3)))</formula>
    </cfRule>
    <cfRule type="containsText" dxfId="1162" priority="23" operator="containsText" text="&quot;Não aplicável&quot;">
      <formula>NOT(ISERROR(SEARCH("""Não aplicável""",L3)))</formula>
    </cfRule>
    <cfRule type="containsText" dxfId="1161" priority="25" operator="containsText" text="&quot;&quot;">
      <formula>NOT(ISERROR(SEARCH("""""",L3)))</formula>
    </cfRule>
    <cfRule type="cellIs" dxfId="1160" priority="26" operator="equal">
      <formula>"""Não aplicável"""</formula>
    </cfRule>
  </conditionalFormatting>
  <conditionalFormatting sqref="L4">
    <cfRule type="cellIs" dxfId="1159" priority="41" operator="equal">
      <formula>""""""</formula>
    </cfRule>
    <cfRule type="containsText" dxfId="1158" priority="44" operator="containsText" text="Não">
      <formula>NOT(ISERROR(SEARCH("Não",L4)))</formula>
    </cfRule>
    <cfRule type="containsText" dxfId="1157" priority="46" operator="containsText" text="Não">
      <formula>NOT(ISERROR(SEARCH("Não",L4)))</formula>
    </cfRule>
    <cfRule type="containsText" dxfId="1156" priority="47" operator="containsText" text="&quot;Não aplicável&quot;">
      <formula>NOT(ISERROR(SEARCH("""Não aplicável""",L4)))</formula>
    </cfRule>
    <cfRule type="containsText" dxfId="1155" priority="49" operator="containsText" text="&quot;&quot;">
      <formula>NOT(ISERROR(SEARCH("""""",L4)))</formula>
    </cfRule>
    <cfRule type="containsText" dxfId="1154" priority="32" operator="containsText" text="Não">
      <formula>NOT(ISERROR(SEARCH("Não",L4)))</formula>
    </cfRule>
    <cfRule type="cellIs" dxfId="1153" priority="50" operator="equal">
      <formula>"""Não aplicável"""</formula>
    </cfRule>
    <cfRule type="containsText" dxfId="1152" priority="34" operator="containsText" text="Não">
      <formula>NOT(ISERROR(SEARCH("Não",L4)))</formula>
    </cfRule>
    <cfRule type="cellIs" dxfId="1151" priority="51" operator="equal">
      <formula>""""""</formula>
    </cfRule>
    <cfRule type="containsText" dxfId="1150" priority="36" operator="containsText" text="Não">
      <formula>NOT(ISERROR(SEARCH("Não",L4)))</formula>
    </cfRule>
    <cfRule type="containsText" dxfId="1149" priority="37" operator="containsText" text="&quot;Não aplicável&quot;">
      <formula>NOT(ISERROR(SEARCH("""Não aplicável""",L4)))</formula>
    </cfRule>
    <cfRule type="containsText" dxfId="1148" priority="39" operator="containsText" text="&quot;&quot;">
      <formula>NOT(ISERROR(SEARCH("""""",L4)))</formula>
    </cfRule>
    <cfRule type="cellIs" dxfId="1147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1146" priority="42" operator="containsText" text="Não">
      <formula>NOT(ISERROR(SEARCH("Não",L4)))</formula>
    </cfRule>
    <cfRule type="containsText" dxfId="1145" priority="53" operator="containsText" text="Não">
      <formula>NOT(ISERROR(SEARCH("Não",L4)))</formula>
    </cfRule>
    <cfRule type="containsText" dxfId="1144" priority="55" operator="containsText" text="Não">
      <formula>NOT(ISERROR(SEARCH("Não",L4)))</formula>
    </cfRule>
    <cfRule type="containsText" dxfId="1143" priority="56" operator="containsText" text="&quot;Não aplicável&quot;">
      <formula>NOT(ISERROR(SEARCH("""Não aplicável""",L4)))</formula>
    </cfRule>
    <cfRule type="containsText" dxfId="1142" priority="58" operator="containsText" text="&quot;&quot;">
      <formula>NOT(ISERROR(SEARCH("""""",L4)))</formula>
    </cfRule>
    <cfRule type="cellIs" dxfId="1141" priority="59" operator="equal">
      <formula>"""Não aplicável"""</formula>
    </cfRule>
    <cfRule type="cellIs" dxfId="1140" priority="60" operator="equal">
      <formula>""""""</formula>
    </cfRule>
    <cfRule type="cellIs" dxfId="1139" priority="71" operator="greaterThan">
      <formula>0</formula>
    </cfRule>
    <cfRule type="cellIs" dxfId="1138" priority="69" operator="equal">
      <formula>""""""</formula>
    </cfRule>
    <cfRule type="cellIs" dxfId="1137" priority="70" operator="lessThan">
      <formula>0</formula>
    </cfRule>
  </conditionalFormatting>
  <hyperlinks>
    <hyperlink ref="A1" location="Sumário!A1" display="SUMÁRIO" xr:uid="{F4DAB54E-7578-4236-A1BD-F4DB599AAA89}"/>
    <hyperlink ref="A2" location="'Resumo DT Bolsa'!A1" display="Resumo DT" xr:uid="{6673D954-A23D-4E93-ADAC-EE28FC5055DC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BF4C-3008-4B10-AD5F-B87CCF849BE7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43948</v>
      </c>
      <c r="C2" s="35">
        <v>20</v>
      </c>
      <c r="D2" s="5"/>
      <c r="E2" s="136">
        <v>16.45</v>
      </c>
      <c r="F2" s="136">
        <v>2.4900000000000002</v>
      </c>
      <c r="G2" s="111">
        <f>IF(A1="SUMÁRIO",TbPETR4F_ST[[#This Row],[Qtt Compra]],IF(G1+C2-D2&lt;0, "ERRO", G1+C2-D2))</f>
        <v>20</v>
      </c>
      <c r="H2" s="137">
        <f t="shared" ref="H2:H4" si="0">IF(AND(TRUNC((C2+D2)*E2*0.03%,2)=0,OR(C2&gt;0,D2&gt;0)),0.01,ROUNDUP((C2+D2)*E2*0.03%,2))</f>
        <v>9.9999999999999992E-2</v>
      </c>
      <c r="I2" s="137">
        <f>F2+H2</f>
        <v>2.5900000000000003</v>
      </c>
      <c r="J2" s="15">
        <f t="shared" ref="J2:J4" si="1">IF(A1="SUMÁRIO",E2*C2+I2,J1+IF(C2&gt;0,I2+C2*E2,-D2*K1))</f>
        <v>331.59</v>
      </c>
      <c r="K2" s="15">
        <f t="shared" ref="K2:K4" si="2">IF(G2=0,0,J2/G2)</f>
        <v>16.579499999999999</v>
      </c>
      <c r="L2" s="116"/>
    </row>
    <row r="3" spans="1:13" x14ac:dyDescent="0.3">
      <c r="B3" s="135">
        <v>43949</v>
      </c>
      <c r="C3" s="35">
        <v>5</v>
      </c>
      <c r="E3" s="136">
        <v>16.989999999999998</v>
      </c>
      <c r="F3" s="136">
        <v>2.4900000000000002</v>
      </c>
      <c r="G3" s="111">
        <f>IF(A2="SUMÁRIO",TbPETR4F_ST[[#This Row],[Qtt Compra]],IF(G2+C3-D3&lt;0, "ERRO", G2+C3-D3))</f>
        <v>25</v>
      </c>
      <c r="H3" s="137">
        <f t="shared" si="0"/>
        <v>0.03</v>
      </c>
      <c r="I3" s="137">
        <f t="shared" ref="I3:I4" si="3">F3+H3</f>
        <v>2.52</v>
      </c>
      <c r="J3" s="15">
        <f t="shared" si="1"/>
        <v>419.05999999999995</v>
      </c>
      <c r="K3" s="15">
        <f t="shared" si="2"/>
        <v>16.7624</v>
      </c>
      <c r="L3" s="127" t="str">
        <f>IF(D3&gt;0,TRUNC(D3*E3-D3*K2-I3,2),"Não aplicável")</f>
        <v>Não aplicável</v>
      </c>
    </row>
    <row r="4" spans="1:13" x14ac:dyDescent="0.3">
      <c r="B4" s="135">
        <v>44222</v>
      </c>
      <c r="D4" s="35">
        <v>25</v>
      </c>
      <c r="E4" s="136">
        <v>27.25</v>
      </c>
      <c r="F4" s="136">
        <v>2.4900000000000002</v>
      </c>
      <c r="G4" s="111">
        <f>IF(A3="SUMÁRIO",TbPETR4F_ST[[#This Row],[Qtt Compra]],IF(G3+C4-D4&lt;0, "ERRO", G3+C4-D4))</f>
        <v>0</v>
      </c>
      <c r="H4" s="137">
        <f t="shared" si="0"/>
        <v>0.21000000000000002</v>
      </c>
      <c r="I4" s="137">
        <f t="shared" si="3"/>
        <v>2.7</v>
      </c>
      <c r="J4" s="15">
        <f t="shared" si="1"/>
        <v>-5.6843418860808015E-14</v>
      </c>
      <c r="K4" s="15">
        <f t="shared" si="2"/>
        <v>0</v>
      </c>
      <c r="L4" s="127">
        <f>IF(D4&gt;0,TRUNC(D4*E4-D4*K3-I4,2),"Não aplicável")</f>
        <v>259.49</v>
      </c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1136" priority="50" operator="containsText" text="Não">
      <formula>NOT(ISERROR(SEARCH("Não",L3)))</formula>
    </cfRule>
    <cfRule type="containsText" dxfId="1135" priority="55" operator="containsText" text="&quot;&quot;">
      <formula>NOT(ISERROR(SEARCH("""""",L3)))</formula>
    </cfRule>
    <cfRule type="cellIs" dxfId="1134" priority="56" operator="equal">
      <formula>"""Não aplicável"""</formula>
    </cfRule>
    <cfRule type="cellIs" dxfId="1133" priority="57" operator="equal">
      <formula>""""""</formula>
    </cfRule>
    <cfRule type="cellIs" dxfId="1132" priority="58" operator="equal">
      <formula>""""""</formula>
    </cfRule>
    <cfRule type="cellIs" dxfId="1131" priority="59" operator="lessThan">
      <formula>0</formula>
    </cfRule>
    <cfRule type="cellIs" dxfId="1130" priority="60" operator="greaterThan">
      <formula>0</formula>
    </cfRule>
    <cfRule type="cellIs" dxfId="1129" priority="49" operator="equal">
      <formula>""""""</formula>
    </cfRule>
    <cfRule type="cellIs" dxfId="1128" priority="48" operator="equal">
      <formula>"""Não aplicável"""</formula>
    </cfRule>
    <cfRule type="containsText" dxfId="1127" priority="47" operator="containsText" text="&quot;&quot;">
      <formula>NOT(ISERROR(SEARCH("""""",L3)))</formula>
    </cfRule>
    <cfRule type="containsText" dxfId="1126" priority="45" operator="containsText" text="&quot;Não aplicável&quot;">
      <formula>NOT(ISERROR(SEARCH("""Não aplicável""",L3)))</formula>
    </cfRule>
    <cfRule type="containsText" dxfId="1125" priority="44" operator="containsText" text="Não">
      <formula>NOT(ISERROR(SEARCH("Não",L3)))</formula>
    </cfRule>
    <cfRule type="containsText" dxfId="1124" priority="53" operator="containsText" text="&quot;Não aplicável&quot;">
      <formula>NOT(ISERROR(SEARCH("""Não aplicável""",L3)))</formula>
    </cfRule>
    <cfRule type="containsText" dxfId="1123" priority="42" operator="containsText" text="Não">
      <formula>NOT(ISERROR(SEARCH("Não",L3)))</formula>
    </cfRule>
    <cfRule type="containsText" dxfId="1122" priority="41" operator="containsText" text="Não">
      <formula>NOT(ISERROR(SEARCH("Não",L3)))</formula>
    </cfRule>
    <cfRule type="containsText" dxfId="1121" priority="52" operator="containsText" text="Não">
      <formula>NOT(ISERROR(SEARCH("Não",L3)))</formula>
    </cfRule>
  </conditionalFormatting>
  <conditionalFormatting sqref="L3:L4">
    <cfRule type="containsText" priority="4" operator="containsText" text="Não">
      <formula>NOT(ISERROR(SEARCH("Não",L3)))</formula>
    </cfRule>
    <cfRule type="containsText" priority="7" operator="containsText" text="Não aplicável">
      <formula>NOT(ISERROR(SEARCH("Não aplicável",L3)))</formula>
    </cfRule>
    <cfRule type="containsText" dxfId="1120" priority="11" operator="containsText" text="Não">
      <formula>NOT(ISERROR(SEARCH("Não",L3)))</formula>
    </cfRule>
    <cfRule type="containsText" dxfId="1119" priority="20" operator="containsText" text="Não">
      <formula>NOT(ISERROR(SEARCH("Não",L3)))</formula>
    </cfRule>
    <cfRule type="containsText" dxfId="1118" priority="25" operator="containsText" text="&quot;&quot;">
      <formula>NOT(ISERROR(SEARCH("""""",L3)))</formula>
    </cfRule>
    <cfRule type="cellIs" dxfId="1117" priority="26" operator="equal">
      <formula>"""Não aplicável"""</formula>
    </cfRule>
    <cfRule type="cellIs" dxfId="1116" priority="27" operator="equal">
      <formula>""""""</formula>
    </cfRule>
    <cfRule type="containsText" dxfId="1115" priority="23" operator="containsText" text="&quot;Não aplicável&quot;">
      <formula>NOT(ISERROR(SEARCH("""Não aplicável""",L3)))</formula>
    </cfRule>
    <cfRule type="containsText" dxfId="1114" priority="22" operator="containsText" text="Não">
      <formula>NOT(ISERROR(SEARCH("Não",L3)))</formula>
    </cfRule>
  </conditionalFormatting>
  <conditionalFormatting sqref="L4">
    <cfRule type="containsText" dxfId="1113" priority="3" operator="containsText" text="Não">
      <formula>NOT(ISERROR(SEARCH("Não",L4)))</formula>
    </cfRule>
    <cfRule type="containsText" dxfId="1112" priority="5" operator="containsText" text="Não">
      <formula>NOT(ISERROR(SEARCH("Não",L4)))</formula>
    </cfRule>
    <cfRule type="containsText" dxfId="1111" priority="6" operator="containsText" text="&quot;Não aplicável&quot;">
      <formula>NOT(ISERROR(SEARCH("""Não aplicável""",L4)))</formula>
    </cfRule>
    <cfRule type="containsText" dxfId="1110" priority="8" operator="containsText" text="&quot;&quot;">
      <formula>NOT(ISERROR(SEARCH("""""",L4)))</formula>
    </cfRule>
    <cfRule type="cellIs" dxfId="1109" priority="9" operator="equal">
      <formula>"""Não aplicável"""</formula>
    </cfRule>
    <cfRule type="cellIs" dxfId="1108" priority="10" operator="equal">
      <formula>""""""</formula>
    </cfRule>
    <cfRule type="containsText" dxfId="1107" priority="12" operator="containsText" text="Não">
      <formula>NOT(ISERROR(SEARCH("Não",L4)))</formula>
    </cfRule>
    <cfRule type="containsText" dxfId="1106" priority="14" operator="containsText" text="Não">
      <formula>NOT(ISERROR(SEARCH("Não",L4)))</formula>
    </cfRule>
    <cfRule type="containsText" dxfId="1105" priority="15" operator="containsText" text="&quot;Não aplicável&quot;">
      <formula>NOT(ISERROR(SEARCH("""Não aplicável""",L4)))</formula>
    </cfRule>
    <cfRule type="containsText" dxfId="1104" priority="17" operator="containsText" text="&quot;&quot;">
      <formula>NOT(ISERROR(SEARCH("""""",L4)))</formula>
    </cfRule>
    <cfRule type="cellIs" dxfId="1103" priority="18" operator="equal">
      <formula>"""Não aplicável"""</formula>
    </cfRule>
    <cfRule type="cellIs" dxfId="1102" priority="19" operator="equal">
      <formula>""""""</formula>
    </cfRule>
    <cfRule type="cellIs" dxfId="1101" priority="28" operator="equal">
      <formula>""""""</formula>
    </cfRule>
    <cfRule type="cellIs" dxfId="1100" priority="29" operator="lessThan">
      <formula>0</formula>
    </cfRule>
    <cfRule type="cellIs" dxfId="1099" priority="30" operator="greaterThan">
      <formula>0</formula>
    </cfRule>
    <cfRule type="containsText" dxfId="1098" priority="1" operator="containsText" text="Não">
      <formula>NOT(ISERROR(SEARCH("Não",L4)))</formula>
    </cfRule>
  </conditionalFormatting>
  <conditionalFormatting sqref="L5:L6">
    <cfRule type="containsText" priority="65" operator="containsText" text="Não">
      <formula>NOT(ISERROR(SEARCH("Não",L5)))</formula>
    </cfRule>
    <cfRule type="containsText" dxfId="1097" priority="62" operator="containsText" text="Não">
      <formula>NOT(ISERROR(SEARCH("Não",L5)))</formula>
    </cfRule>
    <cfRule type="containsText" dxfId="1096" priority="64" operator="containsText" text="Não">
      <formula>NOT(ISERROR(SEARCH("Não",L5)))</formula>
    </cfRule>
    <cfRule type="containsText" dxfId="1095" priority="66" operator="containsText" text="Não">
      <formula>NOT(ISERROR(SEARCH("Não",L5)))</formula>
    </cfRule>
    <cfRule type="containsText" dxfId="1094" priority="67" operator="containsText" text="&quot;Não aplicável&quot;">
      <formula>NOT(ISERROR(SEARCH("""Não aplicável""",L5)))</formula>
    </cfRule>
    <cfRule type="containsText" priority="68" operator="containsText" text="Não aplicável">
      <formula>NOT(ISERROR(SEARCH("Não aplicável",L5)))</formula>
    </cfRule>
    <cfRule type="containsText" dxfId="1093" priority="69" operator="containsText" text="&quot;&quot;">
      <formula>NOT(ISERROR(SEARCH("""""",L5)))</formula>
    </cfRule>
    <cfRule type="cellIs" dxfId="1092" priority="70" operator="equal">
      <formula>"""Não aplicável"""</formula>
    </cfRule>
    <cfRule type="cellIs" dxfId="1091" priority="71" operator="equal">
      <formula>""""""</formula>
    </cfRule>
    <cfRule type="cellIs" dxfId="1090" priority="72" operator="equal">
      <formula>""""""</formula>
    </cfRule>
    <cfRule type="cellIs" dxfId="1089" priority="73" operator="lessThan">
      <formula>0</formula>
    </cfRule>
    <cfRule type="cellIs" dxfId="1088" priority="74" operator="greaterThan">
      <formula>0</formula>
    </cfRule>
  </conditionalFormatting>
  <hyperlinks>
    <hyperlink ref="A1" location="Sumário!A1" display="SUMÁRIO" xr:uid="{CF8BA597-B681-4DC8-9224-758DACDA9E49}"/>
    <hyperlink ref="A2" location="'Resumo ST Bolsa'!A1" display="Resumo ST" xr:uid="{8EC88224-1841-490D-93DB-8A2E5BB8AA82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A7A38-9BB7-4EB7-A1E4-F30A567AD96D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IF(A1="SUMÁRIO",TbPETR3F_DT[[#This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IF(A2="SUMÁRIO",TbPETR3F_DT[[#This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B1:B1048576">
    <cfRule type="cellIs" dxfId="1087" priority="31" operator="lessThan">
      <formula>$B$2</formula>
    </cfRule>
  </conditionalFormatting>
  <conditionalFormatting sqref="L3">
    <cfRule type="containsText" dxfId="1086" priority="1" operator="containsText" text="Não">
      <formula>NOT(ISERROR(SEARCH("Não",L3)))</formula>
    </cfRule>
    <cfRule type="cellIs" dxfId="1085" priority="27" operator="equal">
      <formula>""""""</formula>
    </cfRule>
    <cfRule type="containsText" dxfId="1084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083" priority="5" operator="containsText" text="Não">
      <formula>NOT(ISERROR(SEARCH("Não",L3)))</formula>
    </cfRule>
    <cfRule type="containsText" dxfId="1082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081" priority="8" operator="containsText" text="&quot;&quot;">
      <formula>NOT(ISERROR(SEARCH("""""",L3)))</formula>
    </cfRule>
    <cfRule type="cellIs" dxfId="1080" priority="9" operator="equal">
      <formula>"""Não aplicável"""</formula>
    </cfRule>
    <cfRule type="cellIs" dxfId="1079" priority="10" operator="equal">
      <formula>""""""</formula>
    </cfRule>
    <cfRule type="containsText" dxfId="1078" priority="11" operator="containsText" text="Não">
      <formula>NOT(ISERROR(SEARCH("Não",L3)))</formula>
    </cfRule>
    <cfRule type="containsText" dxfId="1077" priority="12" operator="containsText" text="Não">
      <formula>NOT(ISERROR(SEARCH("Não",L3)))</formula>
    </cfRule>
    <cfRule type="cellIs" dxfId="1076" priority="28" operator="equal">
      <formula>""""""</formula>
    </cfRule>
    <cfRule type="containsText" dxfId="1075" priority="14" operator="containsText" text="Não">
      <formula>NOT(ISERROR(SEARCH("Não",L3)))</formula>
    </cfRule>
    <cfRule type="containsText" dxfId="1074" priority="15" operator="containsText" text="&quot;Não aplicável&quot;">
      <formula>NOT(ISERROR(SEARCH("""Não aplicável""",L3)))</formula>
    </cfRule>
    <cfRule type="cellIs" dxfId="1073" priority="29" operator="lessThan">
      <formula>0</formula>
    </cfRule>
    <cfRule type="containsText" dxfId="1072" priority="17" operator="containsText" text="&quot;&quot;">
      <formula>NOT(ISERROR(SEARCH("""""",L3)))</formula>
    </cfRule>
    <cfRule type="cellIs" dxfId="1071" priority="18" operator="equal">
      <formula>"""Não aplicável"""</formula>
    </cfRule>
    <cfRule type="cellIs" dxfId="1070" priority="19" operator="equal">
      <formula>""""""</formula>
    </cfRule>
    <cfRule type="containsText" dxfId="1069" priority="20" operator="containsText" text="Não">
      <formula>NOT(ISERROR(SEARCH("Não",L3)))</formula>
    </cfRule>
    <cfRule type="cellIs" dxfId="1068" priority="30" operator="greaterThan">
      <formula>0</formula>
    </cfRule>
    <cfRule type="containsText" dxfId="1067" priority="22" operator="containsText" text="Não">
      <formula>NOT(ISERROR(SEARCH("Não",L3)))</formula>
    </cfRule>
    <cfRule type="containsText" dxfId="1066" priority="23" operator="containsText" text="&quot;Não aplicável&quot;">
      <formula>NOT(ISERROR(SEARCH("""Não aplicável""",L3)))</formula>
    </cfRule>
    <cfRule type="containsText" dxfId="1065" priority="25" operator="containsText" text="&quot;&quot;">
      <formula>NOT(ISERROR(SEARCH("""""",L3)))</formula>
    </cfRule>
    <cfRule type="cellIs" dxfId="1064" priority="26" operator="equal">
      <formula>"""Não aplicável"""</formula>
    </cfRule>
  </conditionalFormatting>
  <conditionalFormatting sqref="L4">
    <cfRule type="cellIs" dxfId="1063" priority="41" operator="equal">
      <formula>""""""</formula>
    </cfRule>
    <cfRule type="containsText" dxfId="1062" priority="44" operator="containsText" text="Não">
      <formula>NOT(ISERROR(SEARCH("Não",L4)))</formula>
    </cfRule>
    <cfRule type="containsText" dxfId="1061" priority="46" operator="containsText" text="Não">
      <formula>NOT(ISERROR(SEARCH("Não",L4)))</formula>
    </cfRule>
    <cfRule type="containsText" dxfId="1060" priority="47" operator="containsText" text="&quot;Não aplicável&quot;">
      <formula>NOT(ISERROR(SEARCH("""Não aplicável""",L4)))</formula>
    </cfRule>
    <cfRule type="containsText" dxfId="1059" priority="49" operator="containsText" text="&quot;&quot;">
      <formula>NOT(ISERROR(SEARCH("""""",L4)))</formula>
    </cfRule>
    <cfRule type="containsText" dxfId="1058" priority="32" operator="containsText" text="Não">
      <formula>NOT(ISERROR(SEARCH("Não",L4)))</formula>
    </cfRule>
    <cfRule type="cellIs" dxfId="1057" priority="50" operator="equal">
      <formula>"""Não aplicável"""</formula>
    </cfRule>
    <cfRule type="containsText" dxfId="1056" priority="34" operator="containsText" text="Não">
      <formula>NOT(ISERROR(SEARCH("Não",L4)))</formula>
    </cfRule>
    <cfRule type="cellIs" dxfId="1055" priority="51" operator="equal">
      <formula>""""""</formula>
    </cfRule>
    <cfRule type="containsText" dxfId="1054" priority="36" operator="containsText" text="Não">
      <formula>NOT(ISERROR(SEARCH("Não",L4)))</formula>
    </cfRule>
    <cfRule type="containsText" dxfId="1053" priority="37" operator="containsText" text="&quot;Não aplicável&quot;">
      <formula>NOT(ISERROR(SEARCH("""Não aplicável""",L4)))</formula>
    </cfRule>
    <cfRule type="containsText" dxfId="1052" priority="39" operator="containsText" text="&quot;&quot;">
      <formula>NOT(ISERROR(SEARCH("""""",L4)))</formula>
    </cfRule>
    <cfRule type="cellIs" dxfId="1051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1050" priority="42" operator="containsText" text="Não">
      <formula>NOT(ISERROR(SEARCH("Não",L4)))</formula>
    </cfRule>
    <cfRule type="containsText" dxfId="1049" priority="53" operator="containsText" text="Não">
      <formula>NOT(ISERROR(SEARCH("Não",L4)))</formula>
    </cfRule>
    <cfRule type="containsText" dxfId="1048" priority="55" operator="containsText" text="Não">
      <formula>NOT(ISERROR(SEARCH("Não",L4)))</formula>
    </cfRule>
    <cfRule type="containsText" dxfId="1047" priority="56" operator="containsText" text="&quot;Não aplicável&quot;">
      <formula>NOT(ISERROR(SEARCH("""Não aplicável""",L4)))</formula>
    </cfRule>
    <cfRule type="containsText" dxfId="1046" priority="58" operator="containsText" text="&quot;&quot;">
      <formula>NOT(ISERROR(SEARCH("""""",L4)))</formula>
    </cfRule>
    <cfRule type="cellIs" dxfId="1045" priority="59" operator="equal">
      <formula>"""Não aplicável"""</formula>
    </cfRule>
    <cfRule type="cellIs" dxfId="1044" priority="60" operator="equal">
      <formula>""""""</formula>
    </cfRule>
    <cfRule type="cellIs" dxfId="1043" priority="71" operator="greaterThan">
      <formula>0</formula>
    </cfRule>
    <cfRule type="cellIs" dxfId="1042" priority="69" operator="equal">
      <formula>""""""</formula>
    </cfRule>
    <cfRule type="cellIs" dxfId="1041" priority="70" operator="lessThan">
      <formula>0</formula>
    </cfRule>
  </conditionalFormatting>
  <hyperlinks>
    <hyperlink ref="A1" location="Sumário!A1" display="SUMÁRIO" xr:uid="{254C35F3-1150-4A39-9F91-FA1DD5AF08E7}"/>
    <hyperlink ref="A2" location="'Resumo DT Bolsa'!A1" display="Resumo DT" xr:uid="{01F19CFE-B642-48ED-93B3-0BF8C874ED3B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5688-CC2C-40A8-8A78-D859FBE731F1}">
  <dimension ref="A1:M11"/>
  <sheetViews>
    <sheetView zoomScale="115" zoomScaleNormal="115" workbookViewId="0"/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51.1093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44250</v>
      </c>
      <c r="C2" s="35">
        <v>22</v>
      </c>
      <c r="D2" s="5"/>
      <c r="E2" s="136">
        <v>22.97</v>
      </c>
      <c r="F2" s="136">
        <v>2.4900000000000002</v>
      </c>
      <c r="G2" s="111">
        <f>IF(A1="SUMÁRIO",TbPETR3F_ST[[#This Row],[Qtt Compra]],IF(G1+C2-D2&lt;0, "ERRO", G1+C2-D2))</f>
        <v>22</v>
      </c>
      <c r="H2" s="137">
        <f t="shared" ref="H2:H5" si="0">IF(AND(TRUNC((C2+D2)*E2*0.03%,2)=0,OR(C2&gt;0,D2&gt;0)),0.01,ROUNDUP((C2+D2)*E2*0.03%,2))</f>
        <v>0.16</v>
      </c>
      <c r="I2" s="137">
        <f>F2+H2</f>
        <v>2.6500000000000004</v>
      </c>
      <c r="J2" s="15">
        <f t="shared" ref="J2:J4" si="1">IF(A1="SUMÁRIO",E2*C2+I2,J1+IF(C2&gt;0,I2+C2*E2,-D2*K1))</f>
        <v>507.98999999999995</v>
      </c>
      <c r="K2" s="15">
        <f t="shared" ref="K2:K4" si="2">IF(G2=0,0,J2/G2)</f>
        <v>23.090454545454545</v>
      </c>
      <c r="L2" s="116"/>
    </row>
    <row r="3" spans="1:13" x14ac:dyDescent="0.3">
      <c r="B3" s="135">
        <v>44281</v>
      </c>
      <c r="D3" s="35">
        <v>15</v>
      </c>
      <c r="E3" s="136">
        <v>23.36</v>
      </c>
      <c r="F3" s="136">
        <v>2.4900000000000002</v>
      </c>
      <c r="G3" s="111">
        <f>IF(A2="SUMÁRIO",TbPETR3F_ST[[#This Row],[Qtt Compra]],IF(G2+C3-D3&lt;0, "ERRO", G2+C3-D3))</f>
        <v>7</v>
      </c>
      <c r="H3" s="137">
        <f t="shared" si="0"/>
        <v>0.11</v>
      </c>
      <c r="I3" s="137">
        <f t="shared" ref="I3:I4" si="3">F3+H3</f>
        <v>2.6</v>
      </c>
      <c r="J3" s="15">
        <f t="shared" si="1"/>
        <v>161.63318181818175</v>
      </c>
      <c r="K3" s="15">
        <f t="shared" si="2"/>
        <v>23.090454545454538</v>
      </c>
      <c r="L3" s="127">
        <f>IF(D3&gt;0,TRUNC(D3*E3-D3*K2-I3,2),"Não aplicável")</f>
        <v>1.44</v>
      </c>
    </row>
    <row r="4" spans="1:13" x14ac:dyDescent="0.3">
      <c r="B4" s="135">
        <v>44314</v>
      </c>
      <c r="C4" s="35">
        <v>10</v>
      </c>
      <c r="E4" s="136">
        <v>23.31</v>
      </c>
      <c r="F4" s="136">
        <v>0</v>
      </c>
      <c r="G4" s="111">
        <f>IF(A3="SUMÁRIO",TbPETR3F_ST[[#This Row],[Qtt Compra]],IF(G3+C4-D4&lt;0, "ERRO", G3+C4-D4))</f>
        <v>17</v>
      </c>
      <c r="H4" s="137">
        <f t="shared" si="0"/>
        <v>6.9999999999999993E-2</v>
      </c>
      <c r="I4" s="137">
        <f t="shared" si="3"/>
        <v>6.9999999999999993E-2</v>
      </c>
      <c r="J4" s="15">
        <f t="shared" si="1"/>
        <v>394.80318181818177</v>
      </c>
      <c r="K4" s="15">
        <f t="shared" si="2"/>
        <v>23.223716577540102</v>
      </c>
      <c r="L4" s="127" t="str">
        <f>IF(D4&gt;0,TRUNC(D4*E4-D4*K3-I4,2),"Não aplicável")</f>
        <v>Não aplicável</v>
      </c>
      <c r="M4" s="77" t="s">
        <v>203</v>
      </c>
    </row>
    <row r="5" spans="1:13" x14ac:dyDescent="0.3">
      <c r="B5" s="135">
        <v>44377</v>
      </c>
      <c r="D5" s="35">
        <v>12</v>
      </c>
      <c r="E5" s="136">
        <v>30.2</v>
      </c>
      <c r="F5" s="136">
        <v>0</v>
      </c>
      <c r="G5" s="111">
        <f>IF(A4="SUMÁRIO",TbPETR3F_ST[[#This Row],[Qtt Compra]],IF(G4+C5-D5&lt;0, "ERRO", G4+C5-D5))</f>
        <v>5</v>
      </c>
      <c r="H5" s="137">
        <f t="shared" si="0"/>
        <v>0.11</v>
      </c>
      <c r="I5" s="137">
        <f>F5+H5</f>
        <v>0.11</v>
      </c>
      <c r="J5" s="15">
        <f>IF(A4="SUMÁRIO",E5*C5+I5,J4+IF(C5&gt;0,I5+C5*E5,-D5*K4))</f>
        <v>116.11858288770054</v>
      </c>
      <c r="K5" s="15">
        <f>IF(G5=0,0,J5/G5)</f>
        <v>23.22371657754011</v>
      </c>
      <c r="L5" s="127">
        <f>IF(D5&gt;0,TRUNC(D5*E5-D5*K4-I5,2),"Não aplicável")</f>
        <v>83.6</v>
      </c>
    </row>
    <row r="6" spans="1:13" x14ac:dyDescent="0.3">
      <c r="I6" s="137"/>
    </row>
    <row r="7" spans="1:13" x14ac:dyDescent="0.3">
      <c r="I7" s="137"/>
    </row>
    <row r="8" spans="1:13" x14ac:dyDescent="0.3">
      <c r="I8" s="137"/>
    </row>
    <row r="9" spans="1:13" x14ac:dyDescent="0.3">
      <c r="I9" s="137"/>
      <c r="M9" s="64"/>
    </row>
    <row r="10" spans="1:13" x14ac:dyDescent="0.3">
      <c r="I10" s="137"/>
      <c r="M10" s="64"/>
    </row>
    <row r="11" spans="1:13" x14ac:dyDescent="0.3">
      <c r="M11" s="64"/>
    </row>
  </sheetData>
  <conditionalFormatting sqref="L3">
    <cfRule type="cellIs" dxfId="1040" priority="59" operator="lessThan">
      <formula>0</formula>
    </cfRule>
    <cfRule type="cellIs" dxfId="1039" priority="60" operator="greaterThan">
      <formula>0</formula>
    </cfRule>
    <cfRule type="containsText" dxfId="1038" priority="53" operator="containsText" text="&quot;Não aplicável&quot;">
      <formula>NOT(ISERROR(SEARCH("""Não aplicável""",L3)))</formula>
    </cfRule>
    <cfRule type="containsText" dxfId="1037" priority="50" operator="containsText" text="Não">
      <formula>NOT(ISERROR(SEARCH("Não",L3)))</formula>
    </cfRule>
    <cfRule type="containsText" dxfId="1036" priority="55" operator="containsText" text="&quot;&quot;">
      <formula>NOT(ISERROR(SEARCH("""""",L3)))</formula>
    </cfRule>
    <cfRule type="cellIs" dxfId="1035" priority="49" operator="equal">
      <formula>""""""</formula>
    </cfRule>
    <cfRule type="cellIs" dxfId="1034" priority="48" operator="equal">
      <formula>"""Não aplicável"""</formula>
    </cfRule>
    <cfRule type="containsText" dxfId="1033" priority="47" operator="containsText" text="&quot;&quot;">
      <formula>NOT(ISERROR(SEARCH("""""",L3)))</formula>
    </cfRule>
    <cfRule type="containsText" dxfId="1032" priority="45" operator="containsText" text="&quot;Não aplicável&quot;">
      <formula>NOT(ISERROR(SEARCH("""Não aplicável""",L3)))</formula>
    </cfRule>
    <cfRule type="containsText" dxfId="1031" priority="44" operator="containsText" text="Não">
      <formula>NOT(ISERROR(SEARCH("Não",L3)))</formula>
    </cfRule>
    <cfRule type="cellIs" dxfId="1030" priority="56" operator="equal">
      <formula>"""Não aplicável"""</formula>
    </cfRule>
    <cfRule type="containsText" dxfId="1029" priority="42" operator="containsText" text="Não">
      <formula>NOT(ISERROR(SEARCH("Não",L3)))</formula>
    </cfRule>
    <cfRule type="containsText" dxfId="1028" priority="41" operator="containsText" text="Não">
      <formula>NOT(ISERROR(SEARCH("Não",L3)))</formula>
    </cfRule>
    <cfRule type="containsText" dxfId="1027" priority="52" operator="containsText" text="Não">
      <formula>NOT(ISERROR(SEARCH("Não",L3)))</formula>
    </cfRule>
    <cfRule type="cellIs" dxfId="1026" priority="57" operator="equal">
      <formula>""""""</formula>
    </cfRule>
    <cfRule type="cellIs" dxfId="1025" priority="58" operator="equal">
      <formula>""""""</formula>
    </cfRule>
  </conditionalFormatting>
  <conditionalFormatting sqref="L3:L4">
    <cfRule type="containsText" dxfId="1024" priority="25" operator="containsText" text="&quot;&quot;">
      <formula>NOT(ISERROR(SEARCH("""""",L3)))</formula>
    </cfRule>
    <cfRule type="cellIs" dxfId="1023" priority="26" operator="equal">
      <formula>"""Não aplicável"""</formula>
    </cfRule>
    <cfRule type="containsText" dxfId="1022" priority="11" operator="containsText" text="Não">
      <formula>NOT(ISERROR(SEARCH("Não",L3)))</formula>
    </cfRule>
    <cfRule type="containsText" dxfId="1021" priority="20" operator="containsText" text="Não">
      <formula>NOT(ISERROR(SEARCH("Não",L3)))</formula>
    </cfRule>
    <cfRule type="cellIs" dxfId="1020" priority="27" operator="equal">
      <formula>""""""</formula>
    </cfRule>
    <cfRule type="containsText" dxfId="1019" priority="22" operator="containsText" text="Não">
      <formula>NOT(ISERROR(SEARCH("Não",L3)))</formula>
    </cfRule>
    <cfRule type="containsText" dxfId="1018" priority="23" operator="containsText" text="&quot;Não aplicável&quot;">
      <formula>NOT(ISERROR(SEARCH("""Não aplicável""",L3)))</formula>
    </cfRule>
  </conditionalFormatting>
  <conditionalFormatting sqref="L3:L5">
    <cfRule type="containsText" priority="4" operator="containsText" text="Não">
      <formula>NOT(ISERROR(SEARCH("Não",L3)))</formula>
    </cfRule>
    <cfRule type="containsText" priority="7" operator="containsText" text="Não aplicável">
      <formula>NOT(ISERROR(SEARCH("Não aplicável",L3)))</formula>
    </cfRule>
  </conditionalFormatting>
  <conditionalFormatting sqref="L4">
    <cfRule type="containsText" dxfId="1017" priority="3" operator="containsText" text="Não">
      <formula>NOT(ISERROR(SEARCH("Não",L4)))</formula>
    </cfRule>
    <cfRule type="cellIs" dxfId="1016" priority="28" operator="equal">
      <formula>""""""</formula>
    </cfRule>
    <cfRule type="cellIs" dxfId="1015" priority="29" operator="lessThan">
      <formula>0</formula>
    </cfRule>
    <cfRule type="cellIs" dxfId="1014" priority="30" operator="greaterThan">
      <formula>0</formula>
    </cfRule>
    <cfRule type="cellIs" dxfId="1013" priority="19" operator="equal">
      <formula>""""""</formula>
    </cfRule>
    <cfRule type="cellIs" dxfId="1012" priority="18" operator="equal">
      <formula>"""Não aplicável"""</formula>
    </cfRule>
    <cfRule type="containsText" dxfId="1011" priority="17" operator="containsText" text="&quot;&quot;">
      <formula>NOT(ISERROR(SEARCH("""""",L4)))</formula>
    </cfRule>
    <cfRule type="containsText" dxfId="1010" priority="15" operator="containsText" text="&quot;Não aplicável&quot;">
      <formula>NOT(ISERROR(SEARCH("""Não aplicável""",L4)))</formula>
    </cfRule>
    <cfRule type="containsText" dxfId="1009" priority="14" operator="containsText" text="Não">
      <formula>NOT(ISERROR(SEARCH("Não",L4)))</formula>
    </cfRule>
    <cfRule type="containsText" dxfId="1008" priority="1" operator="containsText" text="Não">
      <formula>NOT(ISERROR(SEARCH("Não",L4)))</formula>
    </cfRule>
    <cfRule type="containsText" dxfId="1007" priority="12" operator="containsText" text="Não">
      <formula>NOT(ISERROR(SEARCH("Não",L4)))</formula>
    </cfRule>
    <cfRule type="cellIs" dxfId="1006" priority="10" operator="equal">
      <formula>""""""</formula>
    </cfRule>
    <cfRule type="cellIs" dxfId="1005" priority="9" operator="equal">
      <formula>"""Não aplicável"""</formula>
    </cfRule>
    <cfRule type="containsText" dxfId="1004" priority="8" operator="containsText" text="&quot;&quot;">
      <formula>NOT(ISERROR(SEARCH("""""",L4)))</formula>
    </cfRule>
    <cfRule type="containsText" dxfId="1003" priority="6" operator="containsText" text="&quot;Não aplicável&quot;">
      <formula>NOT(ISERROR(SEARCH("""Não aplicável""",L4)))</formula>
    </cfRule>
    <cfRule type="containsText" dxfId="1002" priority="5" operator="containsText" text="Não">
      <formula>NOT(ISERROR(SEARCH("Não",L4)))</formula>
    </cfRule>
  </conditionalFormatting>
  <conditionalFormatting sqref="L5">
    <cfRule type="cellIs" dxfId="1001" priority="101" operator="equal">
      <formula>""""""</formula>
    </cfRule>
    <cfRule type="containsText" dxfId="1000" priority="95" operator="containsText" text="Não">
      <formula>NOT(ISERROR(SEARCH("Não",L5)))</formula>
    </cfRule>
    <cfRule type="containsText" dxfId="999" priority="93" operator="containsText" text="Não">
      <formula>NOT(ISERROR(SEARCH("Não",L5)))</formula>
    </cfRule>
    <cfRule type="containsText" dxfId="998" priority="92" operator="containsText" text="Não">
      <formula>NOT(ISERROR(SEARCH("Não",L5)))</formula>
    </cfRule>
    <cfRule type="cellIs" dxfId="997" priority="103" operator="greaterThan">
      <formula>0</formula>
    </cfRule>
    <cfRule type="containsText" dxfId="996" priority="96" operator="containsText" text="&quot;Não aplicável&quot;">
      <formula>NOT(ISERROR(SEARCH("""Não aplicável""",L5)))</formula>
    </cfRule>
    <cfRule type="containsText" dxfId="995" priority="98" operator="containsText" text="&quot;&quot;">
      <formula>NOT(ISERROR(SEARCH("""""",L5)))</formula>
    </cfRule>
    <cfRule type="cellIs" dxfId="994" priority="100" operator="equal">
      <formula>""""""</formula>
    </cfRule>
    <cfRule type="cellIs" dxfId="993" priority="99" operator="equal">
      <formula>"""Não aplicável"""</formula>
    </cfRule>
    <cfRule type="cellIs" dxfId="992" priority="102" operator="lessThan">
      <formula>0</formula>
    </cfRule>
  </conditionalFormatting>
  <conditionalFormatting sqref="L5:L6">
    <cfRule type="containsText" dxfId="991" priority="62" operator="containsText" text="Não">
      <formula>NOT(ISERROR(SEARCH("Não",L5)))</formula>
    </cfRule>
  </conditionalFormatting>
  <conditionalFormatting sqref="L5:L7">
    <cfRule type="containsText" priority="68" operator="containsText" text="Não aplicável">
      <formula>NOT(ISERROR(SEARCH("Não aplicável",L5)))</formula>
    </cfRule>
    <cfRule type="containsText" dxfId="990" priority="81" operator="containsText" text="Não">
      <formula>NOT(ISERROR(SEARCH("Não",L5)))</formula>
    </cfRule>
    <cfRule type="containsText" dxfId="989" priority="83" operator="containsText" text="Não">
      <formula>NOT(ISERROR(SEARCH("Não",L5)))</formula>
    </cfRule>
    <cfRule type="containsText" dxfId="988" priority="84" operator="containsText" text="&quot;Não aplicável&quot;">
      <formula>NOT(ISERROR(SEARCH("""Não aplicável""",L5)))</formula>
    </cfRule>
    <cfRule type="containsText" dxfId="987" priority="86" operator="containsText" text="&quot;&quot;">
      <formula>NOT(ISERROR(SEARCH("""""",L5)))</formula>
    </cfRule>
    <cfRule type="cellIs" dxfId="986" priority="87" operator="equal">
      <formula>"""Não aplicável"""</formula>
    </cfRule>
    <cfRule type="cellIs" dxfId="985" priority="88" operator="equal">
      <formula>""""""</formula>
    </cfRule>
    <cfRule type="containsText" priority="65" operator="containsText" text="Não">
      <formula>NOT(ISERROR(SEARCH("Não",L5)))</formula>
    </cfRule>
  </conditionalFormatting>
  <conditionalFormatting sqref="L6">
    <cfRule type="containsText" dxfId="984" priority="67" operator="containsText" text="&quot;Não aplicável&quot;">
      <formula>NOT(ISERROR(SEARCH("""Não aplicável""",L6)))</formula>
    </cfRule>
    <cfRule type="containsText" dxfId="983" priority="78" operator="containsText" text="&quot;&quot;">
      <formula>NOT(ISERROR(SEARCH("""""",L6)))</formula>
    </cfRule>
    <cfRule type="containsText" dxfId="982" priority="64" operator="containsText" text="Não">
      <formula>NOT(ISERROR(SEARCH("Não",L6)))</formula>
    </cfRule>
    <cfRule type="containsText" dxfId="981" priority="75" operator="containsText" text="Não">
      <formula>NOT(ISERROR(SEARCH("Não",L6)))</formula>
    </cfRule>
    <cfRule type="containsText" dxfId="980" priority="66" operator="containsText" text="Não">
      <formula>NOT(ISERROR(SEARCH("Não",L6)))</formula>
    </cfRule>
    <cfRule type="containsText" dxfId="979" priority="76" operator="containsText" text="&quot;Não aplicável&quot;">
      <formula>NOT(ISERROR(SEARCH("""Não aplicável""",L6)))</formula>
    </cfRule>
    <cfRule type="containsText" dxfId="978" priority="69" operator="containsText" text="&quot;&quot;">
      <formula>NOT(ISERROR(SEARCH("""""",L6)))</formula>
    </cfRule>
    <cfRule type="cellIs" dxfId="977" priority="70" operator="equal">
      <formula>"""Não aplicável"""</formula>
    </cfRule>
    <cfRule type="cellIs" dxfId="976" priority="71" operator="equal">
      <formula>""""""</formula>
    </cfRule>
    <cfRule type="cellIs" dxfId="975" priority="80" operator="equal">
      <formula>""""""</formula>
    </cfRule>
    <cfRule type="containsText" dxfId="974" priority="73" operator="containsText" text="Não">
      <formula>NOT(ISERROR(SEARCH("Não",L6)))</formula>
    </cfRule>
    <cfRule type="cellIs" dxfId="973" priority="79" operator="equal">
      <formula>"""Não aplicável"""</formula>
    </cfRule>
  </conditionalFormatting>
  <conditionalFormatting sqref="L6:L7">
    <cfRule type="containsText" dxfId="972" priority="72" operator="containsText" text="Não">
      <formula>NOT(ISERROR(SEARCH("Não",L6)))</formula>
    </cfRule>
    <cfRule type="cellIs" dxfId="971" priority="89" operator="equal">
      <formula>""""""</formula>
    </cfRule>
    <cfRule type="cellIs" dxfId="970" priority="90" operator="lessThan">
      <formula>0</formula>
    </cfRule>
    <cfRule type="cellIs" dxfId="969" priority="91" operator="greaterThan">
      <formula>0</formula>
    </cfRule>
  </conditionalFormatting>
  <hyperlinks>
    <hyperlink ref="A1" location="Sumário!A1" display="SUMÁRIO" xr:uid="{28DDC4A9-B4CC-4B9A-8E5D-526C14217A3B}"/>
    <hyperlink ref="A2" location="'Resumo ST Bolsa'!A1" display="Resumo ST" xr:uid="{D1F5CB52-0AEC-49A1-95F2-F14BD8185636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82A1A-FE9D-4A3F-A2FA-36F0B6664B65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IF(A1="SUMÁRIO",TbBBAS3_DT[[#This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IF(A2="SUMÁRIO",TbBBAS3_DT[[#This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B1:B1048576">
    <cfRule type="cellIs" dxfId="968" priority="31" operator="lessThan">
      <formula>$B$2</formula>
    </cfRule>
  </conditionalFormatting>
  <conditionalFormatting sqref="L3">
    <cfRule type="containsText" dxfId="967" priority="1" operator="containsText" text="Não">
      <formula>NOT(ISERROR(SEARCH("Não",L3)))</formula>
    </cfRule>
    <cfRule type="cellIs" dxfId="966" priority="27" operator="equal">
      <formula>""""""</formula>
    </cfRule>
    <cfRule type="containsText" dxfId="965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964" priority="5" operator="containsText" text="Não">
      <formula>NOT(ISERROR(SEARCH("Não",L3)))</formula>
    </cfRule>
    <cfRule type="containsText" dxfId="963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962" priority="8" operator="containsText" text="&quot;&quot;">
      <formula>NOT(ISERROR(SEARCH("""""",L3)))</formula>
    </cfRule>
    <cfRule type="cellIs" dxfId="961" priority="9" operator="equal">
      <formula>"""Não aplicável"""</formula>
    </cfRule>
    <cfRule type="cellIs" dxfId="960" priority="10" operator="equal">
      <formula>""""""</formula>
    </cfRule>
    <cfRule type="containsText" dxfId="959" priority="11" operator="containsText" text="Não">
      <formula>NOT(ISERROR(SEARCH("Não",L3)))</formula>
    </cfRule>
    <cfRule type="containsText" dxfId="958" priority="12" operator="containsText" text="Não">
      <formula>NOT(ISERROR(SEARCH("Não",L3)))</formula>
    </cfRule>
    <cfRule type="cellIs" dxfId="957" priority="28" operator="equal">
      <formula>""""""</formula>
    </cfRule>
    <cfRule type="containsText" dxfId="956" priority="14" operator="containsText" text="Não">
      <formula>NOT(ISERROR(SEARCH("Não",L3)))</formula>
    </cfRule>
    <cfRule type="containsText" dxfId="955" priority="15" operator="containsText" text="&quot;Não aplicável&quot;">
      <formula>NOT(ISERROR(SEARCH("""Não aplicável""",L3)))</formula>
    </cfRule>
    <cfRule type="cellIs" dxfId="954" priority="29" operator="lessThan">
      <formula>0</formula>
    </cfRule>
    <cfRule type="containsText" dxfId="953" priority="17" operator="containsText" text="&quot;&quot;">
      <formula>NOT(ISERROR(SEARCH("""""",L3)))</formula>
    </cfRule>
    <cfRule type="cellIs" dxfId="952" priority="18" operator="equal">
      <formula>"""Não aplicável"""</formula>
    </cfRule>
    <cfRule type="cellIs" dxfId="951" priority="19" operator="equal">
      <formula>""""""</formula>
    </cfRule>
    <cfRule type="containsText" dxfId="950" priority="20" operator="containsText" text="Não">
      <formula>NOT(ISERROR(SEARCH("Não",L3)))</formula>
    </cfRule>
    <cfRule type="cellIs" dxfId="949" priority="30" operator="greaterThan">
      <formula>0</formula>
    </cfRule>
    <cfRule type="containsText" dxfId="948" priority="22" operator="containsText" text="Não">
      <formula>NOT(ISERROR(SEARCH("Não",L3)))</formula>
    </cfRule>
    <cfRule type="containsText" dxfId="947" priority="23" operator="containsText" text="&quot;Não aplicável&quot;">
      <formula>NOT(ISERROR(SEARCH("""Não aplicável""",L3)))</formula>
    </cfRule>
    <cfRule type="containsText" dxfId="946" priority="25" operator="containsText" text="&quot;&quot;">
      <formula>NOT(ISERROR(SEARCH("""""",L3)))</formula>
    </cfRule>
    <cfRule type="cellIs" dxfId="945" priority="26" operator="equal">
      <formula>"""Não aplicável"""</formula>
    </cfRule>
  </conditionalFormatting>
  <conditionalFormatting sqref="L4">
    <cfRule type="cellIs" dxfId="944" priority="41" operator="equal">
      <formula>""""""</formula>
    </cfRule>
    <cfRule type="containsText" dxfId="943" priority="44" operator="containsText" text="Não">
      <formula>NOT(ISERROR(SEARCH("Não",L4)))</formula>
    </cfRule>
    <cfRule type="containsText" dxfId="942" priority="46" operator="containsText" text="Não">
      <formula>NOT(ISERROR(SEARCH("Não",L4)))</formula>
    </cfRule>
    <cfRule type="containsText" dxfId="941" priority="47" operator="containsText" text="&quot;Não aplicável&quot;">
      <formula>NOT(ISERROR(SEARCH("""Não aplicável""",L4)))</formula>
    </cfRule>
    <cfRule type="containsText" dxfId="940" priority="49" operator="containsText" text="&quot;&quot;">
      <formula>NOT(ISERROR(SEARCH("""""",L4)))</formula>
    </cfRule>
    <cfRule type="containsText" dxfId="939" priority="32" operator="containsText" text="Não">
      <formula>NOT(ISERROR(SEARCH("Não",L4)))</formula>
    </cfRule>
    <cfRule type="cellIs" dxfId="938" priority="50" operator="equal">
      <formula>"""Não aplicável"""</formula>
    </cfRule>
    <cfRule type="containsText" dxfId="937" priority="34" operator="containsText" text="Não">
      <formula>NOT(ISERROR(SEARCH("Não",L4)))</formula>
    </cfRule>
    <cfRule type="cellIs" dxfId="936" priority="51" operator="equal">
      <formula>""""""</formula>
    </cfRule>
    <cfRule type="containsText" dxfId="935" priority="36" operator="containsText" text="Não">
      <formula>NOT(ISERROR(SEARCH("Não",L4)))</formula>
    </cfRule>
    <cfRule type="containsText" dxfId="934" priority="37" operator="containsText" text="&quot;Não aplicável&quot;">
      <formula>NOT(ISERROR(SEARCH("""Não aplicável""",L4)))</formula>
    </cfRule>
    <cfRule type="containsText" dxfId="933" priority="39" operator="containsText" text="&quot;&quot;">
      <formula>NOT(ISERROR(SEARCH("""""",L4)))</formula>
    </cfRule>
    <cfRule type="cellIs" dxfId="932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931" priority="42" operator="containsText" text="Não">
      <formula>NOT(ISERROR(SEARCH("Não",L4)))</formula>
    </cfRule>
    <cfRule type="containsText" dxfId="930" priority="53" operator="containsText" text="Não">
      <formula>NOT(ISERROR(SEARCH("Não",L4)))</formula>
    </cfRule>
    <cfRule type="containsText" dxfId="929" priority="55" operator="containsText" text="Não">
      <formula>NOT(ISERROR(SEARCH("Não",L4)))</formula>
    </cfRule>
    <cfRule type="containsText" dxfId="928" priority="56" operator="containsText" text="&quot;Não aplicável&quot;">
      <formula>NOT(ISERROR(SEARCH("""Não aplicável""",L4)))</formula>
    </cfRule>
    <cfRule type="containsText" dxfId="927" priority="58" operator="containsText" text="&quot;&quot;">
      <formula>NOT(ISERROR(SEARCH("""""",L4)))</formula>
    </cfRule>
    <cfRule type="cellIs" dxfId="926" priority="59" operator="equal">
      <formula>"""Não aplicável"""</formula>
    </cfRule>
    <cfRule type="cellIs" dxfId="925" priority="60" operator="equal">
      <formula>""""""</formula>
    </cfRule>
    <cfRule type="cellIs" dxfId="924" priority="71" operator="greaterThan">
      <formula>0</formula>
    </cfRule>
    <cfRule type="cellIs" dxfId="923" priority="69" operator="equal">
      <formula>""""""</formula>
    </cfRule>
    <cfRule type="cellIs" dxfId="922" priority="70" operator="lessThan">
      <formula>0</formula>
    </cfRule>
  </conditionalFormatting>
  <hyperlinks>
    <hyperlink ref="A1" location="Sumário!A1" display="SUMÁRIO" xr:uid="{92FA3FED-0AC8-4D4B-948C-0A40DB2BF899}"/>
    <hyperlink ref="A2" location="'Resumo DT Bolsa'!A1" display="Resumo DT" xr:uid="{73853E31-8937-41E3-89C0-A55DE7A7A3BC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E4719-86DC-422C-AC0D-EF3EE726596E}">
  <dimension ref="A1:M10"/>
  <sheetViews>
    <sheetView zoomScale="130" zoomScaleNormal="130" workbookViewId="0"/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44314</v>
      </c>
      <c r="C2" s="35">
        <v>4</v>
      </c>
      <c r="D2" s="5"/>
      <c r="E2" s="136">
        <v>30.2</v>
      </c>
      <c r="F2" s="136">
        <v>0</v>
      </c>
      <c r="G2" s="111">
        <f>IF(A1="SUMÁRIO",TbBBAS3_ST[[#This Row],[Qtt Compra]],IF(G1+C2-D2&lt;0, "ERRO", G1+C2-D2))</f>
        <v>4</v>
      </c>
      <c r="H2" s="137">
        <f t="shared" ref="H2:H3" si="0">IF(AND(TRUNC((C2+D2)*E2*0.03%,2)=0,OR(C2&gt;0,D2&gt;0)),0.01,ROUNDUP((C2+D2)*E2*0.03%,2))</f>
        <v>0.04</v>
      </c>
      <c r="I2" s="137">
        <f>F2+H2</f>
        <v>0.04</v>
      </c>
      <c r="J2" s="15">
        <f t="shared" ref="J2:J3" si="1">IF(A1="SUMÁRIO",E2*C2+I2,J1+IF(C2&gt;0,I2+C2*E2,-D2*K1))</f>
        <v>120.84</v>
      </c>
      <c r="K2" s="15">
        <f t="shared" ref="K2:K3" si="2">IF(G2=0,0,J2/G2)</f>
        <v>30.21</v>
      </c>
      <c r="L2" s="116"/>
    </row>
    <row r="3" spans="1:13" x14ac:dyDescent="0.3">
      <c r="B3" s="135">
        <v>44375.56527777778</v>
      </c>
      <c r="C3" s="35">
        <v>3</v>
      </c>
      <c r="E3" s="136">
        <v>32.35</v>
      </c>
      <c r="F3" s="136">
        <v>0</v>
      </c>
      <c r="G3" s="111">
        <f>IF(A2="SUMÁRIO",TbBBAS3_ST[[#This Row],[Qtt Compra]],IF(G2+C3-D3&lt;0, "ERRO", G2+C3-D3))</f>
        <v>7</v>
      </c>
      <c r="H3" s="137">
        <f t="shared" si="0"/>
        <v>0.03</v>
      </c>
      <c r="I3" s="137">
        <f t="shared" ref="I3" si="3">F3+H3</f>
        <v>0.03</v>
      </c>
      <c r="J3" s="15">
        <f t="shared" si="1"/>
        <v>217.92000000000002</v>
      </c>
      <c r="K3" s="15">
        <f t="shared" si="2"/>
        <v>31.131428571428575</v>
      </c>
      <c r="L3" s="127" t="str">
        <f>IF(D3&gt;0,TRUNC(D3*E3-D3*K2-I3,2),"Não aplicável")</f>
        <v>Não aplicável</v>
      </c>
    </row>
    <row r="4" spans="1:13" x14ac:dyDescent="0.3">
      <c r="I4" s="137"/>
      <c r="L4" s="127"/>
    </row>
    <row r="5" spans="1:13" x14ac:dyDescent="0.3">
      <c r="I5" s="137"/>
      <c r="L5" s="127"/>
    </row>
    <row r="6" spans="1:13" x14ac:dyDescent="0.3">
      <c r="I6" s="137"/>
      <c r="L6" s="127"/>
    </row>
    <row r="7" spans="1:13" x14ac:dyDescent="0.3">
      <c r="I7" s="137"/>
      <c r="L7" s="12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921" priority="1" operator="containsText" text="Não">
      <formula>NOT(ISERROR(SEARCH("Não",L3)))</formula>
    </cfRule>
    <cfRule type="cellIs" dxfId="920" priority="26" operator="equal">
      <formula>"""Não aplicável"""</formula>
    </cfRule>
    <cfRule type="containsText" dxfId="919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918" priority="5" operator="containsText" text="Não">
      <formula>NOT(ISERROR(SEARCH("Não",L3)))</formula>
    </cfRule>
    <cfRule type="containsText" dxfId="917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916" priority="8" operator="containsText" text="&quot;&quot;">
      <formula>NOT(ISERROR(SEARCH("""""",L3)))</formula>
    </cfRule>
    <cfRule type="cellIs" dxfId="915" priority="9" operator="equal">
      <formula>"""Não aplicável"""</formula>
    </cfRule>
    <cfRule type="cellIs" dxfId="914" priority="10" operator="equal">
      <formula>""""""</formula>
    </cfRule>
    <cfRule type="containsText" dxfId="913" priority="11" operator="containsText" text="Não">
      <formula>NOT(ISERROR(SEARCH("Não",L3)))</formula>
    </cfRule>
    <cfRule type="containsText" dxfId="912" priority="12" operator="containsText" text="Não">
      <formula>NOT(ISERROR(SEARCH("Não",L3)))</formula>
    </cfRule>
    <cfRule type="cellIs" dxfId="911" priority="27" operator="equal">
      <formula>""""""</formula>
    </cfRule>
    <cfRule type="containsText" dxfId="910" priority="14" operator="containsText" text="Não">
      <formula>NOT(ISERROR(SEARCH("Não",L3)))</formula>
    </cfRule>
    <cfRule type="containsText" dxfId="909" priority="15" operator="containsText" text="&quot;Não aplicável&quot;">
      <formula>NOT(ISERROR(SEARCH("""Não aplicável""",L3)))</formula>
    </cfRule>
    <cfRule type="cellIs" dxfId="908" priority="28" operator="equal">
      <formula>""""""</formula>
    </cfRule>
    <cfRule type="containsText" dxfId="907" priority="17" operator="containsText" text="&quot;&quot;">
      <formula>NOT(ISERROR(SEARCH("""""",L3)))</formula>
    </cfRule>
    <cfRule type="cellIs" dxfId="906" priority="18" operator="equal">
      <formula>"""Não aplicável"""</formula>
    </cfRule>
    <cfRule type="cellIs" dxfId="905" priority="19" operator="equal">
      <formula>""""""</formula>
    </cfRule>
    <cfRule type="containsText" dxfId="904" priority="20" operator="containsText" text="Não">
      <formula>NOT(ISERROR(SEARCH("Não",L3)))</formula>
    </cfRule>
    <cfRule type="cellIs" dxfId="903" priority="29" operator="lessThan">
      <formula>0</formula>
    </cfRule>
    <cfRule type="containsText" dxfId="902" priority="22" operator="containsText" text="Não">
      <formula>NOT(ISERROR(SEARCH("Não",L3)))</formula>
    </cfRule>
    <cfRule type="containsText" dxfId="901" priority="23" operator="containsText" text="&quot;Não aplicável&quot;">
      <formula>NOT(ISERROR(SEARCH("""Não aplicável""",L3)))</formula>
    </cfRule>
    <cfRule type="cellIs" dxfId="900" priority="30" operator="greaterThan">
      <formula>0</formula>
    </cfRule>
    <cfRule type="containsText" dxfId="899" priority="25" operator="containsText" text="&quot;&quot;">
      <formula>NOT(ISERROR(SEARCH("""""",L3)))</formula>
    </cfRule>
  </conditionalFormatting>
  <conditionalFormatting sqref="L4:L7">
    <cfRule type="cellIs" dxfId="898" priority="56" operator="equal">
      <formula>"""Não aplicável"""</formula>
    </cfRule>
    <cfRule type="cellIs" dxfId="897" priority="57" operator="equal">
      <formula>""""""</formula>
    </cfRule>
    <cfRule type="cellIs" dxfId="896" priority="58" operator="equal">
      <formula>""""""</formula>
    </cfRule>
    <cfRule type="cellIs" dxfId="895" priority="59" operator="lessThan">
      <formula>0</formula>
    </cfRule>
    <cfRule type="containsText" dxfId="894" priority="31" operator="containsText" text="Não">
      <formula>NOT(ISERROR(SEARCH("Não",L4)))</formula>
    </cfRule>
    <cfRule type="containsText" dxfId="893" priority="38" operator="containsText" text="&quot;&quot;">
      <formula>NOT(ISERROR(SEARCH("""""",L4)))</formula>
    </cfRule>
    <cfRule type="containsText" dxfId="892" priority="33" operator="containsText" text="Não">
      <formula>NOT(ISERROR(SEARCH("Não",L4)))</formula>
    </cfRule>
    <cfRule type="containsText" priority="34" operator="containsText" text="Não">
      <formula>NOT(ISERROR(SEARCH("Não",L4)))</formula>
    </cfRule>
    <cfRule type="containsText" dxfId="891" priority="35" operator="containsText" text="Não">
      <formula>NOT(ISERROR(SEARCH("Não",L4)))</formula>
    </cfRule>
    <cfRule type="containsText" dxfId="890" priority="36" operator="containsText" text="&quot;Não aplicável&quot;">
      <formula>NOT(ISERROR(SEARCH("""Não aplicável""",L4)))</formula>
    </cfRule>
    <cfRule type="containsText" priority="37" operator="containsText" text="Não aplicável">
      <formula>NOT(ISERROR(SEARCH("Não aplicável",L4)))</formula>
    </cfRule>
    <cfRule type="cellIs" dxfId="889" priority="39" operator="equal">
      <formula>"""Não aplicável"""</formula>
    </cfRule>
    <cfRule type="cellIs" dxfId="888" priority="40" operator="equal">
      <formula>""""""</formula>
    </cfRule>
    <cfRule type="containsText" dxfId="887" priority="41" operator="containsText" text="Não">
      <formula>NOT(ISERROR(SEARCH("Não",L4)))</formula>
    </cfRule>
    <cfRule type="containsText" dxfId="886" priority="42" operator="containsText" text="Não">
      <formula>NOT(ISERROR(SEARCH("Não",L4)))</formula>
    </cfRule>
    <cfRule type="containsText" dxfId="885" priority="44" operator="containsText" text="Não">
      <formula>NOT(ISERROR(SEARCH("Não",L4)))</formula>
    </cfRule>
    <cfRule type="containsText" dxfId="884" priority="45" operator="containsText" text="&quot;Não aplicável&quot;">
      <formula>NOT(ISERROR(SEARCH("""Não aplicável""",L4)))</formula>
    </cfRule>
    <cfRule type="containsText" dxfId="883" priority="53" operator="containsText" text="&quot;Não aplicável&quot;">
      <formula>NOT(ISERROR(SEARCH("""Não aplicável""",L4)))</formula>
    </cfRule>
    <cfRule type="containsText" dxfId="882" priority="47" operator="containsText" text="&quot;&quot;">
      <formula>NOT(ISERROR(SEARCH("""""",L4)))</formula>
    </cfRule>
    <cfRule type="cellIs" dxfId="881" priority="48" operator="equal">
      <formula>"""Não aplicável"""</formula>
    </cfRule>
    <cfRule type="cellIs" dxfId="880" priority="49" operator="equal">
      <formula>""""""</formula>
    </cfRule>
    <cfRule type="containsText" dxfId="879" priority="50" operator="containsText" text="Não">
      <formula>NOT(ISERROR(SEARCH("Não",L4)))</formula>
    </cfRule>
    <cfRule type="containsText" dxfId="878" priority="52" operator="containsText" text="Não">
      <formula>NOT(ISERROR(SEARCH("Não",L4)))</formula>
    </cfRule>
    <cfRule type="cellIs" dxfId="877" priority="60" operator="greaterThan">
      <formula>0</formula>
    </cfRule>
    <cfRule type="containsText" dxfId="876" priority="55" operator="containsText" text="&quot;&quot;">
      <formula>NOT(ISERROR(SEARCH("""""",L4)))</formula>
    </cfRule>
  </conditionalFormatting>
  <hyperlinks>
    <hyperlink ref="A1" location="Sumário!A1" display="SUMÁRIO" xr:uid="{8C18EA63-F7FE-4633-A2C3-70514C371E09}"/>
    <hyperlink ref="A2" location="'Resumo ST Bolsa'!A1" display="Resumo ST" xr:uid="{B690BFAB-0203-4621-B6DC-C2D67E1CA991}"/>
  </hyperlinks>
  <pageMargins left="0.511811024" right="0.511811024" top="0.78740157499999996" bottom="0.78740157499999996" header="0.31496062000000002" footer="0.31496062000000002"/>
  <pageSetup orientation="portrait" horizontalDpi="0" verticalDpi="0" r:id="rId1"/>
  <ignoredErrors>
    <ignoredError sqref="E2:E3" calculatedColumn="1"/>
  </ignoredErrors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84F34-B69B-4A06-8BC0-54B7BEDA9A42}">
  <dimension ref="A1:M10"/>
  <sheetViews>
    <sheetView zoomScale="115" zoomScaleNormal="115" workbookViewId="0"/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B2" s="135">
        <v>44235</v>
      </c>
      <c r="C2" s="35">
        <v>1</v>
      </c>
      <c r="D2" s="5"/>
      <c r="E2" s="136">
        <v>28.34</v>
      </c>
      <c r="F2" s="136">
        <v>2.4900000000000002</v>
      </c>
      <c r="G2" s="111">
        <f>IF(A1="SUMÁRIO",TbBBSE3F_DT[[#This Row],[Qtt Compra]],IF(G1+C2-D2&lt;0, "ERRO", G1+C2-D2))</f>
        <v>1</v>
      </c>
      <c r="H2" s="137">
        <f t="shared" ref="H2:H3" si="0">IF(AND(TRUNC((C2+D2)*E2*0.03%,2)=0,OR(C2&gt;0,D2&gt;0)),0.01,ROUNDUP((C2+D2)*E2*0.03%,2))</f>
        <v>0.01</v>
      </c>
      <c r="I2" s="137">
        <f>F2+H2</f>
        <v>2.5</v>
      </c>
      <c r="J2" s="15">
        <f t="shared" ref="J2:J3" si="1">IF(A1="SUMÁRIO",E2*C2+I2,J1+IF(C2&gt;0,I2+C2*E2,-D2*K1))</f>
        <v>30.84</v>
      </c>
      <c r="K2" s="15">
        <f t="shared" ref="K2:K3" si="2">IF(G2=0,0,J2/G2)</f>
        <v>30.84</v>
      </c>
      <c r="L2" s="116"/>
    </row>
    <row r="3" spans="1:13" x14ac:dyDescent="0.3">
      <c r="B3" s="135">
        <v>44235</v>
      </c>
      <c r="D3" s="35">
        <v>1</v>
      </c>
      <c r="E3" s="136">
        <v>28.07</v>
      </c>
      <c r="F3" s="136">
        <v>2.4900000000000002</v>
      </c>
      <c r="G3" s="111">
        <f>IF(A2="SUMÁRIO",TbBBSE3F_DT[[#This Row],[Qtt Compra]],IF(G2+C3-D3&lt;0, "ERRO", G2+C3-D3))</f>
        <v>0</v>
      </c>
      <c r="H3" s="137">
        <f t="shared" si="0"/>
        <v>0.01</v>
      </c>
      <c r="I3" s="137">
        <f t="shared" ref="I3" si="3">F3+H3</f>
        <v>2.5</v>
      </c>
      <c r="J3" s="15">
        <f t="shared" si="1"/>
        <v>0</v>
      </c>
      <c r="K3" s="15">
        <f t="shared" si="2"/>
        <v>0</v>
      </c>
      <c r="L3" s="127">
        <f>IF(D3&gt;0,TRUNC(D3*E3-D3*K2-I3,2),"Não aplicável")</f>
        <v>-5.27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875" priority="1" operator="containsText" text="Não">
      <formula>NOT(ISERROR(SEARCH("Não",L3)))</formula>
    </cfRule>
    <cfRule type="cellIs" dxfId="874" priority="26" operator="equal">
      <formula>"""Não aplicável"""</formula>
    </cfRule>
    <cfRule type="containsText" dxfId="873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872" priority="5" operator="containsText" text="Não">
      <formula>NOT(ISERROR(SEARCH("Não",L3)))</formula>
    </cfRule>
    <cfRule type="containsText" dxfId="871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870" priority="8" operator="containsText" text="&quot;&quot;">
      <formula>NOT(ISERROR(SEARCH("""""",L3)))</formula>
    </cfRule>
    <cfRule type="cellIs" dxfId="869" priority="9" operator="equal">
      <formula>"""Não aplicável"""</formula>
    </cfRule>
    <cfRule type="cellIs" dxfId="868" priority="10" operator="equal">
      <formula>""""""</formula>
    </cfRule>
    <cfRule type="containsText" dxfId="867" priority="11" operator="containsText" text="Não">
      <formula>NOT(ISERROR(SEARCH("Não",L3)))</formula>
    </cfRule>
    <cfRule type="containsText" dxfId="866" priority="12" operator="containsText" text="Não">
      <formula>NOT(ISERROR(SEARCH("Não",L3)))</formula>
    </cfRule>
    <cfRule type="cellIs" dxfId="865" priority="27" operator="equal">
      <formula>""""""</formula>
    </cfRule>
    <cfRule type="containsText" dxfId="864" priority="14" operator="containsText" text="Não">
      <formula>NOT(ISERROR(SEARCH("Não",L3)))</formula>
    </cfRule>
    <cfRule type="containsText" dxfId="863" priority="15" operator="containsText" text="&quot;Não aplicável&quot;">
      <formula>NOT(ISERROR(SEARCH("""Não aplicável""",L3)))</formula>
    </cfRule>
    <cfRule type="cellIs" dxfId="862" priority="28" operator="equal">
      <formula>""""""</formula>
    </cfRule>
    <cfRule type="containsText" dxfId="861" priority="17" operator="containsText" text="&quot;&quot;">
      <formula>NOT(ISERROR(SEARCH("""""",L3)))</formula>
    </cfRule>
    <cfRule type="cellIs" dxfId="860" priority="18" operator="equal">
      <formula>"""Não aplicável"""</formula>
    </cfRule>
    <cfRule type="cellIs" dxfId="859" priority="19" operator="equal">
      <formula>""""""</formula>
    </cfRule>
    <cfRule type="containsText" dxfId="858" priority="20" operator="containsText" text="Não">
      <formula>NOT(ISERROR(SEARCH("Não",L3)))</formula>
    </cfRule>
    <cfRule type="cellIs" dxfId="857" priority="29" operator="lessThan">
      <formula>0</formula>
    </cfRule>
    <cfRule type="containsText" dxfId="856" priority="22" operator="containsText" text="Não">
      <formula>NOT(ISERROR(SEARCH("Não",L3)))</formula>
    </cfRule>
    <cfRule type="containsText" dxfId="855" priority="23" operator="containsText" text="&quot;Não aplicável&quot;">
      <formula>NOT(ISERROR(SEARCH("""Não aplicável""",L3)))</formula>
    </cfRule>
    <cfRule type="cellIs" dxfId="854" priority="30" operator="greaterThan">
      <formula>0</formula>
    </cfRule>
    <cfRule type="containsText" dxfId="853" priority="25" operator="containsText" text="&quot;&quot;">
      <formula>NOT(ISERROR(SEARCH("""""",L3)))</formula>
    </cfRule>
  </conditionalFormatting>
  <conditionalFormatting sqref="L4">
    <cfRule type="cellIs" dxfId="852" priority="41" operator="equal">
      <formula>""""""</formula>
    </cfRule>
    <cfRule type="containsText" dxfId="851" priority="44" operator="containsText" text="Não">
      <formula>NOT(ISERROR(SEARCH("Não",L4)))</formula>
    </cfRule>
    <cfRule type="containsText" dxfId="850" priority="46" operator="containsText" text="Não">
      <formula>NOT(ISERROR(SEARCH("Não",L4)))</formula>
    </cfRule>
    <cfRule type="containsText" dxfId="849" priority="47" operator="containsText" text="&quot;Não aplicável&quot;">
      <formula>NOT(ISERROR(SEARCH("""Não aplicável""",L4)))</formula>
    </cfRule>
    <cfRule type="containsText" dxfId="848" priority="49" operator="containsText" text="&quot;&quot;">
      <formula>NOT(ISERROR(SEARCH("""""",L4)))</formula>
    </cfRule>
    <cfRule type="containsText" dxfId="847" priority="32" operator="containsText" text="Não">
      <formula>NOT(ISERROR(SEARCH("Não",L4)))</formula>
    </cfRule>
    <cfRule type="cellIs" dxfId="846" priority="50" operator="equal">
      <formula>"""Não aplicável"""</formula>
    </cfRule>
    <cfRule type="containsText" dxfId="845" priority="34" operator="containsText" text="Não">
      <formula>NOT(ISERROR(SEARCH("Não",L4)))</formula>
    </cfRule>
    <cfRule type="cellIs" dxfId="844" priority="51" operator="equal">
      <formula>""""""</formula>
    </cfRule>
    <cfRule type="containsText" dxfId="843" priority="36" operator="containsText" text="Não">
      <formula>NOT(ISERROR(SEARCH("Não",L4)))</formula>
    </cfRule>
    <cfRule type="containsText" dxfId="842" priority="37" operator="containsText" text="&quot;Não aplicável&quot;">
      <formula>NOT(ISERROR(SEARCH("""Não aplicável""",L4)))</formula>
    </cfRule>
    <cfRule type="containsText" dxfId="841" priority="39" operator="containsText" text="&quot;&quot;">
      <formula>NOT(ISERROR(SEARCH("""""",L4)))</formula>
    </cfRule>
    <cfRule type="cellIs" dxfId="840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839" priority="42" operator="containsText" text="Não">
      <formula>NOT(ISERROR(SEARCH("Não",L4)))</formula>
    </cfRule>
    <cfRule type="containsText" dxfId="838" priority="53" operator="containsText" text="Não">
      <formula>NOT(ISERROR(SEARCH("Não",L4)))</formula>
    </cfRule>
    <cfRule type="containsText" dxfId="837" priority="55" operator="containsText" text="Não">
      <formula>NOT(ISERROR(SEARCH("Não",L4)))</formula>
    </cfRule>
    <cfRule type="containsText" dxfId="836" priority="56" operator="containsText" text="&quot;Não aplicável&quot;">
      <formula>NOT(ISERROR(SEARCH("""Não aplicável""",L4)))</formula>
    </cfRule>
    <cfRule type="containsText" dxfId="835" priority="58" operator="containsText" text="&quot;&quot;">
      <formula>NOT(ISERROR(SEARCH("""""",L4)))</formula>
    </cfRule>
    <cfRule type="cellIs" dxfId="834" priority="59" operator="equal">
      <formula>"""Não aplicável"""</formula>
    </cfRule>
    <cfRule type="cellIs" dxfId="833" priority="60" operator="equal">
      <formula>""""""</formula>
    </cfRule>
    <cfRule type="cellIs" dxfId="832" priority="71" operator="greaterThan">
      <formula>0</formula>
    </cfRule>
    <cfRule type="cellIs" dxfId="831" priority="69" operator="equal">
      <formula>""""""</formula>
    </cfRule>
    <cfRule type="cellIs" dxfId="830" priority="70" operator="lessThan">
      <formula>0</formula>
    </cfRule>
  </conditionalFormatting>
  <hyperlinks>
    <hyperlink ref="A1" location="Sumário!A1" display="SUMÁRIO" xr:uid="{6DD80D31-B507-4AC7-81BB-B6A0B0107DD7}"/>
    <hyperlink ref="A2" location="'Resumo DT Bolsa'!A1" display="Resumo DT" xr:uid="{6F3D31E7-F1A0-4C17-9142-97D0062C6CC2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5A536-BD59-48E6-A331-5477B3F4BBF4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44235</v>
      </c>
      <c r="C2" s="35">
        <v>3</v>
      </c>
      <c r="D2" s="5"/>
      <c r="E2" s="136">
        <v>28.34</v>
      </c>
      <c r="F2" s="136">
        <v>2.4900000000000002</v>
      </c>
      <c r="G2" s="111">
        <f>IF(A1="SUMÁRIO",TbBBSE3F_ST[[#This Row],[Qtt Compra]],IF(G1+C2-D2&lt;0, "ERRO", G1+C2-D2))</f>
        <v>3</v>
      </c>
      <c r="H2" s="137">
        <f t="shared" ref="H2:H3" si="0">IF(AND(TRUNC((C2+D2)*E2*0.03%,2)=0,OR(C2&gt;0,D2&gt;0)),0.01,ROUNDUP((C2+D2)*E2*0.03%,2))</f>
        <v>0.03</v>
      </c>
      <c r="I2" s="137">
        <f>F2+H2</f>
        <v>2.52</v>
      </c>
      <c r="J2" s="15">
        <f t="shared" ref="J2:J3" si="1">IF(A1="SUMÁRIO",E2*C2+I2,J1+IF(C2&gt;0,I2+C2*E2,-D2*K1))</f>
        <v>87.539999999999992</v>
      </c>
      <c r="K2" s="15">
        <f t="shared" ref="K2:K3" si="2">IF(G2=0,0,J2/G2)</f>
        <v>29.179999999999996</v>
      </c>
      <c r="L2" s="116"/>
    </row>
    <row r="3" spans="1:13" x14ac:dyDescent="0.3">
      <c r="B3" s="135">
        <v>44235</v>
      </c>
      <c r="D3" s="35">
        <v>3</v>
      </c>
      <c r="E3" s="136">
        <v>26.85</v>
      </c>
      <c r="F3" s="136">
        <v>2.4900000000000002</v>
      </c>
      <c r="G3" s="111">
        <f>IF(A2="SUMÁRIO",TbBBSE3F_ST[[#This Row],[Qtt Compra]],IF(G2+C3-D3&lt;0, "ERRO", G2+C3-D3))</f>
        <v>0</v>
      </c>
      <c r="H3" s="137">
        <f t="shared" si="0"/>
        <v>0.03</v>
      </c>
      <c r="I3" s="137">
        <f t="shared" ref="I3" si="3">F3+H3</f>
        <v>2.52</v>
      </c>
      <c r="J3" s="15">
        <f t="shared" si="1"/>
        <v>0</v>
      </c>
      <c r="K3" s="15">
        <f t="shared" si="2"/>
        <v>0</v>
      </c>
      <c r="L3" s="127">
        <f>IF(D3&gt;0,TRUNC(D3*E3-D3*K2-I3,2),"Não aplicável")</f>
        <v>-9.5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829" priority="1" operator="containsText" text="Não">
      <formula>NOT(ISERROR(SEARCH("Não",L3)))</formula>
    </cfRule>
    <cfRule type="cellIs" dxfId="828" priority="26" operator="equal">
      <formula>"""Não aplicável"""</formula>
    </cfRule>
    <cfRule type="containsText" dxfId="827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826" priority="5" operator="containsText" text="Não">
      <formula>NOT(ISERROR(SEARCH("Não",L3)))</formula>
    </cfRule>
    <cfRule type="containsText" dxfId="825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824" priority="8" operator="containsText" text="&quot;&quot;">
      <formula>NOT(ISERROR(SEARCH("""""",L3)))</formula>
    </cfRule>
    <cfRule type="cellIs" dxfId="823" priority="9" operator="equal">
      <formula>"""Não aplicável"""</formula>
    </cfRule>
    <cfRule type="cellIs" dxfId="822" priority="10" operator="equal">
      <formula>""""""</formula>
    </cfRule>
    <cfRule type="containsText" dxfId="821" priority="11" operator="containsText" text="Não">
      <formula>NOT(ISERROR(SEARCH("Não",L3)))</formula>
    </cfRule>
    <cfRule type="containsText" dxfId="820" priority="12" operator="containsText" text="Não">
      <formula>NOT(ISERROR(SEARCH("Não",L3)))</formula>
    </cfRule>
    <cfRule type="cellIs" dxfId="819" priority="27" operator="equal">
      <formula>""""""</formula>
    </cfRule>
    <cfRule type="containsText" dxfId="818" priority="14" operator="containsText" text="Não">
      <formula>NOT(ISERROR(SEARCH("Não",L3)))</formula>
    </cfRule>
    <cfRule type="containsText" dxfId="817" priority="15" operator="containsText" text="&quot;Não aplicável&quot;">
      <formula>NOT(ISERROR(SEARCH("""Não aplicável""",L3)))</formula>
    </cfRule>
    <cfRule type="cellIs" dxfId="816" priority="28" operator="equal">
      <formula>""""""</formula>
    </cfRule>
    <cfRule type="containsText" dxfId="815" priority="17" operator="containsText" text="&quot;&quot;">
      <formula>NOT(ISERROR(SEARCH("""""",L3)))</formula>
    </cfRule>
    <cfRule type="cellIs" dxfId="814" priority="18" operator="equal">
      <formula>"""Não aplicável"""</formula>
    </cfRule>
    <cfRule type="cellIs" dxfId="813" priority="19" operator="equal">
      <formula>""""""</formula>
    </cfRule>
    <cfRule type="containsText" dxfId="812" priority="20" operator="containsText" text="Não">
      <formula>NOT(ISERROR(SEARCH("Não",L3)))</formula>
    </cfRule>
    <cfRule type="cellIs" dxfId="811" priority="29" operator="lessThan">
      <formula>0</formula>
    </cfRule>
    <cfRule type="containsText" dxfId="810" priority="22" operator="containsText" text="Não">
      <formula>NOT(ISERROR(SEARCH("Não",L3)))</formula>
    </cfRule>
    <cfRule type="containsText" dxfId="809" priority="23" operator="containsText" text="&quot;Não aplicável&quot;">
      <formula>NOT(ISERROR(SEARCH("""Não aplicável""",L3)))</formula>
    </cfRule>
    <cfRule type="cellIs" dxfId="808" priority="30" operator="greaterThan">
      <formula>0</formula>
    </cfRule>
    <cfRule type="containsText" dxfId="807" priority="25" operator="containsText" text="&quot;&quot;">
      <formula>NOT(ISERROR(SEARCH("""""",L3)))</formula>
    </cfRule>
  </conditionalFormatting>
  <conditionalFormatting sqref="L4">
    <cfRule type="cellIs" dxfId="806" priority="41" operator="equal">
      <formula>""""""</formula>
    </cfRule>
    <cfRule type="containsText" dxfId="805" priority="44" operator="containsText" text="Não">
      <formula>NOT(ISERROR(SEARCH("Não",L4)))</formula>
    </cfRule>
    <cfRule type="containsText" dxfId="804" priority="46" operator="containsText" text="Não">
      <formula>NOT(ISERROR(SEARCH("Não",L4)))</formula>
    </cfRule>
    <cfRule type="containsText" dxfId="803" priority="47" operator="containsText" text="&quot;Não aplicável&quot;">
      <formula>NOT(ISERROR(SEARCH("""Não aplicável""",L4)))</formula>
    </cfRule>
    <cfRule type="containsText" dxfId="802" priority="49" operator="containsText" text="&quot;&quot;">
      <formula>NOT(ISERROR(SEARCH("""""",L4)))</formula>
    </cfRule>
    <cfRule type="containsText" dxfId="801" priority="32" operator="containsText" text="Não">
      <formula>NOT(ISERROR(SEARCH("Não",L4)))</formula>
    </cfRule>
    <cfRule type="cellIs" dxfId="800" priority="50" operator="equal">
      <formula>"""Não aplicável"""</formula>
    </cfRule>
    <cfRule type="containsText" dxfId="799" priority="34" operator="containsText" text="Não">
      <formula>NOT(ISERROR(SEARCH("Não",L4)))</formula>
    </cfRule>
    <cfRule type="cellIs" dxfId="798" priority="51" operator="equal">
      <formula>""""""</formula>
    </cfRule>
    <cfRule type="containsText" dxfId="797" priority="36" operator="containsText" text="Não">
      <formula>NOT(ISERROR(SEARCH("Não",L4)))</formula>
    </cfRule>
    <cfRule type="containsText" dxfId="796" priority="37" operator="containsText" text="&quot;Não aplicável&quot;">
      <formula>NOT(ISERROR(SEARCH("""Não aplicável""",L4)))</formula>
    </cfRule>
    <cfRule type="containsText" dxfId="795" priority="39" operator="containsText" text="&quot;&quot;">
      <formula>NOT(ISERROR(SEARCH("""""",L4)))</formula>
    </cfRule>
    <cfRule type="cellIs" dxfId="794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793" priority="42" operator="containsText" text="Não">
      <formula>NOT(ISERROR(SEARCH("Não",L4)))</formula>
    </cfRule>
    <cfRule type="containsText" dxfId="792" priority="53" operator="containsText" text="Não">
      <formula>NOT(ISERROR(SEARCH("Não",L4)))</formula>
    </cfRule>
    <cfRule type="containsText" dxfId="791" priority="55" operator="containsText" text="Não">
      <formula>NOT(ISERROR(SEARCH("Não",L4)))</formula>
    </cfRule>
    <cfRule type="containsText" dxfId="790" priority="56" operator="containsText" text="&quot;Não aplicável&quot;">
      <formula>NOT(ISERROR(SEARCH("""Não aplicável""",L4)))</formula>
    </cfRule>
    <cfRule type="containsText" dxfId="789" priority="58" operator="containsText" text="&quot;&quot;">
      <formula>NOT(ISERROR(SEARCH("""""",L4)))</formula>
    </cfRule>
    <cfRule type="cellIs" dxfId="788" priority="59" operator="equal">
      <formula>"""Não aplicável"""</formula>
    </cfRule>
    <cfRule type="cellIs" dxfId="787" priority="60" operator="equal">
      <formula>""""""</formula>
    </cfRule>
    <cfRule type="cellIs" dxfId="786" priority="71" operator="greaterThan">
      <formula>0</formula>
    </cfRule>
    <cfRule type="cellIs" dxfId="785" priority="69" operator="equal">
      <formula>""""""</formula>
    </cfRule>
    <cfRule type="cellIs" dxfId="784" priority="70" operator="lessThan">
      <formula>0</formula>
    </cfRule>
  </conditionalFormatting>
  <hyperlinks>
    <hyperlink ref="A1" location="Sumário!A1" display="SUMÁRIO" xr:uid="{F640B7F4-3CE2-4394-B055-38EA339C06C4}"/>
    <hyperlink ref="A2" location="'Resumo ST Bolsa'!A1" display="Resumo ST" xr:uid="{D0241D05-7264-407B-B7B7-C32157E08215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0F7FF-3624-4580-BD55-EE4C43085D41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B2" s="135">
        <v>44235</v>
      </c>
      <c r="C2" s="35">
        <v>1</v>
      </c>
      <c r="D2" s="5"/>
      <c r="E2" s="136">
        <v>25.55</v>
      </c>
      <c r="F2" s="136">
        <v>2.4900000000000002</v>
      </c>
      <c r="G2" s="111">
        <f>IF(A1="SUMÁRIO",TbBBDC4_DT[[#This Row],[Qtt Compra]],IF(G1+C2-D2&lt;0, "ERRO", G1+C2-D2))</f>
        <v>1</v>
      </c>
      <c r="H2" s="137">
        <f t="shared" ref="H2:H3" si="0">IF(AND(TRUNC((C2+D2)*E2*0.03%,2)=0,OR(C2&gt;0,D2&gt;0)),0.01,ROUNDUP((C2+D2)*E2*0.03%,2))</f>
        <v>0.01</v>
      </c>
      <c r="I2" s="137">
        <f>F2+H2</f>
        <v>2.5</v>
      </c>
      <c r="J2" s="15">
        <f t="shared" ref="J2:J3" si="1">IF(A1="SUMÁRIO",E2*C2+I2,J1+IF(C2&gt;0,I2+C2*E2,-D2*K1))</f>
        <v>28.05</v>
      </c>
      <c r="K2" s="15">
        <f t="shared" ref="K2:K3" si="2">IF(G2=0,0,J2/G2)</f>
        <v>28.05</v>
      </c>
      <c r="L2" s="116"/>
    </row>
    <row r="3" spans="1:13" x14ac:dyDescent="0.3">
      <c r="B3" s="135">
        <v>44235</v>
      </c>
      <c r="D3" s="35">
        <v>1</v>
      </c>
      <c r="E3" s="136">
        <v>25.87</v>
      </c>
      <c r="F3" s="136">
        <v>2.4900000000000002</v>
      </c>
      <c r="G3" s="111">
        <f>IF(A2="SUMÁRIO",TbBBDC4_DT[[#This Row],[Qtt Compra]],IF(G2+C3-D3&lt;0, "ERRO", G2+C3-D3))</f>
        <v>0</v>
      </c>
      <c r="H3" s="137">
        <f t="shared" si="0"/>
        <v>0.01</v>
      </c>
      <c r="I3" s="137">
        <f t="shared" ref="I3" si="3">F3+H3</f>
        <v>2.5</v>
      </c>
      <c r="J3" s="15">
        <f t="shared" si="1"/>
        <v>0</v>
      </c>
      <c r="K3" s="15">
        <f t="shared" si="2"/>
        <v>0</v>
      </c>
      <c r="L3" s="127">
        <f>IF(D3&gt;0,TRUNC(D3*E3-D3*K2-I3,2),"Não aplicável")</f>
        <v>-4.68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783" priority="1" operator="containsText" text="Não">
      <formula>NOT(ISERROR(SEARCH("Não",L3)))</formula>
    </cfRule>
    <cfRule type="cellIs" dxfId="782" priority="26" operator="equal">
      <formula>"""Não aplicável"""</formula>
    </cfRule>
    <cfRule type="containsText" dxfId="781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780" priority="5" operator="containsText" text="Não">
      <formula>NOT(ISERROR(SEARCH("Não",L3)))</formula>
    </cfRule>
    <cfRule type="containsText" dxfId="779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778" priority="8" operator="containsText" text="&quot;&quot;">
      <formula>NOT(ISERROR(SEARCH("""""",L3)))</formula>
    </cfRule>
    <cfRule type="cellIs" dxfId="777" priority="9" operator="equal">
      <formula>"""Não aplicável"""</formula>
    </cfRule>
    <cfRule type="cellIs" dxfId="776" priority="10" operator="equal">
      <formula>""""""</formula>
    </cfRule>
    <cfRule type="containsText" dxfId="775" priority="11" operator="containsText" text="Não">
      <formula>NOT(ISERROR(SEARCH("Não",L3)))</formula>
    </cfRule>
    <cfRule type="containsText" dxfId="774" priority="12" operator="containsText" text="Não">
      <formula>NOT(ISERROR(SEARCH("Não",L3)))</formula>
    </cfRule>
    <cfRule type="cellIs" dxfId="773" priority="27" operator="equal">
      <formula>""""""</formula>
    </cfRule>
    <cfRule type="containsText" dxfId="772" priority="14" operator="containsText" text="Não">
      <formula>NOT(ISERROR(SEARCH("Não",L3)))</formula>
    </cfRule>
    <cfRule type="containsText" dxfId="771" priority="15" operator="containsText" text="&quot;Não aplicável&quot;">
      <formula>NOT(ISERROR(SEARCH("""Não aplicável""",L3)))</formula>
    </cfRule>
    <cfRule type="cellIs" dxfId="770" priority="28" operator="equal">
      <formula>""""""</formula>
    </cfRule>
    <cfRule type="containsText" dxfId="769" priority="17" operator="containsText" text="&quot;&quot;">
      <formula>NOT(ISERROR(SEARCH("""""",L3)))</formula>
    </cfRule>
    <cfRule type="cellIs" dxfId="768" priority="18" operator="equal">
      <formula>"""Não aplicável"""</formula>
    </cfRule>
    <cfRule type="cellIs" dxfId="767" priority="19" operator="equal">
      <formula>""""""</formula>
    </cfRule>
    <cfRule type="containsText" dxfId="766" priority="20" operator="containsText" text="Não">
      <formula>NOT(ISERROR(SEARCH("Não",L3)))</formula>
    </cfRule>
    <cfRule type="cellIs" dxfId="765" priority="29" operator="lessThan">
      <formula>0</formula>
    </cfRule>
    <cfRule type="containsText" dxfId="764" priority="22" operator="containsText" text="Não">
      <formula>NOT(ISERROR(SEARCH("Não",L3)))</formula>
    </cfRule>
    <cfRule type="containsText" dxfId="763" priority="23" operator="containsText" text="&quot;Não aplicável&quot;">
      <formula>NOT(ISERROR(SEARCH("""Não aplicável""",L3)))</formula>
    </cfRule>
    <cfRule type="cellIs" dxfId="762" priority="30" operator="greaterThan">
      <formula>0</formula>
    </cfRule>
    <cfRule type="containsText" dxfId="761" priority="25" operator="containsText" text="&quot;&quot;">
      <formula>NOT(ISERROR(SEARCH("""""",L3)))</formula>
    </cfRule>
  </conditionalFormatting>
  <conditionalFormatting sqref="L4">
    <cfRule type="cellIs" dxfId="760" priority="41" operator="equal">
      <formula>""""""</formula>
    </cfRule>
    <cfRule type="containsText" dxfId="759" priority="44" operator="containsText" text="Não">
      <formula>NOT(ISERROR(SEARCH("Não",L4)))</formula>
    </cfRule>
    <cfRule type="containsText" dxfId="758" priority="46" operator="containsText" text="Não">
      <formula>NOT(ISERROR(SEARCH("Não",L4)))</formula>
    </cfRule>
    <cfRule type="containsText" dxfId="757" priority="47" operator="containsText" text="&quot;Não aplicável&quot;">
      <formula>NOT(ISERROR(SEARCH("""Não aplicável""",L4)))</formula>
    </cfRule>
    <cfRule type="containsText" dxfId="756" priority="49" operator="containsText" text="&quot;&quot;">
      <formula>NOT(ISERROR(SEARCH("""""",L4)))</formula>
    </cfRule>
    <cfRule type="containsText" dxfId="755" priority="32" operator="containsText" text="Não">
      <formula>NOT(ISERROR(SEARCH("Não",L4)))</formula>
    </cfRule>
    <cfRule type="cellIs" dxfId="754" priority="50" operator="equal">
      <formula>"""Não aplicável"""</formula>
    </cfRule>
    <cfRule type="containsText" dxfId="753" priority="34" operator="containsText" text="Não">
      <formula>NOT(ISERROR(SEARCH("Não",L4)))</formula>
    </cfRule>
    <cfRule type="cellIs" dxfId="752" priority="51" operator="equal">
      <formula>""""""</formula>
    </cfRule>
    <cfRule type="containsText" dxfId="751" priority="36" operator="containsText" text="Não">
      <formula>NOT(ISERROR(SEARCH("Não",L4)))</formula>
    </cfRule>
    <cfRule type="containsText" dxfId="750" priority="37" operator="containsText" text="&quot;Não aplicável&quot;">
      <formula>NOT(ISERROR(SEARCH("""Não aplicável""",L4)))</formula>
    </cfRule>
    <cfRule type="containsText" dxfId="749" priority="39" operator="containsText" text="&quot;&quot;">
      <formula>NOT(ISERROR(SEARCH("""""",L4)))</formula>
    </cfRule>
    <cfRule type="cellIs" dxfId="748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747" priority="42" operator="containsText" text="Não">
      <formula>NOT(ISERROR(SEARCH("Não",L4)))</formula>
    </cfRule>
    <cfRule type="containsText" dxfId="746" priority="53" operator="containsText" text="Não">
      <formula>NOT(ISERROR(SEARCH("Não",L4)))</formula>
    </cfRule>
    <cfRule type="containsText" dxfId="745" priority="55" operator="containsText" text="Não">
      <formula>NOT(ISERROR(SEARCH("Não",L4)))</formula>
    </cfRule>
    <cfRule type="containsText" dxfId="744" priority="56" operator="containsText" text="&quot;Não aplicável&quot;">
      <formula>NOT(ISERROR(SEARCH("""Não aplicável""",L4)))</formula>
    </cfRule>
    <cfRule type="containsText" dxfId="743" priority="58" operator="containsText" text="&quot;&quot;">
      <formula>NOT(ISERROR(SEARCH("""""",L4)))</formula>
    </cfRule>
    <cfRule type="cellIs" dxfId="742" priority="59" operator="equal">
      <formula>"""Não aplicável"""</formula>
    </cfRule>
    <cfRule type="cellIs" dxfId="741" priority="60" operator="equal">
      <formula>""""""</formula>
    </cfRule>
    <cfRule type="cellIs" dxfId="740" priority="71" operator="greaterThan">
      <formula>0</formula>
    </cfRule>
    <cfRule type="cellIs" dxfId="739" priority="69" operator="equal">
      <formula>""""""</formula>
    </cfRule>
    <cfRule type="cellIs" dxfId="738" priority="70" operator="lessThan">
      <formula>0</formula>
    </cfRule>
  </conditionalFormatting>
  <hyperlinks>
    <hyperlink ref="A1" location="Sumário!A1" display="SUMÁRIO" xr:uid="{C990C7A6-5460-4B7D-B105-A0214F2BFF65}"/>
    <hyperlink ref="A2" location="'Resumo DT Bolsa'!A1" display="Resumo DT" xr:uid="{8E9052E5-F5B3-40F5-BBB0-AFA12A314A1A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C036-4B07-49A5-B64B-4F644B07CFF2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44222</v>
      </c>
      <c r="C2" s="35">
        <v>9</v>
      </c>
      <c r="D2" s="5"/>
      <c r="E2" s="136">
        <v>24.67</v>
      </c>
      <c r="F2" s="136">
        <v>2.4900000000000002</v>
      </c>
      <c r="G2" s="111">
        <f>IF(A1="SUMÁRIO",TbBBDC4_ST[[#This Row],[Qtt Compra]],IF(G1+C2-D2&lt;0, "ERRO", G1+C2-D2))</f>
        <v>9</v>
      </c>
      <c r="H2" s="137">
        <f t="shared" ref="H2:H3" si="0">IF(AND(TRUNC((C2+D2)*E2*0.03%,2)=0,OR(C2&gt;0,D2&gt;0)),0.01,ROUNDUP((C2+D2)*E2*0.03%,2))</f>
        <v>6.9999999999999993E-2</v>
      </c>
      <c r="I2" s="137">
        <f>F2+H2</f>
        <v>2.56</v>
      </c>
      <c r="J2" s="15">
        <f t="shared" ref="J2:J3" si="1">IF(A1="SUMÁRIO",E2*C2+I2,J1+IF(C2&gt;0,I2+C2*E2,-D2*K1))</f>
        <v>224.59000000000003</v>
      </c>
      <c r="K2" s="15">
        <f t="shared" ref="K2:K3" si="2">IF(G2=0,0,J2/G2)</f>
        <v>24.954444444444448</v>
      </c>
      <c r="L2" s="116"/>
    </row>
    <row r="3" spans="1:13" x14ac:dyDescent="0.3">
      <c r="B3" s="135">
        <v>44235</v>
      </c>
      <c r="D3" s="35">
        <v>8</v>
      </c>
      <c r="E3" s="136">
        <v>25.87</v>
      </c>
      <c r="F3" s="136">
        <v>2.4900000000000002</v>
      </c>
      <c r="G3" s="111">
        <f>IF(A2="SUMÁRIO",TbBBDC4_ST[[#This Row],[Qtt Compra]],IF(G2+C3-D3&lt;0, "ERRO", G2+C3-D3))</f>
        <v>1</v>
      </c>
      <c r="H3" s="137">
        <f t="shared" si="0"/>
        <v>6.9999999999999993E-2</v>
      </c>
      <c r="I3" s="137">
        <f t="shared" ref="I3" si="3">F3+H3</f>
        <v>2.56</v>
      </c>
      <c r="J3" s="15">
        <f t="shared" si="1"/>
        <v>24.954444444444448</v>
      </c>
      <c r="K3" s="15">
        <f t="shared" si="2"/>
        <v>24.954444444444448</v>
      </c>
      <c r="L3" s="127">
        <f>IF(D3&gt;0,TRUNC(D3*E3-D3*K2-I3,2),"Não aplicável")</f>
        <v>4.76</v>
      </c>
    </row>
    <row r="4" spans="1:13" x14ac:dyDescent="0.3">
      <c r="I4" s="137"/>
      <c r="L4" s="127"/>
    </row>
    <row r="5" spans="1:13" x14ac:dyDescent="0.3">
      <c r="I5" s="137"/>
      <c r="L5" s="127"/>
    </row>
    <row r="6" spans="1:13" x14ac:dyDescent="0.3">
      <c r="I6" s="137"/>
      <c r="L6" s="12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737" priority="1" operator="containsText" text="Não">
      <formula>NOT(ISERROR(SEARCH("Não",L3)))</formula>
    </cfRule>
    <cfRule type="cellIs" dxfId="736" priority="26" operator="equal">
      <formula>"""Não aplicável"""</formula>
    </cfRule>
    <cfRule type="containsText" dxfId="735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734" priority="5" operator="containsText" text="Não">
      <formula>NOT(ISERROR(SEARCH("Não",L3)))</formula>
    </cfRule>
    <cfRule type="containsText" dxfId="733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732" priority="8" operator="containsText" text="&quot;&quot;">
      <formula>NOT(ISERROR(SEARCH("""""",L3)))</formula>
    </cfRule>
    <cfRule type="cellIs" dxfId="731" priority="9" operator="equal">
      <formula>"""Não aplicável"""</formula>
    </cfRule>
    <cfRule type="cellIs" dxfId="730" priority="10" operator="equal">
      <formula>""""""</formula>
    </cfRule>
    <cfRule type="containsText" dxfId="729" priority="11" operator="containsText" text="Não">
      <formula>NOT(ISERROR(SEARCH("Não",L3)))</formula>
    </cfRule>
    <cfRule type="containsText" dxfId="728" priority="12" operator="containsText" text="Não">
      <formula>NOT(ISERROR(SEARCH("Não",L3)))</formula>
    </cfRule>
    <cfRule type="cellIs" dxfId="727" priority="27" operator="equal">
      <formula>""""""</formula>
    </cfRule>
    <cfRule type="containsText" dxfId="726" priority="14" operator="containsText" text="Não">
      <formula>NOT(ISERROR(SEARCH("Não",L3)))</formula>
    </cfRule>
    <cfRule type="containsText" dxfId="725" priority="15" operator="containsText" text="&quot;Não aplicável&quot;">
      <formula>NOT(ISERROR(SEARCH("""Não aplicável""",L3)))</formula>
    </cfRule>
    <cfRule type="cellIs" dxfId="724" priority="28" operator="equal">
      <formula>""""""</formula>
    </cfRule>
    <cfRule type="containsText" dxfId="723" priority="17" operator="containsText" text="&quot;&quot;">
      <formula>NOT(ISERROR(SEARCH("""""",L3)))</formula>
    </cfRule>
    <cfRule type="cellIs" dxfId="722" priority="18" operator="equal">
      <formula>"""Não aplicável"""</formula>
    </cfRule>
    <cfRule type="cellIs" dxfId="721" priority="19" operator="equal">
      <formula>""""""</formula>
    </cfRule>
    <cfRule type="containsText" dxfId="720" priority="20" operator="containsText" text="Não">
      <formula>NOT(ISERROR(SEARCH("Não",L3)))</formula>
    </cfRule>
    <cfRule type="cellIs" dxfId="719" priority="29" operator="lessThan">
      <formula>0</formula>
    </cfRule>
    <cfRule type="containsText" dxfId="718" priority="22" operator="containsText" text="Não">
      <formula>NOT(ISERROR(SEARCH("Não",L3)))</formula>
    </cfRule>
    <cfRule type="containsText" dxfId="717" priority="23" operator="containsText" text="&quot;Não aplicável&quot;">
      <formula>NOT(ISERROR(SEARCH("""Não aplicável""",L3)))</formula>
    </cfRule>
    <cfRule type="cellIs" dxfId="716" priority="30" operator="greaterThan">
      <formula>0</formula>
    </cfRule>
    <cfRule type="containsText" dxfId="715" priority="25" operator="containsText" text="&quot;&quot;">
      <formula>NOT(ISERROR(SEARCH("""""",L3)))</formula>
    </cfRule>
  </conditionalFormatting>
  <conditionalFormatting sqref="L4">
    <cfRule type="cellIs" dxfId="714" priority="121" operator="greaterThan">
      <formula>0</formula>
    </cfRule>
    <cfRule type="containsText" dxfId="713" priority="111" operator="containsText" text="Não">
      <formula>NOT(ISERROR(SEARCH("Não",L4)))</formula>
    </cfRule>
    <cfRule type="containsText" dxfId="712" priority="106" operator="containsText" text="&quot;Não aplicável&quot;">
      <formula>NOT(ISERROR(SEARCH("""Não aplicável""",L4)))</formula>
    </cfRule>
    <cfRule type="containsText" dxfId="711" priority="102" operator="containsText" text="Não">
      <formula>NOT(ISERROR(SEARCH("Não",L4)))</formula>
    </cfRule>
    <cfRule type="containsText" dxfId="710" priority="103" operator="containsText" text="Não">
      <formula>NOT(ISERROR(SEARCH("Não",L4)))</formula>
    </cfRule>
    <cfRule type="containsText" dxfId="709" priority="105" operator="containsText" text="Não">
      <formula>NOT(ISERROR(SEARCH("Não",L4)))</formula>
    </cfRule>
    <cfRule type="containsText" dxfId="708" priority="108" operator="containsText" text="&quot;&quot;">
      <formula>NOT(ISERROR(SEARCH("""""",L4)))</formula>
    </cfRule>
    <cfRule type="cellIs" dxfId="707" priority="109" operator="equal">
      <formula>"""Não aplicável"""</formula>
    </cfRule>
    <cfRule type="cellIs" dxfId="706" priority="110" operator="equal">
      <formula>""""""</formula>
    </cfRule>
    <cfRule type="containsText" dxfId="705" priority="113" operator="containsText" text="Não">
      <formula>NOT(ISERROR(SEARCH("Não",L4)))</formula>
    </cfRule>
    <cfRule type="containsText" dxfId="704" priority="114" operator="containsText" text="&quot;Não aplicável&quot;">
      <formula>NOT(ISERROR(SEARCH("""Não aplicável""",L4)))</formula>
    </cfRule>
    <cfRule type="containsText" dxfId="703" priority="116" operator="containsText" text="&quot;&quot;">
      <formula>NOT(ISERROR(SEARCH("""""",L4)))</formula>
    </cfRule>
    <cfRule type="cellIs" dxfId="702" priority="117" operator="equal">
      <formula>"""Não aplicável"""</formula>
    </cfRule>
    <cfRule type="cellIs" dxfId="701" priority="118" operator="equal">
      <formula>""""""</formula>
    </cfRule>
    <cfRule type="cellIs" dxfId="700" priority="119" operator="equal">
      <formula>""""""</formula>
    </cfRule>
    <cfRule type="cellIs" dxfId="699" priority="120" operator="lessThan">
      <formula>0</formula>
    </cfRule>
  </conditionalFormatting>
  <conditionalFormatting sqref="L4:L5">
    <cfRule type="containsText" dxfId="698" priority="84" operator="containsText" text="&quot;Não aplicável&quot;">
      <formula>NOT(ISERROR(SEARCH("""Não aplicável""",L4)))</formula>
    </cfRule>
    <cfRule type="containsText" dxfId="697" priority="83" operator="containsText" text="Não">
      <formula>NOT(ISERROR(SEARCH("Não",L4)))</formula>
    </cfRule>
    <cfRule type="containsText" dxfId="696" priority="81" operator="containsText" text="Não">
      <formula>NOT(ISERROR(SEARCH("Não",L4)))</formula>
    </cfRule>
    <cfRule type="cellIs" dxfId="695" priority="88" operator="equal">
      <formula>""""""</formula>
    </cfRule>
    <cfRule type="cellIs" dxfId="694" priority="87" operator="equal">
      <formula>"""Não aplicável"""</formula>
    </cfRule>
    <cfRule type="containsText" dxfId="693" priority="86" operator="containsText" text="&quot;&quot;">
      <formula>NOT(ISERROR(SEARCH("""""",L4)))</formula>
    </cfRule>
    <cfRule type="containsText" dxfId="692" priority="72" operator="containsText" text="Não">
      <formula>NOT(ISERROR(SEARCH("Não",L4)))</formula>
    </cfRule>
  </conditionalFormatting>
  <conditionalFormatting sqref="L4:L6">
    <cfRule type="containsText" priority="38" operator="containsText" text="Não aplicável">
      <formula>NOT(ISERROR(SEARCH("Não aplicável",L4)))</formula>
    </cfRule>
    <cfRule type="containsText" priority="35" operator="containsText" text="Não">
      <formula>NOT(ISERROR(SEARCH("Não",L4)))</formula>
    </cfRule>
  </conditionalFormatting>
  <conditionalFormatting sqref="L5">
    <cfRule type="containsText" dxfId="691" priority="73" operator="containsText" text="Não">
      <formula>NOT(ISERROR(SEARCH("Não",L5)))</formula>
    </cfRule>
    <cfRule type="containsText" dxfId="690" priority="76" operator="containsText" text="&quot;Não aplicável&quot;">
      <formula>NOT(ISERROR(SEARCH("""Não aplicável""",L5)))</formula>
    </cfRule>
    <cfRule type="cellIs" dxfId="689" priority="90" operator="lessThan">
      <formula>0</formula>
    </cfRule>
    <cfRule type="containsText" dxfId="688" priority="75" operator="containsText" text="Não">
      <formula>NOT(ISERROR(SEARCH("Não",L5)))</formula>
    </cfRule>
    <cfRule type="containsText" dxfId="687" priority="78" operator="containsText" text="&quot;&quot;">
      <formula>NOT(ISERROR(SEARCH("""""",L5)))</formula>
    </cfRule>
    <cfRule type="cellIs" dxfId="686" priority="79" operator="equal">
      <formula>"""Não aplicável"""</formula>
    </cfRule>
    <cfRule type="cellIs" dxfId="685" priority="80" operator="equal">
      <formula>""""""</formula>
    </cfRule>
    <cfRule type="cellIs" dxfId="684" priority="89" operator="equal">
      <formula>""""""</formula>
    </cfRule>
    <cfRule type="cellIs" dxfId="683" priority="91" operator="greaterThan">
      <formula>0</formula>
    </cfRule>
  </conditionalFormatting>
  <conditionalFormatting sqref="L5:L6">
    <cfRule type="containsText" dxfId="682" priority="56" operator="containsText" text="&quot;&quot;">
      <formula>NOT(ISERROR(SEARCH("""""",L5)))</formula>
    </cfRule>
    <cfRule type="cellIs" dxfId="681" priority="58" operator="equal">
      <formula>""""""</formula>
    </cfRule>
    <cfRule type="containsText" dxfId="680" priority="51" operator="containsText" text="Não">
      <formula>NOT(ISERROR(SEARCH("Não",L5)))</formula>
    </cfRule>
    <cfRule type="containsText" dxfId="679" priority="42" operator="containsText" text="Não">
      <formula>NOT(ISERROR(SEARCH("Não",L5)))</formula>
    </cfRule>
    <cfRule type="containsText" dxfId="678" priority="53" operator="containsText" text="Não">
      <formula>NOT(ISERROR(SEARCH("Não",L5)))</formula>
    </cfRule>
    <cfRule type="containsText" dxfId="677" priority="54" operator="containsText" text="&quot;Não aplicável&quot;">
      <formula>NOT(ISERROR(SEARCH("""Não aplicável""",L5)))</formula>
    </cfRule>
    <cfRule type="cellIs" dxfId="676" priority="57" operator="equal">
      <formula>"""Não aplicável"""</formula>
    </cfRule>
  </conditionalFormatting>
  <conditionalFormatting sqref="L6">
    <cfRule type="cellIs" dxfId="675" priority="41" operator="equal">
      <formula>""""""</formula>
    </cfRule>
    <cfRule type="containsText" dxfId="674" priority="43" operator="containsText" text="Não">
      <formula>NOT(ISERROR(SEARCH("Não",L6)))</formula>
    </cfRule>
    <cfRule type="containsText" dxfId="673" priority="45" operator="containsText" text="Não">
      <formula>NOT(ISERROR(SEARCH("Não",L6)))</formula>
    </cfRule>
    <cfRule type="containsText" dxfId="672" priority="46" operator="containsText" text="&quot;Não aplicável&quot;">
      <formula>NOT(ISERROR(SEARCH("""Não aplicável""",L6)))</formula>
    </cfRule>
    <cfRule type="containsText" dxfId="671" priority="48" operator="containsText" text="&quot;&quot;">
      <formula>NOT(ISERROR(SEARCH("""""",L6)))</formula>
    </cfRule>
    <cfRule type="cellIs" dxfId="670" priority="49" operator="equal">
      <formula>"""Não aplicável"""</formula>
    </cfRule>
    <cfRule type="cellIs" dxfId="669" priority="50" operator="equal">
      <formula>""""""</formula>
    </cfRule>
    <cfRule type="cellIs" dxfId="668" priority="59" operator="equal">
      <formula>""""""</formula>
    </cfRule>
    <cfRule type="cellIs" dxfId="667" priority="60" operator="lessThan">
      <formula>0</formula>
    </cfRule>
    <cfRule type="cellIs" dxfId="666" priority="61" operator="greaterThan">
      <formula>0</formula>
    </cfRule>
    <cfRule type="containsText" dxfId="665" priority="32" operator="containsText" text="Não">
      <formula>NOT(ISERROR(SEARCH("Não",L6)))</formula>
    </cfRule>
    <cfRule type="containsText" dxfId="664" priority="34" operator="containsText" text="Não">
      <formula>NOT(ISERROR(SEARCH("Não",L6)))</formula>
    </cfRule>
    <cfRule type="containsText" dxfId="663" priority="36" operator="containsText" text="Não">
      <formula>NOT(ISERROR(SEARCH("Não",L6)))</formula>
    </cfRule>
    <cfRule type="containsText" dxfId="662" priority="37" operator="containsText" text="&quot;Não aplicável&quot;">
      <formula>NOT(ISERROR(SEARCH("""Não aplicável""",L6)))</formula>
    </cfRule>
    <cfRule type="containsText" dxfId="661" priority="39" operator="containsText" text="&quot;&quot;">
      <formula>NOT(ISERROR(SEARCH("""""",L6)))</formula>
    </cfRule>
    <cfRule type="cellIs" dxfId="660" priority="40" operator="equal">
      <formula>"""Não aplicável"""</formula>
    </cfRule>
  </conditionalFormatting>
  <hyperlinks>
    <hyperlink ref="A1" location="Sumário!A1" display="SUMÁRIO" xr:uid="{CF509A2B-F87A-4C93-A7F4-DF85BAE42640}"/>
    <hyperlink ref="A2" location="'Resumo ST Bolsa'!A1" display="Resumo ST" xr:uid="{43DD26AC-9FC3-41E4-89E2-A6A156EB4346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50854-F5A5-4B24-9568-A8F75D538FB9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IF(A1="SUMÁRIO",TbBIDI3F_DT[[#This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IF(A2="SUMÁRIO",TbBIDI3F_DT[[#This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B1:B1048576">
    <cfRule type="cellIs" dxfId="659" priority="31" operator="lessThan">
      <formula>$B$2</formula>
    </cfRule>
  </conditionalFormatting>
  <conditionalFormatting sqref="L3">
    <cfRule type="containsText" dxfId="658" priority="1" operator="containsText" text="Não">
      <formula>NOT(ISERROR(SEARCH("Não",L3)))</formula>
    </cfRule>
    <cfRule type="cellIs" dxfId="657" priority="27" operator="equal">
      <formula>""""""</formula>
    </cfRule>
    <cfRule type="containsText" dxfId="656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655" priority="5" operator="containsText" text="Não">
      <formula>NOT(ISERROR(SEARCH("Não",L3)))</formula>
    </cfRule>
    <cfRule type="containsText" dxfId="654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653" priority="8" operator="containsText" text="&quot;&quot;">
      <formula>NOT(ISERROR(SEARCH("""""",L3)))</formula>
    </cfRule>
    <cfRule type="cellIs" dxfId="652" priority="9" operator="equal">
      <formula>"""Não aplicável"""</formula>
    </cfRule>
    <cfRule type="cellIs" dxfId="651" priority="10" operator="equal">
      <formula>""""""</formula>
    </cfRule>
    <cfRule type="containsText" dxfId="650" priority="11" operator="containsText" text="Não">
      <formula>NOT(ISERROR(SEARCH("Não",L3)))</formula>
    </cfRule>
    <cfRule type="containsText" dxfId="649" priority="12" operator="containsText" text="Não">
      <formula>NOT(ISERROR(SEARCH("Não",L3)))</formula>
    </cfRule>
    <cfRule type="cellIs" dxfId="648" priority="28" operator="equal">
      <formula>""""""</formula>
    </cfRule>
    <cfRule type="containsText" dxfId="647" priority="14" operator="containsText" text="Não">
      <formula>NOT(ISERROR(SEARCH("Não",L3)))</formula>
    </cfRule>
    <cfRule type="containsText" dxfId="646" priority="15" operator="containsText" text="&quot;Não aplicável&quot;">
      <formula>NOT(ISERROR(SEARCH("""Não aplicável""",L3)))</formula>
    </cfRule>
    <cfRule type="cellIs" dxfId="645" priority="29" operator="lessThan">
      <formula>0</formula>
    </cfRule>
    <cfRule type="containsText" dxfId="644" priority="17" operator="containsText" text="&quot;&quot;">
      <formula>NOT(ISERROR(SEARCH("""""",L3)))</formula>
    </cfRule>
    <cfRule type="cellIs" dxfId="643" priority="18" operator="equal">
      <formula>"""Não aplicável"""</formula>
    </cfRule>
    <cfRule type="cellIs" dxfId="642" priority="19" operator="equal">
      <formula>""""""</formula>
    </cfRule>
    <cfRule type="containsText" dxfId="641" priority="20" operator="containsText" text="Não">
      <formula>NOT(ISERROR(SEARCH("Não",L3)))</formula>
    </cfRule>
    <cfRule type="cellIs" dxfId="640" priority="30" operator="greaterThan">
      <formula>0</formula>
    </cfRule>
    <cfRule type="containsText" dxfId="639" priority="22" operator="containsText" text="Não">
      <formula>NOT(ISERROR(SEARCH("Não",L3)))</formula>
    </cfRule>
    <cfRule type="containsText" dxfId="638" priority="23" operator="containsText" text="&quot;Não aplicável&quot;">
      <formula>NOT(ISERROR(SEARCH("""Não aplicável""",L3)))</formula>
    </cfRule>
    <cfRule type="containsText" dxfId="637" priority="25" operator="containsText" text="&quot;&quot;">
      <formula>NOT(ISERROR(SEARCH("""""",L3)))</formula>
    </cfRule>
    <cfRule type="cellIs" dxfId="636" priority="26" operator="equal">
      <formula>"""Não aplicável"""</formula>
    </cfRule>
  </conditionalFormatting>
  <conditionalFormatting sqref="L4">
    <cfRule type="cellIs" dxfId="635" priority="41" operator="equal">
      <formula>""""""</formula>
    </cfRule>
    <cfRule type="containsText" dxfId="634" priority="44" operator="containsText" text="Não">
      <formula>NOT(ISERROR(SEARCH("Não",L4)))</formula>
    </cfRule>
    <cfRule type="containsText" dxfId="633" priority="46" operator="containsText" text="Não">
      <formula>NOT(ISERROR(SEARCH("Não",L4)))</formula>
    </cfRule>
    <cfRule type="containsText" dxfId="632" priority="47" operator="containsText" text="&quot;Não aplicável&quot;">
      <formula>NOT(ISERROR(SEARCH("""Não aplicável""",L4)))</formula>
    </cfRule>
    <cfRule type="containsText" dxfId="631" priority="49" operator="containsText" text="&quot;&quot;">
      <formula>NOT(ISERROR(SEARCH("""""",L4)))</formula>
    </cfRule>
    <cfRule type="containsText" dxfId="630" priority="32" operator="containsText" text="Não">
      <formula>NOT(ISERROR(SEARCH("Não",L4)))</formula>
    </cfRule>
    <cfRule type="cellIs" dxfId="629" priority="50" operator="equal">
      <formula>"""Não aplicável"""</formula>
    </cfRule>
    <cfRule type="containsText" dxfId="628" priority="34" operator="containsText" text="Não">
      <formula>NOT(ISERROR(SEARCH("Não",L4)))</formula>
    </cfRule>
    <cfRule type="cellIs" dxfId="627" priority="51" operator="equal">
      <formula>""""""</formula>
    </cfRule>
    <cfRule type="containsText" dxfId="626" priority="36" operator="containsText" text="Não">
      <formula>NOT(ISERROR(SEARCH("Não",L4)))</formula>
    </cfRule>
    <cfRule type="containsText" dxfId="625" priority="37" operator="containsText" text="&quot;Não aplicável&quot;">
      <formula>NOT(ISERROR(SEARCH("""Não aplicável""",L4)))</formula>
    </cfRule>
    <cfRule type="containsText" dxfId="624" priority="39" operator="containsText" text="&quot;&quot;">
      <formula>NOT(ISERROR(SEARCH("""""",L4)))</formula>
    </cfRule>
    <cfRule type="cellIs" dxfId="623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622" priority="42" operator="containsText" text="Não">
      <formula>NOT(ISERROR(SEARCH("Não",L4)))</formula>
    </cfRule>
    <cfRule type="containsText" dxfId="621" priority="53" operator="containsText" text="Não">
      <formula>NOT(ISERROR(SEARCH("Não",L4)))</formula>
    </cfRule>
    <cfRule type="containsText" dxfId="620" priority="55" operator="containsText" text="Não">
      <formula>NOT(ISERROR(SEARCH("Não",L4)))</formula>
    </cfRule>
    <cfRule type="containsText" dxfId="619" priority="56" operator="containsText" text="&quot;Não aplicável&quot;">
      <formula>NOT(ISERROR(SEARCH("""Não aplicável""",L4)))</formula>
    </cfRule>
    <cfRule type="containsText" dxfId="618" priority="58" operator="containsText" text="&quot;&quot;">
      <formula>NOT(ISERROR(SEARCH("""""",L4)))</formula>
    </cfRule>
    <cfRule type="cellIs" dxfId="617" priority="59" operator="equal">
      <formula>"""Não aplicável"""</formula>
    </cfRule>
    <cfRule type="cellIs" dxfId="616" priority="60" operator="equal">
      <formula>""""""</formula>
    </cfRule>
    <cfRule type="cellIs" dxfId="615" priority="71" operator="greaterThan">
      <formula>0</formula>
    </cfRule>
    <cfRule type="cellIs" dxfId="614" priority="69" operator="equal">
      <formula>""""""</formula>
    </cfRule>
    <cfRule type="cellIs" dxfId="613" priority="70" operator="lessThan">
      <formula>0</formula>
    </cfRule>
  </conditionalFormatting>
  <hyperlinks>
    <hyperlink ref="A1" location="Sumário!A1" display="SUMÁRIO" xr:uid="{2858EEC4-A244-42BA-A0C9-B0BF8EB2DA8A}"/>
    <hyperlink ref="A2" location="'Resumo DT Bolsa'!A1" display="Resumo DT" xr:uid="{58A01AF6-E01D-4B8F-A567-2E8C5B9CD691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D999E-6736-4ABE-8158-9B5DBB34B88D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44235</v>
      </c>
      <c r="C2" s="35">
        <v>4</v>
      </c>
      <c r="D2" s="5"/>
      <c r="E2" s="136">
        <v>51.53</v>
      </c>
      <c r="F2" s="136">
        <v>2.4900000000000002</v>
      </c>
      <c r="G2" s="111">
        <f>IF(A1="SUMÁRIO",TbBIDI3F_ST[[#This Row],[Qtt Compra]],IF(G1+C2-D2&lt;0, "ERRO", G1+C2-D2))</f>
        <v>4</v>
      </c>
      <c r="H2" s="137">
        <f t="shared" ref="H2:H4" si="0">IF(AND(TRUNC((C2+D2)*E2*0.03%,2)=0,OR(C2&gt;0,D2&gt;0)),0.01,ROUNDUP((C2+D2)*E2*0.03%,2))</f>
        <v>6.9999999999999993E-2</v>
      </c>
      <c r="I2" s="137">
        <f>F2+H2</f>
        <v>2.56</v>
      </c>
      <c r="J2" s="15">
        <f t="shared" ref="J2:J4" si="1">IF(A1="SUMÁRIO",E2*C2+I2,J1+IF(C2&gt;0,I2+C2*E2,-D2*K1))</f>
        <v>208.68</v>
      </c>
      <c r="K2" s="15">
        <f t="shared" ref="K2:K4" si="2">IF(G2=0,0,J2/G2)</f>
        <v>52.17</v>
      </c>
      <c r="L2" s="116"/>
    </row>
    <row r="3" spans="1:13" x14ac:dyDescent="0.3">
      <c r="B3" s="135">
        <v>44250</v>
      </c>
      <c r="D3" s="35">
        <v>2</v>
      </c>
      <c r="E3" s="136">
        <v>55</v>
      </c>
      <c r="F3" s="136">
        <v>2.4900000000000002</v>
      </c>
      <c r="G3" s="111">
        <f>IF(A2="SUMÁRIO",TbBIDI3F_ST[[#This Row],[Qtt Compra]],IF(G2+C3-D3&lt;0, "ERRO", G2+C3-D3))</f>
        <v>2</v>
      </c>
      <c r="H3" s="137">
        <f t="shared" si="0"/>
        <v>0.04</v>
      </c>
      <c r="I3" s="137">
        <f t="shared" ref="I3:I4" si="3">F3+H3</f>
        <v>2.5300000000000002</v>
      </c>
      <c r="J3" s="15">
        <f t="shared" si="1"/>
        <v>104.34</v>
      </c>
      <c r="K3" s="15">
        <f t="shared" si="2"/>
        <v>52.17</v>
      </c>
      <c r="L3" s="127">
        <f>IF(D3&gt;0,TRUNC(D3*E3-D3*K2-I3,2),"Não aplicável")</f>
        <v>3.13</v>
      </c>
    </row>
    <row r="4" spans="1:13" x14ac:dyDescent="0.3">
      <c r="B4" s="135">
        <v>44270</v>
      </c>
      <c r="D4" s="35">
        <v>2</v>
      </c>
      <c r="E4" s="136">
        <v>48.31</v>
      </c>
      <c r="F4" s="136">
        <v>2.4900000000000002</v>
      </c>
      <c r="G4" s="111">
        <f>IF(A3="SUMÁRIO",TbBIDI3F_ST[[#This Row],[Qtt Compra]],IF(G3+C4-D4&lt;0, "ERRO", G3+C4-D4))</f>
        <v>0</v>
      </c>
      <c r="H4" s="137">
        <f t="shared" si="0"/>
        <v>0.03</v>
      </c>
      <c r="I4" s="137">
        <f t="shared" si="3"/>
        <v>2.52</v>
      </c>
      <c r="J4" s="15">
        <f t="shared" si="1"/>
        <v>0</v>
      </c>
      <c r="K4" s="15">
        <f t="shared" si="2"/>
        <v>0</v>
      </c>
      <c r="L4" s="127">
        <f>IF(D4&gt;0,TRUNC(D4*E4-D4*K3-I4,2),"Não aplicável")</f>
        <v>-10.24</v>
      </c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612" priority="50" operator="containsText" text="Não">
      <formula>NOT(ISERROR(SEARCH("Não",L3)))</formula>
    </cfRule>
    <cfRule type="containsText" dxfId="611" priority="55" operator="containsText" text="&quot;&quot;">
      <formula>NOT(ISERROR(SEARCH("""""",L3)))</formula>
    </cfRule>
    <cfRule type="cellIs" dxfId="610" priority="56" operator="equal">
      <formula>"""Não aplicável"""</formula>
    </cfRule>
    <cfRule type="cellIs" dxfId="609" priority="57" operator="equal">
      <formula>""""""</formula>
    </cfRule>
    <cfRule type="cellIs" dxfId="608" priority="58" operator="equal">
      <formula>""""""</formula>
    </cfRule>
    <cfRule type="cellIs" dxfId="607" priority="59" operator="lessThan">
      <formula>0</formula>
    </cfRule>
    <cfRule type="cellIs" dxfId="606" priority="60" operator="greaterThan">
      <formula>0</formula>
    </cfRule>
    <cfRule type="cellIs" dxfId="605" priority="49" operator="equal">
      <formula>""""""</formula>
    </cfRule>
    <cfRule type="cellIs" dxfId="604" priority="48" operator="equal">
      <formula>"""Não aplicável"""</formula>
    </cfRule>
    <cfRule type="containsText" dxfId="603" priority="47" operator="containsText" text="&quot;&quot;">
      <formula>NOT(ISERROR(SEARCH("""""",L3)))</formula>
    </cfRule>
    <cfRule type="containsText" dxfId="602" priority="45" operator="containsText" text="&quot;Não aplicável&quot;">
      <formula>NOT(ISERROR(SEARCH("""Não aplicável""",L3)))</formula>
    </cfRule>
    <cfRule type="containsText" dxfId="601" priority="44" operator="containsText" text="Não">
      <formula>NOT(ISERROR(SEARCH("Não",L3)))</formula>
    </cfRule>
    <cfRule type="containsText" dxfId="600" priority="53" operator="containsText" text="&quot;Não aplicável&quot;">
      <formula>NOT(ISERROR(SEARCH("""Não aplicável""",L3)))</formula>
    </cfRule>
    <cfRule type="containsText" dxfId="599" priority="42" operator="containsText" text="Não">
      <formula>NOT(ISERROR(SEARCH("Não",L3)))</formula>
    </cfRule>
    <cfRule type="containsText" dxfId="598" priority="41" operator="containsText" text="Não">
      <formula>NOT(ISERROR(SEARCH("Não",L3)))</formula>
    </cfRule>
    <cfRule type="containsText" dxfId="597" priority="52" operator="containsText" text="Não">
      <formula>NOT(ISERROR(SEARCH("Não",L3)))</formula>
    </cfRule>
  </conditionalFormatting>
  <conditionalFormatting sqref="L3:L4">
    <cfRule type="containsText" priority="4" operator="containsText" text="Não">
      <formula>NOT(ISERROR(SEARCH("Não",L3)))</formula>
    </cfRule>
    <cfRule type="containsText" priority="7" operator="containsText" text="Não aplicável">
      <formula>NOT(ISERROR(SEARCH("Não aplicável",L3)))</formula>
    </cfRule>
    <cfRule type="containsText" dxfId="596" priority="11" operator="containsText" text="Não">
      <formula>NOT(ISERROR(SEARCH("Não",L3)))</formula>
    </cfRule>
    <cfRule type="containsText" dxfId="595" priority="20" operator="containsText" text="Não">
      <formula>NOT(ISERROR(SEARCH("Não",L3)))</formula>
    </cfRule>
    <cfRule type="containsText" dxfId="594" priority="25" operator="containsText" text="&quot;&quot;">
      <formula>NOT(ISERROR(SEARCH("""""",L3)))</formula>
    </cfRule>
    <cfRule type="cellIs" dxfId="593" priority="26" operator="equal">
      <formula>"""Não aplicável"""</formula>
    </cfRule>
    <cfRule type="cellIs" dxfId="592" priority="27" operator="equal">
      <formula>""""""</formula>
    </cfRule>
    <cfRule type="containsText" dxfId="591" priority="23" operator="containsText" text="&quot;Não aplicável&quot;">
      <formula>NOT(ISERROR(SEARCH("""Não aplicável""",L3)))</formula>
    </cfRule>
    <cfRule type="containsText" dxfId="590" priority="22" operator="containsText" text="Não">
      <formula>NOT(ISERROR(SEARCH("Não",L3)))</formula>
    </cfRule>
  </conditionalFormatting>
  <conditionalFormatting sqref="L4">
    <cfRule type="containsText" dxfId="589" priority="3" operator="containsText" text="Não">
      <formula>NOT(ISERROR(SEARCH("Não",L4)))</formula>
    </cfRule>
    <cfRule type="containsText" dxfId="588" priority="5" operator="containsText" text="Não">
      <formula>NOT(ISERROR(SEARCH("Não",L4)))</formula>
    </cfRule>
    <cfRule type="containsText" dxfId="587" priority="6" operator="containsText" text="&quot;Não aplicável&quot;">
      <formula>NOT(ISERROR(SEARCH("""Não aplicável""",L4)))</formula>
    </cfRule>
    <cfRule type="containsText" dxfId="586" priority="8" operator="containsText" text="&quot;&quot;">
      <formula>NOT(ISERROR(SEARCH("""""",L4)))</formula>
    </cfRule>
    <cfRule type="cellIs" dxfId="585" priority="9" operator="equal">
      <formula>"""Não aplicável"""</formula>
    </cfRule>
    <cfRule type="cellIs" dxfId="584" priority="10" operator="equal">
      <formula>""""""</formula>
    </cfRule>
    <cfRule type="containsText" dxfId="583" priority="12" operator="containsText" text="Não">
      <formula>NOT(ISERROR(SEARCH("Não",L4)))</formula>
    </cfRule>
    <cfRule type="containsText" dxfId="582" priority="14" operator="containsText" text="Não">
      <formula>NOT(ISERROR(SEARCH("Não",L4)))</formula>
    </cfRule>
    <cfRule type="containsText" dxfId="581" priority="15" operator="containsText" text="&quot;Não aplicável&quot;">
      <formula>NOT(ISERROR(SEARCH("""Não aplicável""",L4)))</formula>
    </cfRule>
    <cfRule type="containsText" dxfId="580" priority="17" operator="containsText" text="&quot;&quot;">
      <formula>NOT(ISERROR(SEARCH("""""",L4)))</formula>
    </cfRule>
    <cfRule type="cellIs" dxfId="579" priority="18" operator="equal">
      <formula>"""Não aplicável"""</formula>
    </cfRule>
    <cfRule type="cellIs" dxfId="578" priority="19" operator="equal">
      <formula>""""""</formula>
    </cfRule>
    <cfRule type="cellIs" dxfId="577" priority="28" operator="equal">
      <formula>""""""</formula>
    </cfRule>
    <cfRule type="cellIs" dxfId="576" priority="29" operator="lessThan">
      <formula>0</formula>
    </cfRule>
    <cfRule type="cellIs" dxfId="575" priority="30" operator="greaterThan">
      <formula>0</formula>
    </cfRule>
    <cfRule type="containsText" dxfId="574" priority="1" operator="containsText" text="Não">
      <formula>NOT(ISERROR(SEARCH("Não",L4)))</formula>
    </cfRule>
  </conditionalFormatting>
  <conditionalFormatting sqref="L5:L6">
    <cfRule type="containsText" priority="65" operator="containsText" text="Não">
      <formula>NOT(ISERROR(SEARCH("Não",L5)))</formula>
    </cfRule>
    <cfRule type="containsText" dxfId="573" priority="62" operator="containsText" text="Não">
      <formula>NOT(ISERROR(SEARCH("Não",L5)))</formula>
    </cfRule>
    <cfRule type="containsText" dxfId="572" priority="64" operator="containsText" text="Não">
      <formula>NOT(ISERROR(SEARCH("Não",L5)))</formula>
    </cfRule>
    <cfRule type="containsText" dxfId="571" priority="66" operator="containsText" text="Não">
      <formula>NOT(ISERROR(SEARCH("Não",L5)))</formula>
    </cfRule>
    <cfRule type="containsText" dxfId="570" priority="67" operator="containsText" text="&quot;Não aplicável&quot;">
      <formula>NOT(ISERROR(SEARCH("""Não aplicável""",L5)))</formula>
    </cfRule>
    <cfRule type="containsText" priority="68" operator="containsText" text="Não aplicável">
      <formula>NOT(ISERROR(SEARCH("Não aplicável",L5)))</formula>
    </cfRule>
    <cfRule type="containsText" dxfId="569" priority="69" operator="containsText" text="&quot;&quot;">
      <formula>NOT(ISERROR(SEARCH("""""",L5)))</formula>
    </cfRule>
    <cfRule type="cellIs" dxfId="568" priority="70" operator="equal">
      <formula>"""Não aplicável"""</formula>
    </cfRule>
    <cfRule type="cellIs" dxfId="567" priority="71" operator="equal">
      <formula>""""""</formula>
    </cfRule>
    <cfRule type="cellIs" dxfId="566" priority="72" operator="equal">
      <formula>""""""</formula>
    </cfRule>
    <cfRule type="cellIs" dxfId="565" priority="73" operator="lessThan">
      <formula>0</formula>
    </cfRule>
    <cfRule type="cellIs" dxfId="564" priority="74" operator="greaterThan">
      <formula>0</formula>
    </cfRule>
  </conditionalFormatting>
  <hyperlinks>
    <hyperlink ref="A1" location="Sumário!A1" display="SUMÁRIO" xr:uid="{B27B021A-3BD2-49B9-87BC-ED05524A0268}"/>
    <hyperlink ref="A2" location="'Resumo ST Bolsa'!A1" display="Resumo ST" xr:uid="{4C0B43C5-EDCE-4030-8B55-63DFDC909CA9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2B0B6-D400-4B45-AC12-DA111FCE8457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IF(A1="SUMÁRIO",TbOIBR3_DT[[#This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IF(A2="SUMÁRIO",TbOIBR3_DT[[#This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B1:B1048576">
    <cfRule type="cellIs" dxfId="563" priority="31" operator="lessThan">
      <formula>$B$2</formula>
    </cfRule>
  </conditionalFormatting>
  <conditionalFormatting sqref="L3">
    <cfRule type="containsText" dxfId="562" priority="1" operator="containsText" text="Não">
      <formula>NOT(ISERROR(SEARCH("Não",L3)))</formula>
    </cfRule>
    <cfRule type="cellIs" dxfId="561" priority="27" operator="equal">
      <formula>""""""</formula>
    </cfRule>
    <cfRule type="containsText" dxfId="560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559" priority="5" operator="containsText" text="Não">
      <formula>NOT(ISERROR(SEARCH("Não",L3)))</formula>
    </cfRule>
    <cfRule type="containsText" dxfId="558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557" priority="8" operator="containsText" text="&quot;&quot;">
      <formula>NOT(ISERROR(SEARCH("""""",L3)))</formula>
    </cfRule>
    <cfRule type="cellIs" dxfId="556" priority="9" operator="equal">
      <formula>"""Não aplicável"""</formula>
    </cfRule>
    <cfRule type="cellIs" dxfId="555" priority="10" operator="equal">
      <formula>""""""</formula>
    </cfRule>
    <cfRule type="containsText" dxfId="554" priority="11" operator="containsText" text="Não">
      <formula>NOT(ISERROR(SEARCH("Não",L3)))</formula>
    </cfRule>
    <cfRule type="containsText" dxfId="553" priority="12" operator="containsText" text="Não">
      <formula>NOT(ISERROR(SEARCH("Não",L3)))</formula>
    </cfRule>
    <cfRule type="cellIs" dxfId="552" priority="28" operator="equal">
      <formula>""""""</formula>
    </cfRule>
    <cfRule type="containsText" dxfId="551" priority="14" operator="containsText" text="Não">
      <formula>NOT(ISERROR(SEARCH("Não",L3)))</formula>
    </cfRule>
    <cfRule type="containsText" dxfId="550" priority="15" operator="containsText" text="&quot;Não aplicável&quot;">
      <formula>NOT(ISERROR(SEARCH("""Não aplicável""",L3)))</formula>
    </cfRule>
    <cfRule type="cellIs" dxfId="549" priority="29" operator="lessThan">
      <formula>0</formula>
    </cfRule>
    <cfRule type="containsText" dxfId="548" priority="17" operator="containsText" text="&quot;&quot;">
      <formula>NOT(ISERROR(SEARCH("""""",L3)))</formula>
    </cfRule>
    <cfRule type="cellIs" dxfId="547" priority="18" operator="equal">
      <formula>"""Não aplicável"""</formula>
    </cfRule>
    <cfRule type="cellIs" dxfId="546" priority="19" operator="equal">
      <formula>""""""</formula>
    </cfRule>
    <cfRule type="containsText" dxfId="545" priority="20" operator="containsText" text="Não">
      <formula>NOT(ISERROR(SEARCH("Não",L3)))</formula>
    </cfRule>
    <cfRule type="cellIs" dxfId="544" priority="30" operator="greaterThan">
      <formula>0</formula>
    </cfRule>
    <cfRule type="containsText" dxfId="543" priority="22" operator="containsText" text="Não">
      <formula>NOT(ISERROR(SEARCH("Não",L3)))</formula>
    </cfRule>
    <cfRule type="containsText" dxfId="542" priority="23" operator="containsText" text="&quot;Não aplicável&quot;">
      <formula>NOT(ISERROR(SEARCH("""Não aplicável""",L3)))</formula>
    </cfRule>
    <cfRule type="containsText" dxfId="541" priority="25" operator="containsText" text="&quot;&quot;">
      <formula>NOT(ISERROR(SEARCH("""""",L3)))</formula>
    </cfRule>
    <cfRule type="cellIs" dxfId="540" priority="26" operator="equal">
      <formula>"""Não aplicável"""</formula>
    </cfRule>
  </conditionalFormatting>
  <conditionalFormatting sqref="L4">
    <cfRule type="cellIs" dxfId="539" priority="41" operator="equal">
      <formula>""""""</formula>
    </cfRule>
    <cfRule type="containsText" dxfId="538" priority="44" operator="containsText" text="Não">
      <formula>NOT(ISERROR(SEARCH("Não",L4)))</formula>
    </cfRule>
    <cfRule type="containsText" dxfId="537" priority="46" operator="containsText" text="Não">
      <formula>NOT(ISERROR(SEARCH("Não",L4)))</formula>
    </cfRule>
    <cfRule type="containsText" dxfId="536" priority="47" operator="containsText" text="&quot;Não aplicável&quot;">
      <formula>NOT(ISERROR(SEARCH("""Não aplicável""",L4)))</formula>
    </cfRule>
    <cfRule type="containsText" dxfId="535" priority="49" operator="containsText" text="&quot;&quot;">
      <formula>NOT(ISERROR(SEARCH("""""",L4)))</formula>
    </cfRule>
    <cfRule type="containsText" dxfId="534" priority="32" operator="containsText" text="Não">
      <formula>NOT(ISERROR(SEARCH("Não",L4)))</formula>
    </cfRule>
    <cfRule type="cellIs" dxfId="533" priority="50" operator="equal">
      <formula>"""Não aplicável"""</formula>
    </cfRule>
    <cfRule type="containsText" dxfId="532" priority="34" operator="containsText" text="Não">
      <formula>NOT(ISERROR(SEARCH("Não",L4)))</formula>
    </cfRule>
    <cfRule type="cellIs" dxfId="531" priority="51" operator="equal">
      <formula>""""""</formula>
    </cfRule>
    <cfRule type="containsText" dxfId="530" priority="36" operator="containsText" text="Não">
      <formula>NOT(ISERROR(SEARCH("Não",L4)))</formula>
    </cfRule>
    <cfRule type="containsText" dxfId="529" priority="37" operator="containsText" text="&quot;Não aplicável&quot;">
      <formula>NOT(ISERROR(SEARCH("""Não aplicável""",L4)))</formula>
    </cfRule>
    <cfRule type="containsText" dxfId="528" priority="39" operator="containsText" text="&quot;&quot;">
      <formula>NOT(ISERROR(SEARCH("""""",L4)))</formula>
    </cfRule>
    <cfRule type="cellIs" dxfId="527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526" priority="42" operator="containsText" text="Não">
      <formula>NOT(ISERROR(SEARCH("Não",L4)))</formula>
    </cfRule>
    <cfRule type="containsText" dxfId="525" priority="53" operator="containsText" text="Não">
      <formula>NOT(ISERROR(SEARCH("Não",L4)))</formula>
    </cfRule>
    <cfRule type="containsText" dxfId="524" priority="55" operator="containsText" text="Não">
      <formula>NOT(ISERROR(SEARCH("Não",L4)))</formula>
    </cfRule>
    <cfRule type="containsText" dxfId="523" priority="56" operator="containsText" text="&quot;Não aplicável&quot;">
      <formula>NOT(ISERROR(SEARCH("""Não aplicável""",L4)))</formula>
    </cfRule>
    <cfRule type="containsText" dxfId="522" priority="58" operator="containsText" text="&quot;&quot;">
      <formula>NOT(ISERROR(SEARCH("""""",L4)))</formula>
    </cfRule>
    <cfRule type="cellIs" dxfId="521" priority="59" operator="equal">
      <formula>"""Não aplicável"""</formula>
    </cfRule>
    <cfRule type="cellIs" dxfId="520" priority="60" operator="equal">
      <formula>""""""</formula>
    </cfRule>
    <cfRule type="cellIs" dxfId="519" priority="71" operator="greaterThan">
      <formula>0</formula>
    </cfRule>
    <cfRule type="cellIs" dxfId="518" priority="69" operator="equal">
      <formula>""""""</formula>
    </cfRule>
    <cfRule type="cellIs" dxfId="517" priority="70" operator="lessThan">
      <formula>0</formula>
    </cfRule>
  </conditionalFormatting>
  <hyperlinks>
    <hyperlink ref="A1" location="Sumário!A1" display="SUMÁRIO" xr:uid="{B13A570F-2254-4F52-B832-7816ABF26330}"/>
    <hyperlink ref="A2" location="'Resumo DT Bolsa'!A1" display="Resumo DT" xr:uid="{BC509990-EE8D-4489-B982-7FE525296B08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63F8E-773D-4CD1-904B-AD1D2F632C01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44267</v>
      </c>
      <c r="C2" s="35">
        <v>200</v>
      </c>
      <c r="D2" s="5"/>
      <c r="E2" s="136">
        <v>1.86</v>
      </c>
      <c r="F2" s="136">
        <v>2.4900000000000002</v>
      </c>
      <c r="G2" s="111">
        <f>IF(A1="SUMÁRIO",TbOIBR3_ST[[#This Row],[Qtt Compra]],IF(G1+C2-D2&lt;0, "ERRO", G1+C2-D2))</f>
        <v>200</v>
      </c>
      <c r="H2" s="137">
        <f t="shared" ref="H2:H4" si="0">IF(AND(TRUNC((C2+D2)*E2*0.03%,2)=0,OR(C2&gt;0,D2&gt;0)),0.01,ROUNDUP((C2+D2)*E2*0.03%,2))</f>
        <v>0.12</v>
      </c>
      <c r="I2" s="137">
        <f>F2+H2</f>
        <v>2.6100000000000003</v>
      </c>
      <c r="J2" s="15">
        <f t="shared" ref="J2:J4" si="1">IF(A1="SUMÁRIO",E2*C2+I2,J1+IF(C2&gt;0,I2+C2*E2,-D2*K1))</f>
        <v>374.61</v>
      </c>
      <c r="K2" s="15">
        <f t="shared" ref="K2:K4" si="2">IF(G2=0,0,J2/G2)</f>
        <v>1.8730500000000001</v>
      </c>
      <c r="L2" s="116"/>
    </row>
    <row r="3" spans="1:13" x14ac:dyDescent="0.3">
      <c r="B3" s="135">
        <v>44285</v>
      </c>
      <c r="D3" s="35">
        <v>100</v>
      </c>
      <c r="E3" s="136">
        <v>1.93</v>
      </c>
      <c r="F3" s="136">
        <v>2.4900000000000002</v>
      </c>
      <c r="G3" s="111">
        <f>IF(A2="SUMÁRIO",TbOIBR3_ST[[#This Row],[Qtt Compra]],IF(G2+C3-D3&lt;0, "ERRO", G2+C3-D3))</f>
        <v>100</v>
      </c>
      <c r="H3" s="137">
        <f t="shared" si="0"/>
        <v>6.0000000000000005E-2</v>
      </c>
      <c r="I3" s="137">
        <f t="shared" ref="I3:I4" si="3">F3+H3</f>
        <v>2.5500000000000003</v>
      </c>
      <c r="J3" s="15">
        <f t="shared" si="1"/>
        <v>187.30500000000001</v>
      </c>
      <c r="K3" s="15">
        <f t="shared" si="2"/>
        <v>1.8730500000000001</v>
      </c>
      <c r="L3" s="127">
        <f>IF(D3&gt;0,TRUNC(D3*E3-D3*K2-I3,2),"Não aplicável")</f>
        <v>3.14</v>
      </c>
    </row>
    <row r="4" spans="1:13" x14ac:dyDescent="0.3">
      <c r="B4" s="135">
        <v>44375.575694444444</v>
      </c>
      <c r="D4" s="35">
        <v>100</v>
      </c>
      <c r="E4" s="136">
        <v>1.52</v>
      </c>
      <c r="F4" s="136">
        <v>0</v>
      </c>
      <c r="G4" s="111">
        <f>IF(A3="SUMÁRIO",TbOIBR3_ST[[#This Row],[Qtt Compra]],IF(G3+C4-D4&lt;0, "ERRO", G3+C4-D4))</f>
        <v>0</v>
      </c>
      <c r="H4" s="137">
        <f t="shared" si="0"/>
        <v>0.05</v>
      </c>
      <c r="I4" s="137">
        <f t="shared" si="3"/>
        <v>0.05</v>
      </c>
      <c r="J4" s="15">
        <f t="shared" si="1"/>
        <v>0</v>
      </c>
      <c r="K4" s="15">
        <f t="shared" si="2"/>
        <v>0</v>
      </c>
      <c r="L4" s="127">
        <f>IF(D4&gt;0,TRUNC(D4*E4-D4*K3-I4,2),"Não aplicável")</f>
        <v>-35.35</v>
      </c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516" priority="50" operator="containsText" text="Não">
      <formula>NOT(ISERROR(SEARCH("Não",L3)))</formula>
    </cfRule>
    <cfRule type="containsText" dxfId="515" priority="55" operator="containsText" text="&quot;&quot;">
      <formula>NOT(ISERROR(SEARCH("""""",L3)))</formula>
    </cfRule>
    <cfRule type="cellIs" dxfId="514" priority="56" operator="equal">
      <formula>"""Não aplicável"""</formula>
    </cfRule>
    <cfRule type="cellIs" dxfId="513" priority="57" operator="equal">
      <formula>""""""</formula>
    </cfRule>
    <cfRule type="cellIs" dxfId="512" priority="58" operator="equal">
      <formula>""""""</formula>
    </cfRule>
    <cfRule type="cellIs" dxfId="511" priority="59" operator="lessThan">
      <formula>0</formula>
    </cfRule>
    <cfRule type="cellIs" dxfId="510" priority="60" operator="greaterThan">
      <formula>0</formula>
    </cfRule>
    <cfRule type="cellIs" dxfId="509" priority="49" operator="equal">
      <formula>""""""</formula>
    </cfRule>
    <cfRule type="cellIs" dxfId="508" priority="48" operator="equal">
      <formula>"""Não aplicável"""</formula>
    </cfRule>
    <cfRule type="containsText" dxfId="507" priority="47" operator="containsText" text="&quot;&quot;">
      <formula>NOT(ISERROR(SEARCH("""""",L3)))</formula>
    </cfRule>
    <cfRule type="containsText" dxfId="506" priority="45" operator="containsText" text="&quot;Não aplicável&quot;">
      <formula>NOT(ISERROR(SEARCH("""Não aplicável""",L3)))</formula>
    </cfRule>
    <cfRule type="containsText" dxfId="505" priority="44" operator="containsText" text="Não">
      <formula>NOT(ISERROR(SEARCH("Não",L3)))</formula>
    </cfRule>
    <cfRule type="containsText" dxfId="504" priority="53" operator="containsText" text="&quot;Não aplicável&quot;">
      <formula>NOT(ISERROR(SEARCH("""Não aplicável""",L3)))</formula>
    </cfRule>
    <cfRule type="containsText" dxfId="503" priority="42" operator="containsText" text="Não">
      <formula>NOT(ISERROR(SEARCH("Não",L3)))</formula>
    </cfRule>
    <cfRule type="containsText" dxfId="502" priority="41" operator="containsText" text="Não">
      <formula>NOT(ISERROR(SEARCH("Não",L3)))</formula>
    </cfRule>
    <cfRule type="containsText" dxfId="501" priority="52" operator="containsText" text="Não">
      <formula>NOT(ISERROR(SEARCH("Não",L3)))</formula>
    </cfRule>
  </conditionalFormatting>
  <conditionalFormatting sqref="L3:L4">
    <cfRule type="containsText" priority="4" operator="containsText" text="Não">
      <formula>NOT(ISERROR(SEARCH("Não",L3)))</formula>
    </cfRule>
    <cfRule type="containsText" priority="7" operator="containsText" text="Não aplicável">
      <formula>NOT(ISERROR(SEARCH("Não aplicável",L3)))</formula>
    </cfRule>
    <cfRule type="containsText" dxfId="500" priority="11" operator="containsText" text="Não">
      <formula>NOT(ISERROR(SEARCH("Não",L3)))</formula>
    </cfRule>
    <cfRule type="containsText" dxfId="499" priority="20" operator="containsText" text="Não">
      <formula>NOT(ISERROR(SEARCH("Não",L3)))</formula>
    </cfRule>
    <cfRule type="containsText" dxfId="498" priority="25" operator="containsText" text="&quot;&quot;">
      <formula>NOT(ISERROR(SEARCH("""""",L3)))</formula>
    </cfRule>
    <cfRule type="cellIs" dxfId="497" priority="26" operator="equal">
      <formula>"""Não aplicável"""</formula>
    </cfRule>
    <cfRule type="cellIs" dxfId="496" priority="27" operator="equal">
      <formula>""""""</formula>
    </cfRule>
    <cfRule type="containsText" dxfId="495" priority="23" operator="containsText" text="&quot;Não aplicável&quot;">
      <formula>NOT(ISERROR(SEARCH("""Não aplicável""",L3)))</formula>
    </cfRule>
    <cfRule type="containsText" dxfId="494" priority="22" operator="containsText" text="Não">
      <formula>NOT(ISERROR(SEARCH("Não",L3)))</formula>
    </cfRule>
  </conditionalFormatting>
  <conditionalFormatting sqref="L4">
    <cfRule type="containsText" dxfId="493" priority="3" operator="containsText" text="Não">
      <formula>NOT(ISERROR(SEARCH("Não",L4)))</formula>
    </cfRule>
    <cfRule type="containsText" dxfId="492" priority="5" operator="containsText" text="Não">
      <formula>NOT(ISERROR(SEARCH("Não",L4)))</formula>
    </cfRule>
    <cfRule type="containsText" dxfId="491" priority="6" operator="containsText" text="&quot;Não aplicável&quot;">
      <formula>NOT(ISERROR(SEARCH("""Não aplicável""",L4)))</formula>
    </cfRule>
    <cfRule type="containsText" dxfId="490" priority="8" operator="containsText" text="&quot;&quot;">
      <formula>NOT(ISERROR(SEARCH("""""",L4)))</formula>
    </cfRule>
    <cfRule type="cellIs" dxfId="489" priority="9" operator="equal">
      <formula>"""Não aplicável"""</formula>
    </cfRule>
    <cfRule type="cellIs" dxfId="488" priority="10" operator="equal">
      <formula>""""""</formula>
    </cfRule>
    <cfRule type="containsText" dxfId="487" priority="12" operator="containsText" text="Não">
      <formula>NOT(ISERROR(SEARCH("Não",L4)))</formula>
    </cfRule>
    <cfRule type="containsText" dxfId="486" priority="14" operator="containsText" text="Não">
      <formula>NOT(ISERROR(SEARCH("Não",L4)))</formula>
    </cfRule>
    <cfRule type="containsText" dxfId="485" priority="15" operator="containsText" text="&quot;Não aplicável&quot;">
      <formula>NOT(ISERROR(SEARCH("""Não aplicável""",L4)))</formula>
    </cfRule>
    <cfRule type="containsText" dxfId="484" priority="17" operator="containsText" text="&quot;&quot;">
      <formula>NOT(ISERROR(SEARCH("""""",L4)))</formula>
    </cfRule>
    <cfRule type="cellIs" dxfId="483" priority="18" operator="equal">
      <formula>"""Não aplicável"""</formula>
    </cfRule>
    <cfRule type="cellIs" dxfId="482" priority="19" operator="equal">
      <formula>""""""</formula>
    </cfRule>
    <cfRule type="cellIs" dxfId="481" priority="28" operator="equal">
      <formula>""""""</formula>
    </cfRule>
    <cfRule type="cellIs" dxfId="480" priority="29" operator="lessThan">
      <formula>0</formula>
    </cfRule>
    <cfRule type="cellIs" dxfId="479" priority="30" operator="greaterThan">
      <formula>0</formula>
    </cfRule>
    <cfRule type="containsText" dxfId="478" priority="1" operator="containsText" text="Não">
      <formula>NOT(ISERROR(SEARCH("Não",L4)))</formula>
    </cfRule>
  </conditionalFormatting>
  <conditionalFormatting sqref="L5:L6">
    <cfRule type="containsText" priority="65" operator="containsText" text="Não">
      <formula>NOT(ISERROR(SEARCH("Não",L5)))</formula>
    </cfRule>
    <cfRule type="containsText" dxfId="477" priority="62" operator="containsText" text="Não">
      <formula>NOT(ISERROR(SEARCH("Não",L5)))</formula>
    </cfRule>
    <cfRule type="containsText" dxfId="476" priority="64" operator="containsText" text="Não">
      <formula>NOT(ISERROR(SEARCH("Não",L5)))</formula>
    </cfRule>
    <cfRule type="containsText" dxfId="475" priority="66" operator="containsText" text="Não">
      <formula>NOT(ISERROR(SEARCH("Não",L5)))</formula>
    </cfRule>
    <cfRule type="containsText" dxfId="474" priority="67" operator="containsText" text="&quot;Não aplicável&quot;">
      <formula>NOT(ISERROR(SEARCH("""Não aplicável""",L5)))</formula>
    </cfRule>
    <cfRule type="containsText" priority="68" operator="containsText" text="Não aplicável">
      <formula>NOT(ISERROR(SEARCH("Não aplicável",L5)))</formula>
    </cfRule>
    <cfRule type="containsText" dxfId="473" priority="69" operator="containsText" text="&quot;&quot;">
      <formula>NOT(ISERROR(SEARCH("""""",L5)))</formula>
    </cfRule>
    <cfRule type="cellIs" dxfId="472" priority="70" operator="equal">
      <formula>"""Não aplicável"""</formula>
    </cfRule>
    <cfRule type="cellIs" dxfId="471" priority="71" operator="equal">
      <formula>""""""</formula>
    </cfRule>
    <cfRule type="cellIs" dxfId="470" priority="72" operator="equal">
      <formula>""""""</formula>
    </cfRule>
    <cfRule type="cellIs" dxfId="469" priority="73" operator="lessThan">
      <formula>0</formula>
    </cfRule>
    <cfRule type="cellIs" dxfId="468" priority="74" operator="greaterThan">
      <formula>0</formula>
    </cfRule>
  </conditionalFormatting>
  <hyperlinks>
    <hyperlink ref="A1" location="Sumário!A1" display="SUMÁRIO" xr:uid="{C5DFA376-54C6-4AAE-9C36-BF1EF2FE9F54}"/>
    <hyperlink ref="A2" location="'Resumo ST Bolsa'!A1" display="Resumo ST" xr:uid="{48CA52EC-5F9D-4F21-AF2E-A167BF9D8441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3E7D6-95E0-42D8-8FF2-33B49AD7EB2C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IF(A1="SUMÁRIO",TbLREN3F_DT[[#This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IF(A2="SUMÁRIO",TbLREN3F_DT[[#This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B1:B1048576">
    <cfRule type="cellIs" dxfId="467" priority="31" operator="lessThan">
      <formula>$B$2</formula>
    </cfRule>
  </conditionalFormatting>
  <conditionalFormatting sqref="L3">
    <cfRule type="containsText" dxfId="466" priority="1" operator="containsText" text="Não">
      <formula>NOT(ISERROR(SEARCH("Não",L3)))</formula>
    </cfRule>
    <cfRule type="cellIs" dxfId="465" priority="27" operator="equal">
      <formula>""""""</formula>
    </cfRule>
    <cfRule type="containsText" dxfId="464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463" priority="5" operator="containsText" text="Não">
      <formula>NOT(ISERROR(SEARCH("Não",L3)))</formula>
    </cfRule>
    <cfRule type="containsText" dxfId="462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461" priority="8" operator="containsText" text="&quot;&quot;">
      <formula>NOT(ISERROR(SEARCH("""""",L3)))</formula>
    </cfRule>
    <cfRule type="cellIs" dxfId="460" priority="9" operator="equal">
      <formula>"""Não aplicável"""</formula>
    </cfRule>
    <cfRule type="cellIs" dxfId="459" priority="10" operator="equal">
      <formula>""""""</formula>
    </cfRule>
    <cfRule type="containsText" dxfId="458" priority="11" operator="containsText" text="Não">
      <formula>NOT(ISERROR(SEARCH("Não",L3)))</formula>
    </cfRule>
    <cfRule type="containsText" dxfId="457" priority="12" operator="containsText" text="Não">
      <formula>NOT(ISERROR(SEARCH("Não",L3)))</formula>
    </cfRule>
    <cfRule type="cellIs" dxfId="456" priority="28" operator="equal">
      <formula>""""""</formula>
    </cfRule>
    <cfRule type="containsText" dxfId="455" priority="14" operator="containsText" text="Não">
      <formula>NOT(ISERROR(SEARCH("Não",L3)))</formula>
    </cfRule>
    <cfRule type="containsText" dxfId="454" priority="15" operator="containsText" text="&quot;Não aplicável&quot;">
      <formula>NOT(ISERROR(SEARCH("""Não aplicável""",L3)))</formula>
    </cfRule>
    <cfRule type="cellIs" dxfId="453" priority="29" operator="lessThan">
      <formula>0</formula>
    </cfRule>
    <cfRule type="containsText" dxfId="452" priority="17" operator="containsText" text="&quot;&quot;">
      <formula>NOT(ISERROR(SEARCH("""""",L3)))</formula>
    </cfRule>
    <cfRule type="cellIs" dxfId="451" priority="18" operator="equal">
      <formula>"""Não aplicável"""</formula>
    </cfRule>
    <cfRule type="cellIs" dxfId="450" priority="19" operator="equal">
      <formula>""""""</formula>
    </cfRule>
    <cfRule type="containsText" dxfId="449" priority="20" operator="containsText" text="Não">
      <formula>NOT(ISERROR(SEARCH("Não",L3)))</formula>
    </cfRule>
    <cfRule type="cellIs" dxfId="448" priority="30" operator="greaterThan">
      <formula>0</formula>
    </cfRule>
    <cfRule type="containsText" dxfId="447" priority="22" operator="containsText" text="Não">
      <formula>NOT(ISERROR(SEARCH("Não",L3)))</formula>
    </cfRule>
    <cfRule type="containsText" dxfId="446" priority="23" operator="containsText" text="&quot;Não aplicável&quot;">
      <formula>NOT(ISERROR(SEARCH("""Não aplicável""",L3)))</formula>
    </cfRule>
    <cfRule type="containsText" dxfId="445" priority="25" operator="containsText" text="&quot;&quot;">
      <formula>NOT(ISERROR(SEARCH("""""",L3)))</formula>
    </cfRule>
    <cfRule type="cellIs" dxfId="444" priority="26" operator="equal">
      <formula>"""Não aplicável"""</formula>
    </cfRule>
  </conditionalFormatting>
  <conditionalFormatting sqref="L4">
    <cfRule type="cellIs" dxfId="443" priority="41" operator="equal">
      <formula>""""""</formula>
    </cfRule>
    <cfRule type="containsText" dxfId="442" priority="44" operator="containsText" text="Não">
      <formula>NOT(ISERROR(SEARCH("Não",L4)))</formula>
    </cfRule>
    <cfRule type="containsText" dxfId="441" priority="46" operator="containsText" text="Não">
      <formula>NOT(ISERROR(SEARCH("Não",L4)))</formula>
    </cfRule>
    <cfRule type="containsText" dxfId="440" priority="47" operator="containsText" text="&quot;Não aplicável&quot;">
      <formula>NOT(ISERROR(SEARCH("""Não aplicável""",L4)))</formula>
    </cfRule>
    <cfRule type="containsText" dxfId="439" priority="49" operator="containsText" text="&quot;&quot;">
      <formula>NOT(ISERROR(SEARCH("""""",L4)))</formula>
    </cfRule>
    <cfRule type="containsText" dxfId="438" priority="32" operator="containsText" text="Não">
      <formula>NOT(ISERROR(SEARCH("Não",L4)))</formula>
    </cfRule>
    <cfRule type="cellIs" dxfId="437" priority="50" operator="equal">
      <formula>"""Não aplicável"""</formula>
    </cfRule>
    <cfRule type="containsText" dxfId="436" priority="34" operator="containsText" text="Não">
      <formula>NOT(ISERROR(SEARCH("Não",L4)))</formula>
    </cfRule>
    <cfRule type="cellIs" dxfId="435" priority="51" operator="equal">
      <formula>""""""</formula>
    </cfRule>
    <cfRule type="containsText" dxfId="434" priority="36" operator="containsText" text="Não">
      <formula>NOT(ISERROR(SEARCH("Não",L4)))</formula>
    </cfRule>
    <cfRule type="containsText" dxfId="433" priority="37" operator="containsText" text="&quot;Não aplicável&quot;">
      <formula>NOT(ISERROR(SEARCH("""Não aplicável""",L4)))</formula>
    </cfRule>
    <cfRule type="containsText" dxfId="432" priority="39" operator="containsText" text="&quot;&quot;">
      <formula>NOT(ISERROR(SEARCH("""""",L4)))</formula>
    </cfRule>
    <cfRule type="cellIs" dxfId="431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430" priority="42" operator="containsText" text="Não">
      <formula>NOT(ISERROR(SEARCH("Não",L4)))</formula>
    </cfRule>
    <cfRule type="containsText" dxfId="429" priority="53" operator="containsText" text="Não">
      <formula>NOT(ISERROR(SEARCH("Não",L4)))</formula>
    </cfRule>
    <cfRule type="containsText" dxfId="428" priority="55" operator="containsText" text="Não">
      <formula>NOT(ISERROR(SEARCH("Não",L4)))</formula>
    </cfRule>
    <cfRule type="containsText" dxfId="427" priority="56" operator="containsText" text="&quot;Não aplicável&quot;">
      <formula>NOT(ISERROR(SEARCH("""Não aplicável""",L4)))</formula>
    </cfRule>
    <cfRule type="containsText" dxfId="426" priority="58" operator="containsText" text="&quot;&quot;">
      <formula>NOT(ISERROR(SEARCH("""""",L4)))</formula>
    </cfRule>
    <cfRule type="cellIs" dxfId="425" priority="59" operator="equal">
      <formula>"""Não aplicável"""</formula>
    </cfRule>
    <cfRule type="cellIs" dxfId="424" priority="60" operator="equal">
      <formula>""""""</formula>
    </cfRule>
    <cfRule type="cellIs" dxfId="423" priority="71" operator="greaterThan">
      <formula>0</formula>
    </cfRule>
    <cfRule type="cellIs" dxfId="422" priority="69" operator="equal">
      <formula>""""""</formula>
    </cfRule>
    <cfRule type="cellIs" dxfId="421" priority="70" operator="lessThan">
      <formula>0</formula>
    </cfRule>
  </conditionalFormatting>
  <hyperlinks>
    <hyperlink ref="A1" location="Sumário!A1" display="SUMÁRIO" xr:uid="{F09DB4E0-3077-403A-83C0-0BB5BB6DAFCB}"/>
    <hyperlink ref="A2" location="'Resumo DT Bolsa'!A1" display="Resumo DT" xr:uid="{254DF17C-42C4-4E78-A6C8-D011CD1BFEB3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7D72B-7ACA-4487-BAAC-43DB9A850F60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44222</v>
      </c>
      <c r="C2" s="35">
        <v>1</v>
      </c>
      <c r="D2" s="5"/>
      <c r="E2" s="136">
        <v>41.66</v>
      </c>
      <c r="F2" s="136">
        <v>2.4900000000000002</v>
      </c>
      <c r="G2" s="111">
        <f>IF(A1="SUMÁRIO",Tabela56[[#This Row],[Qtt Compra]],IF(G1+C2-D2&lt;0, "ERRO", G1+C2-D2))</f>
        <v>1</v>
      </c>
      <c r="H2" s="137">
        <f t="shared" ref="H2:H3" si="0">IF(AND(TRUNC((C2+D2)*E2*0.03%,2)=0,OR(C2&gt;0,D2&gt;0)),0.01,ROUNDUP((C2+D2)*E2*0.03%,2))</f>
        <v>0.02</v>
      </c>
      <c r="I2" s="137">
        <f>F2+H2</f>
        <v>2.5100000000000002</v>
      </c>
      <c r="J2" s="15">
        <f t="shared" ref="J2:J3" si="1">IF(A1="SUMÁRIO",E2*C2+I2,J1+IF(C2&gt;0,I2+C2*E2,-D2*K1))</f>
        <v>44.169999999999995</v>
      </c>
      <c r="K2" s="15">
        <f t="shared" ref="K2:K3" si="2">IF(G2=0,0,J2/G2)</f>
        <v>44.169999999999995</v>
      </c>
      <c r="L2" s="116"/>
    </row>
    <row r="3" spans="1:13" x14ac:dyDescent="0.3">
      <c r="B3" s="135">
        <v>44281</v>
      </c>
      <c r="D3" s="35">
        <v>1</v>
      </c>
      <c r="E3" s="136">
        <v>42.71</v>
      </c>
      <c r="F3" s="136">
        <v>2.4900000000000002</v>
      </c>
      <c r="G3" s="111">
        <f>IF(A2="SUMÁRIO",Tabela56[[#This Row],[Qtt Compra]],IF(G2+C3-D3&lt;0, "ERRO", G2+C3-D3))</f>
        <v>0</v>
      </c>
      <c r="H3" s="137">
        <f t="shared" si="0"/>
        <v>0.02</v>
      </c>
      <c r="I3" s="137">
        <f t="shared" ref="I3" si="3">F3+H3</f>
        <v>2.5100000000000002</v>
      </c>
      <c r="J3" s="15">
        <f t="shared" si="1"/>
        <v>0</v>
      </c>
      <c r="K3" s="15">
        <f t="shared" si="2"/>
        <v>0</v>
      </c>
      <c r="L3" s="127">
        <f>IF(D3&gt;0,TRUNC(D3*E3-D3*K2-I3,2),"Não aplicável")</f>
        <v>-3.96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420" priority="1" operator="containsText" text="Não">
      <formula>NOT(ISERROR(SEARCH("Não",L3)))</formula>
    </cfRule>
    <cfRule type="cellIs" dxfId="419" priority="26" operator="equal">
      <formula>"""Não aplicável"""</formula>
    </cfRule>
    <cfRule type="containsText" dxfId="418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417" priority="5" operator="containsText" text="Não">
      <formula>NOT(ISERROR(SEARCH("Não",L3)))</formula>
    </cfRule>
    <cfRule type="containsText" dxfId="416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415" priority="8" operator="containsText" text="&quot;&quot;">
      <formula>NOT(ISERROR(SEARCH("""""",L3)))</formula>
    </cfRule>
    <cfRule type="cellIs" dxfId="414" priority="9" operator="equal">
      <formula>"""Não aplicável"""</formula>
    </cfRule>
    <cfRule type="cellIs" dxfId="413" priority="10" operator="equal">
      <formula>""""""</formula>
    </cfRule>
    <cfRule type="containsText" dxfId="412" priority="11" operator="containsText" text="Não">
      <formula>NOT(ISERROR(SEARCH("Não",L3)))</formula>
    </cfRule>
    <cfRule type="containsText" dxfId="411" priority="12" operator="containsText" text="Não">
      <formula>NOT(ISERROR(SEARCH("Não",L3)))</formula>
    </cfRule>
    <cfRule type="cellIs" dxfId="410" priority="27" operator="equal">
      <formula>""""""</formula>
    </cfRule>
    <cfRule type="containsText" dxfId="409" priority="14" operator="containsText" text="Não">
      <formula>NOT(ISERROR(SEARCH("Não",L3)))</formula>
    </cfRule>
    <cfRule type="containsText" dxfId="408" priority="15" operator="containsText" text="&quot;Não aplicável&quot;">
      <formula>NOT(ISERROR(SEARCH("""Não aplicável""",L3)))</formula>
    </cfRule>
    <cfRule type="cellIs" dxfId="407" priority="28" operator="equal">
      <formula>""""""</formula>
    </cfRule>
    <cfRule type="containsText" dxfId="406" priority="17" operator="containsText" text="&quot;&quot;">
      <formula>NOT(ISERROR(SEARCH("""""",L3)))</formula>
    </cfRule>
    <cfRule type="cellIs" dxfId="405" priority="18" operator="equal">
      <formula>"""Não aplicável"""</formula>
    </cfRule>
    <cfRule type="cellIs" dxfId="404" priority="19" operator="equal">
      <formula>""""""</formula>
    </cfRule>
    <cfRule type="containsText" dxfId="403" priority="20" operator="containsText" text="Não">
      <formula>NOT(ISERROR(SEARCH("Não",L3)))</formula>
    </cfRule>
    <cfRule type="cellIs" dxfId="402" priority="29" operator="lessThan">
      <formula>0</formula>
    </cfRule>
    <cfRule type="containsText" dxfId="401" priority="22" operator="containsText" text="Não">
      <formula>NOT(ISERROR(SEARCH("Não",L3)))</formula>
    </cfRule>
    <cfRule type="containsText" dxfId="400" priority="23" operator="containsText" text="&quot;Não aplicável&quot;">
      <formula>NOT(ISERROR(SEARCH("""Não aplicável""",L3)))</formula>
    </cfRule>
    <cfRule type="cellIs" dxfId="399" priority="30" operator="greaterThan">
      <formula>0</formula>
    </cfRule>
    <cfRule type="containsText" dxfId="398" priority="25" operator="containsText" text="&quot;&quot;">
      <formula>NOT(ISERROR(SEARCH("""""",L3)))</formula>
    </cfRule>
  </conditionalFormatting>
  <conditionalFormatting sqref="L4">
    <cfRule type="cellIs" dxfId="397" priority="41" operator="equal">
      <formula>""""""</formula>
    </cfRule>
    <cfRule type="containsText" dxfId="396" priority="44" operator="containsText" text="Não">
      <formula>NOT(ISERROR(SEARCH("Não",L4)))</formula>
    </cfRule>
    <cfRule type="containsText" dxfId="395" priority="46" operator="containsText" text="Não">
      <formula>NOT(ISERROR(SEARCH("Não",L4)))</formula>
    </cfRule>
    <cfRule type="containsText" dxfId="394" priority="47" operator="containsText" text="&quot;Não aplicável&quot;">
      <formula>NOT(ISERROR(SEARCH("""Não aplicável""",L4)))</formula>
    </cfRule>
    <cfRule type="containsText" dxfId="393" priority="49" operator="containsText" text="&quot;&quot;">
      <formula>NOT(ISERROR(SEARCH("""""",L4)))</formula>
    </cfRule>
    <cfRule type="containsText" dxfId="392" priority="32" operator="containsText" text="Não">
      <formula>NOT(ISERROR(SEARCH("Não",L4)))</formula>
    </cfRule>
    <cfRule type="cellIs" dxfId="391" priority="50" operator="equal">
      <formula>"""Não aplicável"""</formula>
    </cfRule>
    <cfRule type="containsText" dxfId="390" priority="34" operator="containsText" text="Não">
      <formula>NOT(ISERROR(SEARCH("Não",L4)))</formula>
    </cfRule>
    <cfRule type="cellIs" dxfId="389" priority="51" operator="equal">
      <formula>""""""</formula>
    </cfRule>
    <cfRule type="containsText" dxfId="388" priority="36" operator="containsText" text="Não">
      <formula>NOT(ISERROR(SEARCH("Não",L4)))</formula>
    </cfRule>
    <cfRule type="containsText" dxfId="387" priority="37" operator="containsText" text="&quot;Não aplicável&quot;">
      <formula>NOT(ISERROR(SEARCH("""Não aplicável""",L4)))</formula>
    </cfRule>
    <cfRule type="containsText" dxfId="386" priority="39" operator="containsText" text="&quot;&quot;">
      <formula>NOT(ISERROR(SEARCH("""""",L4)))</formula>
    </cfRule>
    <cfRule type="cellIs" dxfId="385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384" priority="42" operator="containsText" text="Não">
      <formula>NOT(ISERROR(SEARCH("Não",L4)))</formula>
    </cfRule>
    <cfRule type="containsText" dxfId="383" priority="53" operator="containsText" text="Não">
      <formula>NOT(ISERROR(SEARCH("Não",L4)))</formula>
    </cfRule>
    <cfRule type="containsText" dxfId="382" priority="55" operator="containsText" text="Não">
      <formula>NOT(ISERROR(SEARCH("Não",L4)))</formula>
    </cfRule>
    <cfRule type="containsText" dxfId="381" priority="56" operator="containsText" text="&quot;Não aplicável&quot;">
      <formula>NOT(ISERROR(SEARCH("""Não aplicável""",L4)))</formula>
    </cfRule>
    <cfRule type="containsText" dxfId="380" priority="58" operator="containsText" text="&quot;&quot;">
      <formula>NOT(ISERROR(SEARCH("""""",L4)))</formula>
    </cfRule>
    <cfRule type="cellIs" dxfId="379" priority="59" operator="equal">
      <formula>"""Não aplicável"""</formula>
    </cfRule>
    <cfRule type="cellIs" dxfId="378" priority="60" operator="equal">
      <formula>""""""</formula>
    </cfRule>
    <cfRule type="cellIs" dxfId="377" priority="71" operator="greaterThan">
      <formula>0</formula>
    </cfRule>
    <cfRule type="cellIs" dxfId="376" priority="69" operator="equal">
      <formula>""""""</formula>
    </cfRule>
    <cfRule type="cellIs" dxfId="375" priority="70" operator="lessThan">
      <formula>0</formula>
    </cfRule>
  </conditionalFormatting>
  <hyperlinks>
    <hyperlink ref="A1" location="Sumário!A1" display="SUMÁRIO" xr:uid="{796A83B6-46EF-4885-AF25-9E92DE8817FD}"/>
    <hyperlink ref="A2" location="'Resumo ST Bolsa'!A1" display="Resumo ST" xr:uid="{BBBFFCD6-D65B-43AF-8622-C499C6194796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3FA19-C81E-45A2-8A4E-E733FE352FD0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IF(A1="SUMÁRIO",TbTSLA34_DT[[#This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IF(A2="SUMÁRIO",TbTSLA34_DT[[#This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B1:B1048576">
    <cfRule type="cellIs" dxfId="374" priority="31" operator="lessThan">
      <formula>$B$2</formula>
    </cfRule>
  </conditionalFormatting>
  <conditionalFormatting sqref="L3">
    <cfRule type="containsText" dxfId="373" priority="1" operator="containsText" text="Não">
      <formula>NOT(ISERROR(SEARCH("Não",L3)))</formula>
    </cfRule>
    <cfRule type="cellIs" dxfId="372" priority="27" operator="equal">
      <formula>""""""</formula>
    </cfRule>
    <cfRule type="containsText" dxfId="371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370" priority="5" operator="containsText" text="Não">
      <formula>NOT(ISERROR(SEARCH("Não",L3)))</formula>
    </cfRule>
    <cfRule type="containsText" dxfId="369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368" priority="8" operator="containsText" text="&quot;&quot;">
      <formula>NOT(ISERROR(SEARCH("""""",L3)))</formula>
    </cfRule>
    <cfRule type="cellIs" dxfId="367" priority="9" operator="equal">
      <formula>"""Não aplicável"""</formula>
    </cfRule>
    <cfRule type="cellIs" dxfId="366" priority="10" operator="equal">
      <formula>""""""</formula>
    </cfRule>
    <cfRule type="containsText" dxfId="365" priority="11" operator="containsText" text="Não">
      <formula>NOT(ISERROR(SEARCH("Não",L3)))</formula>
    </cfRule>
    <cfRule type="containsText" dxfId="364" priority="12" operator="containsText" text="Não">
      <formula>NOT(ISERROR(SEARCH("Não",L3)))</formula>
    </cfRule>
    <cfRule type="cellIs" dxfId="363" priority="28" operator="equal">
      <formula>""""""</formula>
    </cfRule>
    <cfRule type="containsText" dxfId="362" priority="14" operator="containsText" text="Não">
      <formula>NOT(ISERROR(SEARCH("Não",L3)))</formula>
    </cfRule>
    <cfRule type="containsText" dxfId="361" priority="15" operator="containsText" text="&quot;Não aplicável&quot;">
      <formula>NOT(ISERROR(SEARCH("""Não aplicável""",L3)))</formula>
    </cfRule>
    <cfRule type="cellIs" dxfId="360" priority="29" operator="lessThan">
      <formula>0</formula>
    </cfRule>
    <cfRule type="containsText" dxfId="359" priority="17" operator="containsText" text="&quot;&quot;">
      <formula>NOT(ISERROR(SEARCH("""""",L3)))</formula>
    </cfRule>
    <cfRule type="cellIs" dxfId="358" priority="18" operator="equal">
      <formula>"""Não aplicável"""</formula>
    </cfRule>
    <cfRule type="cellIs" dxfId="357" priority="19" operator="equal">
      <formula>""""""</formula>
    </cfRule>
    <cfRule type="containsText" dxfId="356" priority="20" operator="containsText" text="Não">
      <formula>NOT(ISERROR(SEARCH("Não",L3)))</formula>
    </cfRule>
    <cfRule type="cellIs" dxfId="355" priority="30" operator="greaterThan">
      <formula>0</formula>
    </cfRule>
    <cfRule type="containsText" dxfId="354" priority="22" operator="containsText" text="Não">
      <formula>NOT(ISERROR(SEARCH("Não",L3)))</formula>
    </cfRule>
    <cfRule type="containsText" dxfId="353" priority="23" operator="containsText" text="&quot;Não aplicável&quot;">
      <formula>NOT(ISERROR(SEARCH("""Não aplicável""",L3)))</formula>
    </cfRule>
    <cfRule type="containsText" dxfId="352" priority="25" operator="containsText" text="&quot;&quot;">
      <formula>NOT(ISERROR(SEARCH("""""",L3)))</formula>
    </cfRule>
    <cfRule type="cellIs" dxfId="351" priority="26" operator="equal">
      <formula>"""Não aplicável"""</formula>
    </cfRule>
  </conditionalFormatting>
  <conditionalFormatting sqref="L4">
    <cfRule type="cellIs" dxfId="350" priority="41" operator="equal">
      <formula>""""""</formula>
    </cfRule>
    <cfRule type="containsText" dxfId="349" priority="44" operator="containsText" text="Não">
      <formula>NOT(ISERROR(SEARCH("Não",L4)))</formula>
    </cfRule>
    <cfRule type="containsText" dxfId="348" priority="46" operator="containsText" text="Não">
      <formula>NOT(ISERROR(SEARCH("Não",L4)))</formula>
    </cfRule>
    <cfRule type="containsText" dxfId="347" priority="47" operator="containsText" text="&quot;Não aplicável&quot;">
      <formula>NOT(ISERROR(SEARCH("""Não aplicável""",L4)))</formula>
    </cfRule>
    <cfRule type="containsText" dxfId="346" priority="49" operator="containsText" text="&quot;&quot;">
      <formula>NOT(ISERROR(SEARCH("""""",L4)))</formula>
    </cfRule>
    <cfRule type="containsText" dxfId="345" priority="32" operator="containsText" text="Não">
      <formula>NOT(ISERROR(SEARCH("Não",L4)))</formula>
    </cfRule>
    <cfRule type="cellIs" dxfId="344" priority="50" operator="equal">
      <formula>"""Não aplicável"""</formula>
    </cfRule>
    <cfRule type="containsText" dxfId="343" priority="34" operator="containsText" text="Não">
      <formula>NOT(ISERROR(SEARCH("Não",L4)))</formula>
    </cfRule>
    <cfRule type="cellIs" dxfId="342" priority="51" operator="equal">
      <formula>""""""</formula>
    </cfRule>
    <cfRule type="containsText" dxfId="341" priority="36" operator="containsText" text="Não">
      <formula>NOT(ISERROR(SEARCH("Não",L4)))</formula>
    </cfRule>
    <cfRule type="containsText" dxfId="340" priority="37" operator="containsText" text="&quot;Não aplicável&quot;">
      <formula>NOT(ISERROR(SEARCH("""Não aplicável""",L4)))</formula>
    </cfRule>
    <cfRule type="containsText" dxfId="339" priority="39" operator="containsText" text="&quot;&quot;">
      <formula>NOT(ISERROR(SEARCH("""""",L4)))</formula>
    </cfRule>
    <cfRule type="cellIs" dxfId="338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337" priority="42" operator="containsText" text="Não">
      <formula>NOT(ISERROR(SEARCH("Não",L4)))</formula>
    </cfRule>
    <cfRule type="containsText" dxfId="336" priority="53" operator="containsText" text="Não">
      <formula>NOT(ISERROR(SEARCH("Não",L4)))</formula>
    </cfRule>
    <cfRule type="containsText" dxfId="335" priority="55" operator="containsText" text="Não">
      <formula>NOT(ISERROR(SEARCH("Não",L4)))</formula>
    </cfRule>
    <cfRule type="containsText" dxfId="334" priority="56" operator="containsText" text="&quot;Não aplicável&quot;">
      <formula>NOT(ISERROR(SEARCH("""Não aplicável""",L4)))</formula>
    </cfRule>
    <cfRule type="containsText" dxfId="333" priority="58" operator="containsText" text="&quot;&quot;">
      <formula>NOT(ISERROR(SEARCH("""""",L4)))</formula>
    </cfRule>
    <cfRule type="cellIs" dxfId="332" priority="59" operator="equal">
      <formula>"""Não aplicável"""</formula>
    </cfRule>
    <cfRule type="cellIs" dxfId="331" priority="60" operator="equal">
      <formula>""""""</formula>
    </cfRule>
    <cfRule type="cellIs" dxfId="330" priority="71" operator="greaterThan">
      <formula>0</formula>
    </cfRule>
    <cfRule type="cellIs" dxfId="329" priority="69" operator="equal">
      <formula>""""""</formula>
    </cfRule>
    <cfRule type="cellIs" dxfId="328" priority="70" operator="lessThan">
      <formula>0</formula>
    </cfRule>
  </conditionalFormatting>
  <hyperlinks>
    <hyperlink ref="A1" location="Sumário!A1" display="SUMÁRIO" xr:uid="{B32CC6F1-0E73-404A-AAEE-24C56002E6A0}"/>
    <hyperlink ref="A2" location="'Resumo DT Bolsa'!A1" display="Resumo DT" xr:uid="{3B7079CF-CC37-49F6-90B9-66C1F390D0D1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9E07F-FC7F-4D28-9146-62DE71FEE0DE}">
  <dimension ref="A1:M10"/>
  <sheetViews>
    <sheetView zoomScale="115" zoomScaleNormal="115" workbookViewId="0"/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44222</v>
      </c>
      <c r="C2" s="35">
        <v>3</v>
      </c>
      <c r="D2" s="5"/>
      <c r="E2" s="136">
        <v>149.1</v>
      </c>
      <c r="F2" s="136">
        <v>2.4900000000000002</v>
      </c>
      <c r="G2" s="111">
        <f>IF(A1="SUMÁRIO",TbTSLA34_ST[[#This Row],[Qtt Compra]],IF(G1+C2-D2&lt;0, "ERRO", G1+C2-D2))</f>
        <v>3</v>
      </c>
      <c r="H2" s="137">
        <f t="shared" ref="H2:H4" si="0">IF(AND(TRUNC((C2+D2)*E2*0.03%,2)=0,OR(C2&gt;0,D2&gt;0)),0.01,ROUNDUP((C2+D2)*E2*0.03%,2))</f>
        <v>0.14000000000000001</v>
      </c>
      <c r="I2" s="137">
        <f>F2+H2</f>
        <v>2.6300000000000003</v>
      </c>
      <c r="J2" s="15">
        <f t="shared" ref="J2:J4" si="1">IF(A1="SUMÁRIO",E2*C2+I2,J1+IF(C2&gt;0,I2+C2*E2,-D2*K1))</f>
        <v>449.92999999999995</v>
      </c>
      <c r="K2" s="15">
        <f t="shared" ref="K2:K4" si="2">IF(G2=0,0,J2/G2)</f>
        <v>149.97666666666666</v>
      </c>
      <c r="L2" s="116"/>
    </row>
    <row r="3" spans="1:13" x14ac:dyDescent="0.3">
      <c r="B3" s="135">
        <v>44249</v>
      </c>
      <c r="D3" s="35">
        <v>3</v>
      </c>
      <c r="E3" s="136">
        <v>131.55000000000001</v>
      </c>
      <c r="F3" s="136">
        <v>2.4900000000000002</v>
      </c>
      <c r="G3" s="111">
        <f>IF(A2="SUMÁRIO",TbTSLA34_ST[[#This Row],[Qtt Compra]],IF(G2+C3-D3&lt;0, "ERRO", G2+C3-D3))</f>
        <v>0</v>
      </c>
      <c r="H3" s="137">
        <f t="shared" si="0"/>
        <v>0.12</v>
      </c>
      <c r="I3" s="137">
        <f t="shared" ref="I3:I4" si="3">F3+H3</f>
        <v>2.6100000000000003</v>
      </c>
      <c r="J3" s="15">
        <f t="shared" si="1"/>
        <v>0</v>
      </c>
      <c r="K3" s="15">
        <f t="shared" si="2"/>
        <v>0</v>
      </c>
      <c r="L3" s="127">
        <f>IF(D3&gt;0,TRUNC(D3*E3-D3*K2-I3,2),"Não aplicável")</f>
        <v>-57.88</v>
      </c>
    </row>
    <row r="4" spans="1:13" x14ac:dyDescent="0.3">
      <c r="B4" s="135">
        <v>44375.57708333333</v>
      </c>
      <c r="C4" s="35">
        <v>1</v>
      </c>
      <c r="E4" s="136">
        <v>106.53</v>
      </c>
      <c r="F4" s="136">
        <v>0</v>
      </c>
      <c r="G4" s="111">
        <f>IF(A3="SUMÁRIO",TbTSLA34_ST[[#This Row],[Qtt Compra]],IF(G3+C4-D4&lt;0, "ERRO", G3+C4-D4))</f>
        <v>1</v>
      </c>
      <c r="H4" s="137">
        <f t="shared" si="0"/>
        <v>0.04</v>
      </c>
      <c r="I4" s="137">
        <f t="shared" si="3"/>
        <v>0.04</v>
      </c>
      <c r="J4" s="15">
        <f t="shared" si="1"/>
        <v>106.57000000000001</v>
      </c>
      <c r="K4" s="15">
        <f t="shared" si="2"/>
        <v>106.57000000000001</v>
      </c>
      <c r="L4" s="127" t="str">
        <f>IF(D4&gt;0,TRUNC(D4*E4-D4*K3-I4,2),"Não aplicável")</f>
        <v>Não aplicável</v>
      </c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327" priority="50" operator="containsText" text="Não">
      <formula>NOT(ISERROR(SEARCH("Não",L3)))</formula>
    </cfRule>
    <cfRule type="containsText" dxfId="326" priority="55" operator="containsText" text="&quot;&quot;">
      <formula>NOT(ISERROR(SEARCH("""""",L3)))</formula>
    </cfRule>
    <cfRule type="cellIs" dxfId="325" priority="56" operator="equal">
      <formula>"""Não aplicável"""</formula>
    </cfRule>
    <cfRule type="cellIs" dxfId="324" priority="57" operator="equal">
      <formula>""""""</formula>
    </cfRule>
    <cfRule type="cellIs" dxfId="323" priority="58" operator="equal">
      <formula>""""""</formula>
    </cfRule>
    <cfRule type="cellIs" dxfId="322" priority="59" operator="lessThan">
      <formula>0</formula>
    </cfRule>
    <cfRule type="cellIs" dxfId="321" priority="60" operator="greaterThan">
      <formula>0</formula>
    </cfRule>
    <cfRule type="cellIs" dxfId="320" priority="49" operator="equal">
      <formula>""""""</formula>
    </cfRule>
    <cfRule type="cellIs" dxfId="319" priority="48" operator="equal">
      <formula>"""Não aplicável"""</formula>
    </cfRule>
    <cfRule type="containsText" dxfId="318" priority="47" operator="containsText" text="&quot;&quot;">
      <formula>NOT(ISERROR(SEARCH("""""",L3)))</formula>
    </cfRule>
    <cfRule type="containsText" dxfId="317" priority="45" operator="containsText" text="&quot;Não aplicável&quot;">
      <formula>NOT(ISERROR(SEARCH("""Não aplicável""",L3)))</formula>
    </cfRule>
    <cfRule type="containsText" dxfId="316" priority="44" operator="containsText" text="Não">
      <formula>NOT(ISERROR(SEARCH("Não",L3)))</formula>
    </cfRule>
    <cfRule type="containsText" dxfId="315" priority="53" operator="containsText" text="&quot;Não aplicável&quot;">
      <formula>NOT(ISERROR(SEARCH("""Não aplicável""",L3)))</formula>
    </cfRule>
    <cfRule type="containsText" dxfId="314" priority="42" operator="containsText" text="Não">
      <formula>NOT(ISERROR(SEARCH("Não",L3)))</formula>
    </cfRule>
    <cfRule type="containsText" dxfId="313" priority="41" operator="containsText" text="Não">
      <formula>NOT(ISERROR(SEARCH("Não",L3)))</formula>
    </cfRule>
    <cfRule type="containsText" dxfId="312" priority="52" operator="containsText" text="Não">
      <formula>NOT(ISERROR(SEARCH("Não",L3)))</formula>
    </cfRule>
  </conditionalFormatting>
  <conditionalFormatting sqref="L3:L4">
    <cfRule type="containsText" priority="4" operator="containsText" text="Não">
      <formula>NOT(ISERROR(SEARCH("Não",L3)))</formula>
    </cfRule>
    <cfRule type="containsText" priority="7" operator="containsText" text="Não aplicável">
      <formula>NOT(ISERROR(SEARCH("Não aplicável",L3)))</formula>
    </cfRule>
    <cfRule type="containsText" dxfId="311" priority="11" operator="containsText" text="Não">
      <formula>NOT(ISERROR(SEARCH("Não",L3)))</formula>
    </cfRule>
    <cfRule type="containsText" dxfId="310" priority="20" operator="containsText" text="Não">
      <formula>NOT(ISERROR(SEARCH("Não",L3)))</formula>
    </cfRule>
    <cfRule type="containsText" dxfId="309" priority="25" operator="containsText" text="&quot;&quot;">
      <formula>NOT(ISERROR(SEARCH("""""",L3)))</formula>
    </cfRule>
    <cfRule type="cellIs" dxfId="308" priority="26" operator="equal">
      <formula>"""Não aplicável"""</formula>
    </cfRule>
    <cfRule type="cellIs" dxfId="307" priority="27" operator="equal">
      <formula>""""""</formula>
    </cfRule>
    <cfRule type="containsText" dxfId="306" priority="23" operator="containsText" text="&quot;Não aplicável&quot;">
      <formula>NOT(ISERROR(SEARCH("""Não aplicável""",L3)))</formula>
    </cfRule>
    <cfRule type="containsText" dxfId="305" priority="22" operator="containsText" text="Não">
      <formula>NOT(ISERROR(SEARCH("Não",L3)))</formula>
    </cfRule>
  </conditionalFormatting>
  <conditionalFormatting sqref="L4">
    <cfRule type="containsText" dxfId="304" priority="3" operator="containsText" text="Não">
      <formula>NOT(ISERROR(SEARCH("Não",L4)))</formula>
    </cfRule>
    <cfRule type="containsText" dxfId="303" priority="5" operator="containsText" text="Não">
      <formula>NOT(ISERROR(SEARCH("Não",L4)))</formula>
    </cfRule>
    <cfRule type="containsText" dxfId="302" priority="6" operator="containsText" text="&quot;Não aplicável&quot;">
      <formula>NOT(ISERROR(SEARCH("""Não aplicável""",L4)))</formula>
    </cfRule>
    <cfRule type="containsText" dxfId="301" priority="8" operator="containsText" text="&quot;&quot;">
      <formula>NOT(ISERROR(SEARCH("""""",L4)))</formula>
    </cfRule>
    <cfRule type="cellIs" dxfId="300" priority="9" operator="equal">
      <formula>"""Não aplicável"""</formula>
    </cfRule>
    <cfRule type="cellIs" dxfId="299" priority="10" operator="equal">
      <formula>""""""</formula>
    </cfRule>
    <cfRule type="containsText" dxfId="298" priority="12" operator="containsText" text="Não">
      <formula>NOT(ISERROR(SEARCH("Não",L4)))</formula>
    </cfRule>
    <cfRule type="containsText" dxfId="297" priority="14" operator="containsText" text="Não">
      <formula>NOT(ISERROR(SEARCH("Não",L4)))</formula>
    </cfRule>
    <cfRule type="containsText" dxfId="296" priority="15" operator="containsText" text="&quot;Não aplicável&quot;">
      <formula>NOT(ISERROR(SEARCH("""Não aplicável""",L4)))</formula>
    </cfRule>
    <cfRule type="containsText" dxfId="295" priority="17" operator="containsText" text="&quot;&quot;">
      <formula>NOT(ISERROR(SEARCH("""""",L4)))</formula>
    </cfRule>
    <cfRule type="cellIs" dxfId="294" priority="18" operator="equal">
      <formula>"""Não aplicável"""</formula>
    </cfRule>
    <cfRule type="cellIs" dxfId="293" priority="19" operator="equal">
      <formula>""""""</formula>
    </cfRule>
    <cfRule type="cellIs" dxfId="292" priority="28" operator="equal">
      <formula>""""""</formula>
    </cfRule>
    <cfRule type="cellIs" dxfId="291" priority="29" operator="lessThan">
      <formula>0</formula>
    </cfRule>
    <cfRule type="cellIs" dxfId="290" priority="30" operator="greaterThan">
      <formula>0</formula>
    </cfRule>
    <cfRule type="containsText" dxfId="289" priority="1" operator="containsText" text="Não">
      <formula>NOT(ISERROR(SEARCH("Não",L4)))</formula>
    </cfRule>
  </conditionalFormatting>
  <conditionalFormatting sqref="L5:L6">
    <cfRule type="containsText" priority="65" operator="containsText" text="Não">
      <formula>NOT(ISERROR(SEARCH("Não",L5)))</formula>
    </cfRule>
    <cfRule type="containsText" dxfId="288" priority="62" operator="containsText" text="Não">
      <formula>NOT(ISERROR(SEARCH("Não",L5)))</formula>
    </cfRule>
    <cfRule type="containsText" dxfId="287" priority="64" operator="containsText" text="Não">
      <formula>NOT(ISERROR(SEARCH("Não",L5)))</formula>
    </cfRule>
    <cfRule type="containsText" dxfId="286" priority="66" operator="containsText" text="Não">
      <formula>NOT(ISERROR(SEARCH("Não",L5)))</formula>
    </cfRule>
    <cfRule type="containsText" dxfId="285" priority="67" operator="containsText" text="&quot;Não aplicável&quot;">
      <formula>NOT(ISERROR(SEARCH("""Não aplicável""",L5)))</formula>
    </cfRule>
    <cfRule type="containsText" priority="68" operator="containsText" text="Não aplicável">
      <formula>NOT(ISERROR(SEARCH("Não aplicável",L5)))</formula>
    </cfRule>
    <cfRule type="containsText" dxfId="284" priority="69" operator="containsText" text="&quot;&quot;">
      <formula>NOT(ISERROR(SEARCH("""""",L5)))</formula>
    </cfRule>
    <cfRule type="cellIs" dxfId="283" priority="70" operator="equal">
      <formula>"""Não aplicável"""</formula>
    </cfRule>
    <cfRule type="cellIs" dxfId="282" priority="71" operator="equal">
      <formula>""""""</formula>
    </cfRule>
    <cfRule type="cellIs" dxfId="281" priority="72" operator="equal">
      <formula>""""""</formula>
    </cfRule>
    <cfRule type="cellIs" dxfId="280" priority="73" operator="lessThan">
      <formula>0</formula>
    </cfRule>
    <cfRule type="cellIs" dxfId="279" priority="74" operator="greaterThan">
      <formula>0</formula>
    </cfRule>
  </conditionalFormatting>
  <hyperlinks>
    <hyperlink ref="A1" location="Sumário!A1" display="SUMÁRIO" xr:uid="{983DBC80-A260-41D9-8036-97FE5B1B8174}"/>
    <hyperlink ref="A2" location="'Resumo ST Bolsa'!A1" display="Resumo ST" xr:uid="{084F47A1-014F-4C87-B89C-E607C4E3499E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BAC04-D746-4589-97F6-6888EEC55C46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IF(A1="SUMÁRIO",TbAMZO34_DT[[#This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IF(A2="SUMÁRIO",TbAMZO34_DT[[#This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B1:B1048576">
    <cfRule type="cellIs" dxfId="278" priority="31" operator="lessThan">
      <formula>$B$2</formula>
    </cfRule>
  </conditionalFormatting>
  <conditionalFormatting sqref="L3">
    <cfRule type="containsText" dxfId="277" priority="1" operator="containsText" text="Não">
      <formula>NOT(ISERROR(SEARCH("Não",L3)))</formula>
    </cfRule>
    <cfRule type="cellIs" dxfId="276" priority="27" operator="equal">
      <formula>""""""</formula>
    </cfRule>
    <cfRule type="containsText" dxfId="275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274" priority="5" operator="containsText" text="Não">
      <formula>NOT(ISERROR(SEARCH("Não",L3)))</formula>
    </cfRule>
    <cfRule type="containsText" dxfId="273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272" priority="8" operator="containsText" text="&quot;&quot;">
      <formula>NOT(ISERROR(SEARCH("""""",L3)))</formula>
    </cfRule>
    <cfRule type="cellIs" dxfId="271" priority="9" operator="equal">
      <formula>"""Não aplicável"""</formula>
    </cfRule>
    <cfRule type="cellIs" dxfId="270" priority="10" operator="equal">
      <formula>""""""</formula>
    </cfRule>
    <cfRule type="containsText" dxfId="269" priority="11" operator="containsText" text="Não">
      <formula>NOT(ISERROR(SEARCH("Não",L3)))</formula>
    </cfRule>
    <cfRule type="containsText" dxfId="268" priority="12" operator="containsText" text="Não">
      <formula>NOT(ISERROR(SEARCH("Não",L3)))</formula>
    </cfRule>
    <cfRule type="cellIs" dxfId="267" priority="28" operator="equal">
      <formula>""""""</formula>
    </cfRule>
    <cfRule type="containsText" dxfId="266" priority="14" operator="containsText" text="Não">
      <formula>NOT(ISERROR(SEARCH("Não",L3)))</formula>
    </cfRule>
    <cfRule type="containsText" dxfId="265" priority="15" operator="containsText" text="&quot;Não aplicável&quot;">
      <formula>NOT(ISERROR(SEARCH("""Não aplicável""",L3)))</formula>
    </cfRule>
    <cfRule type="cellIs" dxfId="264" priority="29" operator="lessThan">
      <formula>0</formula>
    </cfRule>
    <cfRule type="containsText" dxfId="263" priority="17" operator="containsText" text="&quot;&quot;">
      <formula>NOT(ISERROR(SEARCH("""""",L3)))</formula>
    </cfRule>
    <cfRule type="cellIs" dxfId="262" priority="18" operator="equal">
      <formula>"""Não aplicável"""</formula>
    </cfRule>
    <cfRule type="cellIs" dxfId="261" priority="19" operator="equal">
      <formula>""""""</formula>
    </cfRule>
    <cfRule type="containsText" dxfId="260" priority="20" operator="containsText" text="Não">
      <formula>NOT(ISERROR(SEARCH("Não",L3)))</formula>
    </cfRule>
    <cfRule type="cellIs" dxfId="259" priority="30" operator="greaterThan">
      <formula>0</formula>
    </cfRule>
    <cfRule type="containsText" dxfId="258" priority="22" operator="containsText" text="Não">
      <formula>NOT(ISERROR(SEARCH("Não",L3)))</formula>
    </cfRule>
    <cfRule type="containsText" dxfId="257" priority="23" operator="containsText" text="&quot;Não aplicável&quot;">
      <formula>NOT(ISERROR(SEARCH("""Não aplicável""",L3)))</formula>
    </cfRule>
    <cfRule type="containsText" dxfId="256" priority="25" operator="containsText" text="&quot;&quot;">
      <formula>NOT(ISERROR(SEARCH("""""",L3)))</formula>
    </cfRule>
    <cfRule type="cellIs" dxfId="255" priority="26" operator="equal">
      <formula>"""Não aplicável"""</formula>
    </cfRule>
  </conditionalFormatting>
  <conditionalFormatting sqref="L4">
    <cfRule type="cellIs" dxfId="254" priority="41" operator="equal">
      <formula>""""""</formula>
    </cfRule>
    <cfRule type="containsText" dxfId="253" priority="44" operator="containsText" text="Não">
      <formula>NOT(ISERROR(SEARCH("Não",L4)))</formula>
    </cfRule>
    <cfRule type="containsText" dxfId="252" priority="46" operator="containsText" text="Não">
      <formula>NOT(ISERROR(SEARCH("Não",L4)))</formula>
    </cfRule>
    <cfRule type="containsText" dxfId="251" priority="47" operator="containsText" text="&quot;Não aplicável&quot;">
      <formula>NOT(ISERROR(SEARCH("""Não aplicável""",L4)))</formula>
    </cfRule>
    <cfRule type="containsText" dxfId="250" priority="49" operator="containsText" text="&quot;&quot;">
      <formula>NOT(ISERROR(SEARCH("""""",L4)))</formula>
    </cfRule>
    <cfRule type="containsText" dxfId="249" priority="32" operator="containsText" text="Não">
      <formula>NOT(ISERROR(SEARCH("Não",L4)))</formula>
    </cfRule>
    <cfRule type="cellIs" dxfId="248" priority="50" operator="equal">
      <formula>"""Não aplicável"""</formula>
    </cfRule>
    <cfRule type="containsText" dxfId="247" priority="34" operator="containsText" text="Não">
      <formula>NOT(ISERROR(SEARCH("Não",L4)))</formula>
    </cfRule>
    <cfRule type="cellIs" dxfId="246" priority="51" operator="equal">
      <formula>""""""</formula>
    </cfRule>
    <cfRule type="containsText" dxfId="245" priority="36" operator="containsText" text="Não">
      <formula>NOT(ISERROR(SEARCH("Não",L4)))</formula>
    </cfRule>
    <cfRule type="containsText" dxfId="244" priority="37" operator="containsText" text="&quot;Não aplicável&quot;">
      <formula>NOT(ISERROR(SEARCH("""Não aplicável""",L4)))</formula>
    </cfRule>
    <cfRule type="containsText" dxfId="243" priority="39" operator="containsText" text="&quot;&quot;">
      <formula>NOT(ISERROR(SEARCH("""""",L4)))</formula>
    </cfRule>
    <cfRule type="cellIs" dxfId="242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241" priority="42" operator="containsText" text="Não">
      <formula>NOT(ISERROR(SEARCH("Não",L4)))</formula>
    </cfRule>
    <cfRule type="containsText" dxfId="240" priority="53" operator="containsText" text="Não">
      <formula>NOT(ISERROR(SEARCH("Não",L4)))</formula>
    </cfRule>
    <cfRule type="containsText" dxfId="239" priority="55" operator="containsText" text="Não">
      <formula>NOT(ISERROR(SEARCH("Não",L4)))</formula>
    </cfRule>
    <cfRule type="containsText" dxfId="238" priority="56" operator="containsText" text="&quot;Não aplicável&quot;">
      <formula>NOT(ISERROR(SEARCH("""Não aplicável""",L4)))</formula>
    </cfRule>
    <cfRule type="containsText" dxfId="237" priority="58" operator="containsText" text="&quot;&quot;">
      <formula>NOT(ISERROR(SEARCH("""""",L4)))</formula>
    </cfRule>
    <cfRule type="cellIs" dxfId="236" priority="59" operator="equal">
      <formula>"""Não aplicável"""</formula>
    </cfRule>
    <cfRule type="cellIs" dxfId="235" priority="60" operator="equal">
      <formula>""""""</formula>
    </cfRule>
    <cfRule type="cellIs" dxfId="234" priority="71" operator="greaterThan">
      <formula>0</formula>
    </cfRule>
    <cfRule type="cellIs" dxfId="233" priority="69" operator="equal">
      <formula>""""""</formula>
    </cfRule>
    <cfRule type="cellIs" dxfId="232" priority="70" operator="lessThan">
      <formula>0</formula>
    </cfRule>
  </conditionalFormatting>
  <hyperlinks>
    <hyperlink ref="A1" location="Sumário!A1" display="SUMÁRIO" xr:uid="{5CFB4110-4A58-4E4F-A9E0-87BA84C190F5}"/>
    <hyperlink ref="A2" location="'Resumo DT Bolsa'!A1" display="Resumo DT" xr:uid="{C1F8D63E-6516-4A57-B651-8B4AFC928AA4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FD408-94C9-46D3-94A3-05515257DC71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17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17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44246</v>
      </c>
      <c r="C2" s="17">
        <v>1</v>
      </c>
      <c r="D2" s="5"/>
      <c r="E2" s="136">
        <v>112.85</v>
      </c>
      <c r="F2" s="136">
        <v>2.4900000000000002</v>
      </c>
      <c r="G2" s="111">
        <f>IF(A1="SUMÁRIO",TbAMZO34_ST[[#This Row],[Qtt Compra]],IF(G1+C2-D2&lt;0, "ERRO", G1+C2-D2))</f>
        <v>1</v>
      </c>
      <c r="H2" s="137">
        <f t="shared" ref="H2:H3" si="0">IF(AND(TRUNC((C2+D2)*E2*0.03%,2)=0,OR(C2&gt;0,D2&gt;0)),0.01,ROUNDUP((C2+D2)*E2*0.03%,2))</f>
        <v>0.04</v>
      </c>
      <c r="I2" s="137">
        <f>F2+H2</f>
        <v>2.5300000000000002</v>
      </c>
      <c r="J2" s="15">
        <f t="shared" ref="J2:J3" si="1">IF(A1="SUMÁRIO",E2*C2+I2,J1+IF(C2&gt;0,I2+C2*E2,-D2*K1))</f>
        <v>115.38</v>
      </c>
      <c r="K2" s="15">
        <f t="shared" ref="K2:K3" si="2">IF(G2=0,0,J2/G2)</f>
        <v>115.38</v>
      </c>
      <c r="L2" s="116"/>
    </row>
    <row r="3" spans="1:13" x14ac:dyDescent="0.3">
      <c r="G3" s="111">
        <f>IF(A2="SUMÁRIO",TbAMZO34_ST[[#This Row],[Qtt Compra]],IF(G2+C3-D3&lt;0, "ERRO", G2+C3-D3))</f>
        <v>1</v>
      </c>
      <c r="H3" s="137">
        <f t="shared" si="0"/>
        <v>0</v>
      </c>
      <c r="I3" s="137">
        <f t="shared" ref="I3" si="3">F3+H3</f>
        <v>0</v>
      </c>
      <c r="J3" s="15">
        <f t="shared" si="1"/>
        <v>115.38</v>
      </c>
      <c r="K3" s="15">
        <f t="shared" si="2"/>
        <v>115.38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231" priority="1" operator="containsText" text="Não">
      <formula>NOT(ISERROR(SEARCH("Não",L3)))</formula>
    </cfRule>
    <cfRule type="cellIs" dxfId="230" priority="26" operator="equal">
      <formula>"""Não aplicável"""</formula>
    </cfRule>
    <cfRule type="containsText" dxfId="229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228" priority="5" operator="containsText" text="Não">
      <formula>NOT(ISERROR(SEARCH("Não",L3)))</formula>
    </cfRule>
    <cfRule type="containsText" dxfId="227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226" priority="8" operator="containsText" text="&quot;&quot;">
      <formula>NOT(ISERROR(SEARCH("""""",L3)))</formula>
    </cfRule>
    <cfRule type="cellIs" dxfId="225" priority="9" operator="equal">
      <formula>"""Não aplicável"""</formula>
    </cfRule>
    <cfRule type="cellIs" dxfId="224" priority="10" operator="equal">
      <formula>""""""</formula>
    </cfRule>
    <cfRule type="containsText" dxfId="223" priority="11" operator="containsText" text="Não">
      <formula>NOT(ISERROR(SEARCH("Não",L3)))</formula>
    </cfRule>
    <cfRule type="containsText" dxfId="222" priority="12" operator="containsText" text="Não">
      <formula>NOT(ISERROR(SEARCH("Não",L3)))</formula>
    </cfRule>
    <cfRule type="cellIs" dxfId="221" priority="27" operator="equal">
      <formula>""""""</formula>
    </cfRule>
    <cfRule type="containsText" dxfId="220" priority="14" operator="containsText" text="Não">
      <formula>NOT(ISERROR(SEARCH("Não",L3)))</formula>
    </cfRule>
    <cfRule type="containsText" dxfId="219" priority="15" operator="containsText" text="&quot;Não aplicável&quot;">
      <formula>NOT(ISERROR(SEARCH("""Não aplicável""",L3)))</formula>
    </cfRule>
    <cfRule type="cellIs" dxfId="218" priority="28" operator="equal">
      <formula>""""""</formula>
    </cfRule>
    <cfRule type="containsText" dxfId="217" priority="17" operator="containsText" text="&quot;&quot;">
      <formula>NOT(ISERROR(SEARCH("""""",L3)))</formula>
    </cfRule>
    <cfRule type="cellIs" dxfId="216" priority="18" operator="equal">
      <formula>"""Não aplicável"""</formula>
    </cfRule>
    <cfRule type="cellIs" dxfId="215" priority="19" operator="equal">
      <formula>""""""</formula>
    </cfRule>
    <cfRule type="containsText" dxfId="214" priority="20" operator="containsText" text="Não">
      <formula>NOT(ISERROR(SEARCH("Não",L3)))</formula>
    </cfRule>
    <cfRule type="cellIs" dxfId="213" priority="29" operator="lessThan">
      <formula>0</formula>
    </cfRule>
    <cfRule type="containsText" dxfId="212" priority="22" operator="containsText" text="Não">
      <formula>NOT(ISERROR(SEARCH("Não",L3)))</formula>
    </cfRule>
    <cfRule type="containsText" dxfId="211" priority="23" operator="containsText" text="&quot;Não aplicável&quot;">
      <formula>NOT(ISERROR(SEARCH("""Não aplicável""",L3)))</formula>
    </cfRule>
    <cfRule type="cellIs" dxfId="210" priority="30" operator="greaterThan">
      <formula>0</formula>
    </cfRule>
    <cfRule type="containsText" dxfId="209" priority="25" operator="containsText" text="&quot;&quot;">
      <formula>NOT(ISERROR(SEARCH("""""",L3)))</formula>
    </cfRule>
  </conditionalFormatting>
  <conditionalFormatting sqref="L4">
    <cfRule type="cellIs" dxfId="208" priority="41" operator="equal">
      <formula>""""""</formula>
    </cfRule>
    <cfRule type="containsText" dxfId="207" priority="44" operator="containsText" text="Não">
      <formula>NOT(ISERROR(SEARCH("Não",L4)))</formula>
    </cfRule>
    <cfRule type="containsText" dxfId="206" priority="46" operator="containsText" text="Não">
      <formula>NOT(ISERROR(SEARCH("Não",L4)))</formula>
    </cfRule>
    <cfRule type="containsText" dxfId="205" priority="47" operator="containsText" text="&quot;Não aplicável&quot;">
      <formula>NOT(ISERROR(SEARCH("""Não aplicável""",L4)))</formula>
    </cfRule>
    <cfRule type="containsText" dxfId="204" priority="49" operator="containsText" text="&quot;&quot;">
      <formula>NOT(ISERROR(SEARCH("""""",L4)))</formula>
    </cfRule>
    <cfRule type="containsText" dxfId="203" priority="32" operator="containsText" text="Não">
      <formula>NOT(ISERROR(SEARCH("Não",L4)))</formula>
    </cfRule>
    <cfRule type="cellIs" dxfId="202" priority="50" operator="equal">
      <formula>"""Não aplicável"""</formula>
    </cfRule>
    <cfRule type="containsText" dxfId="201" priority="34" operator="containsText" text="Não">
      <formula>NOT(ISERROR(SEARCH("Não",L4)))</formula>
    </cfRule>
    <cfRule type="cellIs" dxfId="200" priority="51" operator="equal">
      <formula>""""""</formula>
    </cfRule>
    <cfRule type="containsText" dxfId="199" priority="36" operator="containsText" text="Não">
      <formula>NOT(ISERROR(SEARCH("Não",L4)))</formula>
    </cfRule>
    <cfRule type="containsText" dxfId="198" priority="37" operator="containsText" text="&quot;Não aplicável&quot;">
      <formula>NOT(ISERROR(SEARCH("""Não aplicável""",L4)))</formula>
    </cfRule>
    <cfRule type="containsText" dxfId="197" priority="39" operator="containsText" text="&quot;&quot;">
      <formula>NOT(ISERROR(SEARCH("""""",L4)))</formula>
    </cfRule>
    <cfRule type="cellIs" dxfId="196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195" priority="42" operator="containsText" text="Não">
      <formula>NOT(ISERROR(SEARCH("Não",L4)))</formula>
    </cfRule>
    <cfRule type="containsText" dxfId="194" priority="53" operator="containsText" text="Não">
      <formula>NOT(ISERROR(SEARCH("Não",L4)))</formula>
    </cfRule>
    <cfRule type="containsText" dxfId="193" priority="55" operator="containsText" text="Não">
      <formula>NOT(ISERROR(SEARCH("Não",L4)))</formula>
    </cfRule>
    <cfRule type="containsText" dxfId="192" priority="56" operator="containsText" text="&quot;Não aplicável&quot;">
      <formula>NOT(ISERROR(SEARCH("""Não aplicável""",L4)))</formula>
    </cfRule>
    <cfRule type="containsText" dxfId="191" priority="58" operator="containsText" text="&quot;&quot;">
      <formula>NOT(ISERROR(SEARCH("""""",L4)))</formula>
    </cfRule>
    <cfRule type="cellIs" dxfId="190" priority="59" operator="equal">
      <formula>"""Não aplicável"""</formula>
    </cfRule>
    <cfRule type="cellIs" dxfId="189" priority="60" operator="equal">
      <formula>""""""</formula>
    </cfRule>
    <cfRule type="cellIs" dxfId="188" priority="71" operator="greaterThan">
      <formula>0</formula>
    </cfRule>
    <cfRule type="cellIs" dxfId="187" priority="69" operator="equal">
      <formula>""""""</formula>
    </cfRule>
    <cfRule type="cellIs" dxfId="186" priority="70" operator="lessThan">
      <formula>0</formula>
    </cfRule>
  </conditionalFormatting>
  <hyperlinks>
    <hyperlink ref="A1" location="Sumário!A1" display="SUMÁRIO" xr:uid="{8988DBB1-3172-4A0E-BB8B-E2CD82152F0A}"/>
    <hyperlink ref="A2" location="'Resumo ST Bolsa'!A1" display="Resumo ST" xr:uid="{D51B778F-BC5C-4F45-8C63-4B27DA95609C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DE52A-1163-404D-AE70-A03BDAE4DB7F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IF(A1="SUMÁRIO",TbJNJB34_DT[[#This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IF(A2="SUMÁRIO",TbJNJB34_DT[[#This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B1:B1048576">
    <cfRule type="cellIs" dxfId="185" priority="31" operator="lessThan">
      <formula>$B$2</formula>
    </cfRule>
  </conditionalFormatting>
  <conditionalFormatting sqref="L3">
    <cfRule type="containsText" dxfId="184" priority="1" operator="containsText" text="Não">
      <formula>NOT(ISERROR(SEARCH("Não",L3)))</formula>
    </cfRule>
    <cfRule type="cellIs" dxfId="183" priority="27" operator="equal">
      <formula>""""""</formula>
    </cfRule>
    <cfRule type="containsText" dxfId="182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81" priority="5" operator="containsText" text="Não">
      <formula>NOT(ISERROR(SEARCH("Não",L3)))</formula>
    </cfRule>
    <cfRule type="containsText" dxfId="180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79" priority="8" operator="containsText" text="&quot;&quot;">
      <formula>NOT(ISERROR(SEARCH("""""",L3)))</formula>
    </cfRule>
    <cfRule type="cellIs" dxfId="178" priority="9" operator="equal">
      <formula>"""Não aplicável"""</formula>
    </cfRule>
    <cfRule type="cellIs" dxfId="177" priority="10" operator="equal">
      <formula>""""""</formula>
    </cfRule>
    <cfRule type="containsText" dxfId="176" priority="11" operator="containsText" text="Não">
      <formula>NOT(ISERROR(SEARCH("Não",L3)))</formula>
    </cfRule>
    <cfRule type="containsText" dxfId="175" priority="12" operator="containsText" text="Não">
      <formula>NOT(ISERROR(SEARCH("Não",L3)))</formula>
    </cfRule>
    <cfRule type="cellIs" dxfId="174" priority="28" operator="equal">
      <formula>""""""</formula>
    </cfRule>
    <cfRule type="containsText" dxfId="173" priority="14" operator="containsText" text="Não">
      <formula>NOT(ISERROR(SEARCH("Não",L3)))</formula>
    </cfRule>
    <cfRule type="containsText" dxfId="172" priority="15" operator="containsText" text="&quot;Não aplicável&quot;">
      <formula>NOT(ISERROR(SEARCH("""Não aplicável""",L3)))</formula>
    </cfRule>
    <cfRule type="cellIs" dxfId="171" priority="29" operator="lessThan">
      <formula>0</formula>
    </cfRule>
    <cfRule type="containsText" dxfId="170" priority="17" operator="containsText" text="&quot;&quot;">
      <formula>NOT(ISERROR(SEARCH("""""",L3)))</formula>
    </cfRule>
    <cfRule type="cellIs" dxfId="169" priority="18" operator="equal">
      <formula>"""Não aplicável"""</formula>
    </cfRule>
    <cfRule type="cellIs" dxfId="168" priority="19" operator="equal">
      <formula>""""""</formula>
    </cfRule>
    <cfRule type="containsText" dxfId="167" priority="20" operator="containsText" text="Não">
      <formula>NOT(ISERROR(SEARCH("Não",L3)))</formula>
    </cfRule>
    <cfRule type="cellIs" dxfId="166" priority="30" operator="greaterThan">
      <formula>0</formula>
    </cfRule>
    <cfRule type="containsText" dxfId="165" priority="22" operator="containsText" text="Não">
      <formula>NOT(ISERROR(SEARCH("Não",L3)))</formula>
    </cfRule>
    <cfRule type="containsText" dxfId="164" priority="23" operator="containsText" text="&quot;Não aplicável&quot;">
      <formula>NOT(ISERROR(SEARCH("""Não aplicável""",L3)))</formula>
    </cfRule>
    <cfRule type="containsText" dxfId="163" priority="25" operator="containsText" text="&quot;&quot;">
      <formula>NOT(ISERROR(SEARCH("""""",L3)))</formula>
    </cfRule>
    <cfRule type="cellIs" dxfId="162" priority="26" operator="equal">
      <formula>"""Não aplicável"""</formula>
    </cfRule>
  </conditionalFormatting>
  <conditionalFormatting sqref="L4">
    <cfRule type="cellIs" dxfId="161" priority="41" operator="equal">
      <formula>""""""</formula>
    </cfRule>
    <cfRule type="containsText" dxfId="160" priority="44" operator="containsText" text="Não">
      <formula>NOT(ISERROR(SEARCH("Não",L4)))</formula>
    </cfRule>
    <cfRule type="containsText" dxfId="159" priority="46" operator="containsText" text="Não">
      <formula>NOT(ISERROR(SEARCH("Não",L4)))</formula>
    </cfRule>
    <cfRule type="containsText" dxfId="158" priority="47" operator="containsText" text="&quot;Não aplicável&quot;">
      <formula>NOT(ISERROR(SEARCH("""Não aplicável""",L4)))</formula>
    </cfRule>
    <cfRule type="containsText" dxfId="157" priority="49" operator="containsText" text="&quot;&quot;">
      <formula>NOT(ISERROR(SEARCH("""""",L4)))</formula>
    </cfRule>
    <cfRule type="containsText" dxfId="156" priority="32" operator="containsText" text="Não">
      <formula>NOT(ISERROR(SEARCH("Não",L4)))</formula>
    </cfRule>
    <cfRule type="cellIs" dxfId="155" priority="50" operator="equal">
      <formula>"""Não aplicável"""</formula>
    </cfRule>
    <cfRule type="containsText" dxfId="154" priority="34" operator="containsText" text="Não">
      <formula>NOT(ISERROR(SEARCH("Não",L4)))</formula>
    </cfRule>
    <cfRule type="cellIs" dxfId="153" priority="51" operator="equal">
      <formula>""""""</formula>
    </cfRule>
    <cfRule type="containsText" dxfId="152" priority="36" operator="containsText" text="Não">
      <formula>NOT(ISERROR(SEARCH("Não",L4)))</formula>
    </cfRule>
    <cfRule type="containsText" dxfId="151" priority="37" operator="containsText" text="&quot;Não aplicável&quot;">
      <formula>NOT(ISERROR(SEARCH("""Não aplicável""",L4)))</formula>
    </cfRule>
    <cfRule type="containsText" dxfId="150" priority="39" operator="containsText" text="&quot;&quot;">
      <formula>NOT(ISERROR(SEARCH("""""",L4)))</formula>
    </cfRule>
    <cfRule type="cellIs" dxfId="149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148" priority="42" operator="containsText" text="Não">
      <formula>NOT(ISERROR(SEARCH("Não",L4)))</formula>
    </cfRule>
    <cfRule type="containsText" dxfId="147" priority="53" operator="containsText" text="Não">
      <formula>NOT(ISERROR(SEARCH("Não",L4)))</formula>
    </cfRule>
    <cfRule type="containsText" dxfId="146" priority="55" operator="containsText" text="Não">
      <formula>NOT(ISERROR(SEARCH("Não",L4)))</formula>
    </cfRule>
    <cfRule type="containsText" dxfId="145" priority="56" operator="containsText" text="&quot;Não aplicável&quot;">
      <formula>NOT(ISERROR(SEARCH("""Não aplicável""",L4)))</formula>
    </cfRule>
    <cfRule type="containsText" dxfId="144" priority="58" operator="containsText" text="&quot;&quot;">
      <formula>NOT(ISERROR(SEARCH("""""",L4)))</formula>
    </cfRule>
    <cfRule type="cellIs" dxfId="143" priority="59" operator="equal">
      <formula>"""Não aplicável"""</formula>
    </cfRule>
    <cfRule type="cellIs" dxfId="142" priority="60" operator="equal">
      <formula>""""""</formula>
    </cfRule>
    <cfRule type="cellIs" dxfId="141" priority="71" operator="greaterThan">
      <formula>0</formula>
    </cfRule>
    <cfRule type="cellIs" dxfId="140" priority="69" operator="equal">
      <formula>""""""</formula>
    </cfRule>
    <cfRule type="cellIs" dxfId="139" priority="70" operator="lessThan">
      <formula>0</formula>
    </cfRule>
  </conditionalFormatting>
  <hyperlinks>
    <hyperlink ref="A1" location="Sumário!A1" display="SUMÁRIO" xr:uid="{72A9B83A-8498-42EA-B317-2799F6F1CAAC}"/>
    <hyperlink ref="A2" location="'Resumo DT Bolsa'!A1" display="Resumo DT" xr:uid="{A0F003FE-0948-4237-B63E-85CD0DF1605C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89288-3386-4C7A-A14B-390AD22F959E}">
  <dimension ref="A1:M10"/>
  <sheetViews>
    <sheetView zoomScale="115" zoomScaleNormal="115" workbookViewId="0"/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44382</v>
      </c>
      <c r="C2" s="35">
        <v>1</v>
      </c>
      <c r="D2" s="5"/>
      <c r="E2" s="136">
        <v>58.9</v>
      </c>
      <c r="F2" s="136">
        <v>0</v>
      </c>
      <c r="G2" s="111">
        <f>IF(A1="SUMÁRIO",TbJNJB34_ST[[#This Row],[Qtt Compra]],IF(G1+C2-D2&lt;0, "ERRO", G1+C2-D2))</f>
        <v>1</v>
      </c>
      <c r="H2" s="137">
        <f t="shared" ref="H2:H3" si="0">IF(AND(TRUNC((C2+D2)*E2*0.03%,2)=0,OR(C2&gt;0,D2&gt;0)),0.01,ROUNDUP((C2+D2)*E2*0.03%,2))</f>
        <v>0.02</v>
      </c>
      <c r="I2" s="137">
        <f>F2+H2</f>
        <v>0.02</v>
      </c>
      <c r="J2" s="15">
        <f t="shared" ref="J2:J3" si="1">IF(A1="SUMÁRIO",E2*C2+I2,J1+IF(C2&gt;0,I2+C2*E2,-D2*K1))</f>
        <v>58.92</v>
      </c>
      <c r="K2" s="15">
        <f t="shared" ref="K2:K3" si="2">IF(G2=0,0,J2/G2)</f>
        <v>58.92</v>
      </c>
      <c r="L2" s="116"/>
    </row>
    <row r="3" spans="1:13" x14ac:dyDescent="0.3">
      <c r="G3" s="111">
        <f>IF(A2="SUMÁRIO",TbJNJB34_ST[[#This Row],[Qtt Compra]],IF(G2+C3-D3&lt;0, "ERRO", G2+C3-D3))</f>
        <v>1</v>
      </c>
      <c r="H3" s="137">
        <f t="shared" si="0"/>
        <v>0</v>
      </c>
      <c r="I3" s="137">
        <f t="shared" ref="I3" si="3">F3+H3</f>
        <v>0</v>
      </c>
      <c r="J3" s="15">
        <f t="shared" si="1"/>
        <v>58.92</v>
      </c>
      <c r="K3" s="15">
        <f t="shared" si="2"/>
        <v>58.92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138" priority="1" operator="containsText" text="Não">
      <formula>NOT(ISERROR(SEARCH("Não",L3)))</formula>
    </cfRule>
    <cfRule type="cellIs" dxfId="137" priority="26" operator="equal">
      <formula>"""Não aplicável"""</formula>
    </cfRule>
    <cfRule type="containsText" dxfId="136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35" priority="5" operator="containsText" text="Não">
      <formula>NOT(ISERROR(SEARCH("Não",L3)))</formula>
    </cfRule>
    <cfRule type="containsText" dxfId="134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33" priority="8" operator="containsText" text="&quot;&quot;">
      <formula>NOT(ISERROR(SEARCH("""""",L3)))</formula>
    </cfRule>
    <cfRule type="cellIs" dxfId="132" priority="9" operator="equal">
      <formula>"""Não aplicável"""</formula>
    </cfRule>
    <cfRule type="cellIs" dxfId="131" priority="10" operator="equal">
      <formula>""""""</formula>
    </cfRule>
    <cfRule type="containsText" dxfId="130" priority="11" operator="containsText" text="Não">
      <formula>NOT(ISERROR(SEARCH("Não",L3)))</formula>
    </cfRule>
    <cfRule type="containsText" dxfId="129" priority="12" operator="containsText" text="Não">
      <formula>NOT(ISERROR(SEARCH("Não",L3)))</formula>
    </cfRule>
    <cfRule type="cellIs" dxfId="128" priority="27" operator="equal">
      <formula>""""""</formula>
    </cfRule>
    <cfRule type="containsText" dxfId="127" priority="14" operator="containsText" text="Não">
      <formula>NOT(ISERROR(SEARCH("Não",L3)))</formula>
    </cfRule>
    <cfRule type="containsText" dxfId="126" priority="15" operator="containsText" text="&quot;Não aplicável&quot;">
      <formula>NOT(ISERROR(SEARCH("""Não aplicável""",L3)))</formula>
    </cfRule>
    <cfRule type="cellIs" dxfId="125" priority="28" operator="equal">
      <formula>""""""</formula>
    </cfRule>
    <cfRule type="containsText" dxfId="124" priority="17" operator="containsText" text="&quot;&quot;">
      <formula>NOT(ISERROR(SEARCH("""""",L3)))</formula>
    </cfRule>
    <cfRule type="cellIs" dxfId="123" priority="18" operator="equal">
      <formula>"""Não aplicável"""</formula>
    </cfRule>
    <cfRule type="cellIs" dxfId="122" priority="19" operator="equal">
      <formula>""""""</formula>
    </cfRule>
    <cfRule type="containsText" dxfId="121" priority="20" operator="containsText" text="Não">
      <formula>NOT(ISERROR(SEARCH("Não",L3)))</formula>
    </cfRule>
    <cfRule type="cellIs" dxfId="120" priority="29" operator="lessThan">
      <formula>0</formula>
    </cfRule>
    <cfRule type="containsText" dxfId="119" priority="22" operator="containsText" text="Não">
      <formula>NOT(ISERROR(SEARCH("Não",L3)))</formula>
    </cfRule>
    <cfRule type="containsText" dxfId="118" priority="23" operator="containsText" text="&quot;Não aplicável&quot;">
      <formula>NOT(ISERROR(SEARCH("""Não aplicável""",L3)))</formula>
    </cfRule>
    <cfRule type="cellIs" dxfId="117" priority="30" operator="greaterThan">
      <formula>0</formula>
    </cfRule>
    <cfRule type="containsText" dxfId="116" priority="25" operator="containsText" text="&quot;&quot;">
      <formula>NOT(ISERROR(SEARCH("""""",L3)))</formula>
    </cfRule>
  </conditionalFormatting>
  <conditionalFormatting sqref="L4">
    <cfRule type="cellIs" dxfId="115" priority="41" operator="equal">
      <formula>""""""</formula>
    </cfRule>
    <cfRule type="containsText" dxfId="114" priority="44" operator="containsText" text="Não">
      <formula>NOT(ISERROR(SEARCH("Não",L4)))</formula>
    </cfRule>
    <cfRule type="containsText" dxfId="113" priority="46" operator="containsText" text="Não">
      <formula>NOT(ISERROR(SEARCH("Não",L4)))</formula>
    </cfRule>
    <cfRule type="containsText" dxfId="112" priority="47" operator="containsText" text="&quot;Não aplicável&quot;">
      <formula>NOT(ISERROR(SEARCH("""Não aplicável""",L4)))</formula>
    </cfRule>
    <cfRule type="containsText" dxfId="111" priority="49" operator="containsText" text="&quot;&quot;">
      <formula>NOT(ISERROR(SEARCH("""""",L4)))</formula>
    </cfRule>
    <cfRule type="containsText" dxfId="110" priority="32" operator="containsText" text="Não">
      <formula>NOT(ISERROR(SEARCH("Não",L4)))</formula>
    </cfRule>
    <cfRule type="cellIs" dxfId="109" priority="50" operator="equal">
      <formula>"""Não aplicável"""</formula>
    </cfRule>
    <cfRule type="containsText" dxfId="108" priority="34" operator="containsText" text="Não">
      <formula>NOT(ISERROR(SEARCH("Não",L4)))</formula>
    </cfRule>
    <cfRule type="cellIs" dxfId="107" priority="51" operator="equal">
      <formula>""""""</formula>
    </cfRule>
    <cfRule type="containsText" dxfId="106" priority="36" operator="containsText" text="Não">
      <formula>NOT(ISERROR(SEARCH("Não",L4)))</formula>
    </cfRule>
    <cfRule type="containsText" dxfId="105" priority="37" operator="containsText" text="&quot;Não aplicável&quot;">
      <formula>NOT(ISERROR(SEARCH("""Não aplicável""",L4)))</formula>
    </cfRule>
    <cfRule type="containsText" dxfId="104" priority="39" operator="containsText" text="&quot;&quot;">
      <formula>NOT(ISERROR(SEARCH("""""",L4)))</formula>
    </cfRule>
    <cfRule type="cellIs" dxfId="103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102" priority="42" operator="containsText" text="Não">
      <formula>NOT(ISERROR(SEARCH("Não",L4)))</formula>
    </cfRule>
    <cfRule type="containsText" dxfId="101" priority="53" operator="containsText" text="Não">
      <formula>NOT(ISERROR(SEARCH("Não",L4)))</formula>
    </cfRule>
    <cfRule type="containsText" dxfId="100" priority="55" operator="containsText" text="Não">
      <formula>NOT(ISERROR(SEARCH("Não",L4)))</formula>
    </cfRule>
    <cfRule type="containsText" dxfId="99" priority="56" operator="containsText" text="&quot;Não aplicável&quot;">
      <formula>NOT(ISERROR(SEARCH("""Não aplicável""",L4)))</formula>
    </cfRule>
    <cfRule type="containsText" dxfId="98" priority="58" operator="containsText" text="&quot;&quot;">
      <formula>NOT(ISERROR(SEARCH("""""",L4)))</formula>
    </cfRule>
    <cfRule type="cellIs" dxfId="97" priority="59" operator="equal">
      <formula>"""Não aplicável"""</formula>
    </cfRule>
    <cfRule type="cellIs" dxfId="96" priority="60" operator="equal">
      <formula>""""""</formula>
    </cfRule>
    <cfRule type="cellIs" dxfId="95" priority="71" operator="greaterThan">
      <formula>0</formula>
    </cfRule>
    <cfRule type="cellIs" dxfId="94" priority="69" operator="equal">
      <formula>""""""</formula>
    </cfRule>
    <cfRule type="cellIs" dxfId="93" priority="70" operator="lessThan">
      <formula>0</formula>
    </cfRule>
  </conditionalFormatting>
  <hyperlinks>
    <hyperlink ref="A1" location="Sumário!A1" display="SUMÁRIO" xr:uid="{32C15616-B574-442D-BAF0-B4D0AEB894DB}"/>
    <hyperlink ref="A2" location="'Resumo ST Bolsa'!A1" display="Resumo ST" xr:uid="{7D180591-468A-4F7F-A69F-05D2F2E6B6C4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772A3-5BAF-48CD-92F4-3EA8B1E52FFB}">
  <dimension ref="A1:M10"/>
  <sheetViews>
    <sheetView zoomScale="115" zoomScaleNormal="115" workbookViewId="0">
      <selection activeCell="G1" sqref="G1:M1"/>
    </sheetView>
  </sheetViews>
  <sheetFormatPr defaultColWidth="8.66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4" width="10.6640625" style="35" bestFit="1" customWidth="1"/>
    <col min="15" max="16384" width="8.66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276</v>
      </c>
      <c r="D2" s="5"/>
      <c r="G2" s="111">
        <f>IF(A1="SUMÁRIO",TbVISA34_DT[[#This Row],[Qtt Compra]],IF(G1+C2-D2&lt;0, "ERRO", G1+C2-D2))</f>
        <v>0</v>
      </c>
      <c r="H2" s="137">
        <f t="shared" ref="H2:H3" si="0">IF(AND(TRUNC((C2+D2)*E2*0.03%,2)=0,OR(C2&gt;0,D2&gt;0)),0.01,ROUNDUP((C2+D2)*E2*0.03%,2))</f>
        <v>0</v>
      </c>
      <c r="I2" s="137">
        <f>F2+H2</f>
        <v>0</v>
      </c>
      <c r="J2" s="15">
        <f t="shared" ref="J2:J3" si="1">IF(A1="SUMÁRIO",E2*C2+I2,J1+IF(C2&gt;0,I2+C2*E2,-D2*K1))</f>
        <v>0</v>
      </c>
      <c r="K2" s="15">
        <f t="shared" ref="K2:K3" si="2">IF(G2=0,0,J2/G2)</f>
        <v>0</v>
      </c>
      <c r="L2" s="116"/>
    </row>
    <row r="3" spans="1:13" x14ac:dyDescent="0.3">
      <c r="G3" s="111">
        <f>IF(A2="SUMÁRIO",TbVISA34_DT[[#This Row],[Qtt Compra]],IF(G2+C3-D3&lt;0, "ERRO", G2+C3-D3))</f>
        <v>0</v>
      </c>
      <c r="H3" s="137">
        <f t="shared" si="0"/>
        <v>0</v>
      </c>
      <c r="I3" s="137">
        <f t="shared" ref="I3" si="3">F3+H3</f>
        <v>0</v>
      </c>
      <c r="J3" s="15">
        <f t="shared" si="1"/>
        <v>0</v>
      </c>
      <c r="K3" s="15">
        <f t="shared" si="2"/>
        <v>0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B1:B1048576">
    <cfRule type="cellIs" dxfId="92" priority="31" operator="lessThan">
      <formula>$B$2</formula>
    </cfRule>
  </conditionalFormatting>
  <conditionalFormatting sqref="L3">
    <cfRule type="containsText" dxfId="91" priority="1" operator="containsText" text="Não">
      <formula>NOT(ISERROR(SEARCH("Não",L3)))</formula>
    </cfRule>
    <cfRule type="cellIs" dxfId="90" priority="27" operator="equal">
      <formula>""""""</formula>
    </cfRule>
    <cfRule type="containsText" dxfId="89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88" priority="5" operator="containsText" text="Não">
      <formula>NOT(ISERROR(SEARCH("Não",L3)))</formula>
    </cfRule>
    <cfRule type="containsText" dxfId="87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86" priority="8" operator="containsText" text="&quot;&quot;">
      <formula>NOT(ISERROR(SEARCH("""""",L3)))</formula>
    </cfRule>
    <cfRule type="cellIs" dxfId="85" priority="9" operator="equal">
      <formula>"""Não aplicável"""</formula>
    </cfRule>
    <cfRule type="cellIs" dxfId="84" priority="10" operator="equal">
      <formula>""""""</formula>
    </cfRule>
    <cfRule type="containsText" dxfId="83" priority="11" operator="containsText" text="Não">
      <formula>NOT(ISERROR(SEARCH("Não",L3)))</formula>
    </cfRule>
    <cfRule type="containsText" dxfId="82" priority="12" operator="containsText" text="Não">
      <formula>NOT(ISERROR(SEARCH("Não",L3)))</formula>
    </cfRule>
    <cfRule type="cellIs" dxfId="81" priority="28" operator="equal">
      <formula>""""""</formula>
    </cfRule>
    <cfRule type="containsText" dxfId="80" priority="14" operator="containsText" text="Não">
      <formula>NOT(ISERROR(SEARCH("Não",L3)))</formula>
    </cfRule>
    <cfRule type="containsText" dxfId="79" priority="15" operator="containsText" text="&quot;Não aplicável&quot;">
      <formula>NOT(ISERROR(SEARCH("""Não aplicável""",L3)))</formula>
    </cfRule>
    <cfRule type="cellIs" dxfId="78" priority="29" operator="lessThan">
      <formula>0</formula>
    </cfRule>
    <cfRule type="containsText" dxfId="77" priority="17" operator="containsText" text="&quot;&quot;">
      <formula>NOT(ISERROR(SEARCH("""""",L3)))</formula>
    </cfRule>
    <cfRule type="cellIs" dxfId="76" priority="18" operator="equal">
      <formula>"""Não aplicável"""</formula>
    </cfRule>
    <cfRule type="cellIs" dxfId="75" priority="19" operator="equal">
      <formula>""""""</formula>
    </cfRule>
    <cfRule type="containsText" dxfId="74" priority="20" operator="containsText" text="Não">
      <formula>NOT(ISERROR(SEARCH("Não",L3)))</formula>
    </cfRule>
    <cfRule type="cellIs" dxfId="73" priority="30" operator="greaterThan">
      <formula>0</formula>
    </cfRule>
    <cfRule type="containsText" dxfId="72" priority="22" operator="containsText" text="Não">
      <formula>NOT(ISERROR(SEARCH("Não",L3)))</formula>
    </cfRule>
    <cfRule type="containsText" dxfId="71" priority="23" operator="containsText" text="&quot;Não aplicável&quot;">
      <formula>NOT(ISERROR(SEARCH("""Não aplicável""",L3)))</formula>
    </cfRule>
    <cfRule type="containsText" dxfId="70" priority="25" operator="containsText" text="&quot;&quot;">
      <formula>NOT(ISERROR(SEARCH("""""",L3)))</formula>
    </cfRule>
    <cfRule type="cellIs" dxfId="69" priority="26" operator="equal">
      <formula>"""Não aplicável"""</formula>
    </cfRule>
  </conditionalFormatting>
  <conditionalFormatting sqref="L4">
    <cfRule type="cellIs" dxfId="68" priority="41" operator="equal">
      <formula>""""""</formula>
    </cfRule>
    <cfRule type="containsText" dxfId="67" priority="44" operator="containsText" text="Não">
      <formula>NOT(ISERROR(SEARCH("Não",L4)))</formula>
    </cfRule>
    <cfRule type="containsText" dxfId="66" priority="46" operator="containsText" text="Não">
      <formula>NOT(ISERROR(SEARCH("Não",L4)))</formula>
    </cfRule>
    <cfRule type="containsText" dxfId="65" priority="47" operator="containsText" text="&quot;Não aplicável&quot;">
      <formula>NOT(ISERROR(SEARCH("""Não aplicável""",L4)))</formula>
    </cfRule>
    <cfRule type="containsText" dxfId="64" priority="49" operator="containsText" text="&quot;&quot;">
      <formula>NOT(ISERROR(SEARCH("""""",L4)))</formula>
    </cfRule>
    <cfRule type="containsText" dxfId="63" priority="32" operator="containsText" text="Não">
      <formula>NOT(ISERROR(SEARCH("Não",L4)))</formula>
    </cfRule>
    <cfRule type="cellIs" dxfId="62" priority="50" operator="equal">
      <formula>"""Não aplicável"""</formula>
    </cfRule>
    <cfRule type="containsText" dxfId="61" priority="34" operator="containsText" text="Não">
      <formula>NOT(ISERROR(SEARCH("Não",L4)))</formula>
    </cfRule>
    <cfRule type="cellIs" dxfId="60" priority="51" operator="equal">
      <formula>""""""</formula>
    </cfRule>
    <cfRule type="containsText" dxfId="59" priority="36" operator="containsText" text="Não">
      <formula>NOT(ISERROR(SEARCH("Não",L4)))</formula>
    </cfRule>
    <cfRule type="containsText" dxfId="58" priority="37" operator="containsText" text="&quot;Não aplicável&quot;">
      <formula>NOT(ISERROR(SEARCH("""Não aplicável""",L4)))</formula>
    </cfRule>
    <cfRule type="containsText" dxfId="57" priority="39" operator="containsText" text="&quot;&quot;">
      <formula>NOT(ISERROR(SEARCH("""""",L4)))</formula>
    </cfRule>
    <cfRule type="cellIs" dxfId="56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55" priority="42" operator="containsText" text="Não">
      <formula>NOT(ISERROR(SEARCH("Não",L4)))</formula>
    </cfRule>
    <cfRule type="containsText" dxfId="54" priority="53" operator="containsText" text="Não">
      <formula>NOT(ISERROR(SEARCH("Não",L4)))</formula>
    </cfRule>
    <cfRule type="containsText" dxfId="53" priority="55" operator="containsText" text="Não">
      <formula>NOT(ISERROR(SEARCH("Não",L4)))</formula>
    </cfRule>
    <cfRule type="containsText" dxfId="52" priority="56" operator="containsText" text="&quot;Não aplicável&quot;">
      <formula>NOT(ISERROR(SEARCH("""Não aplicável""",L4)))</formula>
    </cfRule>
    <cfRule type="containsText" dxfId="51" priority="58" operator="containsText" text="&quot;&quot;">
      <formula>NOT(ISERROR(SEARCH("""""",L4)))</formula>
    </cfRule>
    <cfRule type="cellIs" dxfId="50" priority="59" operator="equal">
      <formula>"""Não aplicável"""</formula>
    </cfRule>
    <cfRule type="cellIs" dxfId="49" priority="60" operator="equal">
      <formula>""""""</formula>
    </cfRule>
    <cfRule type="cellIs" dxfId="48" priority="71" operator="greaterThan">
      <formula>0</formula>
    </cfRule>
    <cfRule type="cellIs" dxfId="47" priority="69" operator="equal">
      <formula>""""""</formula>
    </cfRule>
    <cfRule type="cellIs" dxfId="46" priority="70" operator="lessThan">
      <formula>0</formula>
    </cfRule>
  </conditionalFormatting>
  <hyperlinks>
    <hyperlink ref="A1" location="Sumário!A1" display="SUMÁRIO" xr:uid="{73CDE988-D409-42F2-B818-39A2B36F239B}"/>
    <hyperlink ref="A2" location="'Resumo DT Bolsa'!A1" display="Resumo DT" xr:uid="{6339B484-4CF9-4DA4-B96B-BD8FAE1E9D3F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4B15B-4D30-48F1-B6BC-003C69779DEC}">
  <dimension ref="A1:M10"/>
  <sheetViews>
    <sheetView zoomScale="115" zoomScaleNormal="115" workbookViewId="0"/>
  </sheetViews>
  <sheetFormatPr defaultColWidth="20.44140625" defaultRowHeight="14.4" x14ac:dyDescent="0.3"/>
  <cols>
    <col min="1" max="1" width="10.88671875" style="35" bestFit="1" customWidth="1"/>
    <col min="2" max="2" width="26.33203125" style="135" bestFit="1" customWidth="1"/>
    <col min="3" max="3" width="15.6640625" style="35" bestFit="1" customWidth="1"/>
    <col min="4" max="4" width="14.5546875" style="35" bestFit="1" customWidth="1"/>
    <col min="5" max="5" width="14" style="136" bestFit="1" customWidth="1"/>
    <col min="6" max="6" width="17.44140625" style="136" bestFit="1" customWidth="1"/>
    <col min="7" max="7" width="12.6640625" style="111" bestFit="1" customWidth="1"/>
    <col min="8" max="8" width="13.5546875" style="137" bestFit="1" customWidth="1"/>
    <col min="9" max="9" width="23.44140625" style="136" bestFit="1" customWidth="1"/>
    <col min="10" max="10" width="16.88671875" style="15" bestFit="1" customWidth="1"/>
    <col min="11" max="11" width="18.44140625" style="15" bestFit="1" customWidth="1"/>
    <col min="12" max="12" width="15.88671875" style="15" bestFit="1" customWidth="1"/>
    <col min="13" max="13" width="15.88671875" style="77" bestFit="1" customWidth="1"/>
    <col min="14" max="16384" width="20.44140625" style="35"/>
  </cols>
  <sheetData>
    <row r="1" spans="1:13" x14ac:dyDescent="0.3">
      <c r="A1" s="134" t="s">
        <v>74</v>
      </c>
      <c r="B1" s="135" t="s">
        <v>191</v>
      </c>
      <c r="C1" s="35" t="s">
        <v>192</v>
      </c>
      <c r="D1" s="35" t="s">
        <v>193</v>
      </c>
      <c r="E1" s="136" t="s">
        <v>194</v>
      </c>
      <c r="F1" s="136" t="s">
        <v>195</v>
      </c>
      <c r="G1" s="35" t="s">
        <v>196</v>
      </c>
      <c r="H1" s="136" t="s">
        <v>197</v>
      </c>
      <c r="I1" s="136" t="s">
        <v>198</v>
      </c>
      <c r="J1" s="4" t="s">
        <v>199</v>
      </c>
      <c r="K1" s="4" t="s">
        <v>200</v>
      </c>
      <c r="L1" s="125" t="s">
        <v>99</v>
      </c>
      <c r="M1" s="35" t="s">
        <v>98</v>
      </c>
    </row>
    <row r="2" spans="1:13" x14ac:dyDescent="0.3">
      <c r="A2" s="159" t="s">
        <v>277</v>
      </c>
      <c r="B2" s="135">
        <v>44382</v>
      </c>
      <c r="C2" s="35">
        <v>1</v>
      </c>
      <c r="D2" s="5"/>
      <c r="E2" s="136">
        <v>62.17</v>
      </c>
      <c r="F2" s="136">
        <v>0</v>
      </c>
      <c r="G2" s="111">
        <f>IF(A1="SUMÁRIO",TbVISA34_ST[[#This Row],[Qtt Compra]],IF(G1+C2-D2&lt;0, "ERRO", G1+C2-D2))</f>
        <v>1</v>
      </c>
      <c r="H2" s="137">
        <f t="shared" ref="H2:H3" si="0">IF(AND(TRUNC((C2+D2)*E2*0.03%,2)=0,OR(C2&gt;0,D2&gt;0)),0.01,ROUNDUP((C2+D2)*E2*0.03%,2))</f>
        <v>0.02</v>
      </c>
      <c r="I2" s="137">
        <f>F2+H2</f>
        <v>0.02</v>
      </c>
      <c r="J2" s="15">
        <f t="shared" ref="J2:J3" si="1">IF(A1="SUMÁRIO",E2*C2+I2,J1+IF(C2&gt;0,I2+C2*E2,-D2*K1))</f>
        <v>62.190000000000005</v>
      </c>
      <c r="K2" s="15">
        <f t="shared" ref="K2:K3" si="2">IF(G2=0,0,J2/G2)</f>
        <v>62.190000000000005</v>
      </c>
      <c r="L2" s="116"/>
    </row>
    <row r="3" spans="1:13" x14ac:dyDescent="0.3">
      <c r="G3" s="111">
        <f>IF(A2="SUMÁRIO",TbVISA34_ST[[#This Row],[Qtt Compra]],IF(G2+C3-D3&lt;0, "ERRO", G2+C3-D3))</f>
        <v>1</v>
      </c>
      <c r="H3" s="137">
        <f t="shared" si="0"/>
        <v>0</v>
      </c>
      <c r="I3" s="137">
        <f t="shared" ref="I3" si="3">F3+H3</f>
        <v>0</v>
      </c>
      <c r="J3" s="15">
        <f t="shared" si="1"/>
        <v>62.190000000000005</v>
      </c>
      <c r="K3" s="15">
        <f t="shared" si="2"/>
        <v>62.190000000000005</v>
      </c>
      <c r="L3" s="127" t="str">
        <f>IF(D3&gt;0,TRUNC(D3*E3-D3*K2-I3,2),"Não aplicável")</f>
        <v>Não aplicável</v>
      </c>
    </row>
    <row r="4" spans="1:13" x14ac:dyDescent="0.3">
      <c r="I4" s="137"/>
    </row>
    <row r="5" spans="1:13" x14ac:dyDescent="0.3">
      <c r="I5" s="137"/>
    </row>
    <row r="6" spans="1:13" x14ac:dyDescent="0.3">
      <c r="I6" s="137"/>
    </row>
    <row r="7" spans="1:13" x14ac:dyDescent="0.3">
      <c r="I7" s="137"/>
    </row>
    <row r="8" spans="1:13" x14ac:dyDescent="0.3">
      <c r="I8" s="137"/>
      <c r="M8" s="64"/>
    </row>
    <row r="9" spans="1:13" x14ac:dyDescent="0.3">
      <c r="I9" s="137"/>
      <c r="M9" s="64"/>
    </row>
    <row r="10" spans="1:13" x14ac:dyDescent="0.3">
      <c r="M10" s="64"/>
    </row>
  </sheetData>
  <conditionalFormatting sqref="L3">
    <cfRule type="containsText" dxfId="45" priority="1" operator="containsText" text="Não">
      <formula>NOT(ISERROR(SEARCH("Não",L3)))</formula>
    </cfRule>
    <cfRule type="cellIs" dxfId="44" priority="26" operator="equal">
      <formula>"""Não aplicável"""</formula>
    </cfRule>
    <cfRule type="containsText" dxfId="43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42" priority="5" operator="containsText" text="Não">
      <formula>NOT(ISERROR(SEARCH("Não",L3)))</formula>
    </cfRule>
    <cfRule type="containsText" dxfId="41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40" priority="8" operator="containsText" text="&quot;&quot;">
      <formula>NOT(ISERROR(SEARCH("""""",L3)))</formula>
    </cfRule>
    <cfRule type="cellIs" dxfId="39" priority="9" operator="equal">
      <formula>"""Não aplicável"""</formula>
    </cfRule>
    <cfRule type="cellIs" dxfId="38" priority="10" operator="equal">
      <formula>""""""</formula>
    </cfRule>
    <cfRule type="containsText" dxfId="37" priority="11" operator="containsText" text="Não">
      <formula>NOT(ISERROR(SEARCH("Não",L3)))</formula>
    </cfRule>
    <cfRule type="containsText" dxfId="36" priority="12" operator="containsText" text="Não">
      <formula>NOT(ISERROR(SEARCH("Não",L3)))</formula>
    </cfRule>
    <cfRule type="cellIs" dxfId="35" priority="27" operator="equal">
      <formula>""""""</formula>
    </cfRule>
    <cfRule type="containsText" dxfId="34" priority="14" operator="containsText" text="Não">
      <formula>NOT(ISERROR(SEARCH("Não",L3)))</formula>
    </cfRule>
    <cfRule type="containsText" dxfId="33" priority="15" operator="containsText" text="&quot;Não aplicável&quot;">
      <formula>NOT(ISERROR(SEARCH("""Não aplicável""",L3)))</formula>
    </cfRule>
    <cfRule type="cellIs" dxfId="32" priority="28" operator="equal">
      <formula>""""""</formula>
    </cfRule>
    <cfRule type="containsText" dxfId="31" priority="17" operator="containsText" text="&quot;&quot;">
      <formula>NOT(ISERROR(SEARCH("""""",L3)))</formula>
    </cfRule>
    <cfRule type="cellIs" dxfId="30" priority="18" operator="equal">
      <formula>"""Não aplicável"""</formula>
    </cfRule>
    <cfRule type="cellIs" dxfId="29" priority="19" operator="equal">
      <formula>""""""</formula>
    </cfRule>
    <cfRule type="containsText" dxfId="28" priority="20" operator="containsText" text="Não">
      <formula>NOT(ISERROR(SEARCH("Não",L3)))</formula>
    </cfRule>
    <cfRule type="cellIs" dxfId="27" priority="29" operator="lessThan">
      <formula>0</formula>
    </cfRule>
    <cfRule type="containsText" dxfId="26" priority="22" operator="containsText" text="Não">
      <formula>NOT(ISERROR(SEARCH("Não",L3)))</formula>
    </cfRule>
    <cfRule type="containsText" dxfId="25" priority="23" operator="containsText" text="&quot;Não aplicável&quot;">
      <formula>NOT(ISERROR(SEARCH("""Não aplicável""",L3)))</formula>
    </cfRule>
    <cfRule type="cellIs" dxfId="24" priority="30" operator="greaterThan">
      <formula>0</formula>
    </cfRule>
    <cfRule type="containsText" dxfId="23" priority="25" operator="containsText" text="&quot;&quot;">
      <formula>NOT(ISERROR(SEARCH("""""",L3)))</formula>
    </cfRule>
  </conditionalFormatting>
  <conditionalFormatting sqref="L4">
    <cfRule type="cellIs" dxfId="22" priority="41" operator="equal">
      <formula>""""""</formula>
    </cfRule>
    <cfRule type="containsText" dxfId="21" priority="44" operator="containsText" text="Não">
      <formula>NOT(ISERROR(SEARCH("Não",L4)))</formula>
    </cfRule>
    <cfRule type="containsText" dxfId="20" priority="46" operator="containsText" text="Não">
      <formula>NOT(ISERROR(SEARCH("Não",L4)))</formula>
    </cfRule>
    <cfRule type="containsText" dxfId="19" priority="47" operator="containsText" text="&quot;Não aplicável&quot;">
      <formula>NOT(ISERROR(SEARCH("""Não aplicável""",L4)))</formula>
    </cfRule>
    <cfRule type="containsText" dxfId="18" priority="49" operator="containsText" text="&quot;&quot;">
      <formula>NOT(ISERROR(SEARCH("""""",L4)))</formula>
    </cfRule>
    <cfRule type="containsText" dxfId="17" priority="32" operator="containsText" text="Não">
      <formula>NOT(ISERROR(SEARCH("Não",L4)))</formula>
    </cfRule>
    <cfRule type="cellIs" dxfId="16" priority="50" operator="equal">
      <formula>"""Não aplicável"""</formula>
    </cfRule>
    <cfRule type="containsText" dxfId="15" priority="34" operator="containsText" text="Não">
      <formula>NOT(ISERROR(SEARCH("Não",L4)))</formula>
    </cfRule>
    <cfRule type="cellIs" dxfId="14" priority="51" operator="equal">
      <formula>""""""</formula>
    </cfRule>
    <cfRule type="containsText" dxfId="13" priority="36" operator="containsText" text="Não">
      <formula>NOT(ISERROR(SEARCH("Não",L4)))</formula>
    </cfRule>
    <cfRule type="containsText" dxfId="12" priority="37" operator="containsText" text="&quot;Não aplicável&quot;">
      <formula>NOT(ISERROR(SEARCH("""Não aplicável""",L4)))</formula>
    </cfRule>
    <cfRule type="containsText" dxfId="11" priority="39" operator="containsText" text="&quot;&quot;">
      <formula>NOT(ISERROR(SEARCH("""""",L4)))</formula>
    </cfRule>
    <cfRule type="cellIs" dxfId="10" priority="40" operator="equal">
      <formula>"""Não aplicável"""</formula>
    </cfRule>
  </conditionalFormatting>
  <conditionalFormatting sqref="L4:L6">
    <cfRule type="containsText" priority="35" operator="containsText" text="Não">
      <formula>NOT(ISERROR(SEARCH("Não",L4)))</formula>
    </cfRule>
    <cfRule type="containsText" priority="38" operator="containsText" text="Não aplicável">
      <formula>NOT(ISERROR(SEARCH("Não aplicável",L4)))</formula>
    </cfRule>
    <cfRule type="containsText" dxfId="9" priority="42" operator="containsText" text="Não">
      <formula>NOT(ISERROR(SEARCH("Não",L4)))</formula>
    </cfRule>
    <cfRule type="containsText" dxfId="8" priority="53" operator="containsText" text="Não">
      <formula>NOT(ISERROR(SEARCH("Não",L4)))</formula>
    </cfRule>
    <cfRule type="containsText" dxfId="7" priority="55" operator="containsText" text="Não">
      <formula>NOT(ISERROR(SEARCH("Não",L4)))</formula>
    </cfRule>
    <cfRule type="containsText" dxfId="6" priority="56" operator="containsText" text="&quot;Não aplicável&quot;">
      <formula>NOT(ISERROR(SEARCH("""Não aplicável""",L4)))</formula>
    </cfRule>
    <cfRule type="containsText" dxfId="5" priority="58" operator="containsText" text="&quot;&quot;">
      <formula>NOT(ISERROR(SEARCH("""""",L4)))</formula>
    </cfRule>
    <cfRule type="cellIs" dxfId="4" priority="59" operator="equal">
      <formula>"""Não aplicável"""</formula>
    </cfRule>
    <cfRule type="cellIs" dxfId="3" priority="60" operator="equal">
      <formula>""""""</formula>
    </cfRule>
    <cfRule type="cellIs" dxfId="2" priority="71" operator="greaterThan">
      <formula>0</formula>
    </cfRule>
    <cfRule type="cellIs" dxfId="1" priority="69" operator="equal">
      <formula>""""""</formula>
    </cfRule>
    <cfRule type="cellIs" dxfId="0" priority="70" operator="lessThan">
      <formula>0</formula>
    </cfRule>
  </conditionalFormatting>
  <hyperlinks>
    <hyperlink ref="A1" location="Sumário!A1" display="SUMÁRIO" xr:uid="{FA536365-D101-4612-A18E-B094E3480DAA}"/>
    <hyperlink ref="A2" location="'Resumo ST Bolsa'!A1" display="Resumo ST" xr:uid="{AAE7CDDA-EA1E-4667-9B5A-2DCB54DC8B76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8F0992-ACD3-47CE-93BE-01202915F8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59</vt:i4>
      </vt:variant>
    </vt:vector>
  </HeadingPairs>
  <TitlesOfParts>
    <vt:vector size="59" baseType="lpstr">
      <vt:lpstr>Sumário</vt:lpstr>
      <vt:lpstr>Histórico de aplicação</vt:lpstr>
      <vt:lpstr>Cotação</vt:lpstr>
      <vt:lpstr>Resumo ST Bolsa</vt:lpstr>
      <vt:lpstr>Resumo DT Bolsa</vt:lpstr>
      <vt:lpstr>Resumo ST Cripto</vt:lpstr>
      <vt:lpstr>Resumo DT Cripto - Inoperante</vt:lpstr>
      <vt:lpstr>ARCA Easynvest</vt:lpstr>
      <vt:lpstr>ARCA Clear</vt:lpstr>
      <vt:lpstr>ARCA Binance</vt:lpstr>
      <vt:lpstr>ARCA BSC</vt:lpstr>
      <vt:lpstr>ARCA BitPreço</vt:lpstr>
      <vt:lpstr>ARCA UpHold</vt:lpstr>
      <vt:lpstr>ARCA Exodus</vt:lpstr>
      <vt:lpstr>ARCA NovaDAX</vt:lpstr>
      <vt:lpstr>ARCA Alter</vt:lpstr>
      <vt:lpstr>Trades Binance</vt:lpstr>
      <vt:lpstr>Trades BSC</vt:lpstr>
      <vt:lpstr>Trades BitPreço</vt:lpstr>
      <vt:lpstr>Trades UpHold</vt:lpstr>
      <vt:lpstr>Trades Exodus</vt:lpstr>
      <vt:lpstr>Trades NovaDAX</vt:lpstr>
      <vt:lpstr>Trades Alter</vt:lpstr>
      <vt:lpstr>Bolsa CRFF11 DT</vt:lpstr>
      <vt:lpstr>Bolsa CRFF11 ST</vt:lpstr>
      <vt:lpstr>Bolsa HGLG11 DT</vt:lpstr>
      <vt:lpstr>Bolsa HGLG11 ST</vt:lpstr>
      <vt:lpstr>Bolsa KNCR11 DT</vt:lpstr>
      <vt:lpstr>Bolsa KNCR11 ST</vt:lpstr>
      <vt:lpstr>Bolsa MXRF11 DT</vt:lpstr>
      <vt:lpstr>Bolsa MXRF11 ST</vt:lpstr>
      <vt:lpstr>Bolsa AZUL4F DT</vt:lpstr>
      <vt:lpstr>Bolsa AZUL4F ST</vt:lpstr>
      <vt:lpstr>Bolsa EMBR3 DT</vt:lpstr>
      <vt:lpstr>Bolsa EMBR3 ST</vt:lpstr>
      <vt:lpstr>Bolsa PETR4F DT</vt:lpstr>
      <vt:lpstr>Bolsa PETR4F ST</vt:lpstr>
      <vt:lpstr>Bolsa PETR3F DT</vt:lpstr>
      <vt:lpstr>Bolsa PETR3F ST</vt:lpstr>
      <vt:lpstr>Bolsa BBAS3 DT</vt:lpstr>
      <vt:lpstr>Bolsa BBAS3 ST</vt:lpstr>
      <vt:lpstr>Bolsa BBSE3F DT</vt:lpstr>
      <vt:lpstr>Bolsa BBSE3F ST</vt:lpstr>
      <vt:lpstr>Bolsa BBDC4 DT</vt:lpstr>
      <vt:lpstr>Bolsa BBDC4 ST</vt:lpstr>
      <vt:lpstr>Bolsa BIDI3F DT</vt:lpstr>
      <vt:lpstr>Bolsa BIDI3F ST</vt:lpstr>
      <vt:lpstr>Bolsa OIBR3 DT</vt:lpstr>
      <vt:lpstr>Bolsa OIBR3 ST</vt:lpstr>
      <vt:lpstr>Bolsa LREN3F DT</vt:lpstr>
      <vt:lpstr>Bolsa LREN3F ST</vt:lpstr>
      <vt:lpstr>Bolsa TSLA34 DT</vt:lpstr>
      <vt:lpstr>Bolsa TSLA34 ST</vt:lpstr>
      <vt:lpstr>Bolsa AMZO34 DT</vt:lpstr>
      <vt:lpstr>Bolsa AMZO34 ST</vt:lpstr>
      <vt:lpstr>Bolsa JNJB34 DT</vt:lpstr>
      <vt:lpstr>Bolsa JNJB34 ST</vt:lpstr>
      <vt:lpstr>Bolsa VISA34 DT</vt:lpstr>
      <vt:lpstr>Bolsa VISA34 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Windows</dc:creator>
  <cp:lastModifiedBy>Caio Moreira Porta</cp:lastModifiedBy>
  <dcterms:created xsi:type="dcterms:W3CDTF">2021-02-01T03:35:45Z</dcterms:created>
  <dcterms:modified xsi:type="dcterms:W3CDTF">2024-05-09T17:03:24Z</dcterms:modified>
</cp:coreProperties>
</file>